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bookViews>
    <workbookView xWindow="-45" yWindow="0" windowWidth="14520" windowHeight="15600" activeTab="3"/>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0">DADOS!$A$1:$X$87</definedName>
    <definedName name="_xlnm.Print_Area" localSheetId="4">PLQ!$B$1:$O$428</definedName>
    <definedName name="_xlnm.Print_Area" localSheetId="3">PO!$K$1:$T$437</definedName>
    <definedName name="_xlnm.Database">TEXT(Import.DataBase,"mm-aaaa")</definedName>
    <definedName name="CFF.ColunaPadrão">CFF!$AC:$AC</definedName>
    <definedName name="CFF.Colunas">CFF!$P$10:$X$10</definedName>
    <definedName name="CFF.Dados">OFFSET(CFF!$L$17,1,0):OFFSET(CFF!$X$51,-1,-1)</definedName>
    <definedName name="CFF.IncluirLinha">MAX(PO!$V$12:$V$422)*CFF.NumLinha-ROW(CFF!$F$51)+ROW(CFF!$F$17)+1</definedName>
    <definedName name="CFF.Item">OFFSET(CFF!$L$17,1,0):OFFSET(CFF!$X$51,-1,-1)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OFFSET(PO!$M$12,1,0):OFFSET(PO!$M$422,-1,0)</definedName>
    <definedName name="Import.CR">DADOS!$A$29</definedName>
    <definedName name="Import.CTEF">DADOS!$A$43</definedName>
    <definedName name="Import.CustoUnitário">OFFSET(PO!$Q$12,1,0):OFFSET(PO!$Q$422,-1,0)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OFFSET(PO!$N$12,1,0):OFFSET(PO!$N$422,-1,0)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OFFSET(PO!$L$12,1,0):OFFSET(PO!$L$422,-1,0)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OFFSET(PO!$K$12,1,0):OFFSET(PO!$K$422,-1,0)</definedName>
    <definedName name="Import.Localidade">DADOS!$K$32</definedName>
    <definedName name="Import.LocalSINAPI">DADOS!$D$38</definedName>
    <definedName name="Import.Município">DADOS!$G$32</definedName>
    <definedName name="Import.Nível">OFFSET(PO!$J$12,1,0):OFFSET(PO!$J$422,-1,0)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OFFSET(PLQ!$F$12,1,0):OFFSET(PLQ!$P$422,-1,-1)</definedName>
    <definedName name="Import.POArred">PO!$X$3:$X$7</definedName>
    <definedName name="Import.PreçoTotal">OFFSET(PO!$T$12,1,0):OFFSET(PO!$T$422,-1,0)</definedName>
    <definedName name="Import.PreçoUnitário">OFFSET(PO!$S$12,1,0):OFFSET(PO!$S$422,-1,0)</definedName>
    <definedName name="Import.Programa">DADOS!$F$29</definedName>
    <definedName name="Import.Proponente">DADOS!$A$32</definedName>
    <definedName name="Import.Quantidade">OFFSET(PO!$P$12,1,0):OFFSET(PO!$P$422,-1,0)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OFFSET(PO!$O$12,1,0):OFFSET(PO!$O$422,-1,0)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OFFSET(PO!$Z$12,1,0):OFFSET(PO!$Z$422,-1,0)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PO!$K$423</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PLQ!$B$9:OFFSET(PLQ!$B$422,-1,0)</definedName>
    <definedName name="PLQ.LinhaPadrão">PLQ!$A$11:$P$11</definedName>
    <definedName name="PLQ.qtde.frentes">COUNTA(PLQ!$F$9:$P$9)</definedName>
    <definedName name="PO.BDI">OFFSET(PO!$R$12,1,0):OFFSET(PO!$R$422,-1,0)</definedName>
    <definedName name="PO.CustoRef">OFFSET(PO!$Y$12,1,0):OFFSET(PO!$Y$422,-1,0)</definedName>
    <definedName name="PO.CustoUnitario">ROUND(PO!$Q1,15-13*PO!$X$4)</definedName>
    <definedName name="PO.Dados">PO!$C$12:OFFSET(PO!$Z$422,-1,0)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45621"/>
</workbook>
</file>

<file path=xl/calcChain.xml><?xml version="1.0" encoding="utf-8"?>
<calcChain xmlns="http://schemas.openxmlformats.org/spreadsheetml/2006/main">
  <c r="F421" i="13" l="1"/>
  <c r="A421" i="13"/>
  <c r="F420" i="13"/>
  <c r="A420" i="13"/>
  <c r="F419" i="13"/>
  <c r="A419" i="13"/>
  <c r="F418" i="13"/>
  <c r="A418" i="13"/>
  <c r="E418" i="13" s="1"/>
  <c r="F417" i="13"/>
  <c r="A417" i="13"/>
  <c r="F416" i="13"/>
  <c r="A416" i="13"/>
  <c r="F415" i="13"/>
  <c r="A415" i="13"/>
  <c r="F414" i="13"/>
  <c r="A414" i="13"/>
  <c r="E414" i="13" s="1"/>
  <c r="F413" i="13"/>
  <c r="A413" i="13"/>
  <c r="F412" i="13"/>
  <c r="A412" i="13"/>
  <c r="F411" i="13"/>
  <c r="A411" i="13"/>
  <c r="F410" i="13"/>
  <c r="A410" i="13"/>
  <c r="F409" i="13"/>
  <c r="A409" i="13"/>
  <c r="F408" i="13"/>
  <c r="A408" i="13"/>
  <c r="F407" i="13"/>
  <c r="A407" i="13"/>
  <c r="F406" i="13"/>
  <c r="A406" i="13"/>
  <c r="F405" i="13"/>
  <c r="A405" i="13"/>
  <c r="F404" i="13"/>
  <c r="A404" i="13"/>
  <c r="F403" i="13"/>
  <c r="A403" i="13"/>
  <c r="F402" i="13"/>
  <c r="A402" i="13"/>
  <c r="F401" i="13"/>
  <c r="A401" i="13"/>
  <c r="F400" i="13"/>
  <c r="A400" i="13"/>
  <c r="F399" i="13"/>
  <c r="A399" i="13"/>
  <c r="F398" i="13"/>
  <c r="A398" i="13"/>
  <c r="F397" i="13"/>
  <c r="A397" i="13"/>
  <c r="E397" i="13" s="1"/>
  <c r="F396" i="13"/>
  <c r="A396" i="13"/>
  <c r="F395" i="13"/>
  <c r="A395" i="13"/>
  <c r="F394" i="13"/>
  <c r="A394" i="13"/>
  <c r="F393" i="13"/>
  <c r="A393" i="13"/>
  <c r="F392" i="13"/>
  <c r="A392" i="13"/>
  <c r="F391" i="13"/>
  <c r="A391" i="13"/>
  <c r="F390" i="13"/>
  <c r="A390" i="13"/>
  <c r="F389" i="13"/>
  <c r="A389" i="13"/>
  <c r="F388" i="13"/>
  <c r="A388" i="13"/>
  <c r="F387" i="13"/>
  <c r="A387" i="13"/>
  <c r="F386" i="13"/>
  <c r="A386" i="13"/>
  <c r="F385" i="13"/>
  <c r="A385" i="13"/>
  <c r="F384" i="13"/>
  <c r="A384" i="13"/>
  <c r="F383" i="13"/>
  <c r="A383" i="13"/>
  <c r="F382" i="13"/>
  <c r="A382" i="13"/>
  <c r="F381" i="13"/>
  <c r="A381" i="13"/>
  <c r="F380" i="13"/>
  <c r="A380" i="13"/>
  <c r="F379" i="13"/>
  <c r="A379" i="13"/>
  <c r="F378" i="13"/>
  <c r="A378" i="13"/>
  <c r="F377" i="13"/>
  <c r="A377" i="13"/>
  <c r="F376" i="13"/>
  <c r="A376" i="13"/>
  <c r="F375" i="13"/>
  <c r="A375" i="13"/>
  <c r="F374" i="13"/>
  <c r="A374" i="13"/>
  <c r="F373" i="13"/>
  <c r="A373" i="13"/>
  <c r="F372" i="13"/>
  <c r="A372" i="13"/>
  <c r="F371" i="13"/>
  <c r="A371" i="13"/>
  <c r="F370" i="13"/>
  <c r="A370" i="13"/>
  <c r="F369" i="13"/>
  <c r="A369" i="13"/>
  <c r="E369" i="13" s="1"/>
  <c r="F368" i="13"/>
  <c r="A368" i="13"/>
  <c r="E368" i="13" s="1"/>
  <c r="F367" i="13"/>
  <c r="A367" i="13"/>
  <c r="F366" i="13"/>
  <c r="A366" i="13"/>
  <c r="F365" i="13"/>
  <c r="A365" i="13"/>
  <c r="F364" i="13"/>
  <c r="A364" i="13"/>
  <c r="F363" i="13"/>
  <c r="A363" i="13"/>
  <c r="F362" i="13"/>
  <c r="A362" i="13"/>
  <c r="F361" i="13"/>
  <c r="A361" i="13"/>
  <c r="F360" i="13"/>
  <c r="A360" i="13"/>
  <c r="F359" i="13"/>
  <c r="A359" i="13"/>
  <c r="F358" i="13"/>
  <c r="A358" i="13"/>
  <c r="E358" i="13" s="1"/>
  <c r="F357" i="13"/>
  <c r="A357" i="13"/>
  <c r="F356" i="13"/>
  <c r="A356" i="13"/>
  <c r="F355" i="13"/>
  <c r="A355" i="13"/>
  <c r="F354" i="13"/>
  <c r="A354" i="13"/>
  <c r="F353" i="13"/>
  <c r="A353" i="13"/>
  <c r="F352" i="13"/>
  <c r="A352" i="13"/>
  <c r="F351" i="13"/>
  <c r="A351" i="13"/>
  <c r="F350" i="13"/>
  <c r="A350" i="13"/>
  <c r="F349" i="13"/>
  <c r="A349" i="13"/>
  <c r="W421" i="12"/>
  <c r="A421" i="12"/>
  <c r="V421" i="12" s="1"/>
  <c r="W420" i="12"/>
  <c r="A420" i="12"/>
  <c r="H420" i="12" s="1"/>
  <c r="W419" i="12"/>
  <c r="A419" i="12"/>
  <c r="X418" i="12"/>
  <c r="D418" i="13" s="1"/>
  <c r="W418" i="12"/>
  <c r="A418" i="12"/>
  <c r="V418" i="12" s="1"/>
  <c r="W417" i="12"/>
  <c r="A417" i="12"/>
  <c r="H417" i="12" s="1"/>
  <c r="W416" i="12"/>
  <c r="A416" i="12"/>
  <c r="B416" i="12" s="1"/>
  <c r="W415" i="12"/>
  <c r="A415" i="12"/>
  <c r="H415" i="12" s="1"/>
  <c r="X414" i="12"/>
  <c r="D414" i="13" s="1"/>
  <c r="W414" i="12"/>
  <c r="A414" i="12"/>
  <c r="X413" i="12"/>
  <c r="D413" i="13" s="1"/>
  <c r="W413" i="12"/>
  <c r="C413" i="13"/>
  <c r="A413" i="12"/>
  <c r="W412" i="12"/>
  <c r="A412" i="12"/>
  <c r="H412" i="12" s="1"/>
  <c r="W411" i="12"/>
  <c r="A411" i="12"/>
  <c r="V411" i="12" s="1"/>
  <c r="W410" i="12"/>
  <c r="H410" i="12"/>
  <c r="A410" i="12"/>
  <c r="V410" i="12" s="1"/>
  <c r="W409" i="12"/>
  <c r="A409" i="12"/>
  <c r="H409" i="12" s="1"/>
  <c r="W408" i="12"/>
  <c r="A408" i="12"/>
  <c r="H408" i="12" s="1"/>
  <c r="W407" i="12"/>
  <c r="A407" i="12"/>
  <c r="W406" i="12"/>
  <c r="A406" i="12"/>
  <c r="W405" i="12"/>
  <c r="A405" i="12"/>
  <c r="V405" i="12" s="1"/>
  <c r="W404" i="12"/>
  <c r="A404" i="12"/>
  <c r="H404" i="12" s="1"/>
  <c r="W403" i="12"/>
  <c r="V403" i="12"/>
  <c r="A403" i="12"/>
  <c r="W402" i="12"/>
  <c r="A402" i="12"/>
  <c r="W401" i="12"/>
  <c r="A401" i="12"/>
  <c r="H401" i="12" s="1"/>
  <c r="W400" i="12"/>
  <c r="A400" i="12"/>
  <c r="H400" i="12" s="1"/>
  <c r="W399" i="12"/>
  <c r="A399" i="12"/>
  <c r="V399" i="12" s="1"/>
  <c r="W398" i="12"/>
  <c r="A398" i="12"/>
  <c r="X397" i="12"/>
  <c r="D397" i="13" s="1"/>
  <c r="W397" i="12"/>
  <c r="C397" i="13"/>
  <c r="A397" i="12"/>
  <c r="V397" i="12" s="1"/>
  <c r="W396" i="12"/>
  <c r="A396" i="12"/>
  <c r="H396" i="12" s="1"/>
  <c r="W395" i="12"/>
  <c r="V395" i="12"/>
  <c r="H395" i="12"/>
  <c r="A395" i="12"/>
  <c r="B395" i="12" s="1"/>
  <c r="W394" i="12"/>
  <c r="A394" i="12"/>
  <c r="H394" i="12" s="1"/>
  <c r="W393" i="12"/>
  <c r="A393" i="12"/>
  <c r="V393" i="12" s="1"/>
  <c r="W392" i="12"/>
  <c r="A392" i="12"/>
  <c r="H392" i="12" s="1"/>
  <c r="W391" i="12"/>
  <c r="A391" i="12"/>
  <c r="H391" i="12" s="1"/>
  <c r="W390" i="12"/>
  <c r="A390" i="12"/>
  <c r="H390" i="12" s="1"/>
  <c r="W389" i="12"/>
  <c r="A389" i="12"/>
  <c r="B389" i="12" s="1"/>
  <c r="W388" i="12"/>
  <c r="A388" i="12"/>
  <c r="H388" i="12" s="1"/>
  <c r="W387" i="12"/>
  <c r="A387" i="12"/>
  <c r="H387" i="12" s="1"/>
  <c r="W386" i="12"/>
  <c r="A386" i="12"/>
  <c r="H386" i="12" s="1"/>
  <c r="W385" i="12"/>
  <c r="A385" i="12"/>
  <c r="H385" i="12" s="1"/>
  <c r="W384" i="12"/>
  <c r="V384" i="12"/>
  <c r="A384" i="12"/>
  <c r="B384" i="12" s="1"/>
  <c r="W383" i="12"/>
  <c r="A383" i="12"/>
  <c r="V383" i="12" s="1"/>
  <c r="W382" i="12"/>
  <c r="A382" i="12"/>
  <c r="V382" i="12" s="1"/>
  <c r="W381" i="12"/>
  <c r="A381" i="12"/>
  <c r="B381" i="12" s="1"/>
  <c r="W380" i="12"/>
  <c r="A380" i="12"/>
  <c r="V380" i="12" s="1"/>
  <c r="W379" i="12"/>
  <c r="A379" i="12"/>
  <c r="X378" i="12"/>
  <c r="W378" i="12"/>
  <c r="A378" i="12"/>
  <c r="V378" i="12" s="1"/>
  <c r="W377" i="12"/>
  <c r="A377" i="12"/>
  <c r="B377" i="12" s="1"/>
  <c r="W376" i="12"/>
  <c r="A376" i="12"/>
  <c r="V376" i="12" s="1"/>
  <c r="W375" i="12"/>
  <c r="A375" i="12"/>
  <c r="V375" i="12" s="1"/>
  <c r="W374" i="12"/>
  <c r="A374" i="12"/>
  <c r="V374" i="12" s="1"/>
  <c r="W373" i="12"/>
  <c r="A373" i="12"/>
  <c r="V373" i="12" s="1"/>
  <c r="W372" i="12"/>
  <c r="A372" i="12"/>
  <c r="H372" i="12" s="1"/>
  <c r="W371" i="12"/>
  <c r="A371" i="12"/>
  <c r="V371" i="12" s="1"/>
  <c r="W370" i="12"/>
  <c r="A370" i="12"/>
  <c r="V370" i="12" s="1"/>
  <c r="X369" i="12"/>
  <c r="D369" i="13" s="1"/>
  <c r="W369" i="12"/>
  <c r="A369" i="12"/>
  <c r="V369" i="12" s="1"/>
  <c r="X368" i="12"/>
  <c r="W368" i="12"/>
  <c r="A368" i="12"/>
  <c r="W367" i="12"/>
  <c r="A367" i="12"/>
  <c r="H367" i="12" s="1"/>
  <c r="W366" i="12"/>
  <c r="A366" i="12"/>
  <c r="V366" i="12" s="1"/>
  <c r="W365" i="12"/>
  <c r="A365" i="12"/>
  <c r="B365" i="12" s="1"/>
  <c r="W364" i="12"/>
  <c r="H364" i="12"/>
  <c r="A364" i="12"/>
  <c r="W363" i="12"/>
  <c r="A363" i="12"/>
  <c r="W362" i="12"/>
  <c r="A362" i="12"/>
  <c r="H362" i="12" s="1"/>
  <c r="W361" i="12"/>
  <c r="A361" i="12"/>
  <c r="H361" i="12" s="1"/>
  <c r="W360" i="12"/>
  <c r="A360" i="12"/>
  <c r="H360" i="12" s="1"/>
  <c r="W359" i="12"/>
  <c r="A359" i="12"/>
  <c r="H359" i="12" s="1"/>
  <c r="X358" i="12"/>
  <c r="D358" i="13" s="1"/>
  <c r="W358" i="12"/>
  <c r="A358" i="12"/>
  <c r="V358" i="12" s="1"/>
  <c r="W357" i="12"/>
  <c r="V357" i="12"/>
  <c r="A357" i="12"/>
  <c r="H357" i="12" s="1"/>
  <c r="W356" i="12"/>
  <c r="A356" i="12"/>
  <c r="H356" i="12" s="1"/>
  <c r="W355" i="12"/>
  <c r="A355" i="12"/>
  <c r="W354" i="12"/>
  <c r="A354" i="12"/>
  <c r="H354" i="12" s="1"/>
  <c r="W353" i="12"/>
  <c r="A353" i="12"/>
  <c r="H353" i="12" s="1"/>
  <c r="W352" i="12"/>
  <c r="A352" i="12"/>
  <c r="H352" i="12" s="1"/>
  <c r="W351" i="12"/>
  <c r="A351" i="12"/>
  <c r="H351" i="12" s="1"/>
  <c r="W350" i="12"/>
  <c r="A350" i="12"/>
  <c r="B350" i="12" s="1"/>
  <c r="W349" i="12"/>
  <c r="A349" i="12"/>
  <c r="B349" i="12" s="1"/>
  <c r="F348" i="13"/>
  <c r="A348" i="13"/>
  <c r="F347" i="13"/>
  <c r="A347" i="13"/>
  <c r="F346" i="13"/>
  <c r="A346" i="13"/>
  <c r="F345" i="13"/>
  <c r="A345" i="13"/>
  <c r="F344" i="13"/>
  <c r="A344" i="13"/>
  <c r="F343" i="13"/>
  <c r="A343" i="13"/>
  <c r="F342" i="13"/>
  <c r="A342" i="13"/>
  <c r="F341" i="13"/>
  <c r="A341" i="13"/>
  <c r="F340" i="13"/>
  <c r="A340" i="13"/>
  <c r="F339" i="13"/>
  <c r="A339" i="13"/>
  <c r="F338" i="13"/>
  <c r="A338" i="13"/>
  <c r="F337" i="13"/>
  <c r="A337" i="13"/>
  <c r="F336" i="13"/>
  <c r="A336" i="13"/>
  <c r="F335" i="13"/>
  <c r="A335" i="13"/>
  <c r="F334" i="13"/>
  <c r="A334" i="13"/>
  <c r="F333" i="13"/>
  <c r="A333" i="13"/>
  <c r="F332" i="13"/>
  <c r="A332" i="13"/>
  <c r="F331" i="13"/>
  <c r="A331" i="13"/>
  <c r="F330" i="13"/>
  <c r="A330" i="13"/>
  <c r="F329" i="13"/>
  <c r="A329" i="13"/>
  <c r="F328" i="13"/>
  <c r="A328" i="13"/>
  <c r="F327" i="13"/>
  <c r="A327" i="13"/>
  <c r="F326" i="13"/>
  <c r="A326" i="13"/>
  <c r="F325" i="13"/>
  <c r="A325" i="13"/>
  <c r="F324" i="13"/>
  <c r="A324" i="13"/>
  <c r="F323" i="13"/>
  <c r="A323" i="13"/>
  <c r="F322" i="13"/>
  <c r="A322" i="13"/>
  <c r="F321" i="13"/>
  <c r="A321" i="13"/>
  <c r="F320" i="13"/>
  <c r="A320" i="13"/>
  <c r="F319" i="13"/>
  <c r="A319" i="13"/>
  <c r="F318" i="13"/>
  <c r="A318" i="13"/>
  <c r="F317" i="13"/>
  <c r="A317" i="13"/>
  <c r="F316" i="13"/>
  <c r="A316" i="13"/>
  <c r="F315" i="13"/>
  <c r="A315" i="13"/>
  <c r="F314" i="13"/>
  <c r="A314" i="13"/>
  <c r="F313" i="13"/>
  <c r="A313" i="13"/>
  <c r="F312" i="13"/>
  <c r="A312" i="13"/>
  <c r="F311" i="13"/>
  <c r="A311" i="13"/>
  <c r="F310" i="13"/>
  <c r="A310" i="13"/>
  <c r="F309" i="13"/>
  <c r="A309" i="13"/>
  <c r="F308" i="13"/>
  <c r="A308" i="13"/>
  <c r="F307" i="13"/>
  <c r="A307" i="13"/>
  <c r="F306" i="13"/>
  <c r="A306" i="13"/>
  <c r="F305" i="13"/>
  <c r="A305" i="13"/>
  <c r="F304" i="13"/>
  <c r="A304" i="13"/>
  <c r="F303" i="13"/>
  <c r="A303" i="13"/>
  <c r="F302" i="13"/>
  <c r="A302" i="13"/>
  <c r="F301" i="13"/>
  <c r="A301" i="13"/>
  <c r="F300" i="13"/>
  <c r="A300" i="13"/>
  <c r="F299" i="13"/>
  <c r="A299" i="13"/>
  <c r="E299" i="13" s="1"/>
  <c r="F298" i="13"/>
  <c r="A298" i="13"/>
  <c r="F297" i="13"/>
  <c r="A297" i="13"/>
  <c r="F296" i="13"/>
  <c r="A296" i="13"/>
  <c r="F295" i="13"/>
  <c r="A295" i="13"/>
  <c r="F294" i="13"/>
  <c r="A294" i="13"/>
  <c r="F293" i="13"/>
  <c r="A293" i="13"/>
  <c r="F292" i="13"/>
  <c r="A292" i="13"/>
  <c r="F291" i="13"/>
  <c r="A291" i="13"/>
  <c r="F290" i="13"/>
  <c r="A290" i="13"/>
  <c r="F289" i="13"/>
  <c r="A289" i="13"/>
  <c r="F288" i="13"/>
  <c r="A288" i="13"/>
  <c r="F287" i="13"/>
  <c r="A287" i="13"/>
  <c r="F286" i="13"/>
  <c r="A286" i="13"/>
  <c r="F285" i="13"/>
  <c r="A285" i="13"/>
  <c r="F284" i="13"/>
  <c r="A284" i="13"/>
  <c r="F283" i="13"/>
  <c r="A283" i="13"/>
  <c r="F282" i="13"/>
  <c r="A282" i="13"/>
  <c r="F281" i="13"/>
  <c r="A281" i="13"/>
  <c r="F280" i="13"/>
  <c r="A280" i="13"/>
  <c r="F279" i="13"/>
  <c r="A279" i="13"/>
  <c r="F278" i="13"/>
  <c r="A278" i="13"/>
  <c r="F277" i="13"/>
  <c r="A277" i="13"/>
  <c r="F276" i="13"/>
  <c r="A276" i="13"/>
  <c r="F275" i="13"/>
  <c r="A275" i="13"/>
  <c r="F274" i="13"/>
  <c r="A274" i="13"/>
  <c r="F273" i="13"/>
  <c r="A273" i="13"/>
  <c r="F272" i="13"/>
  <c r="A272" i="13"/>
  <c r="F271" i="13"/>
  <c r="A271" i="13"/>
  <c r="F270" i="13"/>
  <c r="A270" i="13"/>
  <c r="F269" i="13"/>
  <c r="A269" i="13"/>
  <c r="F268" i="13"/>
  <c r="A268" i="13"/>
  <c r="F267" i="13"/>
  <c r="A267" i="13"/>
  <c r="F266" i="13"/>
  <c r="A266" i="13"/>
  <c r="F265" i="13"/>
  <c r="A265" i="13"/>
  <c r="F264" i="13"/>
  <c r="A264" i="13"/>
  <c r="F263" i="13"/>
  <c r="A263" i="13"/>
  <c r="F262" i="13"/>
  <c r="A262" i="13"/>
  <c r="F261" i="13"/>
  <c r="A261" i="13"/>
  <c r="F260" i="13"/>
  <c r="A260" i="13"/>
  <c r="F259" i="13"/>
  <c r="A259" i="13"/>
  <c r="F258" i="13"/>
  <c r="A258" i="13"/>
  <c r="F257" i="13"/>
  <c r="A257" i="13"/>
  <c r="F256" i="13"/>
  <c r="A256" i="13"/>
  <c r="F255" i="13"/>
  <c r="A255" i="13"/>
  <c r="F254" i="13"/>
  <c r="A254" i="13"/>
  <c r="F253" i="13"/>
  <c r="A253" i="13"/>
  <c r="F252" i="13"/>
  <c r="A252" i="13"/>
  <c r="F251" i="13"/>
  <c r="A251" i="13"/>
  <c r="F250" i="13"/>
  <c r="A250" i="13"/>
  <c r="F249" i="13"/>
  <c r="A249" i="13"/>
  <c r="W348" i="12"/>
  <c r="A348" i="12"/>
  <c r="I348" i="12" s="1"/>
  <c r="W347" i="12"/>
  <c r="A347" i="12"/>
  <c r="V347" i="12" s="1"/>
  <c r="W346" i="12"/>
  <c r="H346" i="12"/>
  <c r="A346" i="12"/>
  <c r="V346" i="12" s="1"/>
  <c r="W345" i="12"/>
  <c r="A345" i="12"/>
  <c r="I345" i="12" s="1"/>
  <c r="W344" i="12"/>
  <c r="A344" i="12"/>
  <c r="V344" i="12" s="1"/>
  <c r="W343" i="12"/>
  <c r="A343" i="12"/>
  <c r="V343" i="12" s="1"/>
  <c r="W342" i="12"/>
  <c r="A342" i="12"/>
  <c r="I342" i="12" s="1"/>
  <c r="W341" i="12"/>
  <c r="A341" i="12"/>
  <c r="W340" i="12"/>
  <c r="A340" i="12"/>
  <c r="W339" i="12"/>
  <c r="A339" i="12"/>
  <c r="W338" i="12"/>
  <c r="A338" i="12"/>
  <c r="W337" i="12"/>
  <c r="A337" i="12"/>
  <c r="W336" i="12"/>
  <c r="A336" i="12"/>
  <c r="W335" i="12"/>
  <c r="A335" i="12"/>
  <c r="W334" i="12"/>
  <c r="A334" i="12"/>
  <c r="W333" i="12"/>
  <c r="A333" i="12"/>
  <c r="B333" i="12" s="1"/>
  <c r="W332" i="12"/>
  <c r="A332" i="12"/>
  <c r="H332" i="12" s="1"/>
  <c r="W331" i="12"/>
  <c r="A331" i="12"/>
  <c r="V331" i="12" s="1"/>
  <c r="W330" i="12"/>
  <c r="A330" i="12"/>
  <c r="H330" i="12" s="1"/>
  <c r="W329" i="12"/>
  <c r="A329" i="12"/>
  <c r="W328" i="12"/>
  <c r="A328" i="12"/>
  <c r="B328" i="12" s="1"/>
  <c r="W327" i="12"/>
  <c r="A327" i="12"/>
  <c r="W326" i="12"/>
  <c r="H326" i="12"/>
  <c r="A326" i="12"/>
  <c r="V326" i="12" s="1"/>
  <c r="X325" i="12"/>
  <c r="W325" i="12"/>
  <c r="A325" i="12"/>
  <c r="X324" i="12"/>
  <c r="W324" i="12"/>
  <c r="A324" i="12"/>
  <c r="W323" i="12"/>
  <c r="A323" i="12"/>
  <c r="V323" i="12" s="1"/>
  <c r="W322" i="12"/>
  <c r="A322" i="12"/>
  <c r="H322" i="12" s="1"/>
  <c r="W321" i="12"/>
  <c r="A321" i="12"/>
  <c r="W320" i="12"/>
  <c r="A320" i="12"/>
  <c r="H320" i="12" s="1"/>
  <c r="W319" i="12"/>
  <c r="A319" i="12"/>
  <c r="V319" i="12" s="1"/>
  <c r="W318" i="12"/>
  <c r="A318" i="12"/>
  <c r="H318" i="12" s="1"/>
  <c r="W317" i="12"/>
  <c r="A317" i="12"/>
  <c r="W316" i="12"/>
  <c r="A316" i="12"/>
  <c r="H316" i="12" s="1"/>
  <c r="W315" i="12"/>
  <c r="A315" i="12"/>
  <c r="V315" i="12" s="1"/>
  <c r="W314" i="12"/>
  <c r="A314" i="12"/>
  <c r="H314" i="12" s="1"/>
  <c r="W313" i="12"/>
  <c r="A313" i="12"/>
  <c r="W312" i="12"/>
  <c r="A312" i="12"/>
  <c r="I312" i="12" s="1"/>
  <c r="W311" i="12"/>
  <c r="A311" i="12"/>
  <c r="I311" i="12" s="1"/>
  <c r="W310" i="12"/>
  <c r="A310" i="12"/>
  <c r="I310" i="12" s="1"/>
  <c r="W309" i="12"/>
  <c r="A309" i="12"/>
  <c r="I309" i="12" s="1"/>
  <c r="W308" i="12"/>
  <c r="A308" i="12"/>
  <c r="W307" i="12"/>
  <c r="A307" i="12"/>
  <c r="W306" i="12"/>
  <c r="A306" i="12"/>
  <c r="W305" i="12"/>
  <c r="A305" i="12"/>
  <c r="H305" i="12" s="1"/>
  <c r="W304" i="12"/>
  <c r="V304" i="12"/>
  <c r="A304" i="12"/>
  <c r="H304" i="12" s="1"/>
  <c r="W303" i="12"/>
  <c r="A303" i="12"/>
  <c r="V303" i="12" s="1"/>
  <c r="W302" i="12"/>
  <c r="A302" i="12"/>
  <c r="W301" i="12"/>
  <c r="A301" i="12"/>
  <c r="V301" i="12" s="1"/>
  <c r="W300" i="12"/>
  <c r="A300" i="12"/>
  <c r="H300" i="12" s="1"/>
  <c r="X299" i="12"/>
  <c r="W299" i="12"/>
  <c r="A299" i="12"/>
  <c r="V299" i="12" s="1"/>
  <c r="W298" i="12"/>
  <c r="A298" i="12"/>
  <c r="I298" i="12" s="1"/>
  <c r="W297" i="12"/>
  <c r="A297" i="12"/>
  <c r="I297" i="12" s="1"/>
  <c r="W296" i="12"/>
  <c r="A296" i="12"/>
  <c r="I296" i="12" s="1"/>
  <c r="W295" i="12"/>
  <c r="H295" i="12"/>
  <c r="A295" i="12"/>
  <c r="I295" i="12" s="1"/>
  <c r="W294" i="12"/>
  <c r="A294" i="12"/>
  <c r="I294" i="12" s="1"/>
  <c r="W293" i="12"/>
  <c r="A293" i="12"/>
  <c r="I293" i="12" s="1"/>
  <c r="W292" i="12"/>
  <c r="A292" i="12"/>
  <c r="I292" i="12" s="1"/>
  <c r="W291" i="12"/>
  <c r="A291" i="12"/>
  <c r="I291" i="12" s="1"/>
  <c r="W290" i="12"/>
  <c r="A290" i="12"/>
  <c r="I290" i="12" s="1"/>
  <c r="W289" i="12"/>
  <c r="A289" i="12"/>
  <c r="I289" i="12" s="1"/>
  <c r="W288" i="12"/>
  <c r="A288" i="12"/>
  <c r="I288" i="12" s="1"/>
  <c r="W287" i="12"/>
  <c r="A287" i="12"/>
  <c r="I287" i="12" s="1"/>
  <c r="W286" i="12"/>
  <c r="A286" i="12"/>
  <c r="I286" i="12" s="1"/>
  <c r="W285" i="12"/>
  <c r="A285" i="12"/>
  <c r="I285" i="12" s="1"/>
  <c r="W284" i="12"/>
  <c r="A284" i="12"/>
  <c r="I284" i="12" s="1"/>
  <c r="W283" i="12"/>
  <c r="A283" i="12"/>
  <c r="H283" i="12" s="1"/>
  <c r="W282" i="12"/>
  <c r="A282" i="12"/>
  <c r="B282" i="12" s="1"/>
  <c r="W281" i="12"/>
  <c r="A281" i="12"/>
  <c r="H281" i="12" s="1"/>
  <c r="W280" i="12"/>
  <c r="A280" i="12"/>
  <c r="B280" i="12" s="1"/>
  <c r="W279" i="12"/>
  <c r="A279" i="12"/>
  <c r="H279" i="12" s="1"/>
  <c r="W278" i="12"/>
  <c r="A278" i="12"/>
  <c r="H278" i="12" s="1"/>
  <c r="W277" i="12"/>
  <c r="A277" i="12"/>
  <c r="H277" i="12" s="1"/>
  <c r="W276" i="12"/>
  <c r="A276" i="12"/>
  <c r="B276" i="12" s="1"/>
  <c r="W275" i="12"/>
  <c r="A275" i="12"/>
  <c r="H275" i="12" s="1"/>
  <c r="W274" i="12"/>
  <c r="A274" i="12"/>
  <c r="H274" i="12" s="1"/>
  <c r="W273" i="12"/>
  <c r="A273" i="12"/>
  <c r="V273" i="12" s="1"/>
  <c r="W272" i="12"/>
  <c r="A272" i="12"/>
  <c r="H272" i="12" s="1"/>
  <c r="W271" i="12"/>
  <c r="H271" i="12"/>
  <c r="A271" i="12"/>
  <c r="V271" i="12" s="1"/>
  <c r="W270" i="12"/>
  <c r="A270" i="12"/>
  <c r="H270" i="12" s="1"/>
  <c r="W269" i="12"/>
  <c r="A269" i="12"/>
  <c r="V269" i="12" s="1"/>
  <c r="W268" i="12"/>
  <c r="A268" i="12"/>
  <c r="H268" i="12" s="1"/>
  <c r="W267" i="12"/>
  <c r="A267" i="12"/>
  <c r="V267" i="12" s="1"/>
  <c r="W266" i="12"/>
  <c r="A266" i="12"/>
  <c r="H266" i="12" s="1"/>
  <c r="W265" i="12"/>
  <c r="A265" i="12"/>
  <c r="V265" i="12" s="1"/>
  <c r="W264" i="12"/>
  <c r="A264" i="12"/>
  <c r="H264" i="12" s="1"/>
  <c r="X263" i="12"/>
  <c r="W263" i="12"/>
  <c r="A263" i="12"/>
  <c r="V263" i="12" s="1"/>
  <c r="W262" i="12"/>
  <c r="A262" i="12"/>
  <c r="H262" i="12" s="1"/>
  <c r="W261" i="12"/>
  <c r="A261" i="12"/>
  <c r="V261" i="12" s="1"/>
  <c r="W260" i="12"/>
  <c r="A260" i="12"/>
  <c r="H260" i="12" s="1"/>
  <c r="W259" i="12"/>
  <c r="A259" i="12"/>
  <c r="V259" i="12" s="1"/>
  <c r="W258" i="12"/>
  <c r="A258" i="12"/>
  <c r="H258" i="12" s="1"/>
  <c r="W257" i="12"/>
  <c r="A257" i="12"/>
  <c r="V257" i="12" s="1"/>
  <c r="W256" i="12"/>
  <c r="A256" i="12"/>
  <c r="H256" i="12" s="1"/>
  <c r="W255" i="12"/>
  <c r="A255" i="12"/>
  <c r="V255" i="12" s="1"/>
  <c r="W254" i="12"/>
  <c r="A254" i="12"/>
  <c r="H254" i="12" s="1"/>
  <c r="W253" i="12"/>
  <c r="A253" i="12"/>
  <c r="V253" i="12" s="1"/>
  <c r="W252" i="12"/>
  <c r="A252" i="12"/>
  <c r="H252" i="12" s="1"/>
  <c r="W251" i="12"/>
  <c r="H251" i="12"/>
  <c r="A251" i="12"/>
  <c r="V251" i="12" s="1"/>
  <c r="W250" i="12"/>
  <c r="A250" i="12"/>
  <c r="H250" i="12" s="1"/>
  <c r="W249" i="12"/>
  <c r="A249" i="12"/>
  <c r="V249" i="12" s="1"/>
  <c r="F248" i="13"/>
  <c r="A248" i="13"/>
  <c r="F247" i="13"/>
  <c r="A247" i="13"/>
  <c r="F246" i="13"/>
  <c r="A246" i="13"/>
  <c r="F245" i="13"/>
  <c r="A245" i="13"/>
  <c r="F244" i="13"/>
  <c r="A244" i="13"/>
  <c r="F243" i="13"/>
  <c r="A243" i="13"/>
  <c r="F242" i="13"/>
  <c r="A242" i="13"/>
  <c r="F241" i="13"/>
  <c r="A241" i="13"/>
  <c r="F240" i="13"/>
  <c r="A240" i="13"/>
  <c r="F239" i="13"/>
  <c r="A239" i="13"/>
  <c r="F238" i="13"/>
  <c r="A238" i="13"/>
  <c r="F237" i="13"/>
  <c r="A237" i="13"/>
  <c r="F236" i="13"/>
  <c r="A236" i="13"/>
  <c r="F235" i="13"/>
  <c r="A235" i="13"/>
  <c r="F234" i="13"/>
  <c r="A234" i="13"/>
  <c r="F233" i="13"/>
  <c r="A233" i="13"/>
  <c r="F232" i="13"/>
  <c r="A232" i="13"/>
  <c r="F231" i="13"/>
  <c r="A231" i="13"/>
  <c r="F230" i="13"/>
  <c r="A230" i="13"/>
  <c r="F229" i="13"/>
  <c r="A229" i="13"/>
  <c r="F228" i="13"/>
  <c r="A228" i="13"/>
  <c r="F227" i="13"/>
  <c r="A227" i="13"/>
  <c r="F226" i="13"/>
  <c r="A226" i="13"/>
  <c r="F225" i="13"/>
  <c r="A225" i="13"/>
  <c r="F224" i="13"/>
  <c r="A224" i="13"/>
  <c r="F223" i="13"/>
  <c r="A223" i="13"/>
  <c r="F222" i="13"/>
  <c r="A222" i="13"/>
  <c r="F221" i="13"/>
  <c r="A221" i="13"/>
  <c r="F220" i="13"/>
  <c r="A220" i="13"/>
  <c r="F219" i="13"/>
  <c r="A219" i="13"/>
  <c r="F218" i="13"/>
  <c r="A218" i="13"/>
  <c r="F217" i="13"/>
  <c r="A217" i="13"/>
  <c r="F216" i="13"/>
  <c r="A216" i="13"/>
  <c r="F215" i="13"/>
  <c r="A215" i="13"/>
  <c r="F214" i="13"/>
  <c r="A214" i="13"/>
  <c r="F213" i="13"/>
  <c r="A213" i="13"/>
  <c r="F212" i="13"/>
  <c r="A212" i="13"/>
  <c r="F211" i="13"/>
  <c r="A211" i="13"/>
  <c r="F210" i="13"/>
  <c r="A210" i="13"/>
  <c r="F209" i="13"/>
  <c r="A209" i="13"/>
  <c r="F208" i="13"/>
  <c r="A208" i="13"/>
  <c r="F207" i="13"/>
  <c r="A207" i="13"/>
  <c r="F206" i="13"/>
  <c r="A206" i="13"/>
  <c r="F205" i="13"/>
  <c r="A205" i="13"/>
  <c r="F204" i="13"/>
  <c r="A204" i="13"/>
  <c r="F203" i="13"/>
  <c r="A203" i="13"/>
  <c r="F202" i="13"/>
  <c r="A202" i="13"/>
  <c r="F201" i="13"/>
  <c r="A201" i="13"/>
  <c r="F200" i="13"/>
  <c r="A200" i="13"/>
  <c r="F199" i="13"/>
  <c r="A199" i="13"/>
  <c r="F198" i="13"/>
  <c r="A198" i="13"/>
  <c r="F197" i="13"/>
  <c r="A197" i="13"/>
  <c r="F196" i="13"/>
  <c r="A196" i="13"/>
  <c r="F195" i="13"/>
  <c r="A195" i="13"/>
  <c r="F194" i="13"/>
  <c r="A194" i="13"/>
  <c r="F193" i="13"/>
  <c r="A193" i="13"/>
  <c r="F192" i="13"/>
  <c r="A192" i="13"/>
  <c r="F191" i="13"/>
  <c r="A191" i="13"/>
  <c r="F190" i="13"/>
  <c r="A190" i="13"/>
  <c r="F189" i="13"/>
  <c r="A189" i="13"/>
  <c r="F188" i="13"/>
  <c r="A188" i="13"/>
  <c r="F187" i="13"/>
  <c r="A187" i="13"/>
  <c r="F186" i="13"/>
  <c r="A186" i="13"/>
  <c r="F185" i="13"/>
  <c r="A185" i="13"/>
  <c r="F184" i="13"/>
  <c r="A184" i="13"/>
  <c r="F183" i="13"/>
  <c r="A183" i="13"/>
  <c r="F182" i="13"/>
  <c r="A182" i="13"/>
  <c r="F181" i="13"/>
  <c r="A181" i="13"/>
  <c r="F180" i="13"/>
  <c r="A180" i="13"/>
  <c r="F179" i="13"/>
  <c r="A179" i="13"/>
  <c r="W248" i="12"/>
  <c r="A248" i="12"/>
  <c r="V248" i="12" s="1"/>
  <c r="W247" i="12"/>
  <c r="A247" i="12"/>
  <c r="V247" i="12" s="1"/>
  <c r="W246" i="12"/>
  <c r="A246" i="12"/>
  <c r="I246" i="12" s="1"/>
  <c r="W245" i="12"/>
  <c r="A245" i="12"/>
  <c r="W244" i="12"/>
  <c r="A244" i="12"/>
  <c r="V244" i="12" s="1"/>
  <c r="W243" i="12"/>
  <c r="A243" i="12"/>
  <c r="W242" i="12"/>
  <c r="V242" i="12"/>
  <c r="A242" i="12"/>
  <c r="X241" i="12"/>
  <c r="D241" i="13" s="1"/>
  <c r="W241" i="12"/>
  <c r="A241" i="12"/>
  <c r="X240" i="12"/>
  <c r="W240" i="12"/>
  <c r="A240" i="12"/>
  <c r="W239" i="12"/>
  <c r="A239" i="12"/>
  <c r="W238" i="12"/>
  <c r="A238" i="12"/>
  <c r="V238" i="12" s="1"/>
  <c r="W237" i="12"/>
  <c r="A237" i="12"/>
  <c r="W236" i="12"/>
  <c r="A236" i="12"/>
  <c r="W235" i="12"/>
  <c r="A235" i="12"/>
  <c r="W234" i="12"/>
  <c r="A234" i="12"/>
  <c r="V234" i="12" s="1"/>
  <c r="W233" i="12"/>
  <c r="A233" i="12"/>
  <c r="W232" i="12"/>
  <c r="A232" i="12"/>
  <c r="W231" i="12"/>
  <c r="A231" i="12"/>
  <c r="W230" i="12"/>
  <c r="A230" i="12"/>
  <c r="W229" i="12"/>
  <c r="A229" i="12"/>
  <c r="W228" i="12"/>
  <c r="A228" i="12"/>
  <c r="W227" i="12"/>
  <c r="A227" i="12"/>
  <c r="W226" i="12"/>
  <c r="A226" i="12"/>
  <c r="W225" i="12"/>
  <c r="A225" i="12"/>
  <c r="H225" i="12" s="1"/>
  <c r="W224" i="12"/>
  <c r="A224" i="12"/>
  <c r="I224" i="12" s="1"/>
  <c r="W223" i="12"/>
  <c r="A223" i="12"/>
  <c r="I223" i="12" s="1"/>
  <c r="W222" i="12"/>
  <c r="A222" i="12"/>
  <c r="W221" i="12"/>
  <c r="A221" i="12"/>
  <c r="V221" i="12" s="1"/>
  <c r="W220" i="12"/>
  <c r="A220" i="12"/>
  <c r="I220" i="12" s="1"/>
  <c r="W219" i="12"/>
  <c r="A219" i="12"/>
  <c r="H219" i="12" s="1"/>
  <c r="W218" i="12"/>
  <c r="A218" i="12"/>
  <c r="H218" i="12" s="1"/>
  <c r="W217" i="12"/>
  <c r="A217" i="12"/>
  <c r="H217" i="12" s="1"/>
  <c r="W216" i="12"/>
  <c r="A216" i="12"/>
  <c r="H216" i="12" s="1"/>
  <c r="W215" i="12"/>
  <c r="A215" i="12"/>
  <c r="H215" i="12" s="1"/>
  <c r="W214" i="12"/>
  <c r="A214" i="12"/>
  <c r="W213" i="12"/>
  <c r="A213" i="12"/>
  <c r="H213" i="12" s="1"/>
  <c r="W212" i="12"/>
  <c r="A212" i="12"/>
  <c r="W211" i="12"/>
  <c r="A211" i="12"/>
  <c r="W210" i="12"/>
  <c r="A210" i="12"/>
  <c r="W209" i="12"/>
  <c r="A209" i="12"/>
  <c r="W208" i="12"/>
  <c r="A208" i="12"/>
  <c r="W207" i="12"/>
  <c r="A207" i="12"/>
  <c r="W206" i="12"/>
  <c r="A206" i="12"/>
  <c r="W205" i="12"/>
  <c r="A205" i="12"/>
  <c r="W204" i="12"/>
  <c r="A204" i="12"/>
  <c r="W203" i="12"/>
  <c r="A203" i="12"/>
  <c r="W202" i="12"/>
  <c r="A202" i="12"/>
  <c r="W201" i="12"/>
  <c r="A201" i="12"/>
  <c r="W200" i="12"/>
  <c r="A200" i="12"/>
  <c r="W199" i="12"/>
  <c r="A199" i="12"/>
  <c r="W198" i="12"/>
  <c r="A198" i="12"/>
  <c r="W197" i="12"/>
  <c r="A197" i="12"/>
  <c r="W196" i="12"/>
  <c r="A196" i="12"/>
  <c r="W195" i="12"/>
  <c r="A195" i="12"/>
  <c r="W194" i="12"/>
  <c r="A194" i="12"/>
  <c r="X193" i="12"/>
  <c r="D193" i="13" s="1"/>
  <c r="W193" i="12"/>
  <c r="A193" i="12"/>
  <c r="X192" i="12"/>
  <c r="W192" i="12"/>
  <c r="A192" i="12"/>
  <c r="W191" i="12"/>
  <c r="A191" i="12"/>
  <c r="W190" i="12"/>
  <c r="A190" i="12"/>
  <c r="W189" i="12"/>
  <c r="A189" i="12"/>
  <c r="V189" i="12" s="1"/>
  <c r="W188" i="12"/>
  <c r="A188" i="12"/>
  <c r="H188" i="12" s="1"/>
  <c r="W187" i="12"/>
  <c r="A187" i="12"/>
  <c r="V187" i="12" s="1"/>
  <c r="W186" i="12"/>
  <c r="A186" i="12"/>
  <c r="B186" i="12" s="1"/>
  <c r="W185" i="12"/>
  <c r="A185" i="12"/>
  <c r="H185" i="12" s="1"/>
  <c r="W184" i="12"/>
  <c r="A184" i="12"/>
  <c r="B184" i="12" s="1"/>
  <c r="W183" i="12"/>
  <c r="A183" i="12"/>
  <c r="H183" i="12" s="1"/>
  <c r="W182" i="12"/>
  <c r="A182" i="12"/>
  <c r="H182" i="12" s="1"/>
  <c r="W181" i="12"/>
  <c r="A181" i="12"/>
  <c r="H181" i="12" s="1"/>
  <c r="W180" i="12"/>
  <c r="A180" i="12"/>
  <c r="V180" i="12" s="1"/>
  <c r="X179" i="12"/>
  <c r="W179" i="12"/>
  <c r="A179" i="12"/>
  <c r="F178" i="13"/>
  <c r="A178" i="13"/>
  <c r="F177" i="13"/>
  <c r="A177" i="13"/>
  <c r="F176" i="13"/>
  <c r="A176" i="13"/>
  <c r="F175" i="13"/>
  <c r="A175" i="13"/>
  <c r="F174" i="13"/>
  <c r="A174" i="13"/>
  <c r="F173" i="13"/>
  <c r="A173" i="13"/>
  <c r="F172" i="13"/>
  <c r="A172" i="13"/>
  <c r="F171" i="13"/>
  <c r="A171" i="13"/>
  <c r="F170" i="13"/>
  <c r="A170" i="13"/>
  <c r="F169" i="13"/>
  <c r="A169" i="13"/>
  <c r="F168" i="13"/>
  <c r="A168" i="13"/>
  <c r="F167" i="13"/>
  <c r="A167" i="13"/>
  <c r="F166" i="13"/>
  <c r="A166" i="13"/>
  <c r="F165" i="13"/>
  <c r="A165" i="13"/>
  <c r="F164" i="13"/>
  <c r="A164" i="13"/>
  <c r="F163" i="13"/>
  <c r="A163" i="13"/>
  <c r="F162" i="13"/>
  <c r="A162" i="13"/>
  <c r="F161" i="13"/>
  <c r="A161" i="13"/>
  <c r="F160" i="13"/>
  <c r="A160" i="13"/>
  <c r="F159" i="13"/>
  <c r="A159" i="13"/>
  <c r="F158" i="13"/>
  <c r="A158" i="13"/>
  <c r="F157" i="13"/>
  <c r="A157" i="13"/>
  <c r="F156" i="13"/>
  <c r="A156" i="13"/>
  <c r="F155" i="13"/>
  <c r="A155" i="13"/>
  <c r="F154" i="13"/>
  <c r="A154" i="13"/>
  <c r="F153" i="13"/>
  <c r="A153" i="13"/>
  <c r="F152" i="13"/>
  <c r="A152" i="13"/>
  <c r="F151" i="13"/>
  <c r="A151" i="13"/>
  <c r="F150" i="13"/>
  <c r="A150" i="13"/>
  <c r="F149" i="13"/>
  <c r="A149" i="13"/>
  <c r="F148" i="13"/>
  <c r="A148" i="13"/>
  <c r="F147" i="13"/>
  <c r="A147" i="13"/>
  <c r="F146" i="13"/>
  <c r="A146" i="13"/>
  <c r="F145" i="13"/>
  <c r="A145" i="13"/>
  <c r="F144" i="13"/>
  <c r="A144" i="13"/>
  <c r="F143" i="13"/>
  <c r="A143" i="13"/>
  <c r="F142" i="13"/>
  <c r="A142" i="13"/>
  <c r="F141" i="13"/>
  <c r="A141" i="13"/>
  <c r="F140" i="13"/>
  <c r="A140" i="13"/>
  <c r="F139" i="13"/>
  <c r="A139" i="13"/>
  <c r="F138" i="13"/>
  <c r="A138" i="13"/>
  <c r="F137" i="13"/>
  <c r="A137" i="13"/>
  <c r="F136" i="13"/>
  <c r="A136" i="13"/>
  <c r="F135" i="13"/>
  <c r="A135" i="13"/>
  <c r="F134" i="13"/>
  <c r="A134" i="13"/>
  <c r="F133" i="13"/>
  <c r="A133" i="13"/>
  <c r="F132" i="13"/>
  <c r="A132" i="13"/>
  <c r="F131" i="13"/>
  <c r="A131" i="13"/>
  <c r="F130" i="13"/>
  <c r="A130" i="13"/>
  <c r="F129" i="13"/>
  <c r="A129" i="13"/>
  <c r="W178" i="12"/>
  <c r="A178" i="12"/>
  <c r="H178" i="12" s="1"/>
  <c r="W177" i="12"/>
  <c r="A177" i="12"/>
  <c r="V177" i="12" s="1"/>
  <c r="W176" i="12"/>
  <c r="V176" i="12"/>
  <c r="A176" i="12"/>
  <c r="H176" i="12" s="1"/>
  <c r="W175" i="12"/>
  <c r="A175" i="12"/>
  <c r="V175" i="12" s="1"/>
  <c r="W174" i="12"/>
  <c r="A174" i="12"/>
  <c r="H174" i="12" s="1"/>
  <c r="W173" i="12"/>
  <c r="A173" i="12"/>
  <c r="V173" i="12" s="1"/>
  <c r="W172" i="12"/>
  <c r="A172" i="12"/>
  <c r="H172" i="12" s="1"/>
  <c r="W171" i="12"/>
  <c r="A171" i="12"/>
  <c r="V171" i="12" s="1"/>
  <c r="W170" i="12"/>
  <c r="A170" i="12"/>
  <c r="H170" i="12" s="1"/>
  <c r="W169" i="12"/>
  <c r="H169" i="12"/>
  <c r="A169" i="12"/>
  <c r="V169" i="12" s="1"/>
  <c r="W168" i="12"/>
  <c r="A168" i="12"/>
  <c r="H168" i="12" s="1"/>
  <c r="W167" i="12"/>
  <c r="A167" i="12"/>
  <c r="W166" i="12"/>
  <c r="A166" i="12"/>
  <c r="I166" i="12" s="1"/>
  <c r="W165" i="12"/>
  <c r="A165" i="12"/>
  <c r="W164" i="12"/>
  <c r="A164" i="12"/>
  <c r="X163" i="12"/>
  <c r="D163" i="13" s="1"/>
  <c r="W163" i="12"/>
  <c r="A163" i="12"/>
  <c r="X162" i="12"/>
  <c r="D162" i="13" s="1"/>
  <c r="W162" i="12"/>
  <c r="A162" i="12"/>
  <c r="W161" i="12"/>
  <c r="A161" i="12"/>
  <c r="W160" i="12"/>
  <c r="A160" i="12"/>
  <c r="W159" i="12"/>
  <c r="A159" i="12"/>
  <c r="I159" i="12" s="1"/>
  <c r="W158" i="12"/>
  <c r="B158" i="12"/>
  <c r="A158" i="12"/>
  <c r="I158" i="12" s="1"/>
  <c r="W157" i="12"/>
  <c r="A157" i="12"/>
  <c r="W156" i="12"/>
  <c r="A156" i="12"/>
  <c r="V156" i="12" s="1"/>
  <c r="W155" i="12"/>
  <c r="V155" i="12"/>
  <c r="A155" i="12"/>
  <c r="H155" i="12" s="1"/>
  <c r="W154" i="12"/>
  <c r="A154" i="12"/>
  <c r="H154" i="12" s="1"/>
  <c r="W153" i="12"/>
  <c r="V153" i="12"/>
  <c r="A153" i="12"/>
  <c r="H153" i="12" s="1"/>
  <c r="W152" i="12"/>
  <c r="A152" i="12"/>
  <c r="H152" i="12" s="1"/>
  <c r="X151" i="12"/>
  <c r="W151" i="12"/>
  <c r="A151" i="12"/>
  <c r="V151" i="12" s="1"/>
  <c r="W150" i="12"/>
  <c r="B150" i="12"/>
  <c r="A150" i="12"/>
  <c r="H150" i="12" s="1"/>
  <c r="W149" i="12"/>
  <c r="A149" i="12"/>
  <c r="H149" i="12" s="1"/>
  <c r="W148" i="12"/>
  <c r="B148" i="12"/>
  <c r="A148" i="12"/>
  <c r="H148" i="12" s="1"/>
  <c r="X147" i="12"/>
  <c r="W147" i="12"/>
  <c r="V147" i="12"/>
  <c r="A147" i="12"/>
  <c r="W146" i="12"/>
  <c r="A146" i="12"/>
  <c r="H146" i="12" s="1"/>
  <c r="W145" i="12"/>
  <c r="V145" i="12"/>
  <c r="A145" i="12"/>
  <c r="B145" i="12" s="1"/>
  <c r="W144" i="12"/>
  <c r="A144" i="12"/>
  <c r="H144" i="12" s="1"/>
  <c r="X143" i="12"/>
  <c r="W143" i="12"/>
  <c r="A143" i="12"/>
  <c r="W142" i="12"/>
  <c r="A142" i="12"/>
  <c r="V142" i="12" s="1"/>
  <c r="W141" i="12"/>
  <c r="V141" i="12"/>
  <c r="A141" i="12"/>
  <c r="B141" i="12" s="1"/>
  <c r="W140" i="12"/>
  <c r="A140" i="12"/>
  <c r="V140" i="12" s="1"/>
  <c r="W139" i="12"/>
  <c r="V139" i="12"/>
  <c r="A139" i="12"/>
  <c r="B139" i="12" s="1"/>
  <c r="X138" i="12"/>
  <c r="W138" i="12"/>
  <c r="V138" i="12"/>
  <c r="A138" i="12"/>
  <c r="W137" i="12"/>
  <c r="A137" i="12"/>
  <c r="B137" i="12" s="1"/>
  <c r="W136" i="12"/>
  <c r="V136" i="12"/>
  <c r="B136" i="12"/>
  <c r="A136" i="12"/>
  <c r="H136" i="12" s="1"/>
  <c r="X135" i="12"/>
  <c r="W135" i="12"/>
  <c r="V135" i="12"/>
  <c r="A135" i="12"/>
  <c r="W134" i="12"/>
  <c r="A134" i="12"/>
  <c r="V134" i="12" s="1"/>
  <c r="X133" i="12"/>
  <c r="D133" i="13" s="1"/>
  <c r="W133" i="12"/>
  <c r="A133" i="12"/>
  <c r="V133" i="12" s="1"/>
  <c r="W132" i="12"/>
  <c r="V132" i="12"/>
  <c r="H132" i="12"/>
  <c r="B132" i="12"/>
  <c r="A132" i="12"/>
  <c r="X131" i="12"/>
  <c r="W131" i="12"/>
  <c r="V131" i="12"/>
  <c r="A131" i="12"/>
  <c r="W130" i="12"/>
  <c r="H130" i="12"/>
  <c r="A130" i="12"/>
  <c r="B130" i="12" s="1"/>
  <c r="X129" i="12"/>
  <c r="D129" i="13" s="1"/>
  <c r="W129" i="12"/>
  <c r="A129" i="12"/>
  <c r="V129" i="12" s="1"/>
  <c r="F128" i="13"/>
  <c r="A128" i="13"/>
  <c r="F127" i="13"/>
  <c r="A127" i="13"/>
  <c r="F126" i="13"/>
  <c r="A126" i="13"/>
  <c r="F125" i="13"/>
  <c r="A125" i="13"/>
  <c r="F124" i="13"/>
  <c r="A124" i="13"/>
  <c r="F123" i="13"/>
  <c r="A123" i="13"/>
  <c r="F122" i="13"/>
  <c r="A122" i="13"/>
  <c r="F121" i="13"/>
  <c r="A121" i="13"/>
  <c r="F120" i="13"/>
  <c r="A120" i="13"/>
  <c r="F119" i="13"/>
  <c r="A119" i="13"/>
  <c r="F118" i="13"/>
  <c r="A118" i="13"/>
  <c r="F117" i="13"/>
  <c r="A117" i="13"/>
  <c r="F116" i="13"/>
  <c r="A116" i="13"/>
  <c r="F115" i="13"/>
  <c r="A115" i="13"/>
  <c r="F114" i="13"/>
  <c r="A114" i="13"/>
  <c r="F113" i="13"/>
  <c r="A113" i="13"/>
  <c r="F112" i="13"/>
  <c r="A112" i="13"/>
  <c r="F111" i="13"/>
  <c r="A111" i="13"/>
  <c r="F110" i="13"/>
  <c r="A110" i="13"/>
  <c r="F109" i="13"/>
  <c r="A109" i="13"/>
  <c r="W128" i="12"/>
  <c r="A128" i="12"/>
  <c r="V128" i="12" s="1"/>
  <c r="X127" i="12"/>
  <c r="W127" i="12"/>
  <c r="A127" i="12"/>
  <c r="V127" i="12" s="1"/>
  <c r="W126" i="12"/>
  <c r="A126" i="12"/>
  <c r="V126" i="12" s="1"/>
  <c r="X125" i="12"/>
  <c r="W125" i="12"/>
  <c r="A125" i="12"/>
  <c r="W124" i="12"/>
  <c r="A124" i="12"/>
  <c r="V124" i="12" s="1"/>
  <c r="W123" i="12"/>
  <c r="A123" i="12"/>
  <c r="W122" i="12"/>
  <c r="A122" i="12"/>
  <c r="W121" i="12"/>
  <c r="A121" i="12"/>
  <c r="W120" i="12"/>
  <c r="A120" i="12"/>
  <c r="W119" i="12"/>
  <c r="A119" i="12"/>
  <c r="X118" i="12"/>
  <c r="W118" i="12"/>
  <c r="A118" i="12"/>
  <c r="X117" i="12"/>
  <c r="D117" i="13" s="1"/>
  <c r="W117" i="12"/>
  <c r="A117" i="12"/>
  <c r="W116" i="12"/>
  <c r="A116" i="12"/>
  <c r="W115" i="12"/>
  <c r="A115" i="12"/>
  <c r="W114" i="12"/>
  <c r="A114" i="12"/>
  <c r="W113" i="12"/>
  <c r="A113" i="12"/>
  <c r="W112" i="12"/>
  <c r="A112" i="12"/>
  <c r="H112" i="12" s="1"/>
  <c r="W111" i="12"/>
  <c r="A111" i="12"/>
  <c r="V111" i="12" s="1"/>
  <c r="W110" i="12"/>
  <c r="A110" i="12"/>
  <c r="H110" i="12" s="1"/>
  <c r="W109" i="12"/>
  <c r="A109" i="12"/>
  <c r="V109" i="12" s="1"/>
  <c r="V183" i="12" l="1"/>
  <c r="H267" i="12"/>
  <c r="B316" i="12"/>
  <c r="V394" i="12"/>
  <c r="H180" i="12"/>
  <c r="H189" i="12"/>
  <c r="H221" i="12"/>
  <c r="I316" i="12"/>
  <c r="H393" i="12"/>
  <c r="B417" i="12"/>
  <c r="B420" i="12"/>
  <c r="V172" i="12"/>
  <c r="H255" i="12"/>
  <c r="H287" i="12"/>
  <c r="B320" i="12"/>
  <c r="B408" i="12"/>
  <c r="V168" i="12"/>
  <c r="B171" i="12"/>
  <c r="B183" i="12"/>
  <c r="H285" i="12"/>
  <c r="H293" i="12"/>
  <c r="V314" i="12"/>
  <c r="V318" i="12"/>
  <c r="V322" i="12"/>
  <c r="H384" i="12"/>
  <c r="V387" i="12"/>
  <c r="B394" i="12"/>
  <c r="V400" i="12"/>
  <c r="V408" i="12"/>
  <c r="B421" i="12"/>
  <c r="B175" i="12"/>
  <c r="B181" i="12"/>
  <c r="V185" i="12"/>
  <c r="B215" i="12"/>
  <c r="H223" i="12"/>
  <c r="H259" i="12"/>
  <c r="V275" i="12"/>
  <c r="B278" i="12"/>
  <c r="B281" i="12"/>
  <c r="H289" i="12"/>
  <c r="H297" i="12"/>
  <c r="H303" i="12"/>
  <c r="B314" i="12"/>
  <c r="B322" i="12"/>
  <c r="H331" i="12"/>
  <c r="H344" i="12"/>
  <c r="V353" i="12"/>
  <c r="B361" i="12"/>
  <c r="H366" i="12"/>
  <c r="H370" i="12"/>
  <c r="H373" i="12"/>
  <c r="B386" i="12"/>
  <c r="B387" i="12"/>
  <c r="B391" i="12"/>
  <c r="V392" i="12"/>
  <c r="V404" i="12"/>
  <c r="V412" i="12"/>
  <c r="V181" i="12"/>
  <c r="V223" i="12"/>
  <c r="B277" i="12"/>
  <c r="V278" i="12"/>
  <c r="V283" i="12"/>
  <c r="H291" i="12"/>
  <c r="V300" i="12"/>
  <c r="B318" i="12"/>
  <c r="B357" i="12"/>
  <c r="B372" i="12"/>
  <c r="H375" i="12"/>
  <c r="V386" i="12"/>
  <c r="B390" i="12"/>
  <c r="V391" i="12"/>
  <c r="B400" i="12"/>
  <c r="H177" i="12"/>
  <c r="H187" i="12"/>
  <c r="V224" i="12"/>
  <c r="I225" i="12"/>
  <c r="H276" i="12"/>
  <c r="H280" i="12"/>
  <c r="H282" i="12"/>
  <c r="I347" i="12"/>
  <c r="H365" i="12"/>
  <c r="H376" i="12"/>
  <c r="H380" i="12"/>
  <c r="V388" i="12"/>
  <c r="H389" i="12"/>
  <c r="V396" i="12"/>
  <c r="H416" i="12"/>
  <c r="B109" i="12"/>
  <c r="V130" i="12"/>
  <c r="B134" i="12"/>
  <c r="B140" i="12"/>
  <c r="B142" i="12"/>
  <c r="V149" i="12"/>
  <c r="B154" i="12"/>
  <c r="B173" i="12"/>
  <c r="V174" i="12"/>
  <c r="H175" i="12"/>
  <c r="B180" i="12"/>
  <c r="B185" i="12"/>
  <c r="B189" i="12"/>
  <c r="B213" i="12"/>
  <c r="I221" i="12"/>
  <c r="V225" i="12"/>
  <c r="H253" i="12"/>
  <c r="H261" i="12"/>
  <c r="H269" i="12"/>
  <c r="V276" i="12"/>
  <c r="V277" i="12"/>
  <c r="V280" i="12"/>
  <c r="V282" i="12"/>
  <c r="H286" i="12"/>
  <c r="H290" i="12"/>
  <c r="H294" i="12"/>
  <c r="H298" i="12"/>
  <c r="I319" i="12"/>
  <c r="I320" i="12"/>
  <c r="I333" i="12"/>
  <c r="B353" i="12"/>
  <c r="V361" i="12"/>
  <c r="V365" i="12"/>
  <c r="B374" i="12"/>
  <c r="V389" i="12"/>
  <c r="V390" i="12"/>
  <c r="B392" i="12"/>
  <c r="B393" i="12"/>
  <c r="B401" i="12"/>
  <c r="B404" i="12"/>
  <c r="B405" i="12"/>
  <c r="B409" i="12"/>
  <c r="B412" i="12"/>
  <c r="V416" i="12"/>
  <c r="V420" i="12"/>
  <c r="V110" i="12"/>
  <c r="H134" i="12"/>
  <c r="H140" i="12"/>
  <c r="H142" i="12"/>
  <c r="H173" i="12"/>
  <c r="B111" i="12"/>
  <c r="H109" i="12"/>
  <c r="H111" i="12"/>
  <c r="V112" i="12"/>
  <c r="V137" i="12"/>
  <c r="H145" i="12"/>
  <c r="B146" i="12"/>
  <c r="B152" i="12"/>
  <c r="B156" i="12"/>
  <c r="B169" i="12"/>
  <c r="V170" i="12"/>
  <c r="H171" i="12"/>
  <c r="B177" i="12"/>
  <c r="V178" i="12"/>
  <c r="B182" i="12"/>
  <c r="B187" i="12"/>
  <c r="H224" i="12"/>
  <c r="H249" i="12"/>
  <c r="H257" i="12"/>
  <c r="H265" i="12"/>
  <c r="H273" i="12"/>
  <c r="H284" i="12"/>
  <c r="H288" i="12"/>
  <c r="H292" i="12"/>
  <c r="H296" i="12"/>
  <c r="H301" i="12"/>
  <c r="I315" i="12"/>
  <c r="I323" i="12"/>
  <c r="I343" i="12"/>
  <c r="I344" i="12"/>
  <c r="H347" i="12"/>
  <c r="H371" i="12"/>
  <c r="V372" i="12"/>
  <c r="B376" i="12"/>
  <c r="H377" i="12"/>
  <c r="B380" i="12"/>
  <c r="B383" i="12"/>
  <c r="B385" i="12"/>
  <c r="B388" i="12"/>
  <c r="B396" i="12"/>
  <c r="E249" i="13"/>
  <c r="E251" i="13"/>
  <c r="E253" i="13"/>
  <c r="E265" i="13"/>
  <c r="E267" i="13"/>
  <c r="E269" i="13"/>
  <c r="E271" i="13"/>
  <c r="E273" i="13"/>
  <c r="E277" i="13"/>
  <c r="E281" i="13"/>
  <c r="E285" i="13"/>
  <c r="E287" i="13"/>
  <c r="E289" i="13"/>
  <c r="E372" i="13"/>
  <c r="E376" i="13"/>
  <c r="E380" i="13"/>
  <c r="E291" i="13"/>
  <c r="E293" i="13"/>
  <c r="E295" i="13"/>
  <c r="E297" i="13"/>
  <c r="E301" i="13"/>
  <c r="E303" i="13"/>
  <c r="E305" i="13"/>
  <c r="E307" i="13"/>
  <c r="E309" i="13"/>
  <c r="E311" i="13"/>
  <c r="E252" i="13"/>
  <c r="E256" i="13"/>
  <c r="E260" i="13"/>
  <c r="E402" i="13"/>
  <c r="E313" i="13"/>
  <c r="E315" i="13"/>
  <c r="E373" i="13"/>
  <c r="E375" i="13"/>
  <c r="E389" i="13"/>
  <c r="E391" i="13"/>
  <c r="E388" i="13"/>
  <c r="E404" i="13"/>
  <c r="E406" i="13"/>
  <c r="E403" i="13"/>
  <c r="D368" i="13"/>
  <c r="E364" i="13"/>
  <c r="E416" i="13"/>
  <c r="E392" i="13"/>
  <c r="E398" i="13"/>
  <c r="E415" i="13"/>
  <c r="E381" i="13"/>
  <c r="E383" i="13"/>
  <c r="E400" i="13"/>
  <c r="E407" i="13"/>
  <c r="D378" i="13"/>
  <c r="E365" i="13"/>
  <c r="E367" i="13"/>
  <c r="E384" i="13"/>
  <c r="E399" i="13"/>
  <c r="E408" i="13"/>
  <c r="E410" i="13"/>
  <c r="E412" i="13"/>
  <c r="B110" i="12"/>
  <c r="B112" i="12"/>
  <c r="H137" i="12"/>
  <c r="H139" i="12"/>
  <c r="H141" i="12"/>
  <c r="V144" i="12"/>
  <c r="V146" i="12"/>
  <c r="C147" i="13"/>
  <c r="V148" i="12"/>
  <c r="B149" i="12"/>
  <c r="V150" i="12"/>
  <c r="V152" i="12"/>
  <c r="B153" i="12"/>
  <c r="V154" i="12"/>
  <c r="B155" i="12"/>
  <c r="B166" i="12"/>
  <c r="B168" i="12"/>
  <c r="B170" i="12"/>
  <c r="B172" i="12"/>
  <c r="B174" i="12"/>
  <c r="B176" i="12"/>
  <c r="B178" i="12"/>
  <c r="C179" i="13"/>
  <c r="H184" i="12"/>
  <c r="H186" i="12"/>
  <c r="B188" i="12"/>
  <c r="V216" i="12"/>
  <c r="B216" i="12"/>
  <c r="B217" i="12"/>
  <c r="V217" i="12"/>
  <c r="V218" i="12"/>
  <c r="B218" i="12"/>
  <c r="B219" i="12"/>
  <c r="V219" i="12"/>
  <c r="V220" i="12"/>
  <c r="H220" i="12"/>
  <c r="I222" i="12"/>
  <c r="V222" i="12"/>
  <c r="H222" i="12"/>
  <c r="C143" i="13"/>
  <c r="V179" i="12"/>
  <c r="V182" i="12"/>
  <c r="V188" i="12"/>
  <c r="V214" i="12"/>
  <c r="B214" i="12"/>
  <c r="V232" i="12"/>
  <c r="H124" i="12"/>
  <c r="H128" i="12"/>
  <c r="V143" i="12"/>
  <c r="B144" i="12"/>
  <c r="V184" i="12"/>
  <c r="V186" i="12"/>
  <c r="V190" i="12"/>
  <c r="B190" i="12"/>
  <c r="B191" i="12"/>
  <c r="V191" i="12"/>
  <c r="V193" i="12"/>
  <c r="V194" i="12"/>
  <c r="B194" i="12"/>
  <c r="B195" i="12"/>
  <c r="V195" i="12"/>
  <c r="V196" i="12"/>
  <c r="B196" i="12"/>
  <c r="B197" i="12"/>
  <c r="V197" i="12"/>
  <c r="V198" i="12"/>
  <c r="B198" i="12"/>
  <c r="B199" i="12"/>
  <c r="V199" i="12"/>
  <c r="V200" i="12"/>
  <c r="B200" i="12"/>
  <c r="B201" i="12"/>
  <c r="V201" i="12"/>
  <c r="V202" i="12"/>
  <c r="B202" i="12"/>
  <c r="B203" i="12"/>
  <c r="V203" i="12"/>
  <c r="V204" i="12"/>
  <c r="B204" i="12"/>
  <c r="B205" i="12"/>
  <c r="V205" i="12"/>
  <c r="V206" i="12"/>
  <c r="B206" i="12"/>
  <c r="B207" i="12"/>
  <c r="V207" i="12"/>
  <c r="V208" i="12"/>
  <c r="B208" i="12"/>
  <c r="B209" i="12"/>
  <c r="V209" i="12"/>
  <c r="V210" i="12"/>
  <c r="B210" i="12"/>
  <c r="B211" i="12"/>
  <c r="V211" i="12"/>
  <c r="V212" i="12"/>
  <c r="B212" i="12"/>
  <c r="H214" i="12"/>
  <c r="V231" i="12"/>
  <c r="H156" i="12"/>
  <c r="H190" i="12"/>
  <c r="H191" i="12"/>
  <c r="H194" i="12"/>
  <c r="H195" i="12"/>
  <c r="H196" i="12"/>
  <c r="H197" i="12"/>
  <c r="H198" i="12"/>
  <c r="H199" i="12"/>
  <c r="H200" i="12"/>
  <c r="H201" i="12"/>
  <c r="H202" i="12"/>
  <c r="H203" i="12"/>
  <c r="H204" i="12"/>
  <c r="H205" i="12"/>
  <c r="H206" i="12"/>
  <c r="H207" i="12"/>
  <c r="H208" i="12"/>
  <c r="H209" i="12"/>
  <c r="H210" i="12"/>
  <c r="H211" i="12"/>
  <c r="H212" i="12"/>
  <c r="V213" i="12"/>
  <c r="V215" i="12"/>
  <c r="D240" i="13"/>
  <c r="B247" i="12"/>
  <c r="B248" i="12"/>
  <c r="B249" i="12"/>
  <c r="V250" i="12"/>
  <c r="B251" i="12"/>
  <c r="V252" i="12"/>
  <c r="B253" i="12"/>
  <c r="V254" i="12"/>
  <c r="B255" i="12"/>
  <c r="V256" i="12"/>
  <c r="B257" i="12"/>
  <c r="V258" i="12"/>
  <c r="B259" i="12"/>
  <c r="V260" i="12"/>
  <c r="B261" i="12"/>
  <c r="V262" i="12"/>
  <c r="V264" i="12"/>
  <c r="B265" i="12"/>
  <c r="V266" i="12"/>
  <c r="B267" i="12"/>
  <c r="V268" i="12"/>
  <c r="B269" i="12"/>
  <c r="V270" i="12"/>
  <c r="B271" i="12"/>
  <c r="V272" i="12"/>
  <c r="B273" i="12"/>
  <c r="V274" i="12"/>
  <c r="B275" i="12"/>
  <c r="B283" i="12"/>
  <c r="V236" i="12"/>
  <c r="V302" i="12"/>
  <c r="H302" i="12"/>
  <c r="B250" i="12"/>
  <c r="B252" i="12"/>
  <c r="B254" i="12"/>
  <c r="B256" i="12"/>
  <c r="B258" i="12"/>
  <c r="B260" i="12"/>
  <c r="B262" i="12"/>
  <c r="B264" i="12"/>
  <c r="B266" i="12"/>
  <c r="B268" i="12"/>
  <c r="B270" i="12"/>
  <c r="B272" i="12"/>
  <c r="B274" i="12"/>
  <c r="B279" i="12"/>
  <c r="V281" i="12"/>
  <c r="V279" i="12"/>
  <c r="V316" i="12"/>
  <c r="V320" i="12"/>
  <c r="B326" i="12"/>
  <c r="V330" i="12"/>
  <c r="B331" i="12"/>
  <c r="V332" i="12"/>
  <c r="H342" i="12"/>
  <c r="V342" i="12"/>
  <c r="H343" i="12"/>
  <c r="V354" i="12"/>
  <c r="B355" i="12"/>
  <c r="V355" i="12"/>
  <c r="B356" i="12"/>
  <c r="V356" i="12"/>
  <c r="V362" i="12"/>
  <c r="B363" i="12"/>
  <c r="V363" i="12"/>
  <c r="B364" i="12"/>
  <c r="V364" i="12"/>
  <c r="B366" i="12"/>
  <c r="C368" i="13"/>
  <c r="H374" i="12"/>
  <c r="B379" i="12"/>
  <c r="V381" i="12"/>
  <c r="H382" i="12"/>
  <c r="B406" i="12"/>
  <c r="V406" i="12"/>
  <c r="B407" i="12"/>
  <c r="V407" i="12"/>
  <c r="V414" i="12"/>
  <c r="V345" i="12"/>
  <c r="H355" i="12"/>
  <c r="H363" i="12"/>
  <c r="V377" i="12"/>
  <c r="B398" i="12"/>
  <c r="V398" i="12"/>
  <c r="B399" i="12"/>
  <c r="V402" i="12"/>
  <c r="B402" i="12"/>
  <c r="B403" i="12"/>
  <c r="H406" i="12"/>
  <c r="H407" i="12"/>
  <c r="V284" i="12"/>
  <c r="V285" i="12"/>
  <c r="V286" i="12"/>
  <c r="V287" i="12"/>
  <c r="V288" i="12"/>
  <c r="V289" i="12"/>
  <c r="V290" i="12"/>
  <c r="V291" i="12"/>
  <c r="V292" i="12"/>
  <c r="V293" i="12"/>
  <c r="V294" i="12"/>
  <c r="V295" i="12"/>
  <c r="V296" i="12"/>
  <c r="V297" i="12"/>
  <c r="V298" i="12"/>
  <c r="B330" i="12"/>
  <c r="B332" i="12"/>
  <c r="H345" i="12"/>
  <c r="I346" i="12"/>
  <c r="H348" i="12"/>
  <c r="V348" i="12"/>
  <c r="B351" i="12"/>
  <c r="V351" i="12"/>
  <c r="B352" i="12"/>
  <c r="V352" i="12"/>
  <c r="B354" i="12"/>
  <c r="B359" i="12"/>
  <c r="V359" i="12"/>
  <c r="B360" i="12"/>
  <c r="V360" i="12"/>
  <c r="B362" i="12"/>
  <c r="B367" i="12"/>
  <c r="V367" i="12"/>
  <c r="B370" i="12"/>
  <c r="B371" i="12"/>
  <c r="B373" i="12"/>
  <c r="B375" i="12"/>
  <c r="H381" i="12"/>
  <c r="H398" i="12"/>
  <c r="H399" i="12"/>
  <c r="H402" i="12"/>
  <c r="H403" i="12"/>
  <c r="B419" i="12"/>
  <c r="H419" i="12"/>
  <c r="V379" i="12"/>
  <c r="H379" i="12"/>
  <c r="B382" i="12"/>
  <c r="B411" i="12"/>
  <c r="H411" i="12"/>
  <c r="V419" i="12"/>
  <c r="V415" i="12"/>
  <c r="E349" i="13"/>
  <c r="E351" i="13"/>
  <c r="E353" i="13"/>
  <c r="E355" i="13"/>
  <c r="E357" i="13"/>
  <c r="E359" i="13"/>
  <c r="E361" i="13"/>
  <c r="E363" i="13"/>
  <c r="E377" i="13"/>
  <c r="E379" i="13"/>
  <c r="E393" i="13"/>
  <c r="E395" i="13"/>
  <c r="V385" i="12"/>
  <c r="V401" i="12"/>
  <c r="H405" i="12"/>
  <c r="V409" i="12"/>
  <c r="B410" i="12"/>
  <c r="B415" i="12"/>
  <c r="V417" i="12"/>
  <c r="H421" i="12"/>
  <c r="E350" i="13"/>
  <c r="E352" i="13"/>
  <c r="E354" i="13"/>
  <c r="E356" i="13"/>
  <c r="E360" i="13"/>
  <c r="E362" i="13"/>
  <c r="E371" i="13"/>
  <c r="E385" i="13"/>
  <c r="E387" i="13"/>
  <c r="H383" i="12"/>
  <c r="E411" i="13"/>
  <c r="E419" i="13"/>
  <c r="E421" i="13"/>
  <c r="E250" i="13"/>
  <c r="H349" i="12"/>
  <c r="V349" i="12"/>
  <c r="H350" i="12"/>
  <c r="V350" i="12"/>
  <c r="E317" i="13"/>
  <c r="E319" i="13"/>
  <c r="E321" i="13"/>
  <c r="E323" i="13"/>
  <c r="E325" i="13"/>
  <c r="E327" i="13"/>
  <c r="E329" i="13"/>
  <c r="E331" i="13"/>
  <c r="E333" i="13"/>
  <c r="E335" i="13"/>
  <c r="I349" i="12"/>
  <c r="I350" i="12"/>
  <c r="C192" i="13"/>
  <c r="I351" i="12"/>
  <c r="I352" i="12"/>
  <c r="I353" i="12"/>
  <c r="I354" i="12"/>
  <c r="I355" i="12"/>
  <c r="I356" i="12"/>
  <c r="I357" i="12"/>
  <c r="I359" i="12"/>
  <c r="I360" i="12"/>
  <c r="I361" i="12"/>
  <c r="I362" i="12"/>
  <c r="I363" i="12"/>
  <c r="I364" i="12"/>
  <c r="I365" i="12"/>
  <c r="I366" i="12"/>
  <c r="I367" i="12"/>
  <c r="I370" i="12"/>
  <c r="I371" i="12"/>
  <c r="I372" i="12"/>
  <c r="I373" i="12"/>
  <c r="I374" i="12"/>
  <c r="I375" i="12"/>
  <c r="I376" i="12"/>
  <c r="I377" i="12"/>
  <c r="I379" i="12"/>
  <c r="I380" i="12"/>
  <c r="I381" i="12"/>
  <c r="I382" i="12"/>
  <c r="I383" i="12"/>
  <c r="I384" i="12"/>
  <c r="I385" i="12"/>
  <c r="I386" i="12"/>
  <c r="I387" i="12"/>
  <c r="I388" i="12"/>
  <c r="I389" i="12"/>
  <c r="I390" i="12"/>
  <c r="I391" i="12"/>
  <c r="I392" i="12"/>
  <c r="I393" i="12"/>
  <c r="I394" i="12"/>
  <c r="I395" i="12"/>
  <c r="I396" i="12"/>
  <c r="I398" i="12"/>
  <c r="I399" i="12"/>
  <c r="I400" i="12"/>
  <c r="I401" i="12"/>
  <c r="I402" i="12"/>
  <c r="I403" i="12"/>
  <c r="I404" i="12"/>
  <c r="I405" i="12"/>
  <c r="I406" i="12"/>
  <c r="I407" i="12"/>
  <c r="I408" i="12"/>
  <c r="I409" i="12"/>
  <c r="I410" i="12"/>
  <c r="I411" i="12"/>
  <c r="I412" i="12"/>
  <c r="I415" i="12"/>
  <c r="I416" i="12"/>
  <c r="I417" i="12"/>
  <c r="I419" i="12"/>
  <c r="I420" i="12"/>
  <c r="I421" i="12"/>
  <c r="E370" i="13"/>
  <c r="E378" i="13"/>
  <c r="E386" i="13"/>
  <c r="E394" i="13"/>
  <c r="E366" i="13"/>
  <c r="E374" i="13"/>
  <c r="E382" i="13"/>
  <c r="E390" i="13"/>
  <c r="E396" i="13"/>
  <c r="E401" i="13"/>
  <c r="E405" i="13"/>
  <c r="E409" i="13"/>
  <c r="E413" i="13"/>
  <c r="E417" i="13"/>
  <c r="E420" i="13"/>
  <c r="E337" i="13"/>
  <c r="E339" i="13"/>
  <c r="E341" i="13"/>
  <c r="E343" i="13"/>
  <c r="E345" i="13"/>
  <c r="E347" i="13"/>
  <c r="D143" i="13"/>
  <c r="E129" i="13"/>
  <c r="E131" i="13"/>
  <c r="E133" i="13"/>
  <c r="E135" i="13"/>
  <c r="E137" i="13"/>
  <c r="E139" i="13"/>
  <c r="E141" i="13"/>
  <c r="D299" i="13"/>
  <c r="D325" i="13"/>
  <c r="B339" i="12"/>
  <c r="I339" i="12"/>
  <c r="H339" i="12"/>
  <c r="V339" i="12"/>
  <c r="V325" i="12"/>
  <c r="C193" i="13"/>
  <c r="B335" i="12"/>
  <c r="I335" i="12"/>
  <c r="H335" i="12"/>
  <c r="V335" i="12"/>
  <c r="D263" i="13"/>
  <c r="E179" i="13"/>
  <c r="E181" i="13"/>
  <c r="V306" i="12"/>
  <c r="H306" i="12"/>
  <c r="B306" i="12"/>
  <c r="V307" i="12"/>
  <c r="H307" i="12"/>
  <c r="B307" i="12"/>
  <c r="V308" i="12"/>
  <c r="H308" i="12"/>
  <c r="B308" i="12"/>
  <c r="V309" i="12"/>
  <c r="H309" i="12"/>
  <c r="B309" i="12"/>
  <c r="V310" i="12"/>
  <c r="H310" i="12"/>
  <c r="B310" i="12"/>
  <c r="V311" i="12"/>
  <c r="H311" i="12"/>
  <c r="B311" i="12"/>
  <c r="V312" i="12"/>
  <c r="H312" i="12"/>
  <c r="B312" i="12"/>
  <c r="V313" i="12"/>
  <c r="I313" i="12"/>
  <c r="H313" i="12"/>
  <c r="B313" i="12"/>
  <c r="V317" i="12"/>
  <c r="I317" i="12"/>
  <c r="H317" i="12"/>
  <c r="B317" i="12"/>
  <c r="I329" i="12"/>
  <c r="V329" i="12"/>
  <c r="H329" i="12"/>
  <c r="B329" i="12"/>
  <c r="E183" i="13"/>
  <c r="E185" i="13"/>
  <c r="E187" i="13"/>
  <c r="E189" i="13"/>
  <c r="E191" i="13"/>
  <c r="E193" i="13"/>
  <c r="E195" i="13"/>
  <c r="E197" i="13"/>
  <c r="E199" i="13"/>
  <c r="E201" i="13"/>
  <c r="E203" i="13"/>
  <c r="E205" i="13"/>
  <c r="E207" i="13"/>
  <c r="E209" i="13"/>
  <c r="E211" i="13"/>
  <c r="E213" i="13"/>
  <c r="E215" i="13"/>
  <c r="E217" i="13"/>
  <c r="E219" i="13"/>
  <c r="E221" i="13"/>
  <c r="E223" i="13"/>
  <c r="E225" i="13"/>
  <c r="E227" i="13"/>
  <c r="I249" i="12"/>
  <c r="I250" i="12"/>
  <c r="I251" i="12"/>
  <c r="I252" i="12"/>
  <c r="I253" i="12"/>
  <c r="I254" i="12"/>
  <c r="I255" i="12"/>
  <c r="I256" i="12"/>
  <c r="I257" i="12"/>
  <c r="I258" i="12"/>
  <c r="I259" i="12"/>
  <c r="I260" i="12"/>
  <c r="I261" i="12"/>
  <c r="I262" i="12"/>
  <c r="I264" i="12"/>
  <c r="I265" i="12"/>
  <c r="I266" i="12"/>
  <c r="I267" i="12"/>
  <c r="I268" i="12"/>
  <c r="I269" i="12"/>
  <c r="I270" i="12"/>
  <c r="I271" i="12"/>
  <c r="I272" i="12"/>
  <c r="I273" i="12"/>
  <c r="I274" i="12"/>
  <c r="I275" i="12"/>
  <c r="I276" i="12"/>
  <c r="I277" i="12"/>
  <c r="I278" i="12"/>
  <c r="I279" i="12"/>
  <c r="I280" i="12"/>
  <c r="I281" i="12"/>
  <c r="I282" i="12"/>
  <c r="I283" i="12"/>
  <c r="B284" i="12"/>
  <c r="B285" i="12"/>
  <c r="B286" i="12"/>
  <c r="B287" i="12"/>
  <c r="B288" i="12"/>
  <c r="B289" i="12"/>
  <c r="B290" i="12"/>
  <c r="B291" i="12"/>
  <c r="B292" i="12"/>
  <c r="B293" i="12"/>
  <c r="B294" i="12"/>
  <c r="B295" i="12"/>
  <c r="B296" i="12"/>
  <c r="B297" i="12"/>
  <c r="B298" i="12"/>
  <c r="B300" i="12"/>
  <c r="I300" i="12"/>
  <c r="B301" i="12"/>
  <c r="I301" i="12"/>
  <c r="B302" i="12"/>
  <c r="I302" i="12"/>
  <c r="B303" i="12"/>
  <c r="I303" i="12"/>
  <c r="B304" i="12"/>
  <c r="I304" i="12"/>
  <c r="V305" i="12"/>
  <c r="B305" i="12"/>
  <c r="I305" i="12"/>
  <c r="I306" i="12"/>
  <c r="I307" i="12"/>
  <c r="I308" i="12"/>
  <c r="V321" i="12"/>
  <c r="I321" i="12"/>
  <c r="H321" i="12"/>
  <c r="B321" i="12"/>
  <c r="I314" i="12"/>
  <c r="I318" i="12"/>
  <c r="I322" i="12"/>
  <c r="D324" i="13"/>
  <c r="I326" i="12"/>
  <c r="H327" i="12"/>
  <c r="B327" i="12"/>
  <c r="I327" i="12"/>
  <c r="V327" i="12"/>
  <c r="I328" i="12"/>
  <c r="H328" i="12"/>
  <c r="V328" i="12"/>
  <c r="B337" i="12"/>
  <c r="I337" i="12"/>
  <c r="H337" i="12"/>
  <c r="V337" i="12"/>
  <c r="B341" i="12"/>
  <c r="I341" i="12"/>
  <c r="H341" i="12"/>
  <c r="V341" i="12"/>
  <c r="B315" i="12"/>
  <c r="H315" i="12"/>
  <c r="B319" i="12"/>
  <c r="H319" i="12"/>
  <c r="B323" i="12"/>
  <c r="H323" i="12"/>
  <c r="B334" i="12"/>
  <c r="I334" i="12"/>
  <c r="H334" i="12"/>
  <c r="V334" i="12"/>
  <c r="B336" i="12"/>
  <c r="I336" i="12"/>
  <c r="H336" i="12"/>
  <c r="V336" i="12"/>
  <c r="B338" i="12"/>
  <c r="I338" i="12"/>
  <c r="H338" i="12"/>
  <c r="V338" i="12"/>
  <c r="B340" i="12"/>
  <c r="I340" i="12"/>
  <c r="H340" i="12"/>
  <c r="V340" i="12"/>
  <c r="I330" i="12"/>
  <c r="I331" i="12"/>
  <c r="I332" i="12"/>
  <c r="V333" i="12"/>
  <c r="B342" i="12"/>
  <c r="B343" i="12"/>
  <c r="B344" i="12"/>
  <c r="B345" i="12"/>
  <c r="B346" i="12"/>
  <c r="B347" i="12"/>
  <c r="B348" i="12"/>
  <c r="E254" i="13"/>
  <c r="E258" i="13"/>
  <c r="E262" i="13"/>
  <c r="H333" i="12"/>
  <c r="E264" i="13"/>
  <c r="E266" i="13"/>
  <c r="E268" i="13"/>
  <c r="E270" i="13"/>
  <c r="E272" i="13"/>
  <c r="E255" i="13"/>
  <c r="E257" i="13"/>
  <c r="E259" i="13"/>
  <c r="E261" i="13"/>
  <c r="E263" i="13"/>
  <c r="E275" i="13"/>
  <c r="E279" i="13"/>
  <c r="E283" i="13"/>
  <c r="E274" i="13"/>
  <c r="E276" i="13"/>
  <c r="E278" i="13"/>
  <c r="E280" i="13"/>
  <c r="E282" i="13"/>
  <c r="E284" i="13"/>
  <c r="E286" i="13"/>
  <c r="E288" i="13"/>
  <c r="E290" i="13"/>
  <c r="E292" i="13"/>
  <c r="E294" i="13"/>
  <c r="E296" i="13"/>
  <c r="E298" i="13"/>
  <c r="E300" i="13"/>
  <c r="E302" i="13"/>
  <c r="E304" i="13"/>
  <c r="E306" i="13"/>
  <c r="E308" i="13"/>
  <c r="E310" i="13"/>
  <c r="E312" i="13"/>
  <c r="E314" i="13"/>
  <c r="E316" i="13"/>
  <c r="E318" i="13"/>
  <c r="E320" i="13"/>
  <c r="E322" i="13"/>
  <c r="E324" i="13"/>
  <c r="E326" i="13"/>
  <c r="E328" i="13"/>
  <c r="E330" i="13"/>
  <c r="E332" i="13"/>
  <c r="E334" i="13"/>
  <c r="E336" i="13"/>
  <c r="E338" i="13"/>
  <c r="E340" i="13"/>
  <c r="E342" i="13"/>
  <c r="E344" i="13"/>
  <c r="E346" i="13"/>
  <c r="E348" i="13"/>
  <c r="E229" i="13"/>
  <c r="E231" i="13"/>
  <c r="E233" i="13"/>
  <c r="E235" i="13"/>
  <c r="E237" i="13"/>
  <c r="E239" i="13"/>
  <c r="E241" i="13"/>
  <c r="E243" i="13"/>
  <c r="E245" i="13"/>
  <c r="E247" i="13"/>
  <c r="E143" i="13"/>
  <c r="E145" i="13"/>
  <c r="E147" i="13"/>
  <c r="D179" i="13"/>
  <c r="D192" i="13"/>
  <c r="C241" i="13"/>
  <c r="C135" i="13"/>
  <c r="E142" i="13"/>
  <c r="E144" i="13"/>
  <c r="E146" i="13"/>
  <c r="E148" i="13"/>
  <c r="E150" i="13"/>
  <c r="E152" i="13"/>
  <c r="E154" i="13"/>
  <c r="E156" i="13"/>
  <c r="E158" i="13"/>
  <c r="E160" i="13"/>
  <c r="E162" i="13"/>
  <c r="E164" i="13"/>
  <c r="E166" i="13"/>
  <c r="E168" i="13"/>
  <c r="E170" i="13"/>
  <c r="E172" i="13"/>
  <c r="E174" i="13"/>
  <c r="E176" i="13"/>
  <c r="C131" i="13"/>
  <c r="E149" i="13"/>
  <c r="E151" i="13"/>
  <c r="E153" i="13"/>
  <c r="I180" i="12"/>
  <c r="I181" i="12"/>
  <c r="I182" i="12"/>
  <c r="I183" i="12"/>
  <c r="I184" i="12"/>
  <c r="I185" i="12"/>
  <c r="I186" i="12"/>
  <c r="I187" i="12"/>
  <c r="I188" i="12"/>
  <c r="I189" i="12"/>
  <c r="D135" i="13"/>
  <c r="C240" i="13"/>
  <c r="I190" i="12"/>
  <c r="I191" i="12"/>
  <c r="I194" i="12"/>
  <c r="I195" i="12"/>
  <c r="I196" i="12"/>
  <c r="I197" i="12"/>
  <c r="I198" i="12"/>
  <c r="I199" i="12"/>
  <c r="I200" i="12"/>
  <c r="I201" i="12"/>
  <c r="I202" i="12"/>
  <c r="I203" i="12"/>
  <c r="I204" i="12"/>
  <c r="I205" i="12"/>
  <c r="I206" i="12"/>
  <c r="I207" i="12"/>
  <c r="I208" i="12"/>
  <c r="I209" i="12"/>
  <c r="I210" i="12"/>
  <c r="I211" i="12"/>
  <c r="I212" i="12"/>
  <c r="I213" i="12"/>
  <c r="I214" i="12"/>
  <c r="I215" i="12"/>
  <c r="I216" i="12"/>
  <c r="I217" i="12"/>
  <c r="I218" i="12"/>
  <c r="I219" i="12"/>
  <c r="B220" i="12"/>
  <c r="B221" i="12"/>
  <c r="B222" i="12"/>
  <c r="B223" i="12"/>
  <c r="B224" i="12"/>
  <c r="B225" i="12"/>
  <c r="B226" i="12"/>
  <c r="H226" i="12"/>
  <c r="I226" i="12"/>
  <c r="V226" i="12"/>
  <c r="B230" i="12"/>
  <c r="H230" i="12"/>
  <c r="I230" i="12"/>
  <c r="V230" i="12"/>
  <c r="V233" i="12"/>
  <c r="V235" i="12"/>
  <c r="V237" i="12"/>
  <c r="V239" i="12"/>
  <c r="V241" i="12"/>
  <c r="V243" i="12"/>
  <c r="B227" i="12"/>
  <c r="H227" i="12"/>
  <c r="I227" i="12"/>
  <c r="V227" i="12"/>
  <c r="B231" i="12"/>
  <c r="H231" i="12"/>
  <c r="I231" i="12"/>
  <c r="B232" i="12"/>
  <c r="I232" i="12"/>
  <c r="H232" i="12"/>
  <c r="B234" i="12"/>
  <c r="I234" i="12"/>
  <c r="H234" i="12"/>
  <c r="B236" i="12"/>
  <c r="I236" i="12"/>
  <c r="H236" i="12"/>
  <c r="B238" i="12"/>
  <c r="I238" i="12"/>
  <c r="H238" i="12"/>
  <c r="B242" i="12"/>
  <c r="I242" i="12"/>
  <c r="H242" i="12"/>
  <c r="B244" i="12"/>
  <c r="I244" i="12"/>
  <c r="H244" i="12"/>
  <c r="B228" i="12"/>
  <c r="H228" i="12"/>
  <c r="I228" i="12"/>
  <c r="V228" i="12"/>
  <c r="B229" i="12"/>
  <c r="H229" i="12"/>
  <c r="I229" i="12"/>
  <c r="V229" i="12"/>
  <c r="B233" i="12"/>
  <c r="I233" i="12"/>
  <c r="H233" i="12"/>
  <c r="B235" i="12"/>
  <c r="I235" i="12"/>
  <c r="H235" i="12"/>
  <c r="B237" i="12"/>
  <c r="I237" i="12"/>
  <c r="H237" i="12"/>
  <c r="B239" i="12"/>
  <c r="I239" i="12"/>
  <c r="H239" i="12"/>
  <c r="B243" i="12"/>
  <c r="I243" i="12"/>
  <c r="H243" i="12"/>
  <c r="V245" i="12"/>
  <c r="B245" i="12"/>
  <c r="I245" i="12"/>
  <c r="H245" i="12"/>
  <c r="V246" i="12"/>
  <c r="H246" i="12"/>
  <c r="B246" i="12"/>
  <c r="I247" i="12"/>
  <c r="I248" i="12"/>
  <c r="E180" i="13"/>
  <c r="E182" i="13"/>
  <c r="E184" i="13"/>
  <c r="E186" i="13"/>
  <c r="E188" i="13"/>
  <c r="E190" i="13"/>
  <c r="E192" i="13"/>
  <c r="E194" i="13"/>
  <c r="E196" i="13"/>
  <c r="E198" i="13"/>
  <c r="E200" i="13"/>
  <c r="E202" i="13"/>
  <c r="E204" i="13"/>
  <c r="E206" i="13"/>
  <c r="E208" i="13"/>
  <c r="E210" i="13"/>
  <c r="E212" i="13"/>
  <c r="E214" i="13"/>
  <c r="E216" i="13"/>
  <c r="E218" i="13"/>
  <c r="E220" i="13"/>
  <c r="E222" i="13"/>
  <c r="E224" i="13"/>
  <c r="E226" i="13"/>
  <c r="E228" i="13"/>
  <c r="E230" i="13"/>
  <c r="E232" i="13"/>
  <c r="E234" i="13"/>
  <c r="E236" i="13"/>
  <c r="E238" i="13"/>
  <c r="E240" i="13"/>
  <c r="E242" i="13"/>
  <c r="E244" i="13"/>
  <c r="E246" i="13"/>
  <c r="E248" i="13"/>
  <c r="H247" i="12"/>
  <c r="H248" i="12"/>
  <c r="E155" i="13"/>
  <c r="E157" i="13"/>
  <c r="E159" i="13"/>
  <c r="E161" i="13"/>
  <c r="E163" i="13"/>
  <c r="E165" i="13"/>
  <c r="E167" i="13"/>
  <c r="E169" i="13"/>
  <c r="E171" i="13"/>
  <c r="E173" i="13"/>
  <c r="E175" i="13"/>
  <c r="E177" i="13"/>
  <c r="D131" i="13"/>
  <c r="D138" i="13"/>
  <c r="C138" i="13"/>
  <c r="D147" i="13"/>
  <c r="D151" i="13"/>
  <c r="I157" i="12"/>
  <c r="V159" i="12"/>
  <c r="H159" i="12"/>
  <c r="B160" i="12"/>
  <c r="I161" i="12"/>
  <c r="V163" i="12"/>
  <c r="B164" i="12"/>
  <c r="I165" i="12"/>
  <c r="I167" i="12"/>
  <c r="V167" i="12"/>
  <c r="B167" i="12"/>
  <c r="H167" i="12"/>
  <c r="I130" i="12"/>
  <c r="I132" i="12"/>
  <c r="I134" i="12"/>
  <c r="I136" i="12"/>
  <c r="I137" i="12"/>
  <c r="I139" i="12"/>
  <c r="I140" i="12"/>
  <c r="I141" i="12"/>
  <c r="I142" i="12"/>
  <c r="I144" i="12"/>
  <c r="I145" i="12"/>
  <c r="I146" i="12"/>
  <c r="I148" i="12"/>
  <c r="I149" i="12"/>
  <c r="I150" i="12"/>
  <c r="I152" i="12"/>
  <c r="I153" i="12"/>
  <c r="I154" i="12"/>
  <c r="I155" i="12"/>
  <c r="I156" i="12"/>
  <c r="V158" i="12"/>
  <c r="H158" i="12"/>
  <c r="B159" i="12"/>
  <c r="I160" i="12"/>
  <c r="I164" i="12"/>
  <c r="V166" i="12"/>
  <c r="H166" i="12"/>
  <c r="V157" i="12"/>
  <c r="H157" i="12"/>
  <c r="V161" i="12"/>
  <c r="H161" i="12"/>
  <c r="V165" i="12"/>
  <c r="H165" i="12"/>
  <c r="B157" i="12"/>
  <c r="V160" i="12"/>
  <c r="H160" i="12"/>
  <c r="B161" i="12"/>
  <c r="V164" i="12"/>
  <c r="H164" i="12"/>
  <c r="B165" i="12"/>
  <c r="I168" i="12"/>
  <c r="I169" i="12"/>
  <c r="I170" i="12"/>
  <c r="I171" i="12"/>
  <c r="I172" i="12"/>
  <c r="I173" i="12"/>
  <c r="I174" i="12"/>
  <c r="I175" i="12"/>
  <c r="I176" i="12"/>
  <c r="I177" i="12"/>
  <c r="I178" i="12"/>
  <c r="E130" i="13"/>
  <c r="E132" i="13"/>
  <c r="E134" i="13"/>
  <c r="E136" i="13"/>
  <c r="E138" i="13"/>
  <c r="E140" i="13"/>
  <c r="E178" i="13"/>
  <c r="C126" i="13"/>
  <c r="C127" i="13"/>
  <c r="D127" i="13"/>
  <c r="D125" i="13"/>
  <c r="C125" i="13"/>
  <c r="D118" i="13"/>
  <c r="B113" i="12"/>
  <c r="B114" i="12"/>
  <c r="B120" i="12"/>
  <c r="B121" i="12"/>
  <c r="B123" i="12"/>
  <c r="B115" i="12"/>
  <c r="B116" i="12"/>
  <c r="B119" i="12"/>
  <c r="B122" i="12"/>
  <c r="I109" i="12"/>
  <c r="I110" i="12"/>
  <c r="I111" i="12"/>
  <c r="I112" i="12"/>
  <c r="H113" i="12"/>
  <c r="H114" i="12"/>
  <c r="H115" i="12"/>
  <c r="H116" i="12"/>
  <c r="H119" i="12"/>
  <c r="H120" i="12"/>
  <c r="H121" i="12"/>
  <c r="H122" i="12"/>
  <c r="H123" i="12"/>
  <c r="I113" i="12"/>
  <c r="I114" i="12"/>
  <c r="I115" i="12"/>
  <c r="I116" i="12"/>
  <c r="I119" i="12"/>
  <c r="I120" i="12"/>
  <c r="I121" i="12"/>
  <c r="I122" i="12"/>
  <c r="I123" i="12"/>
  <c r="V113" i="12"/>
  <c r="V114" i="12"/>
  <c r="V115" i="12"/>
  <c r="V116" i="12"/>
  <c r="V118" i="12"/>
  <c r="V119" i="12"/>
  <c r="V120" i="12"/>
  <c r="V121" i="12"/>
  <c r="V122" i="12"/>
  <c r="V123" i="12"/>
  <c r="I124" i="12"/>
  <c r="I128" i="12"/>
  <c r="E109" i="13"/>
  <c r="E111" i="13"/>
  <c r="E113" i="13"/>
  <c r="E115" i="13"/>
  <c r="E117" i="13"/>
  <c r="E119" i="13"/>
  <c r="E121" i="13"/>
  <c r="E123" i="13"/>
  <c r="E125" i="13"/>
  <c r="E127" i="13"/>
  <c r="B124" i="12"/>
  <c r="B128" i="12"/>
  <c r="E110" i="13"/>
  <c r="E112" i="13"/>
  <c r="E114" i="13"/>
  <c r="E116" i="13"/>
  <c r="E118" i="13"/>
  <c r="E120" i="13"/>
  <c r="E122" i="13"/>
  <c r="E124" i="13"/>
  <c r="E126" i="13"/>
  <c r="E128" i="13"/>
  <c r="F108" i="13"/>
  <c r="A108" i="13"/>
  <c r="W108" i="12"/>
  <c r="A108" i="12"/>
  <c r="F107" i="13"/>
  <c r="A107" i="13"/>
  <c r="F106" i="13"/>
  <c r="A106" i="13"/>
  <c r="F105" i="13"/>
  <c r="A105" i="13"/>
  <c r="F104" i="13"/>
  <c r="A104" i="13"/>
  <c r="F103" i="13"/>
  <c r="A103" i="13"/>
  <c r="F102" i="13"/>
  <c r="A102" i="13"/>
  <c r="F101" i="13"/>
  <c r="A101" i="13"/>
  <c r="F100" i="13"/>
  <c r="A100" i="13"/>
  <c r="F99" i="13"/>
  <c r="A99" i="13"/>
  <c r="F98" i="13"/>
  <c r="A98" i="13"/>
  <c r="F97" i="13"/>
  <c r="A97" i="13"/>
  <c r="W107" i="12"/>
  <c r="A107" i="12"/>
  <c r="W106" i="12"/>
  <c r="A106" i="12"/>
  <c r="V106" i="12" s="1"/>
  <c r="W105" i="12"/>
  <c r="A105" i="12"/>
  <c r="V105" i="12" s="1"/>
  <c r="W104" i="12"/>
  <c r="A104" i="12"/>
  <c r="W103" i="12"/>
  <c r="A103" i="12"/>
  <c r="B103" i="12" s="1"/>
  <c r="W102" i="12"/>
  <c r="A102" i="12"/>
  <c r="B102" i="12" s="1"/>
  <c r="W101" i="12"/>
  <c r="A101" i="12"/>
  <c r="V101" i="12" s="1"/>
  <c r="W100" i="12"/>
  <c r="A100" i="12"/>
  <c r="V100" i="12" s="1"/>
  <c r="W99" i="12"/>
  <c r="A99" i="12"/>
  <c r="V99" i="12" s="1"/>
  <c r="W98" i="12"/>
  <c r="A98" i="12"/>
  <c r="V98" i="12" s="1"/>
  <c r="W97" i="12"/>
  <c r="A97" i="12"/>
  <c r="H97" i="12" s="1"/>
  <c r="Q32" i="16"/>
  <c r="C414" i="13" l="1"/>
  <c r="C378" i="13"/>
  <c r="C418" i="13"/>
  <c r="C358" i="13"/>
  <c r="C369" i="13"/>
  <c r="C263" i="13"/>
  <c r="C324" i="13"/>
  <c r="C299" i="13"/>
  <c r="C325" i="13"/>
  <c r="C129" i="13"/>
  <c r="C162" i="13"/>
  <c r="C163" i="13"/>
  <c r="C133" i="13"/>
  <c r="C151" i="13"/>
  <c r="C117" i="13"/>
  <c r="C118" i="13"/>
  <c r="V103" i="12"/>
  <c r="H99" i="12"/>
  <c r="H100" i="12"/>
  <c r="B101" i="12"/>
  <c r="V108" i="12"/>
  <c r="V97" i="12"/>
  <c r="H101" i="12"/>
  <c r="B106" i="12"/>
  <c r="H103" i="12"/>
  <c r="H106" i="12"/>
  <c r="B97" i="12"/>
  <c r="H98" i="12"/>
  <c r="H102" i="12"/>
  <c r="B105" i="12"/>
  <c r="B98" i="12"/>
  <c r="B99" i="12"/>
  <c r="B100" i="12"/>
  <c r="V102" i="12"/>
  <c r="H105" i="12"/>
  <c r="E108" i="13"/>
  <c r="E97" i="13"/>
  <c r="E99" i="13"/>
  <c r="E101" i="13"/>
  <c r="E103" i="13"/>
  <c r="E105" i="13"/>
  <c r="E107" i="13"/>
  <c r="I97" i="12"/>
  <c r="I98" i="12"/>
  <c r="I99" i="12"/>
  <c r="I100" i="12"/>
  <c r="I101" i="12"/>
  <c r="I102" i="12"/>
  <c r="I103" i="12"/>
  <c r="I105" i="12"/>
  <c r="I106" i="12"/>
  <c r="E98" i="13"/>
  <c r="E100" i="13"/>
  <c r="E102" i="13"/>
  <c r="E104" i="13"/>
  <c r="E106" i="13"/>
  <c r="F96" i="13"/>
  <c r="A96" i="13"/>
  <c r="W96" i="12"/>
  <c r="A96" i="12"/>
  <c r="H96" i="12" l="1"/>
  <c r="V96" i="12"/>
  <c r="I96" i="12"/>
  <c r="E96" i="13"/>
  <c r="B96" i="12"/>
  <c r="F95" i="13"/>
  <c r="A95" i="13"/>
  <c r="F94" i="13"/>
  <c r="A94" i="13"/>
  <c r="F93" i="13"/>
  <c r="A93" i="13"/>
  <c r="F92" i="13"/>
  <c r="A92" i="13"/>
  <c r="F91" i="13"/>
  <c r="A91" i="13"/>
  <c r="F90" i="13"/>
  <c r="A90" i="13"/>
  <c r="F89" i="13"/>
  <c r="A89" i="13"/>
  <c r="F88" i="13"/>
  <c r="A88" i="13"/>
  <c r="W95" i="12"/>
  <c r="A95" i="12"/>
  <c r="V95" i="12" s="1"/>
  <c r="W94" i="12"/>
  <c r="A94" i="12"/>
  <c r="W93" i="12"/>
  <c r="A93" i="12"/>
  <c r="W92" i="12"/>
  <c r="A92" i="12"/>
  <c r="V92" i="12" s="1"/>
  <c r="W91" i="12"/>
  <c r="A91" i="12"/>
  <c r="V91" i="12" s="1"/>
  <c r="W90" i="12"/>
  <c r="A90" i="12"/>
  <c r="V90" i="12" s="1"/>
  <c r="W89" i="12"/>
  <c r="A89" i="12"/>
  <c r="W88" i="12"/>
  <c r="A88" i="12"/>
  <c r="F66" i="13"/>
  <c r="A66" i="13"/>
  <c r="F65" i="13"/>
  <c r="A65" i="13"/>
  <c r="F64" i="13"/>
  <c r="A64" i="13"/>
  <c r="F63" i="13"/>
  <c r="A63" i="13"/>
  <c r="F62" i="13"/>
  <c r="A62" i="13"/>
  <c r="F61" i="13"/>
  <c r="A61" i="13"/>
  <c r="F60" i="13"/>
  <c r="A60" i="13"/>
  <c r="F59" i="13"/>
  <c r="A59" i="13"/>
  <c r="F58" i="13"/>
  <c r="A58" i="13"/>
  <c r="F57" i="13"/>
  <c r="A57" i="13"/>
  <c r="F56" i="13"/>
  <c r="A56" i="13"/>
  <c r="F55" i="13"/>
  <c r="A55" i="13"/>
  <c r="F54" i="13"/>
  <c r="A54" i="13"/>
  <c r="F53" i="13"/>
  <c r="A53" i="13"/>
  <c r="F52" i="13"/>
  <c r="A52" i="13"/>
  <c r="F51" i="13"/>
  <c r="A51" i="13"/>
  <c r="F50" i="13"/>
  <c r="A50" i="13"/>
  <c r="F49" i="13"/>
  <c r="A49" i="13"/>
  <c r="F48" i="13"/>
  <c r="A48" i="13"/>
  <c r="F47" i="13"/>
  <c r="A47" i="13"/>
  <c r="W66" i="12"/>
  <c r="A66" i="12"/>
  <c r="W65" i="12"/>
  <c r="A65" i="12"/>
  <c r="I65" i="12" s="1"/>
  <c r="W64" i="12"/>
  <c r="A64" i="12"/>
  <c r="W63" i="12"/>
  <c r="A63" i="12"/>
  <c r="W62" i="12"/>
  <c r="A62" i="12"/>
  <c r="W61" i="12"/>
  <c r="A61" i="12"/>
  <c r="W60" i="12"/>
  <c r="A60" i="12"/>
  <c r="W59" i="12"/>
  <c r="A59" i="12"/>
  <c r="W58" i="12"/>
  <c r="A58" i="12"/>
  <c r="W57" i="12"/>
  <c r="A57" i="12"/>
  <c r="W56" i="12"/>
  <c r="A56" i="12"/>
  <c r="V56" i="12" s="1"/>
  <c r="W55" i="12"/>
  <c r="A55" i="12"/>
  <c r="V55" i="12" s="1"/>
  <c r="W54" i="12"/>
  <c r="A54" i="12"/>
  <c r="W53" i="12"/>
  <c r="A53" i="12"/>
  <c r="W52" i="12"/>
  <c r="A52" i="12"/>
  <c r="V52" i="12" s="1"/>
  <c r="W51" i="12"/>
  <c r="A51" i="12"/>
  <c r="W50" i="12"/>
  <c r="A50" i="12"/>
  <c r="W49" i="12"/>
  <c r="A49" i="12"/>
  <c r="H49" i="12" s="1"/>
  <c r="W48" i="12"/>
  <c r="A48" i="12"/>
  <c r="W47" i="12"/>
  <c r="A47" i="12"/>
  <c r="F87" i="13"/>
  <c r="A87" i="13"/>
  <c r="F86" i="13"/>
  <c r="A86" i="13"/>
  <c r="F85" i="13"/>
  <c r="A85" i="13"/>
  <c r="F84" i="13"/>
  <c r="A84" i="13"/>
  <c r="F83" i="13"/>
  <c r="A83" i="13"/>
  <c r="F82" i="13"/>
  <c r="A82" i="13"/>
  <c r="F81" i="13"/>
  <c r="A81" i="13"/>
  <c r="F80" i="13"/>
  <c r="A80" i="13"/>
  <c r="F79" i="13"/>
  <c r="A79" i="13"/>
  <c r="F78" i="13"/>
  <c r="A78" i="13"/>
  <c r="F77" i="13"/>
  <c r="A77" i="13"/>
  <c r="F76" i="13"/>
  <c r="A76" i="13"/>
  <c r="F75" i="13"/>
  <c r="A75" i="13"/>
  <c r="F74" i="13"/>
  <c r="A74" i="13"/>
  <c r="F73" i="13"/>
  <c r="A73" i="13"/>
  <c r="F72" i="13"/>
  <c r="A72" i="13"/>
  <c r="F71" i="13"/>
  <c r="A71" i="13"/>
  <c r="F70" i="13"/>
  <c r="A70" i="13"/>
  <c r="F69" i="13"/>
  <c r="A69" i="13"/>
  <c r="F68" i="13"/>
  <c r="A68" i="13"/>
  <c r="F67" i="13"/>
  <c r="A67" i="13"/>
  <c r="F46" i="13"/>
  <c r="A46" i="13"/>
  <c r="F45" i="13"/>
  <c r="A45" i="13"/>
  <c r="F44" i="13"/>
  <c r="A44" i="13"/>
  <c r="F43" i="13"/>
  <c r="A43" i="13"/>
  <c r="F42" i="13"/>
  <c r="A42" i="13"/>
  <c r="F41" i="13"/>
  <c r="A41" i="13"/>
  <c r="F40" i="13"/>
  <c r="A40" i="13"/>
  <c r="F39" i="13"/>
  <c r="A39" i="13"/>
  <c r="F38" i="13"/>
  <c r="A38" i="13"/>
  <c r="F37" i="13"/>
  <c r="A37" i="13"/>
  <c r="F36" i="13"/>
  <c r="A36" i="13"/>
  <c r="F35" i="13"/>
  <c r="A35" i="13"/>
  <c r="F34" i="13"/>
  <c r="A34" i="13"/>
  <c r="F33" i="13"/>
  <c r="A33" i="13"/>
  <c r="F32" i="13"/>
  <c r="A32" i="13"/>
  <c r="F31" i="13"/>
  <c r="A31" i="13"/>
  <c r="F30" i="13"/>
  <c r="A30" i="13"/>
  <c r="W87" i="12"/>
  <c r="A87" i="12"/>
  <c r="H87" i="12" s="1"/>
  <c r="W86" i="12"/>
  <c r="A86" i="12"/>
  <c r="H86" i="12" s="1"/>
  <c r="W85" i="12"/>
  <c r="A85" i="12"/>
  <c r="V85" i="12" s="1"/>
  <c r="W84" i="12"/>
  <c r="A84" i="12"/>
  <c r="W83" i="12"/>
  <c r="A83" i="12"/>
  <c r="W82" i="12"/>
  <c r="A82" i="12"/>
  <c r="V82" i="12" s="1"/>
  <c r="W81" i="12"/>
  <c r="A81" i="12"/>
  <c r="V81" i="12" s="1"/>
  <c r="W80" i="12"/>
  <c r="A80" i="12"/>
  <c r="W79" i="12"/>
  <c r="A79" i="12"/>
  <c r="W78" i="12"/>
  <c r="A78" i="12"/>
  <c r="W77" i="12"/>
  <c r="A77" i="12"/>
  <c r="W76" i="12"/>
  <c r="A76" i="12"/>
  <c r="V76" i="12" s="1"/>
  <c r="W75" i="12"/>
  <c r="A75" i="12"/>
  <c r="W74" i="12"/>
  <c r="A74" i="12"/>
  <c r="V74" i="12" s="1"/>
  <c r="W73" i="12"/>
  <c r="A73" i="12"/>
  <c r="V73" i="12" s="1"/>
  <c r="W72" i="12"/>
  <c r="A72" i="12"/>
  <c r="W71" i="12"/>
  <c r="A71" i="12"/>
  <c r="W70" i="12"/>
  <c r="A70" i="12"/>
  <c r="W69" i="12"/>
  <c r="A69" i="12"/>
  <c r="W68" i="12"/>
  <c r="A68" i="12"/>
  <c r="W67" i="12"/>
  <c r="A67" i="12"/>
  <c r="W46" i="12"/>
  <c r="A46" i="12"/>
  <c r="W45" i="12"/>
  <c r="A45" i="12"/>
  <c r="W44" i="12"/>
  <c r="A44" i="12"/>
  <c r="W43" i="12"/>
  <c r="A43" i="12"/>
  <c r="W42" i="12"/>
  <c r="A42" i="12"/>
  <c r="W41" i="12"/>
  <c r="A41" i="12"/>
  <c r="W40" i="12"/>
  <c r="A40" i="12"/>
  <c r="W39" i="12"/>
  <c r="A39" i="12"/>
  <c r="W38" i="12"/>
  <c r="A38" i="12"/>
  <c r="H38" i="12" s="1"/>
  <c r="W37" i="12"/>
  <c r="A37" i="12"/>
  <c r="W36" i="12"/>
  <c r="A36" i="12"/>
  <c r="B36" i="12" s="1"/>
  <c r="W35" i="12"/>
  <c r="A35" i="12"/>
  <c r="W34" i="12"/>
  <c r="A34" i="12"/>
  <c r="W33" i="12"/>
  <c r="A33" i="12"/>
  <c r="W32" i="12"/>
  <c r="A32" i="12"/>
  <c r="V32" i="12" s="1"/>
  <c r="W31" i="12"/>
  <c r="A31" i="12"/>
  <c r="V31" i="12" s="1"/>
  <c r="W30" i="12"/>
  <c r="A30" i="12"/>
  <c r="F15" i="13"/>
  <c r="A15" i="13"/>
  <c r="W15" i="12"/>
  <c r="A15" i="12"/>
  <c r="V15" i="12" s="1"/>
  <c r="J50" i="18"/>
  <c r="J49" i="18"/>
  <c r="J48" i="18"/>
  <c r="J47" i="18"/>
  <c r="A45" i="18"/>
  <c r="A46" i="18" s="1"/>
  <c r="C44" i="18"/>
  <c r="C39" i="18"/>
  <c r="A39" i="18"/>
  <c r="A40" i="18" s="1"/>
  <c r="C38" i="18"/>
  <c r="I35" i="18"/>
  <c r="M32" i="18"/>
  <c r="I29" i="18"/>
  <c r="A28" i="18"/>
  <c r="C28" i="18" s="1"/>
  <c r="C27" i="18"/>
  <c r="N24" i="18"/>
  <c r="A23" i="18"/>
  <c r="C23" i="18" s="1"/>
  <c r="M22" i="18"/>
  <c r="I22" i="18"/>
  <c r="C22" i="18"/>
  <c r="A22" i="18"/>
  <c r="M21" i="18"/>
  <c r="I21" i="18"/>
  <c r="C21" i="18"/>
  <c r="M20" i="18"/>
  <c r="I20" i="18"/>
  <c r="M19" i="18"/>
  <c r="I19" i="18"/>
  <c r="M18" i="18"/>
  <c r="Q18" i="18" s="1"/>
  <c r="I18" i="18"/>
  <c r="A17" i="18"/>
  <c r="C17" i="18" s="1"/>
  <c r="C15" i="18"/>
  <c r="A15" i="18"/>
  <c r="C14" i="18"/>
  <c r="C13" i="18"/>
  <c r="C12" i="18"/>
  <c r="Q11" i="18"/>
  <c r="I37" i="18" s="1"/>
  <c r="C11" i="18"/>
  <c r="C10" i="18"/>
  <c r="C9" i="18"/>
  <c r="I8" i="18"/>
  <c r="C8" i="18"/>
  <c r="K5" i="18"/>
  <c r="I5" i="18"/>
  <c r="A4" i="18"/>
  <c r="A5" i="18" s="1"/>
  <c r="A3" i="18"/>
  <c r="C3" i="18" s="1"/>
  <c r="C2" i="18"/>
  <c r="N1" i="18"/>
  <c r="H91" i="12" l="1"/>
  <c r="H92" i="12"/>
  <c r="H95" i="12"/>
  <c r="H90" i="12"/>
  <c r="V44" i="12"/>
  <c r="V87" i="12"/>
  <c r="V36" i="12"/>
  <c r="B32" i="12"/>
  <c r="H32" i="12"/>
  <c r="V53" i="12"/>
  <c r="V68" i="12"/>
  <c r="E90" i="13"/>
  <c r="E92" i="13"/>
  <c r="E94" i="13"/>
  <c r="V47" i="12"/>
  <c r="H47" i="12"/>
  <c r="B91" i="12"/>
  <c r="I91" i="12"/>
  <c r="B88" i="12"/>
  <c r="I88" i="12"/>
  <c r="B42" i="12"/>
  <c r="V42" i="12"/>
  <c r="B70" i="12"/>
  <c r="V70" i="12"/>
  <c r="H42" i="12"/>
  <c r="H70" i="12"/>
  <c r="V48" i="12"/>
  <c r="H48" i="12"/>
  <c r="B90" i="12"/>
  <c r="I90" i="12"/>
  <c r="B38" i="12"/>
  <c r="V38" i="12"/>
  <c r="V46" i="12"/>
  <c r="H88" i="12"/>
  <c r="V88" i="12"/>
  <c r="I92" i="12"/>
  <c r="I95" i="12"/>
  <c r="B92" i="12"/>
  <c r="B95" i="12"/>
  <c r="H36" i="12"/>
  <c r="I82" i="12"/>
  <c r="V86" i="12"/>
  <c r="E88" i="13"/>
  <c r="E89" i="13"/>
  <c r="E91" i="13"/>
  <c r="E93" i="13"/>
  <c r="E95" i="13"/>
  <c r="V54" i="12"/>
  <c r="E51" i="13"/>
  <c r="V35" i="12"/>
  <c r="B35" i="12"/>
  <c r="H35" i="12"/>
  <c r="V37" i="12"/>
  <c r="H37" i="12"/>
  <c r="B37" i="12"/>
  <c r="V41" i="12"/>
  <c r="V43" i="12"/>
  <c r="H43" i="12"/>
  <c r="B43" i="12"/>
  <c r="V45" i="12"/>
  <c r="V69" i="12"/>
  <c r="B69" i="12"/>
  <c r="H69" i="12"/>
  <c r="I71" i="12"/>
  <c r="H71" i="12"/>
  <c r="B71" i="12"/>
  <c r="E55" i="13"/>
  <c r="E59" i="13"/>
  <c r="V84" i="12"/>
  <c r="E47" i="13"/>
  <c r="E63" i="13"/>
  <c r="V49" i="12"/>
  <c r="V50" i="12"/>
  <c r="H51" i="12"/>
  <c r="V51" i="12"/>
  <c r="H52" i="12"/>
  <c r="H56" i="12"/>
  <c r="V57" i="12"/>
  <c r="H57" i="12"/>
  <c r="B57" i="12"/>
  <c r="V59" i="12"/>
  <c r="V60" i="12"/>
  <c r="V61" i="12"/>
  <c r="H61" i="12"/>
  <c r="B61" i="12"/>
  <c r="V62" i="12"/>
  <c r="H62" i="12"/>
  <c r="B62" i="12"/>
  <c r="V63" i="12"/>
  <c r="V64" i="12"/>
  <c r="V65" i="12"/>
  <c r="H65" i="12"/>
  <c r="B65" i="12"/>
  <c r="V66" i="12"/>
  <c r="I47" i="12"/>
  <c r="I48" i="12"/>
  <c r="I49" i="12"/>
  <c r="I51" i="12"/>
  <c r="B52" i="12"/>
  <c r="I52" i="12"/>
  <c r="B56" i="12"/>
  <c r="I56" i="12"/>
  <c r="H82" i="12"/>
  <c r="B47" i="12"/>
  <c r="B48" i="12"/>
  <c r="B49" i="12"/>
  <c r="B51" i="12"/>
  <c r="I57" i="12"/>
  <c r="I61" i="12"/>
  <c r="I62" i="12"/>
  <c r="E49" i="13"/>
  <c r="E53" i="13"/>
  <c r="E57" i="13"/>
  <c r="E61" i="13"/>
  <c r="E65" i="13"/>
  <c r="E48" i="13"/>
  <c r="E50" i="13"/>
  <c r="E52" i="13"/>
  <c r="E54" i="13"/>
  <c r="E56" i="13"/>
  <c r="E58" i="13"/>
  <c r="E60" i="13"/>
  <c r="E62" i="13"/>
  <c r="E64" i="13"/>
  <c r="E66" i="13"/>
  <c r="V78" i="12"/>
  <c r="I78" i="12"/>
  <c r="H78" i="12"/>
  <c r="B78" i="12"/>
  <c r="I74" i="12"/>
  <c r="V77" i="12"/>
  <c r="H74" i="12"/>
  <c r="B74" i="12"/>
  <c r="I32" i="12"/>
  <c r="V75" i="12"/>
  <c r="I35" i="12"/>
  <c r="I36" i="12"/>
  <c r="I37" i="12"/>
  <c r="I38" i="12"/>
  <c r="I42" i="12"/>
  <c r="I43" i="12"/>
  <c r="I69" i="12"/>
  <c r="I70" i="12"/>
  <c r="V71" i="12"/>
  <c r="V79" i="12"/>
  <c r="V80" i="12"/>
  <c r="B82" i="12"/>
  <c r="I86" i="12"/>
  <c r="I87" i="12"/>
  <c r="E30" i="13"/>
  <c r="E32" i="13"/>
  <c r="E34" i="13"/>
  <c r="E36" i="13"/>
  <c r="E38" i="13"/>
  <c r="E40" i="13"/>
  <c r="E42" i="13"/>
  <c r="E44" i="13"/>
  <c r="E46" i="13"/>
  <c r="E68" i="13"/>
  <c r="E70" i="13"/>
  <c r="E72" i="13"/>
  <c r="E74" i="13"/>
  <c r="E76" i="13"/>
  <c r="E78" i="13"/>
  <c r="E80" i="13"/>
  <c r="E82" i="13"/>
  <c r="E84" i="13"/>
  <c r="E86" i="13"/>
  <c r="B86" i="12"/>
  <c r="B87" i="12"/>
  <c r="E31" i="13"/>
  <c r="E33" i="13"/>
  <c r="E35" i="13"/>
  <c r="E37" i="13"/>
  <c r="E39" i="13"/>
  <c r="E41" i="13"/>
  <c r="E43" i="13"/>
  <c r="E45" i="13"/>
  <c r="E67" i="13"/>
  <c r="E69" i="13"/>
  <c r="E71" i="13"/>
  <c r="E73" i="13"/>
  <c r="E75" i="13"/>
  <c r="E77" i="13"/>
  <c r="E79" i="13"/>
  <c r="E81" i="13"/>
  <c r="E83" i="13"/>
  <c r="E85" i="13"/>
  <c r="E87" i="13"/>
  <c r="E15" i="13"/>
  <c r="P18" i="18"/>
  <c r="R18" i="18"/>
  <c r="C46" i="18"/>
  <c r="A47" i="18"/>
  <c r="A41" i="18"/>
  <c r="C40" i="18"/>
  <c r="P20" i="18"/>
  <c r="C5" i="18"/>
  <c r="A6" i="18"/>
  <c r="P19" i="18"/>
  <c r="A18" i="18"/>
  <c r="Q19" i="18"/>
  <c r="A24" i="18"/>
  <c r="O27" i="18"/>
  <c r="A29" i="18"/>
  <c r="C4" i="18"/>
  <c r="Q21" i="18" s="1"/>
  <c r="R19" i="18"/>
  <c r="N25" i="18"/>
  <c r="O25" i="18" s="1"/>
  <c r="N26" i="18"/>
  <c r="L32" i="18"/>
  <c r="M33" i="18"/>
  <c r="C45" i="18"/>
  <c r="A32" i="18" l="1"/>
  <c r="C29" i="18"/>
  <c r="A19" i="18"/>
  <c r="C18" i="18"/>
  <c r="N27" i="18"/>
  <c r="A25" i="18"/>
  <c r="C24" i="18"/>
  <c r="R20" i="18"/>
  <c r="R21" i="18"/>
  <c r="A42" i="18"/>
  <c r="C41" i="18"/>
  <c r="A48" i="18"/>
  <c r="C47" i="18"/>
  <c r="C6" i="18"/>
  <c r="Q26" i="18" s="1"/>
  <c r="A7" i="18"/>
  <c r="C7" i="18" s="1"/>
  <c r="P21" i="18"/>
  <c r="Q20" i="18"/>
  <c r="R26" i="18"/>
  <c r="P26" i="18" l="1"/>
  <c r="O26" i="18" s="1"/>
  <c r="V27" i="18" s="1"/>
  <c r="T16" i="18" s="1"/>
  <c r="Q22" i="18"/>
  <c r="P22" i="18"/>
  <c r="A49" i="18"/>
  <c r="C49" i="18" s="1"/>
  <c r="C48" i="18"/>
  <c r="A20" i="18"/>
  <c r="C20" i="18" s="1"/>
  <c r="C19" i="18"/>
  <c r="A33" i="18"/>
  <c r="C32" i="18"/>
  <c r="C42" i="18"/>
  <c r="A43" i="18"/>
  <c r="C43" i="18" s="1"/>
  <c r="A26" i="18"/>
  <c r="C26" i="18" s="1"/>
  <c r="C25" i="18"/>
  <c r="R22" i="18"/>
  <c r="A34" i="18" l="1"/>
  <c r="C34" i="18" s="1"/>
  <c r="C33" i="18"/>
  <c r="A29" i="13" l="1"/>
  <c r="W29" i="12"/>
  <c r="A29" i="12"/>
  <c r="V29" i="12" l="1"/>
  <c r="F21" i="13"/>
  <c r="A21" i="13"/>
  <c r="W21" i="12"/>
  <c r="A21" i="12"/>
  <c r="E21" i="13" l="1"/>
  <c r="F29" i="13" l="1"/>
  <c r="E29" i="13" s="1"/>
  <c r="F20" i="13" l="1"/>
  <c r="A20" i="13"/>
  <c r="F19" i="13"/>
  <c r="A19" i="13"/>
  <c r="F18" i="13"/>
  <c r="A18" i="13"/>
  <c r="W20" i="12"/>
  <c r="A20" i="12"/>
  <c r="W19" i="12"/>
  <c r="A19" i="12"/>
  <c r="H19" i="12" s="1"/>
  <c r="W18" i="12"/>
  <c r="A18" i="12"/>
  <c r="V19" i="12" l="1"/>
  <c r="V18" i="12"/>
  <c r="E18" i="13"/>
  <c r="E19" i="13"/>
  <c r="E20" i="13"/>
  <c r="I19" i="12"/>
  <c r="B19" i="12"/>
  <c r="G38" i="16" l="1"/>
  <c r="F28" i="13" l="1"/>
  <c r="A28" i="13"/>
  <c r="W28" i="12"/>
  <c r="A28" i="12"/>
  <c r="I28" i="12" s="1"/>
  <c r="E28" i="13" l="1"/>
  <c r="B28" i="12"/>
  <c r="H28" i="12"/>
  <c r="V28" i="12"/>
  <c r="F25" i="13" l="1"/>
  <c r="A25" i="13"/>
  <c r="W25" i="12"/>
  <c r="A25" i="12"/>
  <c r="V25" i="12" s="1"/>
  <c r="E25" i="13" l="1"/>
  <c r="F27" i="13" l="1"/>
  <c r="A27" i="13"/>
  <c r="F26" i="13"/>
  <c r="A26" i="13"/>
  <c r="F24" i="13"/>
  <c r="A24" i="13"/>
  <c r="W27" i="12"/>
  <c r="A27" i="12"/>
  <c r="W26" i="12"/>
  <c r="A26" i="12"/>
  <c r="V26" i="12" s="1"/>
  <c r="W24" i="12"/>
  <c r="A24" i="12"/>
  <c r="V24" i="12" s="1"/>
  <c r="F23" i="13"/>
  <c r="A23" i="13"/>
  <c r="W23" i="12"/>
  <c r="A23" i="12"/>
  <c r="E27" i="13" l="1"/>
  <c r="E26" i="13"/>
  <c r="E23" i="13"/>
  <c r="E24" i="13"/>
  <c r="B26" i="12"/>
  <c r="I26" i="12"/>
  <c r="H26" i="12"/>
  <c r="F17" i="13" l="1"/>
  <c r="A17" i="13"/>
  <c r="W17" i="12"/>
  <c r="A17" i="12"/>
  <c r="F16" i="13"/>
  <c r="A16" i="13"/>
  <c r="W16" i="12"/>
  <c r="A16" i="12"/>
  <c r="E17" i="13" l="1"/>
  <c r="I17" i="12"/>
  <c r="H17" i="12"/>
  <c r="V17" i="12"/>
  <c r="B17" i="12"/>
  <c r="E16" i="13"/>
  <c r="H16" i="12"/>
  <c r="V16" i="12"/>
  <c r="I16" i="12"/>
  <c r="B16" i="12"/>
  <c r="F14" i="13" l="1"/>
  <c r="A14" i="13"/>
  <c r="W14" i="12"/>
  <c r="A14" i="12"/>
  <c r="E14" i="13" l="1"/>
  <c r="F22" i="13" l="1"/>
  <c r="A22" i="13"/>
  <c r="W22" i="12"/>
  <c r="A22" i="12"/>
  <c r="E22" i="13" l="1"/>
  <c r="F11" i="13" l="1"/>
  <c r="F13" i="13"/>
  <c r="E7" i="13" l="1"/>
  <c r="P9" i="12"/>
  <c r="F10" i="13"/>
  <c r="G10" i="13" s="1"/>
  <c r="H10" i="13" s="1"/>
  <c r="I10" i="13" s="1"/>
  <c r="J10" i="13" s="1"/>
  <c r="K10" i="13" s="1"/>
  <c r="L10" i="13" s="1"/>
  <c r="M10" i="13" s="1"/>
  <c r="N10" i="13" s="1"/>
  <c r="O10" i="13" s="1"/>
  <c r="U10" i="13"/>
  <c r="AC9" i="11"/>
  <c r="AC10" i="11" s="1"/>
  <c r="K430" i="12"/>
  <c r="X13" i="12"/>
  <c r="W13" i="12"/>
  <c r="N24" i="17"/>
  <c r="N26" i="17" s="1"/>
  <c r="Q224" i="16"/>
  <c r="Q223" i="16"/>
  <c r="P2" i="11"/>
  <c r="A20" i="11"/>
  <c r="A23" i="11" s="1"/>
  <c r="A26" i="11" s="1"/>
  <c r="Q10" i="12"/>
  <c r="Q11" i="17"/>
  <c r="M33" i="17" s="1"/>
  <c r="N8" i="11"/>
  <c r="O9" i="11"/>
  <c r="P9" i="11" s="1"/>
  <c r="O10" i="11"/>
  <c r="A13" i="11"/>
  <c r="K13" i="11" s="1"/>
  <c r="N11" i="11" s="1"/>
  <c r="D17" i="11"/>
  <c r="L53" i="11"/>
  <c r="A11" i="13"/>
  <c r="E11" i="13" s="1"/>
  <c r="X11" i="12"/>
  <c r="O11" i="12" s="1"/>
  <c r="D11" i="13" s="1"/>
  <c r="J12" i="12"/>
  <c r="A12" i="13" s="1"/>
  <c r="N12" i="12"/>
  <c r="A13" i="13"/>
  <c r="E13" i="13" s="1"/>
  <c r="K433"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V38" i="16"/>
  <c r="U38" i="16"/>
  <c r="X38" i="16"/>
  <c r="B424" i="13" l="1"/>
  <c r="I42" i="18"/>
  <c r="I49" i="17"/>
  <c r="I49" i="18"/>
  <c r="B427" i="13"/>
  <c r="O42" i="18"/>
  <c r="I50" i="17"/>
  <c r="I50" i="18"/>
  <c r="U12" i="12"/>
  <c r="A29" i="11"/>
  <c r="A46" i="17"/>
  <c r="A47" i="17" s="1"/>
  <c r="A48" i="17" s="1"/>
  <c r="A40" i="17"/>
  <c r="A41" i="17" s="1"/>
  <c r="A42" i="17" s="1"/>
  <c r="A17" i="17"/>
  <c r="C17" i="17" s="1"/>
  <c r="G57" i="16"/>
  <c r="C28" i="17"/>
  <c r="N25" i="17"/>
  <c r="O25" i="17" s="1"/>
  <c r="I37" i="17"/>
  <c r="L32" i="17"/>
  <c r="A49" i="17"/>
  <c r="C49" i="17" s="1"/>
  <c r="C48" i="17"/>
  <c r="A4" i="17"/>
  <c r="A23" i="17"/>
  <c r="D11" i="12"/>
  <c r="V11" i="12"/>
  <c r="F11" i="12"/>
  <c r="H11" i="12"/>
  <c r="E11" i="12"/>
  <c r="C11" i="12"/>
  <c r="B11" i="12"/>
  <c r="C13" i="12"/>
  <c r="V13" i="12"/>
  <c r="F13" i="12"/>
  <c r="F14" i="12" s="1"/>
  <c r="F15" i="12" s="1"/>
  <c r="L56" i="11"/>
  <c r="O42" i="17"/>
  <c r="L11" i="11"/>
  <c r="A5" i="12"/>
  <c r="I11" i="12"/>
  <c r="G13" i="12"/>
  <c r="G14" i="12" s="1"/>
  <c r="G15" i="12" s="1"/>
  <c r="S13" i="12"/>
  <c r="E13" i="12"/>
  <c r="E14" i="12" s="1"/>
  <c r="E15" i="12" s="1"/>
  <c r="D13" i="12"/>
  <c r="D14" i="12" s="1"/>
  <c r="N11" i="12"/>
  <c r="U11" i="12" s="1"/>
  <c r="Y11" i="12"/>
  <c r="C13" i="11"/>
  <c r="F13" i="11" s="1"/>
  <c r="M11" i="11"/>
  <c r="Q9" i="11"/>
  <c r="Q10" i="11" s="1"/>
  <c r="P10" i="11"/>
  <c r="C32" i="17"/>
  <c r="A33" i="17"/>
  <c r="C29" i="17"/>
  <c r="G56" i="16"/>
  <c r="C12" i="13"/>
  <c r="X227" i="16"/>
  <c r="S112" i="16"/>
  <c r="W227" i="16"/>
  <c r="S111" i="16"/>
  <c r="U227" i="16"/>
  <c r="S109" i="16"/>
  <c r="V227" i="16"/>
  <c r="S110" i="16"/>
  <c r="I42" i="17"/>
  <c r="V14" i="12" l="1"/>
  <c r="D15" i="12"/>
  <c r="D16" i="12" s="1"/>
  <c r="A32" i="11"/>
  <c r="E16" i="12"/>
  <c r="F16" i="12"/>
  <c r="G16" i="12"/>
  <c r="C47" i="17"/>
  <c r="C46" i="17"/>
  <c r="A18" i="17"/>
  <c r="C40" i="17"/>
  <c r="C41" i="17"/>
  <c r="C14" i="12"/>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421" i="12" l="1"/>
  <c r="Z420" i="12"/>
  <c r="Z419" i="12"/>
  <c r="Z418" i="12"/>
  <c r="S418" i="12" s="1"/>
  <c r="Z417" i="12"/>
  <c r="Z416" i="12"/>
  <c r="Z415" i="12"/>
  <c r="Z414" i="12"/>
  <c r="S414" i="12" s="1"/>
  <c r="Z413" i="12"/>
  <c r="S413" i="12" s="1"/>
  <c r="Z412" i="12"/>
  <c r="Z411" i="12"/>
  <c r="Z410" i="12"/>
  <c r="Z409" i="12"/>
  <c r="Z408" i="12"/>
  <c r="Z407" i="12"/>
  <c r="Z406" i="12"/>
  <c r="Z405" i="12"/>
  <c r="Z404" i="12"/>
  <c r="Z403" i="12"/>
  <c r="Z402" i="12"/>
  <c r="Z401" i="12"/>
  <c r="Z400" i="12"/>
  <c r="Z399" i="12"/>
  <c r="Z398" i="12"/>
  <c r="Z397" i="12"/>
  <c r="S397" i="12" s="1"/>
  <c r="Z396" i="12"/>
  <c r="Z395" i="12"/>
  <c r="Z394" i="12"/>
  <c r="Z393" i="12"/>
  <c r="Z392" i="12"/>
  <c r="Z391" i="12"/>
  <c r="Z390" i="12"/>
  <c r="Z389" i="12"/>
  <c r="Z388" i="12"/>
  <c r="Z387" i="12"/>
  <c r="Z386" i="12"/>
  <c r="Z383" i="12"/>
  <c r="Z379" i="12"/>
  <c r="Z385" i="12"/>
  <c r="Z381" i="12"/>
  <c r="Z377" i="12"/>
  <c r="Z373" i="12"/>
  <c r="Z384" i="12"/>
  <c r="Z374" i="12"/>
  <c r="Z368" i="12"/>
  <c r="S368" i="12" s="1"/>
  <c r="Z364" i="12"/>
  <c r="Z360" i="12"/>
  <c r="Z356" i="12"/>
  <c r="Z352" i="12"/>
  <c r="Z382" i="12"/>
  <c r="Z375" i="12"/>
  <c r="Z370" i="12"/>
  <c r="Z367" i="12"/>
  <c r="Z363" i="12"/>
  <c r="Z359" i="12"/>
  <c r="Z355" i="12"/>
  <c r="Z351" i="12"/>
  <c r="Z376" i="12"/>
  <c r="Z371" i="12"/>
  <c r="Z366" i="12"/>
  <c r="Z362" i="12"/>
  <c r="Z358" i="12"/>
  <c r="S358" i="12" s="1"/>
  <c r="Z354" i="12"/>
  <c r="Z350" i="12"/>
  <c r="Z349" i="12"/>
  <c r="Z380" i="12"/>
  <c r="Z378" i="12"/>
  <c r="S378" i="12" s="1"/>
  <c r="Z372" i="12"/>
  <c r="Z369" i="12"/>
  <c r="S369" i="12" s="1"/>
  <c r="Z365" i="12"/>
  <c r="Z361" i="12"/>
  <c r="Z357" i="12"/>
  <c r="Z353" i="12"/>
  <c r="Z348" i="12"/>
  <c r="Z332" i="12"/>
  <c r="Z347" i="12"/>
  <c r="Z346" i="12"/>
  <c r="Z345" i="12"/>
  <c r="Z344" i="12"/>
  <c r="Z343" i="12"/>
  <c r="Z342" i="12"/>
  <c r="Z341" i="12"/>
  <c r="Z340" i="12"/>
  <c r="Z339" i="12"/>
  <c r="Z338" i="12"/>
  <c r="Z337" i="12"/>
  <c r="Z336" i="12"/>
  <c r="Z335" i="12"/>
  <c r="Z334" i="12"/>
  <c r="Z333" i="12"/>
  <c r="Z331" i="12"/>
  <c r="Z330" i="12"/>
  <c r="Z329" i="12"/>
  <c r="Z328" i="12"/>
  <c r="Z324" i="12"/>
  <c r="S324" i="12" s="1"/>
  <c r="Z320" i="12"/>
  <c r="Z316" i="12"/>
  <c r="Z312" i="12"/>
  <c r="Z311" i="12"/>
  <c r="Z310" i="12"/>
  <c r="Z309" i="12"/>
  <c r="Z308" i="12"/>
  <c r="Z307" i="12"/>
  <c r="Z306" i="12"/>
  <c r="Z305" i="12"/>
  <c r="Z325" i="12"/>
  <c r="S325" i="12" s="1"/>
  <c r="Z321" i="12"/>
  <c r="Z317" i="12"/>
  <c r="Z313" i="12"/>
  <c r="Z322" i="12"/>
  <c r="Z318" i="12"/>
  <c r="Z314" i="12"/>
  <c r="Z326" i="12"/>
  <c r="Z327" i="12"/>
  <c r="Z323" i="12"/>
  <c r="Z304" i="12"/>
  <c r="Z303" i="12"/>
  <c r="Z302" i="12"/>
  <c r="Z301" i="12"/>
  <c r="Z300" i="12"/>
  <c r="Z299" i="12"/>
  <c r="S299" i="12" s="1"/>
  <c r="Z298" i="12"/>
  <c r="Z297" i="12"/>
  <c r="Z296" i="12"/>
  <c r="Z295" i="12"/>
  <c r="Z294" i="12"/>
  <c r="Z293" i="12"/>
  <c r="Z292" i="12"/>
  <c r="Z291" i="12"/>
  <c r="Z290" i="12"/>
  <c r="Z289" i="12"/>
  <c r="Z288" i="12"/>
  <c r="Z287" i="12"/>
  <c r="Z286" i="12"/>
  <c r="Z285" i="12"/>
  <c r="Z284" i="12"/>
  <c r="Z283" i="12"/>
  <c r="Z282" i="12"/>
  <c r="Z281" i="12"/>
  <c r="Z280" i="12"/>
  <c r="Z279" i="12"/>
  <c r="Z278" i="12"/>
  <c r="Z277" i="12"/>
  <c r="Z276" i="12"/>
  <c r="Z275" i="12"/>
  <c r="Z274" i="12"/>
  <c r="Z273" i="12"/>
  <c r="Z272" i="12"/>
  <c r="Z271" i="12"/>
  <c r="Z270" i="12"/>
  <c r="Z269" i="12"/>
  <c r="Z268" i="12"/>
  <c r="Z267" i="12"/>
  <c r="Z266" i="12"/>
  <c r="Z265" i="12"/>
  <c r="Z264" i="12"/>
  <c r="Z263" i="12"/>
  <c r="S263" i="12" s="1"/>
  <c r="Z262" i="12"/>
  <c r="Z261" i="12"/>
  <c r="Z260" i="12"/>
  <c r="Z259" i="12"/>
  <c r="Z258" i="12"/>
  <c r="Z257" i="12"/>
  <c r="Z256" i="12"/>
  <c r="Z255" i="12"/>
  <c r="Z254" i="12"/>
  <c r="Z253" i="12"/>
  <c r="Z252" i="12"/>
  <c r="Z251" i="12"/>
  <c r="Z250" i="12"/>
  <c r="Z249" i="12"/>
  <c r="Z319" i="12"/>
  <c r="Z315" i="12"/>
  <c r="Z248" i="12"/>
  <c r="Z247" i="12"/>
  <c r="Z246" i="12"/>
  <c r="Z245" i="12"/>
  <c r="Z229" i="12"/>
  <c r="Z225" i="12"/>
  <c r="Z224" i="12"/>
  <c r="Z223" i="12"/>
  <c r="Z222" i="12"/>
  <c r="Z221" i="12"/>
  <c r="Z220" i="12"/>
  <c r="Z219" i="12"/>
  <c r="Z244" i="12"/>
  <c r="Z242" i="12"/>
  <c r="Z240" i="12"/>
  <c r="S240" i="12" s="1"/>
  <c r="Z238" i="12"/>
  <c r="Z236" i="12"/>
  <c r="Z234" i="12"/>
  <c r="Z232" i="12"/>
  <c r="Z228" i="12"/>
  <c r="Z227" i="12"/>
  <c r="Z243" i="12"/>
  <c r="Z241" i="12"/>
  <c r="S241" i="12" s="1"/>
  <c r="Z239" i="12"/>
  <c r="Z237" i="12"/>
  <c r="Z235" i="12"/>
  <c r="Z233" i="12"/>
  <c r="Z231" i="12"/>
  <c r="Z230" i="12"/>
  <c r="Z226" i="12"/>
  <c r="Z217" i="12"/>
  <c r="Z213" i="12"/>
  <c r="Z197" i="12"/>
  <c r="Z193" i="12"/>
  <c r="S193" i="12" s="1"/>
  <c r="Z189" i="12"/>
  <c r="Z188" i="12"/>
  <c r="Z187" i="12"/>
  <c r="Z186" i="12"/>
  <c r="Z185" i="12"/>
  <c r="Z184" i="12"/>
  <c r="Z183" i="12"/>
  <c r="Z182" i="12"/>
  <c r="Z181" i="12"/>
  <c r="Z180" i="12"/>
  <c r="Z179" i="12"/>
  <c r="S179" i="12" s="1"/>
  <c r="Z218" i="12"/>
  <c r="Z214" i="12"/>
  <c r="Z210" i="12"/>
  <c r="Z208" i="12"/>
  <c r="Z206" i="12"/>
  <c r="Z204" i="12"/>
  <c r="Z202" i="12"/>
  <c r="Z200" i="12"/>
  <c r="Z196" i="12"/>
  <c r="Z192" i="12"/>
  <c r="S192" i="12" s="1"/>
  <c r="Z215" i="12"/>
  <c r="Z195" i="12"/>
  <c r="Z191" i="12"/>
  <c r="Z216" i="12"/>
  <c r="Z212" i="12"/>
  <c r="Z211" i="12"/>
  <c r="Z209" i="12"/>
  <c r="Z207" i="12"/>
  <c r="Z205" i="12"/>
  <c r="Z203" i="12"/>
  <c r="Z201" i="12"/>
  <c r="Z199" i="12"/>
  <c r="Z198" i="12"/>
  <c r="Z194" i="12"/>
  <c r="Z190" i="12"/>
  <c r="Z178" i="12"/>
  <c r="Z175" i="12"/>
  <c r="Z171" i="12"/>
  <c r="Z167" i="12"/>
  <c r="Z177" i="12"/>
  <c r="Z173" i="12"/>
  <c r="Z169" i="12"/>
  <c r="Z166" i="12"/>
  <c r="Z165" i="12"/>
  <c r="Z164" i="12"/>
  <c r="Z163" i="12"/>
  <c r="S163" i="12" s="1"/>
  <c r="Z162" i="12"/>
  <c r="S162" i="12" s="1"/>
  <c r="Z161" i="12"/>
  <c r="Z160" i="12"/>
  <c r="Z159" i="12"/>
  <c r="Z158" i="12"/>
  <c r="Z157" i="12"/>
  <c r="Z156" i="12"/>
  <c r="Z172" i="12"/>
  <c r="Z170" i="12"/>
  <c r="Z176" i="12"/>
  <c r="Z174" i="12"/>
  <c r="Z168" i="12"/>
  <c r="Z155" i="12"/>
  <c r="Z154" i="12"/>
  <c r="Z153" i="12"/>
  <c r="Z152" i="12"/>
  <c r="Z151" i="12"/>
  <c r="S151" i="12" s="1"/>
  <c r="Z150" i="12"/>
  <c r="Z149" i="12"/>
  <c r="Z148" i="12"/>
  <c r="Z147" i="12"/>
  <c r="S147" i="12" s="1"/>
  <c r="Z146" i="12"/>
  <c r="Z145" i="12"/>
  <c r="Z144" i="12"/>
  <c r="Z143" i="12"/>
  <c r="S143" i="12" s="1"/>
  <c r="Z139" i="12"/>
  <c r="Z135" i="12"/>
  <c r="S135" i="12" s="1"/>
  <c r="Z131" i="12"/>
  <c r="S131" i="12" s="1"/>
  <c r="Z142" i="12"/>
  <c r="Z138" i="12"/>
  <c r="S138" i="12" s="1"/>
  <c r="Z134" i="12"/>
  <c r="Z130" i="12"/>
  <c r="Z141" i="12"/>
  <c r="Z137" i="12"/>
  <c r="Z133" i="12"/>
  <c r="S133" i="12" s="1"/>
  <c r="Z129" i="12"/>
  <c r="S129" i="12" s="1"/>
  <c r="Z140" i="12"/>
  <c r="Z136" i="12"/>
  <c r="Z132" i="12"/>
  <c r="Z128" i="12"/>
  <c r="Z127" i="12"/>
  <c r="S127" i="12" s="1"/>
  <c r="Z123" i="12"/>
  <c r="Z122" i="12"/>
  <c r="Z121" i="12"/>
  <c r="Z120" i="12"/>
  <c r="Z119" i="12"/>
  <c r="Z118" i="12"/>
  <c r="S118" i="12" s="1"/>
  <c r="Z117" i="12"/>
  <c r="S117" i="12" s="1"/>
  <c r="Z116" i="12"/>
  <c r="Z115" i="12"/>
  <c r="Z114" i="12"/>
  <c r="Z113" i="12"/>
  <c r="Z112" i="12"/>
  <c r="Z110" i="12"/>
  <c r="Z126" i="12"/>
  <c r="S126" i="12" s="1"/>
  <c r="Z111" i="12"/>
  <c r="Z125" i="12"/>
  <c r="S125" i="12" s="1"/>
  <c r="Z124" i="12"/>
  <c r="Z109" i="12"/>
  <c r="V20" i="12"/>
  <c r="Z108" i="12"/>
  <c r="Z107" i="12"/>
  <c r="Z106" i="12"/>
  <c r="Z105" i="12"/>
  <c r="Z104" i="12"/>
  <c r="Z103" i="12"/>
  <c r="Z101" i="12"/>
  <c r="Z97" i="12"/>
  <c r="Z100" i="12"/>
  <c r="Z99" i="12"/>
  <c r="Z102" i="12"/>
  <c r="Z98" i="12"/>
  <c r="Z96" i="12"/>
  <c r="V21" i="12"/>
  <c r="V23" i="12" s="1"/>
  <c r="V34" i="12" s="1"/>
  <c r="Z95" i="12"/>
  <c r="Z94" i="12"/>
  <c r="Z93" i="12"/>
  <c r="Z92" i="12"/>
  <c r="Z91" i="12"/>
  <c r="Z88" i="12"/>
  <c r="Z89" i="12"/>
  <c r="Z90" i="12"/>
  <c r="Z66" i="12"/>
  <c r="Z65" i="12"/>
  <c r="Z64" i="12"/>
  <c r="Z63" i="12"/>
  <c r="Z62" i="12"/>
  <c r="Z61" i="12"/>
  <c r="Z60" i="12"/>
  <c r="Z59" i="12"/>
  <c r="Z58" i="12"/>
  <c r="Z57" i="12"/>
  <c r="Z56" i="12"/>
  <c r="Z53" i="12"/>
  <c r="Z47" i="12"/>
  <c r="Z54" i="12"/>
  <c r="Z48" i="12"/>
  <c r="Z55" i="12"/>
  <c r="Z51" i="12"/>
  <c r="Z50" i="12"/>
  <c r="Z49" i="12"/>
  <c r="Z52" i="12"/>
  <c r="Z87" i="12"/>
  <c r="Z83" i="12"/>
  <c r="Z86" i="12"/>
  <c r="Z82" i="12"/>
  <c r="Z81" i="12"/>
  <c r="Z80" i="12"/>
  <c r="Z79" i="12"/>
  <c r="Z78" i="12"/>
  <c r="Z85" i="12"/>
  <c r="Z74" i="12"/>
  <c r="Z77" i="12"/>
  <c r="Z76" i="12"/>
  <c r="Z73" i="12"/>
  <c r="Z72" i="12"/>
  <c r="Z68" i="12"/>
  <c r="Z44" i="12"/>
  <c r="Z40" i="12"/>
  <c r="Z36" i="12"/>
  <c r="Z42" i="12"/>
  <c r="Z75" i="12"/>
  <c r="Z71" i="12"/>
  <c r="Z67" i="12"/>
  <c r="Z43" i="12"/>
  <c r="Z39" i="12"/>
  <c r="Z35" i="12"/>
  <c r="Z84" i="12"/>
  <c r="Z70" i="12"/>
  <c r="Z46" i="12"/>
  <c r="Z38" i="12"/>
  <c r="Z32" i="12"/>
  <c r="Z31" i="12"/>
  <c r="Z30" i="12"/>
  <c r="Z69" i="12"/>
  <c r="Z34" i="12"/>
  <c r="Z37" i="12"/>
  <c r="Z45" i="12"/>
  <c r="Z41" i="12"/>
  <c r="Z33" i="12"/>
  <c r="Z15" i="12"/>
  <c r="C15" i="12"/>
  <c r="K15" i="12" s="1"/>
  <c r="B15" i="13" s="1"/>
  <c r="Z29" i="12"/>
  <c r="Z21" i="12"/>
  <c r="Z19" i="12"/>
  <c r="Z20" i="12"/>
  <c r="Z18" i="12"/>
  <c r="Z28" i="12"/>
  <c r="A35" i="11"/>
  <c r="Z25" i="12"/>
  <c r="Z27" i="12"/>
  <c r="Z24" i="12"/>
  <c r="Z26" i="12"/>
  <c r="Z23" i="12"/>
  <c r="C23" i="11"/>
  <c r="Z17" i="12"/>
  <c r="G17" i="12"/>
  <c r="G18" i="12" s="1"/>
  <c r="G19" i="12" s="1"/>
  <c r="G20" i="12" s="1"/>
  <c r="G21" i="12" s="1"/>
  <c r="F17" i="12"/>
  <c r="F18" i="12" s="1"/>
  <c r="F19" i="12" s="1"/>
  <c r="F20" i="12" s="1"/>
  <c r="F21" i="12" s="1"/>
  <c r="E17" i="12"/>
  <c r="E18" i="12" s="1"/>
  <c r="D17" i="12"/>
  <c r="D18" i="12" s="1"/>
  <c r="D19" i="12" s="1"/>
  <c r="D20" i="12" s="1"/>
  <c r="Z16" i="12"/>
  <c r="K14" i="12"/>
  <c r="Z14" i="12"/>
  <c r="Z22" i="12"/>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E19" i="12" l="1"/>
  <c r="I15" i="12"/>
  <c r="V22" i="12"/>
  <c r="V27" i="12" s="1"/>
  <c r="D21" i="12"/>
  <c r="V58" i="12"/>
  <c r="C16" i="12"/>
  <c r="B14" i="13"/>
  <c r="A38" i="11"/>
  <c r="H23" i="11"/>
  <c r="G23" i="11"/>
  <c r="F23" i="11"/>
  <c r="E23" i="11"/>
  <c r="C25" i="17"/>
  <c r="A26" i="17"/>
  <c r="C26" i="17" s="1"/>
  <c r="C6" i="17"/>
  <c r="A7" i="17"/>
  <c r="C7" i="17" s="1"/>
  <c r="Q20" i="17" s="1"/>
  <c r="V30" i="12" l="1"/>
  <c r="V33" i="12" s="1"/>
  <c r="E20" i="12"/>
  <c r="V94" i="12"/>
  <c r="C17" i="12"/>
  <c r="K16" i="12"/>
  <c r="B16" i="13" s="1"/>
  <c r="A41" i="11"/>
  <c r="A44" i="11" s="1"/>
  <c r="P18" i="17"/>
  <c r="R26" i="17"/>
  <c r="P22" i="17"/>
  <c r="P19" i="17"/>
  <c r="P21" i="17"/>
  <c r="R22" i="17"/>
  <c r="Q26" i="17"/>
  <c r="Q22" i="17"/>
  <c r="R19" i="17"/>
  <c r="P26" i="17"/>
  <c r="R21" i="17"/>
  <c r="R18" i="17"/>
  <c r="Q18" i="17"/>
  <c r="P20" i="17"/>
  <c r="R20" i="17"/>
  <c r="Q21" i="17"/>
  <c r="Q19" i="17"/>
  <c r="V39" i="12" l="1"/>
  <c r="V40" i="12"/>
  <c r="V67" i="12" s="1"/>
  <c r="E21" i="12"/>
  <c r="C18" i="12"/>
  <c r="K17" i="12"/>
  <c r="B17" i="13" s="1"/>
  <c r="A47" i="11"/>
  <c r="O26" i="17"/>
  <c r="O27" i="17" s="1"/>
  <c r="B20" i="11"/>
  <c r="V72" i="12" l="1"/>
  <c r="V89" i="12" s="1"/>
  <c r="V104" i="12" s="1"/>
  <c r="C19" i="12"/>
  <c r="K18" i="12"/>
  <c r="B18" i="13" s="1"/>
  <c r="A50" i="11"/>
  <c r="V27" i="17"/>
  <c r="T16" i="17" s="1"/>
  <c r="V83" i="12" l="1"/>
  <c r="V93" i="12" s="1"/>
  <c r="K19" i="12"/>
  <c r="B19" i="13" s="1"/>
  <c r="C20" i="12"/>
  <c r="V107" i="12" l="1"/>
  <c r="V117" i="12" s="1"/>
  <c r="V125" i="12" s="1"/>
  <c r="V162" i="12" s="1"/>
  <c r="V192" i="12" s="1"/>
  <c r="V240" i="12" s="1"/>
  <c r="V324" i="12" s="1"/>
  <c r="V368" i="12" s="1"/>
  <c r="V413" i="12" s="1"/>
  <c r="C21" i="12"/>
  <c r="K21" i="12" s="1"/>
  <c r="B21" i="13" s="1"/>
  <c r="K20" i="12"/>
  <c r="B20" i="13" s="1"/>
  <c r="F22" i="12" l="1"/>
  <c r="D22" i="12"/>
  <c r="E22" i="12"/>
  <c r="I20" i="12" l="1"/>
  <c r="E23" i="12"/>
  <c r="D23" i="12"/>
  <c r="I21" i="12" s="1"/>
  <c r="F23" i="12"/>
  <c r="F24" i="12" l="1"/>
  <c r="E24" i="12"/>
  <c r="D24" i="12" l="1"/>
  <c r="G22" i="12"/>
  <c r="E25" i="12" l="1"/>
  <c r="F25" i="12"/>
  <c r="G23" i="12"/>
  <c r="G24" i="12" s="1"/>
  <c r="F26" i="12" l="1"/>
  <c r="E26" i="12"/>
  <c r="E27" i="12" s="1"/>
  <c r="E28" i="12" s="1"/>
  <c r="E29" i="12" s="1"/>
  <c r="E30" i="12" s="1"/>
  <c r="E31" i="12" s="1"/>
  <c r="F27" i="12" l="1"/>
  <c r="E32" i="12"/>
  <c r="G25" i="12"/>
  <c r="F28" i="12" l="1"/>
  <c r="E33" i="12"/>
  <c r="G26" i="12"/>
  <c r="G27" i="12" s="1"/>
  <c r="G28" i="12" s="1"/>
  <c r="G29" i="12" s="1"/>
  <c r="G30" i="12" s="1"/>
  <c r="G31" i="12" s="1"/>
  <c r="G32" i="12" s="1"/>
  <c r="G33" i="12" s="1"/>
  <c r="G34" i="12" s="1"/>
  <c r="G35" i="12" s="1"/>
  <c r="G36" i="12" s="1"/>
  <c r="G37" i="12" s="1"/>
  <c r="G38" i="12" s="1"/>
  <c r="G39" i="12" s="1"/>
  <c r="G40" i="12" s="1"/>
  <c r="G41" i="12" s="1"/>
  <c r="G42" i="12" s="1"/>
  <c r="G43" i="12" s="1"/>
  <c r="G44" i="12" s="1"/>
  <c r="G45" i="12" s="1"/>
  <c r="G46" i="12" s="1"/>
  <c r="D25" i="12"/>
  <c r="F29" i="12" l="1"/>
  <c r="G47" i="12"/>
  <c r="G48" i="12" s="1"/>
  <c r="G49" i="12" s="1"/>
  <c r="G50" i="12" s="1"/>
  <c r="G51" i="12" s="1"/>
  <c r="G52" i="12" s="1"/>
  <c r="G53" i="12" s="1"/>
  <c r="G54" i="12" s="1"/>
  <c r="G55" i="12" s="1"/>
  <c r="G56" i="12" s="1"/>
  <c r="G57" i="12" s="1"/>
  <c r="G58" i="12" s="1"/>
  <c r="G59" i="12" s="1"/>
  <c r="G60" i="12" s="1"/>
  <c r="G61" i="12" s="1"/>
  <c r="G62" i="12" s="1"/>
  <c r="G63" i="12" s="1"/>
  <c r="G64" i="12" s="1"/>
  <c r="G65" i="12" s="1"/>
  <c r="G66" i="12" s="1"/>
  <c r="G67" i="12" s="1"/>
  <c r="G68" i="12" s="1"/>
  <c r="G69" i="12" s="1"/>
  <c r="G70" i="12" s="1"/>
  <c r="G71" i="12" s="1"/>
  <c r="G72" i="12" s="1"/>
  <c r="G73" i="12" s="1"/>
  <c r="G74" i="12" s="1"/>
  <c r="G75" i="12" s="1"/>
  <c r="G76" i="12" s="1"/>
  <c r="G77" i="12" s="1"/>
  <c r="G78" i="12" s="1"/>
  <c r="G79" i="12" s="1"/>
  <c r="G80" i="12" s="1"/>
  <c r="G81" i="12" s="1"/>
  <c r="G82" i="12" s="1"/>
  <c r="G83" i="12" s="1"/>
  <c r="G84" i="12" s="1"/>
  <c r="G85" i="12" s="1"/>
  <c r="G86" i="12" s="1"/>
  <c r="G87" i="12" s="1"/>
  <c r="E34" i="12"/>
  <c r="F30" i="12" l="1"/>
  <c r="I25" i="12"/>
  <c r="G88" i="12"/>
  <c r="G89" i="12" s="1"/>
  <c r="G90" i="12" s="1"/>
  <c r="G91" i="12" s="1"/>
  <c r="G92" i="12" s="1"/>
  <c r="G93" i="12" s="1"/>
  <c r="G94" i="12" s="1"/>
  <c r="G95" i="12" s="1"/>
  <c r="G96" i="12" s="1"/>
  <c r="G97" i="12" s="1"/>
  <c r="G98" i="12" s="1"/>
  <c r="G99" i="12" s="1"/>
  <c r="G100" i="12" s="1"/>
  <c r="G101" i="12" s="1"/>
  <c r="G102" i="12" s="1"/>
  <c r="G103" i="12" s="1"/>
  <c r="G104" i="12" s="1"/>
  <c r="G105" i="12" s="1"/>
  <c r="G106" i="12" s="1"/>
  <c r="G107" i="12" s="1"/>
  <c r="E35" i="12"/>
  <c r="D26" i="12"/>
  <c r="D27" i="12" s="1"/>
  <c r="D28" i="12" l="1"/>
  <c r="G108" i="12"/>
  <c r="G109" i="12" s="1"/>
  <c r="G110" i="12" s="1"/>
  <c r="G111" i="12" s="1"/>
  <c r="G112" i="12" s="1"/>
  <c r="G113" i="12" s="1"/>
  <c r="G114" i="12" s="1"/>
  <c r="G115" i="12" s="1"/>
  <c r="G116" i="12" s="1"/>
  <c r="G117" i="12" s="1"/>
  <c r="G118" i="12" s="1"/>
  <c r="G119" i="12" s="1"/>
  <c r="G120" i="12" s="1"/>
  <c r="G121" i="12" s="1"/>
  <c r="G122" i="12" s="1"/>
  <c r="G123" i="12" s="1"/>
  <c r="G124" i="12" s="1"/>
  <c r="G125" i="12" s="1"/>
  <c r="G126" i="12" s="1"/>
  <c r="G127" i="12" s="1"/>
  <c r="G128" i="12" s="1"/>
  <c r="G129" i="12" s="1"/>
  <c r="G130" i="12" s="1"/>
  <c r="G131" i="12" s="1"/>
  <c r="G132" i="12" s="1"/>
  <c r="G133" i="12" s="1"/>
  <c r="G134" i="12" s="1"/>
  <c r="G135" i="12" s="1"/>
  <c r="G136" i="12" s="1"/>
  <c r="G137" i="12" s="1"/>
  <c r="G138" i="12" s="1"/>
  <c r="G139" i="12" s="1"/>
  <c r="G140" i="12" s="1"/>
  <c r="G141" i="12" s="1"/>
  <c r="G142" i="12" s="1"/>
  <c r="G143" i="12" s="1"/>
  <c r="G144" i="12" s="1"/>
  <c r="G145" i="12" s="1"/>
  <c r="G146" i="12" s="1"/>
  <c r="G147" i="12" s="1"/>
  <c r="G148" i="12" s="1"/>
  <c r="G149" i="12" s="1"/>
  <c r="G150" i="12" s="1"/>
  <c r="G151" i="12" s="1"/>
  <c r="G152" i="12" s="1"/>
  <c r="G153" i="12" s="1"/>
  <c r="G154" i="12" s="1"/>
  <c r="G155" i="12" s="1"/>
  <c r="G156" i="12" s="1"/>
  <c r="G157" i="12" s="1"/>
  <c r="G158" i="12" s="1"/>
  <c r="G159" i="12" s="1"/>
  <c r="G160" i="12" s="1"/>
  <c r="G161" i="12" s="1"/>
  <c r="G162" i="12" s="1"/>
  <c r="G163" i="12" s="1"/>
  <c r="G164" i="12" s="1"/>
  <c r="G165" i="12" s="1"/>
  <c r="G166" i="12" s="1"/>
  <c r="G167" i="12" s="1"/>
  <c r="G168" i="12" s="1"/>
  <c r="G169" i="12" s="1"/>
  <c r="G170" i="12" s="1"/>
  <c r="G171" i="12" s="1"/>
  <c r="G172" i="12" s="1"/>
  <c r="G173" i="12" s="1"/>
  <c r="G174" i="12" s="1"/>
  <c r="G175" i="12" s="1"/>
  <c r="G176" i="12" s="1"/>
  <c r="G177" i="12" s="1"/>
  <c r="G178" i="12" s="1"/>
  <c r="G179" i="12" s="1"/>
  <c r="G180" i="12" s="1"/>
  <c r="G181" i="12" s="1"/>
  <c r="G182" i="12" s="1"/>
  <c r="G183" i="12" s="1"/>
  <c r="G184" i="12" s="1"/>
  <c r="G185" i="12" s="1"/>
  <c r="G186" i="12" s="1"/>
  <c r="G187" i="12" s="1"/>
  <c r="G188" i="12" s="1"/>
  <c r="G189" i="12" s="1"/>
  <c r="G190" i="12" s="1"/>
  <c r="G191" i="12" s="1"/>
  <c r="G192" i="12" s="1"/>
  <c r="G193" i="12" s="1"/>
  <c r="G194" i="12" s="1"/>
  <c r="G195" i="12" s="1"/>
  <c r="G196" i="12" s="1"/>
  <c r="G197" i="12" s="1"/>
  <c r="G198" i="12" s="1"/>
  <c r="G199" i="12" s="1"/>
  <c r="G200" i="12" s="1"/>
  <c r="G201" i="12" s="1"/>
  <c r="G202" i="12" s="1"/>
  <c r="G203" i="12" s="1"/>
  <c r="G204" i="12" s="1"/>
  <c r="G205" i="12" s="1"/>
  <c r="G206" i="12" s="1"/>
  <c r="G207" i="12" s="1"/>
  <c r="G208" i="12" s="1"/>
  <c r="G209" i="12" s="1"/>
  <c r="G210" i="12" s="1"/>
  <c r="G211" i="12" s="1"/>
  <c r="G212" i="12" s="1"/>
  <c r="G213" i="12" s="1"/>
  <c r="G214" i="12" s="1"/>
  <c r="G215" i="12" s="1"/>
  <c r="G216" i="12" s="1"/>
  <c r="G217" i="12" s="1"/>
  <c r="G218" i="12" s="1"/>
  <c r="G219" i="12" s="1"/>
  <c r="G220" i="12" s="1"/>
  <c r="G221" i="12" s="1"/>
  <c r="G222" i="12" s="1"/>
  <c r="G223" i="12" s="1"/>
  <c r="G224" i="12" s="1"/>
  <c r="G225" i="12" s="1"/>
  <c r="G226" i="12" s="1"/>
  <c r="G227" i="12" s="1"/>
  <c r="G228" i="12" s="1"/>
  <c r="G229" i="12" s="1"/>
  <c r="G230" i="12" s="1"/>
  <c r="G231" i="12" s="1"/>
  <c r="G232" i="12" s="1"/>
  <c r="G233" i="12" s="1"/>
  <c r="G234" i="12" s="1"/>
  <c r="G235" i="12" s="1"/>
  <c r="G236" i="12" s="1"/>
  <c r="G237" i="12" s="1"/>
  <c r="G238" i="12" s="1"/>
  <c r="G239" i="12" s="1"/>
  <c r="G240" i="12" s="1"/>
  <c r="G241" i="12" s="1"/>
  <c r="G242" i="12" s="1"/>
  <c r="G243" i="12" s="1"/>
  <c r="G244" i="12" s="1"/>
  <c r="G245" i="12" s="1"/>
  <c r="G246" i="12" s="1"/>
  <c r="G247" i="12" s="1"/>
  <c r="G248" i="12" s="1"/>
  <c r="G249" i="12" s="1"/>
  <c r="G250" i="12" s="1"/>
  <c r="G251" i="12" s="1"/>
  <c r="G252" i="12" s="1"/>
  <c r="G253" i="12" s="1"/>
  <c r="G254" i="12" s="1"/>
  <c r="G255" i="12" s="1"/>
  <c r="G256" i="12" s="1"/>
  <c r="G257" i="12" s="1"/>
  <c r="G258" i="12" s="1"/>
  <c r="G259" i="12" s="1"/>
  <c r="G260" i="12" s="1"/>
  <c r="G261" i="12" s="1"/>
  <c r="G262" i="12" s="1"/>
  <c r="G263" i="12" s="1"/>
  <c r="G264" i="12" s="1"/>
  <c r="G265" i="12" s="1"/>
  <c r="G266" i="12" s="1"/>
  <c r="G267" i="12" s="1"/>
  <c r="G268" i="12" s="1"/>
  <c r="G269" i="12" s="1"/>
  <c r="G270" i="12" s="1"/>
  <c r="G271" i="12" s="1"/>
  <c r="G272" i="12" s="1"/>
  <c r="G273" i="12" s="1"/>
  <c r="G274" i="12" s="1"/>
  <c r="G275" i="12" s="1"/>
  <c r="G276" i="12" s="1"/>
  <c r="G277" i="12" s="1"/>
  <c r="G278" i="12" s="1"/>
  <c r="G279" i="12" s="1"/>
  <c r="G280" i="12" s="1"/>
  <c r="G281" i="12" s="1"/>
  <c r="G282" i="12" s="1"/>
  <c r="G283" i="12" s="1"/>
  <c r="G284" i="12" s="1"/>
  <c r="G285" i="12" s="1"/>
  <c r="G286" i="12" s="1"/>
  <c r="G287" i="12" s="1"/>
  <c r="G288" i="12" s="1"/>
  <c r="G289" i="12" s="1"/>
  <c r="G290" i="12" s="1"/>
  <c r="G291" i="12" s="1"/>
  <c r="G292" i="12" s="1"/>
  <c r="G293" i="12" s="1"/>
  <c r="G294" i="12" s="1"/>
  <c r="G295" i="12" s="1"/>
  <c r="G296" i="12" s="1"/>
  <c r="G297" i="12" s="1"/>
  <c r="G298" i="12" s="1"/>
  <c r="G299" i="12" s="1"/>
  <c r="G300" i="12" s="1"/>
  <c r="G301" i="12" s="1"/>
  <c r="G302" i="12" s="1"/>
  <c r="G303" i="12" s="1"/>
  <c r="G304" i="12" s="1"/>
  <c r="G305" i="12" s="1"/>
  <c r="G306" i="12" s="1"/>
  <c r="G307" i="12" s="1"/>
  <c r="G308" i="12" s="1"/>
  <c r="G309" i="12" s="1"/>
  <c r="G310" i="12" s="1"/>
  <c r="G311" i="12" s="1"/>
  <c r="G312" i="12" s="1"/>
  <c r="G313" i="12" s="1"/>
  <c r="G314" i="12" s="1"/>
  <c r="G315" i="12" s="1"/>
  <c r="G316" i="12" s="1"/>
  <c r="G317" i="12" s="1"/>
  <c r="G318" i="12" s="1"/>
  <c r="G319" i="12" s="1"/>
  <c r="G320" i="12" s="1"/>
  <c r="G321" i="12" s="1"/>
  <c r="G322" i="12" s="1"/>
  <c r="G323" i="12" s="1"/>
  <c r="G324" i="12" s="1"/>
  <c r="G325" i="12" s="1"/>
  <c r="G326" i="12" s="1"/>
  <c r="G327" i="12" s="1"/>
  <c r="G328" i="12" s="1"/>
  <c r="G329" i="12" s="1"/>
  <c r="G330" i="12" s="1"/>
  <c r="G331" i="12" s="1"/>
  <c r="G332" i="12" s="1"/>
  <c r="G333" i="12" s="1"/>
  <c r="G334" i="12" s="1"/>
  <c r="G335" i="12" s="1"/>
  <c r="G336" i="12" s="1"/>
  <c r="G337" i="12" s="1"/>
  <c r="G338" i="12" s="1"/>
  <c r="G339" i="12" s="1"/>
  <c r="G340" i="12" s="1"/>
  <c r="G341" i="12" s="1"/>
  <c r="G342" i="12" s="1"/>
  <c r="G343" i="12" s="1"/>
  <c r="G344" i="12" s="1"/>
  <c r="G345" i="12" s="1"/>
  <c r="G346" i="12" s="1"/>
  <c r="G347" i="12" s="1"/>
  <c r="G348" i="12" s="1"/>
  <c r="G349" i="12" s="1"/>
  <c r="G350" i="12" s="1"/>
  <c r="G351" i="12" s="1"/>
  <c r="G352" i="12" s="1"/>
  <c r="G353" i="12" s="1"/>
  <c r="G354" i="12" s="1"/>
  <c r="G355" i="12" s="1"/>
  <c r="G356" i="12" s="1"/>
  <c r="G357" i="12" s="1"/>
  <c r="G358" i="12" s="1"/>
  <c r="G359" i="12" s="1"/>
  <c r="G360" i="12" s="1"/>
  <c r="G361" i="12" s="1"/>
  <c r="G362" i="12" s="1"/>
  <c r="G363" i="12" s="1"/>
  <c r="G364" i="12" s="1"/>
  <c r="G365" i="12" s="1"/>
  <c r="G366" i="12" s="1"/>
  <c r="G367" i="12" s="1"/>
  <c r="G368" i="12" s="1"/>
  <c r="G369" i="12" s="1"/>
  <c r="G370" i="12" s="1"/>
  <c r="G371" i="12" s="1"/>
  <c r="G372" i="12" s="1"/>
  <c r="G373" i="12" s="1"/>
  <c r="G374" i="12" s="1"/>
  <c r="G375" i="12" s="1"/>
  <c r="G376" i="12" s="1"/>
  <c r="G377" i="12" s="1"/>
  <c r="G378" i="12" s="1"/>
  <c r="G379" i="12" s="1"/>
  <c r="G380" i="12" s="1"/>
  <c r="G381" i="12" s="1"/>
  <c r="G382" i="12" s="1"/>
  <c r="G383" i="12" s="1"/>
  <c r="G384" i="12" s="1"/>
  <c r="G385" i="12" s="1"/>
  <c r="G386" i="12" s="1"/>
  <c r="G387" i="12" s="1"/>
  <c r="G388" i="12" s="1"/>
  <c r="G389" i="12" s="1"/>
  <c r="G390" i="12" s="1"/>
  <c r="G391" i="12" s="1"/>
  <c r="G392" i="12" s="1"/>
  <c r="G393" i="12" s="1"/>
  <c r="G394" i="12" s="1"/>
  <c r="G395" i="12" s="1"/>
  <c r="G396" i="12" s="1"/>
  <c r="G397" i="12" s="1"/>
  <c r="G398" i="12" s="1"/>
  <c r="G399" i="12" s="1"/>
  <c r="G400" i="12" s="1"/>
  <c r="G401" i="12" s="1"/>
  <c r="G402" i="12" s="1"/>
  <c r="G403" i="12" s="1"/>
  <c r="G404" i="12" s="1"/>
  <c r="G405" i="12" s="1"/>
  <c r="G406" i="12" s="1"/>
  <c r="G407" i="12" s="1"/>
  <c r="G408" i="12" s="1"/>
  <c r="G409" i="12" s="1"/>
  <c r="G410" i="12" s="1"/>
  <c r="G411" i="12" s="1"/>
  <c r="G412" i="12" s="1"/>
  <c r="G413" i="12" s="1"/>
  <c r="G414" i="12" s="1"/>
  <c r="G415" i="12" s="1"/>
  <c r="G416" i="12" s="1"/>
  <c r="G417" i="12" s="1"/>
  <c r="G418" i="12" s="1"/>
  <c r="G419" i="12" s="1"/>
  <c r="G420" i="12" s="1"/>
  <c r="G421" i="12" s="1"/>
  <c r="F31" i="12"/>
  <c r="E36" i="12"/>
  <c r="D29" i="12" l="1"/>
  <c r="D30" i="12" s="1"/>
  <c r="D31" i="12" s="1"/>
  <c r="D32" i="12" s="1"/>
  <c r="D33" i="12" s="1"/>
  <c r="D34" i="12" s="1"/>
  <c r="D35" i="12" s="1"/>
  <c r="D36" i="12" s="1"/>
  <c r="F32" i="12"/>
  <c r="F33" i="12" s="1"/>
  <c r="E37" i="12"/>
  <c r="I30" i="12" l="1"/>
  <c r="F34" i="12"/>
  <c r="I29" i="12"/>
  <c r="D37" i="12"/>
  <c r="E38" i="12"/>
  <c r="F35" i="12" l="1"/>
  <c r="D38" i="12"/>
  <c r="E39" i="12"/>
  <c r="F36" i="12" l="1"/>
  <c r="F37" i="12" s="1"/>
  <c r="F38" i="12" s="1"/>
  <c r="F39" i="12" s="1"/>
  <c r="F40" i="12" s="1"/>
  <c r="F41" i="12" s="1"/>
  <c r="F42" i="12" s="1"/>
  <c r="F43" i="12" s="1"/>
  <c r="F44" i="12" s="1"/>
  <c r="F45" i="12" s="1"/>
  <c r="D39" i="12"/>
  <c r="I27" i="12" s="1"/>
  <c r="E40" i="12"/>
  <c r="F46" i="12" l="1"/>
  <c r="D40" i="12"/>
  <c r="E41" i="12"/>
  <c r="E42" i="12" l="1"/>
  <c r="I33" i="12"/>
  <c r="F47" i="12"/>
  <c r="D41" i="12"/>
  <c r="H31" i="12"/>
  <c r="C26" i="11"/>
  <c r="E43" i="12" l="1"/>
  <c r="F48" i="12"/>
  <c r="D42" i="12"/>
  <c r="H26" i="11"/>
  <c r="G26" i="11"/>
  <c r="F26" i="11"/>
  <c r="E26" i="11"/>
  <c r="B23" i="11"/>
  <c r="E44" i="12" l="1"/>
  <c r="I41" i="12" s="1"/>
  <c r="F49" i="12"/>
  <c r="I31" i="12"/>
  <c r="B31" i="12" s="1"/>
  <c r="D43" i="12"/>
  <c r="C22" i="12"/>
  <c r="E45" i="12" l="1"/>
  <c r="F50" i="12"/>
  <c r="D44" i="12"/>
  <c r="D45" i="12" s="1"/>
  <c r="D46" i="12" s="1"/>
  <c r="C23" i="12"/>
  <c r="K22" i="12"/>
  <c r="E46" i="12" l="1"/>
  <c r="I50" i="12"/>
  <c r="F51" i="12"/>
  <c r="H45" i="12"/>
  <c r="D47" i="12"/>
  <c r="D48" i="12" s="1"/>
  <c r="D49" i="12" s="1"/>
  <c r="D50" i="12" s="1"/>
  <c r="D51" i="12" s="1"/>
  <c r="D52" i="12" s="1"/>
  <c r="D53" i="12" s="1"/>
  <c r="D54" i="12" s="1"/>
  <c r="D55" i="12" s="1"/>
  <c r="D56" i="12" s="1"/>
  <c r="D57" i="12" s="1"/>
  <c r="D58" i="12" s="1"/>
  <c r="B22" i="13"/>
  <c r="L21" i="11"/>
  <c r="K23" i="12"/>
  <c r="B23" i="13" s="1"/>
  <c r="E47" i="12" l="1"/>
  <c r="D59" i="12"/>
  <c r="F52" i="12"/>
  <c r="F53" i="12" s="1"/>
  <c r="F54" i="12" s="1"/>
  <c r="F55" i="12" s="1"/>
  <c r="F56" i="12" s="1"/>
  <c r="F57" i="12" s="1"/>
  <c r="F58" i="12" s="1"/>
  <c r="F59" i="12" s="1"/>
  <c r="F60" i="12" s="1"/>
  <c r="C24" i="12"/>
  <c r="E48" i="12" l="1"/>
  <c r="F61" i="12"/>
  <c r="D60" i="12"/>
  <c r="D61" i="12" s="1"/>
  <c r="D62" i="12" s="1"/>
  <c r="D63" i="12" s="1"/>
  <c r="D64" i="12" s="1"/>
  <c r="D65" i="12" s="1"/>
  <c r="D66" i="12" s="1"/>
  <c r="D67" i="12" s="1"/>
  <c r="K24" i="12"/>
  <c r="B24" i="13" s="1"/>
  <c r="D68" i="12" l="1"/>
  <c r="E49" i="12"/>
  <c r="F62" i="12"/>
  <c r="F63" i="12" s="1"/>
  <c r="F64" i="12" s="1"/>
  <c r="E50" i="12" l="1"/>
  <c r="D69" i="12"/>
  <c r="F65" i="12"/>
  <c r="H54" i="12"/>
  <c r="D70" i="12" l="1"/>
  <c r="D71" i="12" s="1"/>
  <c r="D72" i="12" s="1"/>
  <c r="E51" i="12"/>
  <c r="F66" i="12"/>
  <c r="C29" i="11"/>
  <c r="C35" i="11"/>
  <c r="C32" i="11"/>
  <c r="C38" i="11"/>
  <c r="C41" i="11"/>
  <c r="C47" i="11"/>
  <c r="C50" i="11"/>
  <c r="C44" i="11"/>
  <c r="I67" i="12" l="1"/>
  <c r="E52" i="12"/>
  <c r="E53" i="12" s="1"/>
  <c r="D73" i="12"/>
  <c r="F67" i="12"/>
  <c r="G38" i="11"/>
  <c r="H38" i="11"/>
  <c r="B38" i="11"/>
  <c r="H50" i="11"/>
  <c r="G50" i="11"/>
  <c r="B50" i="11"/>
  <c r="H47" i="11"/>
  <c r="G47" i="11"/>
  <c r="B47" i="11"/>
  <c r="G35" i="11"/>
  <c r="H35" i="11"/>
  <c r="B35" i="11"/>
  <c r="G44" i="11"/>
  <c r="H44" i="11"/>
  <c r="B44" i="11"/>
  <c r="H32" i="11"/>
  <c r="G32" i="11"/>
  <c r="B32" i="11"/>
  <c r="H29" i="11"/>
  <c r="B26" i="11"/>
  <c r="G29" i="11"/>
  <c r="B29" i="11"/>
  <c r="F29" i="11"/>
  <c r="E29" i="11"/>
  <c r="E32" i="11" s="1"/>
  <c r="E35" i="11" s="1"/>
  <c r="E38" i="11" s="1"/>
  <c r="E41" i="11" s="1"/>
  <c r="E44" i="11" s="1"/>
  <c r="E47" i="11" s="1"/>
  <c r="G41" i="11"/>
  <c r="H41" i="11"/>
  <c r="B41" i="11"/>
  <c r="I44" i="12" l="1"/>
  <c r="D74" i="12"/>
  <c r="E54" i="12"/>
  <c r="F32" i="11"/>
  <c r="F35" i="11" s="1"/>
  <c r="F38" i="11" s="1"/>
  <c r="F41" i="11" s="1"/>
  <c r="F44" i="11" s="1"/>
  <c r="F47" i="11" s="1"/>
  <c r="F50" i="11" s="1"/>
  <c r="J23" i="11"/>
  <c r="F68" i="12"/>
  <c r="I64" i="12" s="1"/>
  <c r="E50" i="11"/>
  <c r="P31" i="11"/>
  <c r="Q31" i="11" s="1"/>
  <c r="R31" i="11" s="1"/>
  <c r="S31" i="11" s="1"/>
  <c r="T31" i="11" s="1"/>
  <c r="U31" i="11" s="1"/>
  <c r="V30" i="11"/>
  <c r="W30" i="11"/>
  <c r="AC30" i="11"/>
  <c r="AC31" i="11" s="1"/>
  <c r="U27" i="11"/>
  <c r="AC27" i="11"/>
  <c r="AC28" i="11" s="1"/>
  <c r="P28" i="11"/>
  <c r="Q28" i="11" s="1"/>
  <c r="R28" i="11" s="1"/>
  <c r="S28" i="11" s="1"/>
  <c r="T28" i="11" s="1"/>
  <c r="W27" i="11"/>
  <c r="V27" i="11"/>
  <c r="D75" i="12" l="1"/>
  <c r="E55" i="12"/>
  <c r="F69" i="12"/>
  <c r="J20" i="11"/>
  <c r="V31" i="11"/>
  <c r="W31" i="11" s="1"/>
  <c r="U28" i="11"/>
  <c r="V28" i="11" s="1"/>
  <c r="W28" i="11" s="1"/>
  <c r="E56" i="12" l="1"/>
  <c r="D76" i="12"/>
  <c r="I85" i="12"/>
  <c r="F70" i="12"/>
  <c r="I94" i="12"/>
  <c r="E57" i="12" l="1"/>
  <c r="E58" i="12" s="1"/>
  <c r="E59" i="12" s="1"/>
  <c r="I53" i="12" s="1"/>
  <c r="D77" i="12"/>
  <c r="F71" i="12"/>
  <c r="C25" i="12"/>
  <c r="E60" i="12" l="1"/>
  <c r="I55" i="12" s="1"/>
  <c r="D78" i="12"/>
  <c r="F72" i="12"/>
  <c r="I20" i="11"/>
  <c r="D20" i="11" s="1"/>
  <c r="K25" i="12"/>
  <c r="B25" i="13" s="1"/>
  <c r="E61" i="12" l="1"/>
  <c r="E62" i="12" s="1"/>
  <c r="E63" i="12" s="1"/>
  <c r="I59" i="12" s="1"/>
  <c r="D79" i="12"/>
  <c r="D80" i="12" s="1"/>
  <c r="D81" i="12" s="1"/>
  <c r="D82" i="12" s="1"/>
  <c r="D83" i="12" s="1"/>
  <c r="D84" i="12" s="1"/>
  <c r="D85" i="12" s="1"/>
  <c r="D86" i="12" s="1"/>
  <c r="D87" i="12" s="1"/>
  <c r="D88" i="12" s="1"/>
  <c r="D89" i="12" s="1"/>
  <c r="D90" i="12" s="1"/>
  <c r="D91" i="12" s="1"/>
  <c r="D92" i="12" s="1"/>
  <c r="D93" i="12" s="1"/>
  <c r="D94" i="12" s="1"/>
  <c r="D95" i="12" s="1"/>
  <c r="D96" i="12" s="1"/>
  <c r="D97" i="12" s="1"/>
  <c r="D98" i="12" s="1"/>
  <c r="D99" i="12" s="1"/>
  <c r="D100" i="12" s="1"/>
  <c r="D101" i="12" s="1"/>
  <c r="D102" i="12" s="1"/>
  <c r="D103" i="12" s="1"/>
  <c r="D104" i="12" s="1"/>
  <c r="F73" i="12"/>
  <c r="F74" i="12" s="1"/>
  <c r="F75" i="12" s="1"/>
  <c r="F76" i="12" s="1"/>
  <c r="F77" i="12" s="1"/>
  <c r="E64" i="12" l="1"/>
  <c r="E65" i="12" s="1"/>
  <c r="F78" i="12"/>
  <c r="I72" i="12"/>
  <c r="D105" i="12"/>
  <c r="I23" i="11"/>
  <c r="D23" i="11" s="1"/>
  <c r="F79" i="12" l="1"/>
  <c r="D106" i="12"/>
  <c r="E66" i="12"/>
  <c r="H85" i="12"/>
  <c r="B85" i="12" s="1"/>
  <c r="I44" i="11"/>
  <c r="I29" i="11"/>
  <c r="I35" i="11"/>
  <c r="I32" i="11"/>
  <c r="I26" i="11"/>
  <c r="J38" i="11"/>
  <c r="I47" i="11"/>
  <c r="I50" i="11"/>
  <c r="I41" i="11"/>
  <c r="I38" i="11"/>
  <c r="J41" i="11"/>
  <c r="J26" i="11"/>
  <c r="J29" i="11"/>
  <c r="F80" i="12" l="1"/>
  <c r="I77" i="12"/>
  <c r="I60" i="12"/>
  <c r="E67" i="12"/>
  <c r="D107" i="12"/>
  <c r="D26" i="11"/>
  <c r="F83" i="12"/>
  <c r="F84" i="12" s="1"/>
  <c r="F85" i="12" s="1"/>
  <c r="F86" i="12" s="1"/>
  <c r="F87" i="12" s="1"/>
  <c r="F88" i="12" s="1"/>
  <c r="F89" i="12" s="1"/>
  <c r="F90" i="12" s="1"/>
  <c r="F91" i="12" s="1"/>
  <c r="F92" i="12" s="1"/>
  <c r="F93" i="12" s="1"/>
  <c r="F94" i="12" s="1"/>
  <c r="F95" i="12" s="1"/>
  <c r="F96" i="12" s="1"/>
  <c r="F97" i="12" s="1"/>
  <c r="F98" i="12" s="1"/>
  <c r="F99" i="12" s="1"/>
  <c r="F100" i="12" s="1"/>
  <c r="F101" i="12" s="1"/>
  <c r="F102" i="12" s="1"/>
  <c r="F103" i="12" s="1"/>
  <c r="F104" i="12" s="1"/>
  <c r="F105" i="12" s="1"/>
  <c r="F106" i="12" s="1"/>
  <c r="F107" i="12" s="1"/>
  <c r="H24" i="12"/>
  <c r="I24" i="12"/>
  <c r="H50" i="12"/>
  <c r="B50" i="12" s="1"/>
  <c r="I54" i="12"/>
  <c r="B54" i="12" s="1"/>
  <c r="H59" i="12"/>
  <c r="B59" i="12" s="1"/>
  <c r="D29" i="11"/>
  <c r="D41" i="11"/>
  <c r="D38" i="11"/>
  <c r="E68" i="12" l="1"/>
  <c r="I68" i="12"/>
  <c r="F81" i="12"/>
  <c r="H63" i="12"/>
  <c r="D108" i="12"/>
  <c r="F108" i="12"/>
  <c r="F109" i="12" s="1"/>
  <c r="F110" i="12" s="1"/>
  <c r="F111" i="12" s="1"/>
  <c r="F112" i="12" s="1"/>
  <c r="F113" i="12" s="1"/>
  <c r="F114" i="12" s="1"/>
  <c r="F115" i="12" s="1"/>
  <c r="F116" i="12" s="1"/>
  <c r="F117" i="12" s="1"/>
  <c r="F118" i="12" s="1"/>
  <c r="F119" i="12" s="1"/>
  <c r="F120" i="12" s="1"/>
  <c r="F121" i="12" s="1"/>
  <c r="F122" i="12" s="1"/>
  <c r="F123" i="12" s="1"/>
  <c r="F124" i="12" s="1"/>
  <c r="F125" i="12" s="1"/>
  <c r="F126" i="12" s="1"/>
  <c r="F127" i="12" s="1"/>
  <c r="I89" i="12"/>
  <c r="H80" i="12"/>
  <c r="B24" i="12"/>
  <c r="I80" i="12"/>
  <c r="H25" i="12"/>
  <c r="B25" i="12" s="1"/>
  <c r="H29" i="12"/>
  <c r="B29" i="12" s="1"/>
  <c r="I45" i="12"/>
  <c r="B45" i="12" s="1"/>
  <c r="H64" i="12"/>
  <c r="B64" i="12" s="1"/>
  <c r="H68" i="12"/>
  <c r="B68" i="12" s="1"/>
  <c r="J32" i="11"/>
  <c r="D32" i="11" s="1"/>
  <c r="J44" i="11"/>
  <c r="D44" i="11" s="1"/>
  <c r="J35" i="11"/>
  <c r="D35" i="11" s="1"/>
  <c r="J50" i="11"/>
  <c r="D50" i="11" s="1"/>
  <c r="J47" i="11"/>
  <c r="D47" i="11" s="1"/>
  <c r="C26" i="12"/>
  <c r="D109" i="12" l="1"/>
  <c r="D110" i="12" s="1"/>
  <c r="D111" i="12" s="1"/>
  <c r="D112" i="12" s="1"/>
  <c r="D113" i="12" s="1"/>
  <c r="D114" i="12" s="1"/>
  <c r="D115" i="12" s="1"/>
  <c r="D116" i="12" s="1"/>
  <c r="D117" i="12" s="1"/>
  <c r="F82" i="12"/>
  <c r="H77" i="12" s="1"/>
  <c r="B77" i="12" s="1"/>
  <c r="I79" i="12"/>
  <c r="F128" i="12"/>
  <c r="E69" i="12"/>
  <c r="B80" i="12"/>
  <c r="C27" i="12"/>
  <c r="C28" i="12" s="1"/>
  <c r="C29" i="12" s="1"/>
  <c r="K26" i="12"/>
  <c r="B26" i="13" s="1"/>
  <c r="I107" i="12" l="1"/>
  <c r="H79" i="12"/>
  <c r="B79" i="12" s="1"/>
  <c r="E70" i="12"/>
  <c r="E71" i="12" s="1"/>
  <c r="E72" i="12" s="1"/>
  <c r="E73" i="12" s="1"/>
  <c r="E74" i="12" s="1"/>
  <c r="E75" i="12" s="1"/>
  <c r="I73" i="12" s="1"/>
  <c r="F129" i="12"/>
  <c r="D118" i="12"/>
  <c r="I93" i="12"/>
  <c r="I83" i="12"/>
  <c r="I34" i="12"/>
  <c r="K29" i="12"/>
  <c r="B29" i="13" s="1"/>
  <c r="C30" i="12"/>
  <c r="I14" i="12"/>
  <c r="K28" i="12"/>
  <c r="B28" i="13" s="1"/>
  <c r="K27" i="12"/>
  <c r="B27" i="13" s="1"/>
  <c r="I23" i="12"/>
  <c r="E76" i="12" l="1"/>
  <c r="F130" i="12"/>
  <c r="I127" i="12"/>
  <c r="D119" i="12"/>
  <c r="E77" i="12"/>
  <c r="K30" i="12"/>
  <c r="B30" i="13" s="1"/>
  <c r="C31" i="12"/>
  <c r="D120" i="12" l="1"/>
  <c r="D121" i="12" s="1"/>
  <c r="D122" i="12" s="1"/>
  <c r="D123" i="12" s="1"/>
  <c r="D124" i="12" s="1"/>
  <c r="D125" i="12" s="1"/>
  <c r="F131" i="12"/>
  <c r="I129" i="12" s="1"/>
  <c r="E78" i="12"/>
  <c r="K31" i="12"/>
  <c r="B31" i="13" s="1"/>
  <c r="C32" i="12"/>
  <c r="I117" i="12" l="1"/>
  <c r="F132" i="12"/>
  <c r="D126" i="12"/>
  <c r="E79" i="12"/>
  <c r="K32" i="12"/>
  <c r="B32" i="13" s="1"/>
  <c r="C33" i="12"/>
  <c r="L24" i="11"/>
  <c r="D127" i="12" l="1"/>
  <c r="E80" i="12"/>
  <c r="F133" i="12"/>
  <c r="I75" i="12"/>
  <c r="C34" i="12"/>
  <c r="K33" i="12"/>
  <c r="B33" i="13" s="1"/>
  <c r="I22" i="12"/>
  <c r="E81" i="12" l="1"/>
  <c r="E82" i="12" s="1"/>
  <c r="D128" i="12"/>
  <c r="F134" i="12"/>
  <c r="I131" i="12"/>
  <c r="H20" i="12"/>
  <c r="B20" i="12" s="1"/>
  <c r="H30" i="12"/>
  <c r="B30" i="12" s="1"/>
  <c r="I40" i="12"/>
  <c r="H33" i="12"/>
  <c r="B33" i="12" s="1"/>
  <c r="H67" i="12"/>
  <c r="B67" i="12" s="1"/>
  <c r="H72" i="12"/>
  <c r="B72" i="12" s="1"/>
  <c r="I104" i="12"/>
  <c r="E83" i="12"/>
  <c r="H89" i="12"/>
  <c r="B89" i="12" s="1"/>
  <c r="H104" i="12"/>
  <c r="C35" i="12"/>
  <c r="K34" i="12"/>
  <c r="B34" i="13" s="1"/>
  <c r="H40" i="12" l="1"/>
  <c r="H76" i="12"/>
  <c r="F135" i="12"/>
  <c r="D129" i="12"/>
  <c r="D130" i="12" s="1"/>
  <c r="D131" i="12" s="1"/>
  <c r="D132" i="12" s="1"/>
  <c r="D133" i="12" s="1"/>
  <c r="D134" i="12" s="1"/>
  <c r="D135" i="12" s="1"/>
  <c r="D136" i="12" s="1"/>
  <c r="D137" i="12" s="1"/>
  <c r="D138" i="12" s="1"/>
  <c r="D139" i="12" s="1"/>
  <c r="D140" i="12" s="1"/>
  <c r="D141" i="12" s="1"/>
  <c r="D142" i="12" s="1"/>
  <c r="D143" i="12" s="1"/>
  <c r="D144" i="12" s="1"/>
  <c r="D145" i="12" s="1"/>
  <c r="D146" i="12" s="1"/>
  <c r="D147" i="12" s="1"/>
  <c r="D148" i="12" s="1"/>
  <c r="D149" i="12" s="1"/>
  <c r="D150" i="12" s="1"/>
  <c r="D151" i="12" s="1"/>
  <c r="D152" i="12" s="1"/>
  <c r="D153" i="12" s="1"/>
  <c r="D154" i="12" s="1"/>
  <c r="D155" i="12" s="1"/>
  <c r="D156" i="12" s="1"/>
  <c r="D157" i="12" s="1"/>
  <c r="D158" i="12" s="1"/>
  <c r="D159" i="12" s="1"/>
  <c r="D160" i="12" s="1"/>
  <c r="D161" i="12" s="1"/>
  <c r="D162" i="12" s="1"/>
  <c r="B40" i="12"/>
  <c r="E84" i="12"/>
  <c r="I81" i="12" s="1"/>
  <c r="B104" i="12"/>
  <c r="I58" i="12"/>
  <c r="H58" i="12"/>
  <c r="H94" i="12"/>
  <c r="B94" i="12" s="1"/>
  <c r="H21" i="12"/>
  <c r="B21" i="12" s="1"/>
  <c r="H23" i="12"/>
  <c r="B23" i="12" s="1"/>
  <c r="C36" i="12"/>
  <c r="K35" i="12"/>
  <c r="B35" i="13" s="1"/>
  <c r="F136" i="12" l="1"/>
  <c r="D163" i="12"/>
  <c r="I125" i="12"/>
  <c r="I133" i="12"/>
  <c r="E85" i="12"/>
  <c r="B58" i="12"/>
  <c r="C37" i="12"/>
  <c r="K36" i="12"/>
  <c r="B36" i="13" s="1"/>
  <c r="D164" i="12" l="1"/>
  <c r="D165" i="12" s="1"/>
  <c r="D166" i="12" s="1"/>
  <c r="D167" i="12" s="1"/>
  <c r="D168" i="12" s="1"/>
  <c r="D169" i="12" s="1"/>
  <c r="D170" i="12" s="1"/>
  <c r="D171" i="12" s="1"/>
  <c r="D172" i="12" s="1"/>
  <c r="D173" i="12" s="1"/>
  <c r="D174" i="12" s="1"/>
  <c r="D175" i="12" s="1"/>
  <c r="D176" i="12" s="1"/>
  <c r="D177" i="12" s="1"/>
  <c r="D178" i="12" s="1"/>
  <c r="D179" i="12" s="1"/>
  <c r="D180" i="12" s="1"/>
  <c r="D181" i="12" s="1"/>
  <c r="D182" i="12" s="1"/>
  <c r="D183" i="12" s="1"/>
  <c r="D184" i="12" s="1"/>
  <c r="D185" i="12" s="1"/>
  <c r="D186" i="12" s="1"/>
  <c r="D187" i="12" s="1"/>
  <c r="D188" i="12" s="1"/>
  <c r="D189" i="12" s="1"/>
  <c r="D190" i="12" s="1"/>
  <c r="D191" i="12" s="1"/>
  <c r="D192" i="12" s="1"/>
  <c r="F137" i="12"/>
  <c r="E86" i="12"/>
  <c r="C38" i="12"/>
  <c r="K37" i="12"/>
  <c r="B37" i="13" s="1"/>
  <c r="F138" i="12" l="1"/>
  <c r="I135" i="12" s="1"/>
  <c r="I162" i="12"/>
  <c r="D193" i="12"/>
  <c r="E87" i="12"/>
  <c r="E88" i="12" s="1"/>
  <c r="E89" i="12" s="1"/>
  <c r="E90" i="12" s="1"/>
  <c r="E91" i="12" s="1"/>
  <c r="E92" i="12" s="1"/>
  <c r="E93" i="12" s="1"/>
  <c r="E94" i="12" s="1"/>
  <c r="E95" i="12" s="1"/>
  <c r="E96" i="12" s="1"/>
  <c r="E97" i="12" s="1"/>
  <c r="E98" i="12" s="1"/>
  <c r="E99" i="12" s="1"/>
  <c r="E100" i="12" s="1"/>
  <c r="E101" i="12" s="1"/>
  <c r="E102" i="12" s="1"/>
  <c r="E103" i="12" s="1"/>
  <c r="E104" i="12" s="1"/>
  <c r="E105" i="12" s="1"/>
  <c r="E106" i="12" s="1"/>
  <c r="E107" i="12" s="1"/>
  <c r="E108" i="12" s="1"/>
  <c r="C39" i="12"/>
  <c r="K38" i="12"/>
  <c r="B38" i="13" s="1"/>
  <c r="D194" i="12" l="1"/>
  <c r="E109" i="12"/>
  <c r="F139" i="12"/>
  <c r="H15" i="12"/>
  <c r="B15" i="12" s="1"/>
  <c r="I18" i="12"/>
  <c r="H18" i="12"/>
  <c r="H81" i="12"/>
  <c r="B81" i="12" s="1"/>
  <c r="H84" i="12"/>
  <c r="H41" i="12"/>
  <c r="B41" i="12" s="1"/>
  <c r="H44" i="12"/>
  <c r="B44" i="12" s="1"/>
  <c r="H53" i="12"/>
  <c r="B53" i="12" s="1"/>
  <c r="I63" i="12"/>
  <c r="B63" i="12" s="1"/>
  <c r="H73" i="12"/>
  <c r="B73" i="12" s="1"/>
  <c r="H75" i="12"/>
  <c r="B75" i="12" s="1"/>
  <c r="C40" i="12"/>
  <c r="K39" i="12"/>
  <c r="B39" i="13" s="1"/>
  <c r="E110" i="12" l="1"/>
  <c r="F140" i="12"/>
  <c r="F141" i="12" s="1"/>
  <c r="F142" i="12" s="1"/>
  <c r="F143" i="12" s="1"/>
  <c r="D195" i="12"/>
  <c r="B18" i="12"/>
  <c r="C41" i="12"/>
  <c r="K40" i="12"/>
  <c r="B40" i="13" s="1"/>
  <c r="F144" i="12" l="1"/>
  <c r="E111" i="12"/>
  <c r="D196" i="12"/>
  <c r="I138" i="12"/>
  <c r="H93" i="12"/>
  <c r="B93" i="12" s="1"/>
  <c r="H34" i="12"/>
  <c r="B34" i="12" s="1"/>
  <c r="C42" i="12"/>
  <c r="K41" i="12"/>
  <c r="B41" i="13" s="1"/>
  <c r="E112" i="12" l="1"/>
  <c r="E113" i="12" s="1"/>
  <c r="E114" i="12" s="1"/>
  <c r="E115" i="12" s="1"/>
  <c r="E116" i="12" s="1"/>
  <c r="E117" i="12" s="1"/>
  <c r="E118" i="12" s="1"/>
  <c r="D197" i="12"/>
  <c r="F145" i="12"/>
  <c r="C43" i="12"/>
  <c r="K42" i="12"/>
  <c r="B42" i="13" s="1"/>
  <c r="H108" i="12" l="1"/>
  <c r="E119" i="12"/>
  <c r="D198" i="12"/>
  <c r="F146" i="12"/>
  <c r="C44" i="12"/>
  <c r="K43" i="12"/>
  <c r="B43" i="13" s="1"/>
  <c r="V39" i="11"/>
  <c r="F147" i="12" l="1"/>
  <c r="H143" i="12" s="1"/>
  <c r="D199" i="12"/>
  <c r="E120" i="12"/>
  <c r="C45" i="12"/>
  <c r="K44" i="12"/>
  <c r="B44" i="13" s="1"/>
  <c r="AC39" i="11"/>
  <c r="AC40" i="11" s="1"/>
  <c r="P40" i="11"/>
  <c r="Q40" i="11" s="1"/>
  <c r="W39" i="11"/>
  <c r="D200" i="12" l="1"/>
  <c r="D201" i="12" s="1"/>
  <c r="D202" i="12" s="1"/>
  <c r="D203" i="12" s="1"/>
  <c r="D204" i="12" s="1"/>
  <c r="D205" i="12" s="1"/>
  <c r="D206" i="12" s="1"/>
  <c r="D207" i="12" s="1"/>
  <c r="D208" i="12" s="1"/>
  <c r="D209" i="12" s="1"/>
  <c r="D210" i="12" s="1"/>
  <c r="D211" i="12" s="1"/>
  <c r="D212" i="12" s="1"/>
  <c r="D213" i="12" s="1"/>
  <c r="D214" i="12" s="1"/>
  <c r="D215" i="12" s="1"/>
  <c r="D216" i="12" s="1"/>
  <c r="D217" i="12" s="1"/>
  <c r="D218" i="12" s="1"/>
  <c r="D219" i="12" s="1"/>
  <c r="D220" i="12" s="1"/>
  <c r="D221" i="12" s="1"/>
  <c r="D222" i="12" s="1"/>
  <c r="D223" i="12" s="1"/>
  <c r="D224" i="12" s="1"/>
  <c r="D225" i="12" s="1"/>
  <c r="D226" i="12" s="1"/>
  <c r="D227" i="12" s="1"/>
  <c r="D228" i="12" s="1"/>
  <c r="D229" i="12" s="1"/>
  <c r="D230" i="12" s="1"/>
  <c r="D231" i="12" s="1"/>
  <c r="D232" i="12" s="1"/>
  <c r="D233" i="12" s="1"/>
  <c r="D234" i="12" s="1"/>
  <c r="D235" i="12" s="1"/>
  <c r="D236" i="12" s="1"/>
  <c r="D237" i="12" s="1"/>
  <c r="D238" i="12" s="1"/>
  <c r="D239" i="12" s="1"/>
  <c r="D240" i="12" s="1"/>
  <c r="E121" i="12"/>
  <c r="F148" i="12"/>
  <c r="F149" i="12" s="1"/>
  <c r="F150" i="12" s="1"/>
  <c r="F151" i="12" s="1"/>
  <c r="F152" i="12" s="1"/>
  <c r="F153" i="12" s="1"/>
  <c r="F154" i="12" s="1"/>
  <c r="F155" i="12" s="1"/>
  <c r="F156" i="12" s="1"/>
  <c r="F157" i="12" s="1"/>
  <c r="F158" i="12" s="1"/>
  <c r="F159" i="12" s="1"/>
  <c r="F160" i="12" s="1"/>
  <c r="F161" i="12" s="1"/>
  <c r="F162" i="12" s="1"/>
  <c r="F163" i="12" s="1"/>
  <c r="F164" i="12" s="1"/>
  <c r="F165" i="12" s="1"/>
  <c r="F166" i="12" s="1"/>
  <c r="F167" i="12" s="1"/>
  <c r="F168" i="12" s="1"/>
  <c r="F169" i="12" s="1"/>
  <c r="F170" i="12" s="1"/>
  <c r="F171" i="12" s="1"/>
  <c r="F172" i="12" s="1"/>
  <c r="F173" i="12" s="1"/>
  <c r="F174" i="12" s="1"/>
  <c r="F175" i="12" s="1"/>
  <c r="F176" i="12" s="1"/>
  <c r="F177" i="12" s="1"/>
  <c r="F178" i="12" s="1"/>
  <c r="F179" i="12" s="1"/>
  <c r="F180" i="12" s="1"/>
  <c r="F181" i="12" s="1"/>
  <c r="F182" i="12" s="1"/>
  <c r="F183" i="12" s="1"/>
  <c r="F184" i="12" s="1"/>
  <c r="F185" i="12" s="1"/>
  <c r="F186" i="12" s="1"/>
  <c r="F187" i="12" s="1"/>
  <c r="F188" i="12" s="1"/>
  <c r="F189" i="12" s="1"/>
  <c r="F190" i="12" s="1"/>
  <c r="F191" i="12" s="1"/>
  <c r="F192" i="12" s="1"/>
  <c r="F193" i="12" s="1"/>
  <c r="F194" i="12" s="1"/>
  <c r="F195" i="12" s="1"/>
  <c r="F196" i="12" s="1"/>
  <c r="F197" i="12" s="1"/>
  <c r="F198" i="12" s="1"/>
  <c r="F199" i="12" s="1"/>
  <c r="F200" i="12" s="1"/>
  <c r="F201" i="12" s="1"/>
  <c r="F202" i="12" s="1"/>
  <c r="F203" i="12" s="1"/>
  <c r="F204" i="12" s="1"/>
  <c r="F205" i="12" s="1"/>
  <c r="F206" i="12" s="1"/>
  <c r="F207" i="12" s="1"/>
  <c r="F208" i="12" s="1"/>
  <c r="F209" i="12" s="1"/>
  <c r="F210" i="12" s="1"/>
  <c r="F211" i="12" s="1"/>
  <c r="F212" i="12" s="1"/>
  <c r="F213" i="12" s="1"/>
  <c r="F214" i="12" s="1"/>
  <c r="F215" i="12" s="1"/>
  <c r="F216" i="12" s="1"/>
  <c r="F217" i="12" s="1"/>
  <c r="F218" i="12" s="1"/>
  <c r="F219" i="12" s="1"/>
  <c r="F220" i="12" s="1"/>
  <c r="F221" i="12" s="1"/>
  <c r="F222" i="12" s="1"/>
  <c r="F223" i="12" s="1"/>
  <c r="F224" i="12" s="1"/>
  <c r="F225" i="12" s="1"/>
  <c r="F226" i="12" s="1"/>
  <c r="F227" i="12" s="1"/>
  <c r="F228" i="12" s="1"/>
  <c r="F229" i="12" s="1"/>
  <c r="F230" i="12" s="1"/>
  <c r="F231" i="12" s="1"/>
  <c r="F232" i="12" s="1"/>
  <c r="F233" i="12" s="1"/>
  <c r="F234" i="12" s="1"/>
  <c r="F235" i="12" s="1"/>
  <c r="F236" i="12" s="1"/>
  <c r="F237" i="12" s="1"/>
  <c r="F238" i="12" s="1"/>
  <c r="F239" i="12" s="1"/>
  <c r="F240" i="12" s="1"/>
  <c r="F241" i="12" s="1"/>
  <c r="F242" i="12" s="1"/>
  <c r="F243" i="12" s="1"/>
  <c r="F244" i="12" s="1"/>
  <c r="F245" i="12" s="1"/>
  <c r="F246" i="12" s="1"/>
  <c r="F247" i="12" s="1"/>
  <c r="F248" i="12" s="1"/>
  <c r="F249" i="12" s="1"/>
  <c r="F250" i="12" s="1"/>
  <c r="F251" i="12" s="1"/>
  <c r="F252" i="12" s="1"/>
  <c r="F253" i="12" s="1"/>
  <c r="F254" i="12" s="1"/>
  <c r="F255" i="12" s="1"/>
  <c r="F256" i="12" s="1"/>
  <c r="F257" i="12" s="1"/>
  <c r="F258" i="12" s="1"/>
  <c r="F259" i="12" s="1"/>
  <c r="F260" i="12" s="1"/>
  <c r="F261" i="12" s="1"/>
  <c r="F262" i="12" s="1"/>
  <c r="F263" i="12" s="1"/>
  <c r="F264" i="12" s="1"/>
  <c r="F265" i="12" s="1"/>
  <c r="F266" i="12" s="1"/>
  <c r="F267" i="12" s="1"/>
  <c r="F268" i="12" s="1"/>
  <c r="F269" i="12" s="1"/>
  <c r="F270" i="12" s="1"/>
  <c r="F271" i="12" s="1"/>
  <c r="F272" i="12" s="1"/>
  <c r="F273" i="12" s="1"/>
  <c r="F274" i="12" s="1"/>
  <c r="F275" i="12" s="1"/>
  <c r="F276" i="12" s="1"/>
  <c r="F277" i="12" s="1"/>
  <c r="F278" i="12" s="1"/>
  <c r="F279" i="12" s="1"/>
  <c r="F280" i="12" s="1"/>
  <c r="F281" i="12" s="1"/>
  <c r="F282" i="12" s="1"/>
  <c r="F283" i="12" s="1"/>
  <c r="F284" i="12" s="1"/>
  <c r="F285" i="12" s="1"/>
  <c r="F286" i="12" s="1"/>
  <c r="F287" i="12" s="1"/>
  <c r="F288" i="12" s="1"/>
  <c r="F289" i="12" s="1"/>
  <c r="F290" i="12" s="1"/>
  <c r="F291" i="12" s="1"/>
  <c r="F292" i="12" s="1"/>
  <c r="F293" i="12" s="1"/>
  <c r="F294" i="12" s="1"/>
  <c r="F295" i="12" s="1"/>
  <c r="F296" i="12" s="1"/>
  <c r="F297" i="12" s="1"/>
  <c r="F298" i="12" s="1"/>
  <c r="F299" i="12" s="1"/>
  <c r="F300" i="12" s="1"/>
  <c r="F301" i="12" s="1"/>
  <c r="F302" i="12" s="1"/>
  <c r="F303" i="12" s="1"/>
  <c r="F304" i="12" s="1"/>
  <c r="F305" i="12" s="1"/>
  <c r="F306" i="12" s="1"/>
  <c r="F307" i="12" s="1"/>
  <c r="F308" i="12" s="1"/>
  <c r="F309" i="12" s="1"/>
  <c r="F310" i="12" s="1"/>
  <c r="F311" i="12" s="1"/>
  <c r="F312" i="12" s="1"/>
  <c r="F313" i="12" s="1"/>
  <c r="F314" i="12" s="1"/>
  <c r="F315" i="12" s="1"/>
  <c r="F316" i="12" s="1"/>
  <c r="F317" i="12" s="1"/>
  <c r="F318" i="12" s="1"/>
  <c r="F319" i="12" s="1"/>
  <c r="F320" i="12" s="1"/>
  <c r="F321" i="12" s="1"/>
  <c r="F322" i="12" s="1"/>
  <c r="F323" i="12" s="1"/>
  <c r="F324" i="12" s="1"/>
  <c r="F325" i="12" s="1"/>
  <c r="F326" i="12" s="1"/>
  <c r="F327" i="12" s="1"/>
  <c r="F328" i="12" s="1"/>
  <c r="F329" i="12" s="1"/>
  <c r="F330" i="12" s="1"/>
  <c r="F331" i="12" s="1"/>
  <c r="F332" i="12" s="1"/>
  <c r="F333" i="12" s="1"/>
  <c r="F334" i="12" s="1"/>
  <c r="F335" i="12" s="1"/>
  <c r="F336" i="12" s="1"/>
  <c r="F337" i="12" s="1"/>
  <c r="F338" i="12" s="1"/>
  <c r="F339" i="12" s="1"/>
  <c r="F340" i="12" s="1"/>
  <c r="F341" i="12" s="1"/>
  <c r="F342" i="12" s="1"/>
  <c r="F343" i="12" s="1"/>
  <c r="F344" i="12" s="1"/>
  <c r="F345" i="12" s="1"/>
  <c r="F346" i="12" s="1"/>
  <c r="F347" i="12" s="1"/>
  <c r="F348" i="12" s="1"/>
  <c r="F349" i="12" s="1"/>
  <c r="F350" i="12" s="1"/>
  <c r="F351" i="12" s="1"/>
  <c r="F352" i="12" s="1"/>
  <c r="F353" i="12" s="1"/>
  <c r="F354" i="12" s="1"/>
  <c r="F355" i="12" s="1"/>
  <c r="F356" i="12" s="1"/>
  <c r="F357" i="12" s="1"/>
  <c r="F358" i="12" s="1"/>
  <c r="F359" i="12" s="1"/>
  <c r="F360" i="12" s="1"/>
  <c r="F361" i="12" s="1"/>
  <c r="F362" i="12" s="1"/>
  <c r="F363" i="12" s="1"/>
  <c r="F364" i="12" s="1"/>
  <c r="F365" i="12" s="1"/>
  <c r="F366" i="12" s="1"/>
  <c r="F367" i="12" s="1"/>
  <c r="F368" i="12" s="1"/>
  <c r="F369" i="12" s="1"/>
  <c r="F370" i="12" s="1"/>
  <c r="F371" i="12" s="1"/>
  <c r="F372" i="12" s="1"/>
  <c r="F373" i="12" s="1"/>
  <c r="F374" i="12" s="1"/>
  <c r="F375" i="12" s="1"/>
  <c r="F376" i="12" s="1"/>
  <c r="F377" i="12" s="1"/>
  <c r="F378" i="12" s="1"/>
  <c r="F379" i="12" s="1"/>
  <c r="F380" i="12" s="1"/>
  <c r="F381" i="12" s="1"/>
  <c r="F382" i="12" s="1"/>
  <c r="F383" i="12" s="1"/>
  <c r="F384" i="12" s="1"/>
  <c r="F385" i="12" s="1"/>
  <c r="F386" i="12" s="1"/>
  <c r="F387" i="12" s="1"/>
  <c r="F388" i="12" s="1"/>
  <c r="F389" i="12" s="1"/>
  <c r="F390" i="12" s="1"/>
  <c r="F391" i="12" s="1"/>
  <c r="F392" i="12" s="1"/>
  <c r="F393" i="12" s="1"/>
  <c r="F394" i="12" s="1"/>
  <c r="F395" i="12" s="1"/>
  <c r="F396" i="12" s="1"/>
  <c r="F397" i="12" s="1"/>
  <c r="F398" i="12" s="1"/>
  <c r="F399" i="12" s="1"/>
  <c r="F400" i="12" s="1"/>
  <c r="F401" i="12" s="1"/>
  <c r="F402" i="12" s="1"/>
  <c r="F403" i="12" s="1"/>
  <c r="F404" i="12" s="1"/>
  <c r="F405" i="12" s="1"/>
  <c r="F406" i="12" s="1"/>
  <c r="F407" i="12" s="1"/>
  <c r="F408" i="12" s="1"/>
  <c r="F409" i="12" s="1"/>
  <c r="F410" i="12" s="1"/>
  <c r="F411" i="12" s="1"/>
  <c r="F412" i="12" s="1"/>
  <c r="F413" i="12" s="1"/>
  <c r="F414" i="12" s="1"/>
  <c r="F415" i="12" s="1"/>
  <c r="F416" i="12" s="1"/>
  <c r="F417" i="12" s="1"/>
  <c r="F418" i="12" s="1"/>
  <c r="F419" i="12" s="1"/>
  <c r="F420" i="12" s="1"/>
  <c r="F421" i="12" s="1"/>
  <c r="H138" i="12"/>
  <c r="B138" i="12" s="1"/>
  <c r="C46" i="12"/>
  <c r="C47" i="12" s="1"/>
  <c r="K45" i="12"/>
  <c r="B45" i="13" s="1"/>
  <c r="R40" i="11"/>
  <c r="I143" i="12" l="1"/>
  <c r="B143" i="12" s="1"/>
  <c r="D241" i="12"/>
  <c r="H129" i="12"/>
  <c r="B129" i="12" s="1"/>
  <c r="H127" i="12"/>
  <c r="B127" i="12" s="1"/>
  <c r="H131" i="12"/>
  <c r="B131" i="12" s="1"/>
  <c r="H133" i="12"/>
  <c r="B133" i="12" s="1"/>
  <c r="H135" i="12"/>
  <c r="B135" i="12" s="1"/>
  <c r="E122" i="12"/>
  <c r="C48" i="12"/>
  <c r="K47" i="12"/>
  <c r="B47" i="13" s="1"/>
  <c r="K46" i="12"/>
  <c r="B46" i="13" s="1"/>
  <c r="S40" i="11"/>
  <c r="D242" i="12" l="1"/>
  <c r="E123" i="12"/>
  <c r="E124" i="12" s="1"/>
  <c r="E125" i="12" s="1"/>
  <c r="E126" i="12" s="1"/>
  <c r="C49" i="12"/>
  <c r="K48" i="12"/>
  <c r="B48" i="13" s="1"/>
  <c r="T40" i="11"/>
  <c r="D243" i="12" l="1"/>
  <c r="D244" i="12" s="1"/>
  <c r="D245" i="12" s="1"/>
  <c r="D246" i="12" s="1"/>
  <c r="D247" i="12" s="1"/>
  <c r="D248" i="12" s="1"/>
  <c r="D249" i="12" s="1"/>
  <c r="D250" i="12" s="1"/>
  <c r="D251" i="12" s="1"/>
  <c r="D252" i="12" s="1"/>
  <c r="D253" i="12" s="1"/>
  <c r="D254" i="12" s="1"/>
  <c r="D255" i="12" s="1"/>
  <c r="D256" i="12" s="1"/>
  <c r="D257" i="12" s="1"/>
  <c r="D258" i="12" s="1"/>
  <c r="D259" i="12" s="1"/>
  <c r="D260" i="12" s="1"/>
  <c r="D261" i="12" s="1"/>
  <c r="D262" i="12" s="1"/>
  <c r="D263" i="12" s="1"/>
  <c r="D264" i="12" s="1"/>
  <c r="D265" i="12" s="1"/>
  <c r="D266" i="12" s="1"/>
  <c r="D267" i="12" s="1"/>
  <c r="D268" i="12" s="1"/>
  <c r="D269" i="12" s="1"/>
  <c r="D270" i="12" s="1"/>
  <c r="D271" i="12" s="1"/>
  <c r="D272" i="12" s="1"/>
  <c r="D273" i="12" s="1"/>
  <c r="D274" i="12" s="1"/>
  <c r="D275" i="12" s="1"/>
  <c r="D276" i="12" s="1"/>
  <c r="D277" i="12" s="1"/>
  <c r="D278" i="12" s="1"/>
  <c r="D279" i="12" s="1"/>
  <c r="D280" i="12" s="1"/>
  <c r="D281" i="12" s="1"/>
  <c r="D282" i="12" s="1"/>
  <c r="D283" i="12" s="1"/>
  <c r="D284" i="12" s="1"/>
  <c r="D285" i="12" s="1"/>
  <c r="D286" i="12" s="1"/>
  <c r="D287" i="12" s="1"/>
  <c r="D288" i="12" s="1"/>
  <c r="D289" i="12" s="1"/>
  <c r="D290" i="12" s="1"/>
  <c r="D291" i="12" s="1"/>
  <c r="D292" i="12" s="1"/>
  <c r="D293" i="12" s="1"/>
  <c r="D294" i="12" s="1"/>
  <c r="D295" i="12" s="1"/>
  <c r="D296" i="12" s="1"/>
  <c r="D297" i="12" s="1"/>
  <c r="D298" i="12" s="1"/>
  <c r="D299" i="12" s="1"/>
  <c r="D300" i="12" s="1"/>
  <c r="D301" i="12" s="1"/>
  <c r="D302" i="12" s="1"/>
  <c r="D303" i="12" s="1"/>
  <c r="D304" i="12" s="1"/>
  <c r="D305" i="12" s="1"/>
  <c r="D306" i="12" s="1"/>
  <c r="D307" i="12" s="1"/>
  <c r="D308" i="12" s="1"/>
  <c r="D309" i="12" s="1"/>
  <c r="D310" i="12" s="1"/>
  <c r="D311" i="12" s="1"/>
  <c r="D312" i="12" s="1"/>
  <c r="D313" i="12" s="1"/>
  <c r="D314" i="12" s="1"/>
  <c r="D315" i="12" s="1"/>
  <c r="D316" i="12" s="1"/>
  <c r="D317" i="12" s="1"/>
  <c r="D318" i="12" s="1"/>
  <c r="D319" i="12" s="1"/>
  <c r="D320" i="12" s="1"/>
  <c r="D321" i="12" s="1"/>
  <c r="D322" i="12" s="1"/>
  <c r="D323" i="12" s="1"/>
  <c r="D324" i="12" s="1"/>
  <c r="E127" i="12"/>
  <c r="H118" i="12"/>
  <c r="C50" i="12"/>
  <c r="K49" i="12"/>
  <c r="B49" i="13" s="1"/>
  <c r="U40" i="11"/>
  <c r="D325" i="12" l="1"/>
  <c r="E128" i="12"/>
  <c r="I240" i="12"/>
  <c r="C51" i="12"/>
  <c r="K50" i="12"/>
  <c r="B50" i="13" s="1"/>
  <c r="V40" i="11"/>
  <c r="D326" i="12" l="1"/>
  <c r="E129" i="12"/>
  <c r="K51" i="12"/>
  <c r="B51" i="13" s="1"/>
  <c r="C52" i="12"/>
  <c r="W40" i="11"/>
  <c r="D327" i="12" l="1"/>
  <c r="D328" i="12" s="1"/>
  <c r="D329" i="12" s="1"/>
  <c r="D330" i="12" s="1"/>
  <c r="D331" i="12" s="1"/>
  <c r="D332" i="12" s="1"/>
  <c r="D333" i="12" s="1"/>
  <c r="D334" i="12" s="1"/>
  <c r="D335" i="12" s="1"/>
  <c r="D336" i="12" s="1"/>
  <c r="D337" i="12" s="1"/>
  <c r="D338" i="12" s="1"/>
  <c r="D339" i="12" s="1"/>
  <c r="D340" i="12" s="1"/>
  <c r="D341" i="12" s="1"/>
  <c r="D342" i="12" s="1"/>
  <c r="D343" i="12" s="1"/>
  <c r="D344" i="12" s="1"/>
  <c r="D345" i="12" s="1"/>
  <c r="D346" i="12" s="1"/>
  <c r="D347" i="12" s="1"/>
  <c r="D348" i="12" s="1"/>
  <c r="D349" i="12" s="1"/>
  <c r="D350" i="12" s="1"/>
  <c r="D351" i="12" s="1"/>
  <c r="D352" i="12" s="1"/>
  <c r="D353" i="12" s="1"/>
  <c r="D354" i="12" s="1"/>
  <c r="D355" i="12" s="1"/>
  <c r="D356" i="12" s="1"/>
  <c r="D357" i="12" s="1"/>
  <c r="D358" i="12" s="1"/>
  <c r="D359" i="12" s="1"/>
  <c r="D360" i="12" s="1"/>
  <c r="D361" i="12" s="1"/>
  <c r="D362" i="12" s="1"/>
  <c r="D363" i="12" s="1"/>
  <c r="D364" i="12" s="1"/>
  <c r="D365" i="12" s="1"/>
  <c r="D366" i="12" s="1"/>
  <c r="D367" i="12" s="1"/>
  <c r="D368" i="12" s="1"/>
  <c r="E130" i="12"/>
  <c r="K52" i="12"/>
  <c r="B52" i="13" s="1"/>
  <c r="C53" i="12"/>
  <c r="M48" i="11"/>
  <c r="E131" i="12" l="1"/>
  <c r="D369" i="12"/>
  <c r="K53" i="12"/>
  <c r="B53" i="13" s="1"/>
  <c r="C54" i="12"/>
  <c r="D370" i="12" l="1"/>
  <c r="D371" i="12" s="1"/>
  <c r="D372" i="12" s="1"/>
  <c r="D373" i="12" s="1"/>
  <c r="D374" i="12" s="1"/>
  <c r="D375" i="12" s="1"/>
  <c r="D376" i="12" s="1"/>
  <c r="D377" i="12" s="1"/>
  <c r="D378" i="12" s="1"/>
  <c r="D379" i="12" s="1"/>
  <c r="D380" i="12" s="1"/>
  <c r="D381" i="12" s="1"/>
  <c r="D382" i="12" s="1"/>
  <c r="D383" i="12" s="1"/>
  <c r="D384" i="12" s="1"/>
  <c r="D385" i="12" s="1"/>
  <c r="D386" i="12" s="1"/>
  <c r="D387" i="12" s="1"/>
  <c r="D388" i="12" s="1"/>
  <c r="D389" i="12" s="1"/>
  <c r="D390" i="12" s="1"/>
  <c r="D391" i="12" s="1"/>
  <c r="D392" i="12" s="1"/>
  <c r="D393" i="12" s="1"/>
  <c r="D394" i="12" s="1"/>
  <c r="D395" i="12" s="1"/>
  <c r="D396" i="12" s="1"/>
  <c r="D397" i="12" s="1"/>
  <c r="D398" i="12" s="1"/>
  <c r="D399" i="12" s="1"/>
  <c r="D400" i="12" s="1"/>
  <c r="D401" i="12" s="1"/>
  <c r="D402" i="12" s="1"/>
  <c r="D403" i="12" s="1"/>
  <c r="D404" i="12" s="1"/>
  <c r="D405" i="12" s="1"/>
  <c r="D406" i="12" s="1"/>
  <c r="D407" i="12" s="1"/>
  <c r="D408" i="12" s="1"/>
  <c r="D409" i="12" s="1"/>
  <c r="D410" i="12" s="1"/>
  <c r="D411" i="12" s="1"/>
  <c r="D412" i="12" s="1"/>
  <c r="D413" i="12" s="1"/>
  <c r="E132" i="12"/>
  <c r="K54" i="12"/>
  <c r="B54" i="13" s="1"/>
  <c r="C55" i="12"/>
  <c r="E133" i="12" l="1"/>
  <c r="E134" i="12" s="1"/>
  <c r="E135" i="12" s="1"/>
  <c r="E136" i="12" s="1"/>
  <c r="E137" i="12" s="1"/>
  <c r="E138" i="12" s="1"/>
  <c r="E139" i="12" s="1"/>
  <c r="E140" i="12" s="1"/>
  <c r="E141" i="12" s="1"/>
  <c r="E142" i="12" s="1"/>
  <c r="E143" i="12" s="1"/>
  <c r="E144" i="12" s="1"/>
  <c r="E145" i="12" s="1"/>
  <c r="E146" i="12" s="1"/>
  <c r="E147" i="12" s="1"/>
  <c r="D414" i="12"/>
  <c r="I368" i="12"/>
  <c r="C56" i="12"/>
  <c r="K55" i="12"/>
  <c r="B55" i="13" s="1"/>
  <c r="D415" i="12" l="1"/>
  <c r="I126" i="12"/>
  <c r="E148" i="12"/>
  <c r="K56" i="12"/>
  <c r="B56" i="13" s="1"/>
  <c r="C57" i="12"/>
  <c r="E149" i="12" l="1"/>
  <c r="D416" i="12"/>
  <c r="K57" i="12"/>
  <c r="B57" i="13" s="1"/>
  <c r="C58" i="12"/>
  <c r="D417" i="12" l="1"/>
  <c r="D418" i="12" s="1"/>
  <c r="D419" i="12" s="1"/>
  <c r="D420" i="12" s="1"/>
  <c r="D421" i="12" s="1"/>
  <c r="E150" i="12"/>
  <c r="C59" i="12"/>
  <c r="K58" i="12"/>
  <c r="B58" i="13" s="1"/>
  <c r="I413" i="12" l="1"/>
  <c r="E151" i="12"/>
  <c r="H413" i="12"/>
  <c r="H39" i="12"/>
  <c r="I39" i="12"/>
  <c r="H107" i="12"/>
  <c r="B107" i="12" s="1"/>
  <c r="H117" i="12"/>
  <c r="B117" i="12" s="1"/>
  <c r="H125" i="12"/>
  <c r="B125" i="12" s="1"/>
  <c r="H27" i="12"/>
  <c r="B27" i="12" s="1"/>
  <c r="H162" i="12"/>
  <c r="B162" i="12" s="1"/>
  <c r="I192" i="12"/>
  <c r="H192" i="12"/>
  <c r="H83" i="12"/>
  <c r="B83" i="12" s="1"/>
  <c r="H14" i="12"/>
  <c r="B14" i="12" s="1"/>
  <c r="H240" i="12"/>
  <c r="B240" i="12" s="1"/>
  <c r="I324" i="12"/>
  <c r="H324" i="12"/>
  <c r="H368" i="12"/>
  <c r="B368" i="12" s="1"/>
  <c r="C60" i="12"/>
  <c r="K59" i="12"/>
  <c r="B59" i="13" s="1"/>
  <c r="B324" i="12" l="1"/>
  <c r="B413" i="12"/>
  <c r="B39" i="12"/>
  <c r="E152" i="12"/>
  <c r="B192" i="12"/>
  <c r="I147" i="12"/>
  <c r="C61" i="12"/>
  <c r="K60" i="12"/>
  <c r="B60" i="13" s="1"/>
  <c r="E153" i="12" l="1"/>
  <c r="E154" i="12" s="1"/>
  <c r="E155" i="12" s="1"/>
  <c r="E156" i="12" s="1"/>
  <c r="E157" i="12" s="1"/>
  <c r="E158" i="12" s="1"/>
  <c r="E159" i="12" s="1"/>
  <c r="E160" i="12" s="1"/>
  <c r="E161" i="12" s="1"/>
  <c r="E162" i="12" s="1"/>
  <c r="E163" i="12" s="1"/>
  <c r="K61" i="12"/>
  <c r="B61" i="13" s="1"/>
  <c r="C62" i="12"/>
  <c r="H151" i="12" l="1"/>
  <c r="E164" i="12"/>
  <c r="C63" i="12"/>
  <c r="K62" i="12"/>
  <c r="B62" i="13" s="1"/>
  <c r="E165" i="12" l="1"/>
  <c r="K63" i="12"/>
  <c r="B63" i="13" s="1"/>
  <c r="C64" i="12"/>
  <c r="E166" i="12" l="1"/>
  <c r="C65" i="12"/>
  <c r="K64" i="12"/>
  <c r="B64" i="13" s="1"/>
  <c r="E167" i="12" l="1"/>
  <c r="K65" i="12"/>
  <c r="B65" i="13" s="1"/>
  <c r="C66" i="12"/>
  <c r="E168" i="12" l="1"/>
  <c r="K66" i="12"/>
  <c r="B66" i="13" s="1"/>
  <c r="C67" i="12"/>
  <c r="E169" i="12" l="1"/>
  <c r="K67" i="12"/>
  <c r="B67" i="13" s="1"/>
  <c r="C68" i="12"/>
  <c r="E170" i="12" l="1"/>
  <c r="C69" i="12"/>
  <c r="K68" i="12"/>
  <c r="B68" i="13" s="1"/>
  <c r="E171" i="12" l="1"/>
  <c r="C70" i="12"/>
  <c r="K69" i="12"/>
  <c r="B69" i="13" s="1"/>
  <c r="E172" i="12" l="1"/>
  <c r="C71" i="12"/>
  <c r="K70" i="12"/>
  <c r="B70" i="13" s="1"/>
  <c r="E173" i="12" l="1"/>
  <c r="E174" i="12" s="1"/>
  <c r="E175" i="12" s="1"/>
  <c r="E176" i="12" s="1"/>
  <c r="E177" i="12" s="1"/>
  <c r="E178" i="12" s="1"/>
  <c r="E179" i="12" s="1"/>
  <c r="K71" i="12"/>
  <c r="B71" i="13" s="1"/>
  <c r="C72" i="12"/>
  <c r="E180" i="12" l="1"/>
  <c r="K72" i="12"/>
  <c r="B72" i="13" s="1"/>
  <c r="C73" i="12"/>
  <c r="E181" i="12" l="1"/>
  <c r="C74" i="12"/>
  <c r="K73" i="12"/>
  <c r="B73" i="13" s="1"/>
  <c r="E182" i="12" l="1"/>
  <c r="K74" i="12"/>
  <c r="B74" i="13" s="1"/>
  <c r="C75" i="12"/>
  <c r="E183" i="12" l="1"/>
  <c r="K75" i="12"/>
  <c r="B75" i="13" s="1"/>
  <c r="C76" i="12"/>
  <c r="E184" i="12" l="1"/>
  <c r="C77" i="12"/>
  <c r="K76" i="12"/>
  <c r="B76" i="13" s="1"/>
  <c r="E185" i="12" l="1"/>
  <c r="K77" i="12"/>
  <c r="B77" i="13" s="1"/>
  <c r="C78" i="12"/>
  <c r="E186" i="12" l="1"/>
  <c r="E187" i="12" s="1"/>
  <c r="E188" i="12" s="1"/>
  <c r="E189" i="12" s="1"/>
  <c r="E190" i="12" s="1"/>
  <c r="E191" i="12" s="1"/>
  <c r="E192" i="12" s="1"/>
  <c r="E193" i="12" s="1"/>
  <c r="K78" i="12"/>
  <c r="B78" i="13" s="1"/>
  <c r="C79" i="12"/>
  <c r="E194" i="12" l="1"/>
  <c r="K79" i="12"/>
  <c r="B79" i="13" s="1"/>
  <c r="C80" i="12"/>
  <c r="E195" i="12" l="1"/>
  <c r="K80" i="12"/>
  <c r="B80" i="13" s="1"/>
  <c r="C81" i="12"/>
  <c r="E196" i="12" l="1"/>
  <c r="K81" i="12"/>
  <c r="B81" i="13" s="1"/>
  <c r="C82" i="12"/>
  <c r="E197" i="12" l="1"/>
  <c r="K82" i="12"/>
  <c r="B82" i="13" s="1"/>
  <c r="C83" i="12"/>
  <c r="E198" i="12" l="1"/>
  <c r="K83" i="12"/>
  <c r="B83" i="13" s="1"/>
  <c r="C84" i="12"/>
  <c r="E199" i="12" l="1"/>
  <c r="K84" i="12"/>
  <c r="B84" i="13" s="1"/>
  <c r="C85" i="12"/>
  <c r="E200" i="12" l="1"/>
  <c r="K85" i="12"/>
  <c r="B85" i="13" s="1"/>
  <c r="C86" i="12"/>
  <c r="E201" i="12" l="1"/>
  <c r="K86" i="12"/>
  <c r="B86" i="13" s="1"/>
  <c r="C87" i="12"/>
  <c r="C88" i="12" s="1"/>
  <c r="E202" i="12" l="1"/>
  <c r="E203" i="12" s="1"/>
  <c r="E204" i="12" s="1"/>
  <c r="E205" i="12" s="1"/>
  <c r="E206" i="12" s="1"/>
  <c r="E207" i="12" s="1"/>
  <c r="E208" i="12" s="1"/>
  <c r="E209" i="12" s="1"/>
  <c r="E210" i="12" s="1"/>
  <c r="E211" i="12" s="1"/>
  <c r="E212" i="12" s="1"/>
  <c r="E213" i="12" s="1"/>
  <c r="E214" i="12" s="1"/>
  <c r="E215" i="12" s="1"/>
  <c r="E216" i="12" s="1"/>
  <c r="E217" i="12" s="1"/>
  <c r="E218" i="12" s="1"/>
  <c r="E219" i="12" s="1"/>
  <c r="E220" i="12" s="1"/>
  <c r="E221" i="12" s="1"/>
  <c r="E222" i="12" s="1"/>
  <c r="E223" i="12" s="1"/>
  <c r="E224" i="12" s="1"/>
  <c r="E225" i="12" s="1"/>
  <c r="E226" i="12" s="1"/>
  <c r="E227" i="12" s="1"/>
  <c r="E228" i="12" s="1"/>
  <c r="E229" i="12" s="1"/>
  <c r="E230" i="12" s="1"/>
  <c r="E231" i="12" s="1"/>
  <c r="E232" i="12" s="1"/>
  <c r="E233" i="12" s="1"/>
  <c r="E234" i="12" s="1"/>
  <c r="E235" i="12" s="1"/>
  <c r="E236" i="12" s="1"/>
  <c r="E237" i="12" s="1"/>
  <c r="E238" i="12" s="1"/>
  <c r="E239" i="12" s="1"/>
  <c r="E240" i="12" s="1"/>
  <c r="E241" i="12" s="1"/>
  <c r="C89" i="12"/>
  <c r="K88" i="12"/>
  <c r="B88" i="13" s="1"/>
  <c r="K87" i="12"/>
  <c r="B87" i="13" s="1"/>
  <c r="E242" i="12" l="1"/>
  <c r="C90" i="12"/>
  <c r="K89" i="12"/>
  <c r="B89" i="13" s="1"/>
  <c r="E243" i="12" l="1"/>
  <c r="C91" i="12"/>
  <c r="K90" i="12"/>
  <c r="B90" i="13" s="1"/>
  <c r="E244" i="12" l="1"/>
  <c r="C92" i="12"/>
  <c r="K91" i="12"/>
  <c r="B91" i="13" s="1"/>
  <c r="V42" i="11"/>
  <c r="W42" i="11"/>
  <c r="E245" i="12" l="1"/>
  <c r="K92" i="12"/>
  <c r="B92" i="13" s="1"/>
  <c r="C93" i="12"/>
  <c r="E246" i="12" l="1"/>
  <c r="K93" i="12"/>
  <c r="B93" i="13" s="1"/>
  <c r="C94" i="12"/>
  <c r="P43" i="11"/>
  <c r="AC42" i="11"/>
  <c r="AC43" i="11" s="1"/>
  <c r="E247" i="12" l="1"/>
  <c r="K94" i="12"/>
  <c r="B94" i="13" s="1"/>
  <c r="C95" i="12"/>
  <c r="C96" i="12" s="1"/>
  <c r="Q43" i="11"/>
  <c r="R43" i="11" s="1"/>
  <c r="E248" i="12" l="1"/>
  <c r="K96" i="12"/>
  <c r="B96" i="13" s="1"/>
  <c r="C97" i="12"/>
  <c r="K95" i="12"/>
  <c r="B95" i="13" s="1"/>
  <c r="S43" i="11"/>
  <c r="E249" i="12" l="1"/>
  <c r="K97" i="12"/>
  <c r="B97" i="13" s="1"/>
  <c r="C98" i="12"/>
  <c r="T43" i="11"/>
  <c r="E250" i="12" l="1"/>
  <c r="C99" i="12"/>
  <c r="K98" i="12"/>
  <c r="B98" i="13" s="1"/>
  <c r="U43" i="11"/>
  <c r="E251" i="12" l="1"/>
  <c r="E252" i="12" s="1"/>
  <c r="E253" i="12" s="1"/>
  <c r="E254" i="12" s="1"/>
  <c r="E255" i="12" s="1"/>
  <c r="E256" i="12" s="1"/>
  <c r="E257" i="12" s="1"/>
  <c r="E258" i="12" s="1"/>
  <c r="E259" i="12" s="1"/>
  <c r="E260" i="12" s="1"/>
  <c r="E261" i="12" s="1"/>
  <c r="E262" i="12" s="1"/>
  <c r="E263" i="12" s="1"/>
  <c r="C100" i="12"/>
  <c r="K99" i="12"/>
  <c r="B99" i="13" s="1"/>
  <c r="V43" i="11"/>
  <c r="E264" i="12" l="1"/>
  <c r="C101" i="12"/>
  <c r="K100" i="12"/>
  <c r="B100" i="13" s="1"/>
  <c r="W43" i="11"/>
  <c r="E265" i="12" l="1"/>
  <c r="C102" i="12"/>
  <c r="K101" i="12"/>
  <c r="B101" i="13" s="1"/>
  <c r="L27" i="11"/>
  <c r="L30" i="11"/>
  <c r="E266" i="12" l="1"/>
  <c r="C103" i="12"/>
  <c r="K102" i="12"/>
  <c r="B102" i="13" s="1"/>
  <c r="H22" i="12"/>
  <c r="B22" i="12" s="1"/>
  <c r="E267" i="12" l="1"/>
  <c r="C104" i="12"/>
  <c r="K103" i="12"/>
  <c r="B103" i="13" s="1"/>
  <c r="E268" i="12" l="1"/>
  <c r="K104" i="12"/>
  <c r="B104" i="13" s="1"/>
  <c r="C105" i="12"/>
  <c r="C14" i="13"/>
  <c r="M21" i="11"/>
  <c r="E269" i="12" l="1"/>
  <c r="C106" i="12"/>
  <c r="K105" i="12"/>
  <c r="B105" i="13" s="1"/>
  <c r="T21" i="11"/>
  <c r="W21" i="11"/>
  <c r="V21" i="11"/>
  <c r="U21" i="11"/>
  <c r="E270" i="12" l="1"/>
  <c r="C107" i="12"/>
  <c r="C108" i="12" s="1"/>
  <c r="C109" i="12" s="1"/>
  <c r="K106" i="12"/>
  <c r="B106" i="13" s="1"/>
  <c r="P22" i="11"/>
  <c r="AC21" i="11"/>
  <c r="AC22" i="11" s="1"/>
  <c r="E271" i="12" l="1"/>
  <c r="C110" i="12"/>
  <c r="K109" i="12"/>
  <c r="B109" i="13" s="1"/>
  <c r="K108" i="12"/>
  <c r="B108" i="13" s="1"/>
  <c r="K107" i="12"/>
  <c r="B107" i="13" s="1"/>
  <c r="Q22" i="11"/>
  <c r="R22" i="11" s="1"/>
  <c r="S22" i="11" s="1"/>
  <c r="L33" i="11" l="1"/>
  <c r="E272" i="12"/>
  <c r="C111" i="12"/>
  <c r="K110" i="12"/>
  <c r="B110" i="13" s="1"/>
  <c r="T22" i="11"/>
  <c r="E273" i="12" l="1"/>
  <c r="E274" i="12" s="1"/>
  <c r="E275" i="12" s="1"/>
  <c r="E276" i="12" s="1"/>
  <c r="E277" i="12" s="1"/>
  <c r="E278" i="12" s="1"/>
  <c r="E279" i="12" s="1"/>
  <c r="E280" i="12" s="1"/>
  <c r="E281" i="12" s="1"/>
  <c r="E282" i="12" s="1"/>
  <c r="E283" i="12" s="1"/>
  <c r="E284" i="12" s="1"/>
  <c r="E285" i="12" s="1"/>
  <c r="E286" i="12" s="1"/>
  <c r="E287" i="12" s="1"/>
  <c r="E288" i="12" s="1"/>
  <c r="E289" i="12" s="1"/>
  <c r="E290" i="12" s="1"/>
  <c r="E291" i="12" s="1"/>
  <c r="E292" i="12" s="1"/>
  <c r="E293" i="12" s="1"/>
  <c r="E294" i="12" s="1"/>
  <c r="E295" i="12" s="1"/>
  <c r="E296" i="12" s="1"/>
  <c r="E297" i="12" s="1"/>
  <c r="E298" i="12" s="1"/>
  <c r="E299" i="12" s="1"/>
  <c r="C112" i="12"/>
  <c r="K111" i="12"/>
  <c r="B111" i="13" s="1"/>
  <c r="U22" i="11"/>
  <c r="V22" i="11" s="1"/>
  <c r="E300" i="12" l="1"/>
  <c r="K112" i="12"/>
  <c r="B112" i="13" s="1"/>
  <c r="C113" i="12"/>
  <c r="W22" i="11"/>
  <c r="E301" i="12" l="1"/>
  <c r="K113" i="12"/>
  <c r="B113" i="13" s="1"/>
  <c r="C114" i="12"/>
  <c r="W48" i="11"/>
  <c r="W36" i="11"/>
  <c r="E302" i="12" l="1"/>
  <c r="E303" i="12" s="1"/>
  <c r="E304" i="12" s="1"/>
  <c r="E305" i="12" s="1"/>
  <c r="E306" i="12" s="1"/>
  <c r="E307" i="12" s="1"/>
  <c r="E308" i="12" s="1"/>
  <c r="E309" i="12" s="1"/>
  <c r="E310" i="12" s="1"/>
  <c r="E311" i="12" s="1"/>
  <c r="E312" i="12" s="1"/>
  <c r="E313" i="12" s="1"/>
  <c r="E314" i="12" s="1"/>
  <c r="E315" i="12" s="1"/>
  <c r="E316" i="12" s="1"/>
  <c r="E317" i="12" s="1"/>
  <c r="E318" i="12" s="1"/>
  <c r="E319" i="12" s="1"/>
  <c r="E320" i="12" s="1"/>
  <c r="E321" i="12" s="1"/>
  <c r="E322" i="12" s="1"/>
  <c r="E323" i="12" s="1"/>
  <c r="E324" i="12" s="1"/>
  <c r="E325" i="12" s="1"/>
  <c r="K114" i="12"/>
  <c r="B114" i="13" s="1"/>
  <c r="C115" i="12"/>
  <c r="W24" i="11"/>
  <c r="V24" i="11"/>
  <c r="P25" i="11"/>
  <c r="Q25" i="11" s="1"/>
  <c r="AC24" i="11"/>
  <c r="AC25" i="11" s="1"/>
  <c r="H299" i="12" l="1"/>
  <c r="E326" i="12"/>
  <c r="K115" i="12"/>
  <c r="B115" i="13" s="1"/>
  <c r="C116" i="12"/>
  <c r="R25" i="11"/>
  <c r="S25" i="11" s="1"/>
  <c r="E327" i="12" l="1"/>
  <c r="C117" i="12"/>
  <c r="K116" i="12"/>
  <c r="B116" i="13" s="1"/>
  <c r="T25" i="11"/>
  <c r="E328" i="12" l="1"/>
  <c r="K117" i="12"/>
  <c r="C118" i="12"/>
  <c r="U25" i="11"/>
  <c r="B117" i="13" l="1"/>
  <c r="L36" i="11"/>
  <c r="E329" i="12"/>
  <c r="K118" i="12"/>
  <c r="B118" i="13" s="1"/>
  <c r="C119" i="12"/>
  <c r="V25" i="11"/>
  <c r="E330" i="12" l="1"/>
  <c r="E331" i="12" s="1"/>
  <c r="E332" i="12" s="1"/>
  <c r="E333" i="12" s="1"/>
  <c r="E334" i="12" s="1"/>
  <c r="E335" i="12" s="1"/>
  <c r="E336" i="12" s="1"/>
  <c r="E337" i="12" s="1"/>
  <c r="E338" i="12" s="1"/>
  <c r="E339" i="12" s="1"/>
  <c r="E340" i="12" s="1"/>
  <c r="E341" i="12" s="1"/>
  <c r="E342" i="12" s="1"/>
  <c r="E343" i="12" s="1"/>
  <c r="E344" i="12" s="1"/>
  <c r="E345" i="12" s="1"/>
  <c r="E346" i="12" s="1"/>
  <c r="E347" i="12" s="1"/>
  <c r="E348" i="12" s="1"/>
  <c r="E349" i="12" s="1"/>
  <c r="E350" i="12" s="1"/>
  <c r="E351" i="12" s="1"/>
  <c r="E352" i="12" s="1"/>
  <c r="E353" i="12" s="1"/>
  <c r="E354" i="12" s="1"/>
  <c r="E355" i="12" s="1"/>
  <c r="E356" i="12" s="1"/>
  <c r="E357" i="12" s="1"/>
  <c r="E358" i="12" s="1"/>
  <c r="C120" i="12"/>
  <c r="K119" i="12"/>
  <c r="B119" i="13" s="1"/>
  <c r="W25" i="11"/>
  <c r="E359" i="12" l="1"/>
  <c r="C121" i="12"/>
  <c r="K120" i="12"/>
  <c r="B120" i="13" s="1"/>
  <c r="AC36" i="11"/>
  <c r="AC37" i="11" s="1"/>
  <c r="AC48" i="11"/>
  <c r="AC49" i="11" s="1"/>
  <c r="V36" i="11"/>
  <c r="P37" i="11"/>
  <c r="Q37" i="11" s="1"/>
  <c r="S48" i="11"/>
  <c r="P49" i="11"/>
  <c r="Q49" i="11" s="1"/>
  <c r="E360" i="12" l="1"/>
  <c r="K121" i="12"/>
  <c r="B121" i="13" s="1"/>
  <c r="C122" i="12"/>
  <c r="R37" i="11"/>
  <c r="P34" i="11"/>
  <c r="R49" i="11"/>
  <c r="E361" i="12" l="1"/>
  <c r="E362" i="12" s="1"/>
  <c r="E363" i="12" s="1"/>
  <c r="E364" i="12" s="1"/>
  <c r="E365" i="12" s="1"/>
  <c r="E366" i="12" s="1"/>
  <c r="E367" i="12" s="1"/>
  <c r="E368" i="12" s="1"/>
  <c r="E369" i="12" s="1"/>
  <c r="K122" i="12"/>
  <c r="B122" i="13" s="1"/>
  <c r="C123" i="12"/>
  <c r="S37" i="11"/>
  <c r="S49" i="11"/>
  <c r="E370" i="12" l="1"/>
  <c r="H358" i="12"/>
  <c r="C124" i="12"/>
  <c r="K123" i="12"/>
  <c r="B123" i="13" s="1"/>
  <c r="T37" i="11"/>
  <c r="T49" i="11"/>
  <c r="E371" i="12" l="1"/>
  <c r="E372" i="12" s="1"/>
  <c r="E373" i="12" s="1"/>
  <c r="E374" i="12" s="1"/>
  <c r="E375" i="12" s="1"/>
  <c r="E376" i="12" s="1"/>
  <c r="E377" i="12" s="1"/>
  <c r="E378" i="12" s="1"/>
  <c r="C125" i="12"/>
  <c r="K124" i="12"/>
  <c r="B124" i="13" s="1"/>
  <c r="U37" i="11"/>
  <c r="U49" i="11"/>
  <c r="I369" i="12" l="1"/>
  <c r="E379" i="12"/>
  <c r="C126" i="12"/>
  <c r="K125" i="12"/>
  <c r="V37" i="11"/>
  <c r="V49" i="11"/>
  <c r="B125" i="13" l="1"/>
  <c r="L39" i="11"/>
  <c r="E380" i="12"/>
  <c r="C127" i="12"/>
  <c r="K126" i="12"/>
  <c r="B126" i="13" s="1"/>
  <c r="W37" i="11"/>
  <c r="W49" i="11"/>
  <c r="E381" i="12" l="1"/>
  <c r="C128" i="12"/>
  <c r="K127" i="12"/>
  <c r="B127" i="13" s="1"/>
  <c r="W33" i="11"/>
  <c r="Q34" i="11"/>
  <c r="R34" i="11" s="1"/>
  <c r="AC33" i="11"/>
  <c r="AC34" i="11" s="1"/>
  <c r="E382" i="12" l="1"/>
  <c r="E383" i="12" s="1"/>
  <c r="E384" i="12" s="1"/>
  <c r="E385" i="12" s="1"/>
  <c r="E386" i="12" s="1"/>
  <c r="E387" i="12" s="1"/>
  <c r="E388" i="12" s="1"/>
  <c r="E389" i="12" s="1"/>
  <c r="E390" i="12" s="1"/>
  <c r="E391" i="12" s="1"/>
  <c r="E392" i="12" s="1"/>
  <c r="E393" i="12" s="1"/>
  <c r="E394" i="12" s="1"/>
  <c r="E395" i="12" s="1"/>
  <c r="E396" i="12" s="1"/>
  <c r="E397" i="12" s="1"/>
  <c r="K128" i="12"/>
  <c r="B128" i="13" s="1"/>
  <c r="C129" i="12"/>
  <c r="S34" i="11"/>
  <c r="E398" i="12" l="1"/>
  <c r="I378" i="12"/>
  <c r="C130" i="12"/>
  <c r="K129" i="12"/>
  <c r="B129" i="13" s="1"/>
  <c r="T34" i="11"/>
  <c r="E399" i="12" l="1"/>
  <c r="C131" i="12"/>
  <c r="K130" i="12"/>
  <c r="B130" i="13" s="1"/>
  <c r="U34" i="11"/>
  <c r="E400" i="12" l="1"/>
  <c r="C132" i="12"/>
  <c r="K131" i="12"/>
  <c r="B131" i="13" s="1"/>
  <c r="V34" i="11"/>
  <c r="E401" i="12" l="1"/>
  <c r="C133" i="12"/>
  <c r="K132" i="12"/>
  <c r="B132" i="13" s="1"/>
  <c r="W34" i="11"/>
  <c r="W45" i="11"/>
  <c r="V45" i="11"/>
  <c r="U45" i="11"/>
  <c r="T45" i="11"/>
  <c r="S45" i="11"/>
  <c r="P46" i="11"/>
  <c r="AC45" i="11"/>
  <c r="AC46" i="11" s="1"/>
  <c r="E402" i="12" l="1"/>
  <c r="C134" i="12"/>
  <c r="K133" i="12"/>
  <c r="B133" i="13" s="1"/>
  <c r="Q46" i="11"/>
  <c r="R46" i="11" s="1"/>
  <c r="E403" i="12" l="1"/>
  <c r="C135" i="12"/>
  <c r="K134" i="12"/>
  <c r="B134" i="13" s="1"/>
  <c r="S46" i="11"/>
  <c r="E404" i="12" l="1"/>
  <c r="C136" i="12"/>
  <c r="K135" i="12"/>
  <c r="B135" i="13" s="1"/>
  <c r="T46" i="11"/>
  <c r="U46" i="11" s="1"/>
  <c r="V46" i="11" s="1"/>
  <c r="E405" i="12" l="1"/>
  <c r="C137" i="12"/>
  <c r="K136" i="12"/>
  <c r="B136" i="13" s="1"/>
  <c r="W46" i="11"/>
  <c r="E406" i="12" l="1"/>
  <c r="E407" i="12" s="1"/>
  <c r="E408" i="12" s="1"/>
  <c r="E409" i="12" s="1"/>
  <c r="E410" i="12" s="1"/>
  <c r="E411" i="12" s="1"/>
  <c r="E412" i="12" s="1"/>
  <c r="E413" i="12" s="1"/>
  <c r="E414" i="12" s="1"/>
  <c r="C138" i="12"/>
  <c r="K137" i="12"/>
  <c r="B137" i="13" s="1"/>
  <c r="E415" i="12" l="1"/>
  <c r="C139" i="12"/>
  <c r="K138" i="12"/>
  <c r="B138" i="13" s="1"/>
  <c r="E416" i="12" l="1"/>
  <c r="C140" i="12"/>
  <c r="K139" i="12"/>
  <c r="B139" i="13" s="1"/>
  <c r="E417" i="12" l="1"/>
  <c r="C141" i="12"/>
  <c r="K140" i="12"/>
  <c r="B140" i="13" s="1"/>
  <c r="X81" i="12"/>
  <c r="X84" i="12"/>
  <c r="E418" i="12" l="1"/>
  <c r="C142" i="12"/>
  <c r="K141" i="12"/>
  <c r="B141" i="13" s="1"/>
  <c r="M42" i="11"/>
  <c r="D84" i="13"/>
  <c r="S84" i="12"/>
  <c r="E419" i="12" l="1"/>
  <c r="I414" i="12"/>
  <c r="C143" i="12"/>
  <c r="K142" i="12"/>
  <c r="B142" i="13" s="1"/>
  <c r="M39" i="11"/>
  <c r="M36" i="11"/>
  <c r="C81" i="13"/>
  <c r="D81" i="13"/>
  <c r="C40" i="13"/>
  <c r="S81" i="12"/>
  <c r="C84" i="13"/>
  <c r="E420" i="12" l="1"/>
  <c r="C144" i="12"/>
  <c r="K143" i="12"/>
  <c r="B143" i="13" s="1"/>
  <c r="E421" i="12" l="1"/>
  <c r="K144" i="12"/>
  <c r="B144" i="13" s="1"/>
  <c r="C145" i="12"/>
  <c r="K145" i="12" l="1"/>
  <c r="B145" i="13" s="1"/>
  <c r="C146" i="12"/>
  <c r="C147" i="12" l="1"/>
  <c r="K146" i="12"/>
  <c r="B146" i="13" s="1"/>
  <c r="C148" i="12" l="1"/>
  <c r="K147" i="12"/>
  <c r="B147" i="13" s="1"/>
  <c r="C149" i="12" l="1"/>
  <c r="K148" i="12"/>
  <c r="B148" i="13" s="1"/>
  <c r="C150" i="12" l="1"/>
  <c r="K149" i="12"/>
  <c r="B149" i="13" s="1"/>
  <c r="X27" i="12"/>
  <c r="X79" i="12"/>
  <c r="X18" i="12"/>
  <c r="X15" i="12"/>
  <c r="X83" i="12"/>
  <c r="X76" i="12"/>
  <c r="X77" i="12"/>
  <c r="X46" i="12"/>
  <c r="X66" i="12"/>
  <c r="X39" i="12"/>
  <c r="X60" i="12"/>
  <c r="X108" i="12"/>
  <c r="X107" i="12"/>
  <c r="M45" i="11" l="1"/>
  <c r="C151" i="12"/>
  <c r="K150" i="12"/>
  <c r="B150" i="13" s="1"/>
  <c r="D108" i="13"/>
  <c r="C108" i="13"/>
  <c r="C55" i="13"/>
  <c r="S108" i="12" l="1"/>
  <c r="M27" i="11"/>
  <c r="M33" i="11"/>
  <c r="M30" i="11"/>
  <c r="H418" i="12"/>
  <c r="C152" i="12"/>
  <c r="K151" i="12"/>
  <c r="B151" i="13" s="1"/>
  <c r="M24" i="11"/>
  <c r="D27" i="13"/>
  <c r="D79" i="13"/>
  <c r="C18" i="13"/>
  <c r="D15" i="13"/>
  <c r="S76" i="12"/>
  <c r="D77" i="13"/>
  <c r="D46" i="13"/>
  <c r="D39" i="13"/>
  <c r="C27" i="13"/>
  <c r="C79" i="13"/>
  <c r="C15" i="13"/>
  <c r="D83" i="13"/>
  <c r="C76" i="13"/>
  <c r="C66" i="13"/>
  <c r="C39" i="13"/>
  <c r="C60" i="13"/>
  <c r="D107" i="13"/>
  <c r="S27" i="12"/>
  <c r="S18" i="12"/>
  <c r="S83" i="12"/>
  <c r="D76" i="13"/>
  <c r="C77" i="13"/>
  <c r="C46" i="13"/>
  <c r="S66" i="12"/>
  <c r="D60" i="13"/>
  <c r="C107" i="13"/>
  <c r="S79" i="12"/>
  <c r="D18" i="13"/>
  <c r="S15" i="12"/>
  <c r="C83" i="13"/>
  <c r="S77" i="12"/>
  <c r="S46" i="12"/>
  <c r="D66" i="13"/>
  <c r="S39" i="12"/>
  <c r="S60" i="12"/>
  <c r="S107" i="12"/>
  <c r="H46" i="12" l="1"/>
  <c r="I46" i="12"/>
  <c r="H55" i="12"/>
  <c r="B55" i="12" s="1"/>
  <c r="I66" i="12"/>
  <c r="H66" i="12"/>
  <c r="H60" i="12"/>
  <c r="B60" i="12" s="1"/>
  <c r="I76" i="12"/>
  <c r="B76" i="12" s="1"/>
  <c r="I84" i="12"/>
  <c r="B84" i="12" s="1"/>
  <c r="I108" i="12"/>
  <c r="B108" i="12" s="1"/>
  <c r="I118" i="12"/>
  <c r="B118" i="12" s="1"/>
  <c r="H126" i="12"/>
  <c r="B126" i="12" s="1"/>
  <c r="H147" i="12"/>
  <c r="B147" i="12" s="1"/>
  <c r="I151" i="12"/>
  <c r="B151" i="12" s="1"/>
  <c r="I163" i="12"/>
  <c r="H163" i="12"/>
  <c r="H179" i="12"/>
  <c r="I179" i="12"/>
  <c r="H193" i="12"/>
  <c r="I193" i="12"/>
  <c r="I241" i="12"/>
  <c r="H241" i="12"/>
  <c r="I263" i="12"/>
  <c r="H263" i="12"/>
  <c r="I325" i="12"/>
  <c r="I299" i="12"/>
  <c r="B299" i="12" s="1"/>
  <c r="H325" i="12"/>
  <c r="H369" i="12"/>
  <c r="B369" i="12" s="1"/>
  <c r="I358" i="12"/>
  <c r="B358" i="12" s="1"/>
  <c r="H378" i="12"/>
  <c r="B378" i="12" s="1"/>
  <c r="H397" i="12"/>
  <c r="I397" i="12"/>
  <c r="B397" i="12" s="1"/>
  <c r="H414" i="12"/>
  <c r="B414" i="12" s="1"/>
  <c r="I418" i="12"/>
  <c r="B418" i="12" s="1"/>
  <c r="C153" i="12"/>
  <c r="K152" i="12"/>
  <c r="B152" i="13" s="1"/>
  <c r="B193" i="12" l="1"/>
  <c r="B179" i="12"/>
  <c r="B325" i="12"/>
  <c r="B241" i="12"/>
  <c r="B66" i="12"/>
  <c r="B263" i="12"/>
  <c r="B163" i="12"/>
  <c r="B46" i="12"/>
  <c r="C154" i="12"/>
  <c r="K153" i="12"/>
  <c r="B153" i="13" s="1"/>
  <c r="C155" i="12" l="1"/>
  <c r="K154" i="12"/>
  <c r="B154" i="13" s="1"/>
  <c r="C156" i="12" l="1"/>
  <c r="K155" i="12"/>
  <c r="B155" i="13" s="1"/>
  <c r="K156" i="12" l="1"/>
  <c r="B156" i="13" s="1"/>
  <c r="C157" i="12"/>
  <c r="C158" i="12" l="1"/>
  <c r="K157" i="12"/>
  <c r="B157" i="13" s="1"/>
  <c r="C159" i="12" l="1"/>
  <c r="K158" i="12"/>
  <c r="B158" i="13" s="1"/>
  <c r="L8" i="11"/>
  <c r="K159" i="12" l="1"/>
  <c r="B159" i="13" s="1"/>
  <c r="C160" i="12"/>
  <c r="K160" i="12" l="1"/>
  <c r="B160" i="13" s="1"/>
  <c r="C161" i="12"/>
  <c r="C162" i="12" l="1"/>
  <c r="K161" i="12"/>
  <c r="B161" i="13" s="1"/>
  <c r="C163" i="12" l="1"/>
  <c r="K162" i="12"/>
  <c r="B162" i="13" l="1"/>
  <c r="L42" i="11"/>
  <c r="K163" i="12"/>
  <c r="B163" i="13" s="1"/>
  <c r="C164" i="12"/>
  <c r="K164" i="12" l="1"/>
  <c r="B164" i="13" s="1"/>
  <c r="C165" i="12"/>
  <c r="C166" i="12" l="1"/>
  <c r="K165" i="12"/>
  <c r="B165" i="13" s="1"/>
  <c r="K166" i="12" l="1"/>
  <c r="B166" i="13" s="1"/>
  <c r="C167" i="12"/>
  <c r="C168" i="12" l="1"/>
  <c r="K167" i="12"/>
  <c r="B167" i="13" s="1"/>
  <c r="C169" i="12" l="1"/>
  <c r="K168" i="12"/>
  <c r="B168" i="13" s="1"/>
  <c r="C170" i="12" l="1"/>
  <c r="K169" i="12"/>
  <c r="B169" i="13" s="1"/>
  <c r="C171" i="12" l="1"/>
  <c r="K170" i="12"/>
  <c r="B170" i="13" s="1"/>
  <c r="C172" i="12" l="1"/>
  <c r="K171" i="12"/>
  <c r="B171" i="13" s="1"/>
  <c r="C173" i="12" l="1"/>
  <c r="K172" i="12"/>
  <c r="B172" i="13" s="1"/>
  <c r="C174" i="12" l="1"/>
  <c r="K173" i="12"/>
  <c r="B173" i="13" s="1"/>
  <c r="C175" i="12" l="1"/>
  <c r="K174" i="12"/>
  <c r="B174" i="13" s="1"/>
  <c r="C176" i="12" l="1"/>
  <c r="K175" i="12"/>
  <c r="B175" i="13" s="1"/>
  <c r="C177" i="12" l="1"/>
  <c r="K176" i="12"/>
  <c r="B176" i="13" s="1"/>
  <c r="C178" i="12" l="1"/>
  <c r="C179" i="12" s="1"/>
  <c r="K177" i="12"/>
  <c r="B177" i="13" s="1"/>
  <c r="C180" i="12" l="1"/>
  <c r="K179" i="12"/>
  <c r="B179" i="13" s="1"/>
  <c r="K178" i="12"/>
  <c r="B178" i="13" s="1"/>
  <c r="C181" i="12" l="1"/>
  <c r="K180" i="12"/>
  <c r="B180" i="13" s="1"/>
  <c r="C182" i="12" l="1"/>
  <c r="K181" i="12"/>
  <c r="B181" i="13" s="1"/>
  <c r="C183" i="12" l="1"/>
  <c r="K182" i="12"/>
  <c r="B182" i="13" s="1"/>
  <c r="C184" i="12" l="1"/>
  <c r="K183" i="12"/>
  <c r="B183" i="13" s="1"/>
  <c r="C185" i="12" l="1"/>
  <c r="K184" i="12"/>
  <c r="B184" i="13" s="1"/>
  <c r="C186" i="12" l="1"/>
  <c r="K185" i="12"/>
  <c r="B185" i="13" s="1"/>
  <c r="C187" i="12" l="1"/>
  <c r="K186" i="12"/>
  <c r="B186" i="13" s="1"/>
  <c r="C188" i="12" l="1"/>
  <c r="K187" i="12"/>
  <c r="B187" i="13" s="1"/>
  <c r="C189" i="12" l="1"/>
  <c r="K188" i="12"/>
  <c r="B188" i="13" s="1"/>
  <c r="C190" i="12" l="1"/>
  <c r="K189" i="12"/>
  <c r="B189" i="13" s="1"/>
  <c r="C191" i="12" l="1"/>
  <c r="K190" i="12"/>
  <c r="B190" i="13" s="1"/>
  <c r="C192" i="12" l="1"/>
  <c r="K191" i="12"/>
  <c r="B191" i="13" s="1"/>
  <c r="C193" i="12" l="1"/>
  <c r="K192" i="12"/>
  <c r="B192" i="13" l="1"/>
  <c r="L45" i="11"/>
  <c r="C194" i="12"/>
  <c r="K193" i="12"/>
  <c r="B193" i="13" s="1"/>
  <c r="C195" i="12" l="1"/>
  <c r="K194" i="12"/>
  <c r="B194" i="13" s="1"/>
  <c r="C196" i="12" l="1"/>
  <c r="K195" i="12"/>
  <c r="B195" i="13" s="1"/>
  <c r="C197" i="12" l="1"/>
  <c r="K196" i="12"/>
  <c r="B196" i="13" s="1"/>
  <c r="C198" i="12" l="1"/>
  <c r="K197" i="12"/>
  <c r="B197" i="13" s="1"/>
  <c r="C199" i="12" l="1"/>
  <c r="K198" i="12"/>
  <c r="B198" i="13" s="1"/>
  <c r="C200" i="12" l="1"/>
  <c r="K199" i="12"/>
  <c r="B199" i="13" s="1"/>
  <c r="K200" i="12" l="1"/>
  <c r="B200" i="13" s="1"/>
  <c r="C201" i="12"/>
  <c r="K201" i="12" l="1"/>
  <c r="B201" i="13" s="1"/>
  <c r="C202" i="12"/>
  <c r="K202" i="12" l="1"/>
  <c r="B202" i="13" s="1"/>
  <c r="C203" i="12"/>
  <c r="K203" i="12" l="1"/>
  <c r="B203" i="13" s="1"/>
  <c r="C204" i="12"/>
  <c r="K204" i="12" l="1"/>
  <c r="B204" i="13" s="1"/>
  <c r="C205" i="12"/>
  <c r="K205" i="12" l="1"/>
  <c r="B205" i="13" s="1"/>
  <c r="C206" i="12"/>
  <c r="K206" i="12" l="1"/>
  <c r="B206" i="13" s="1"/>
  <c r="C207" i="12"/>
  <c r="K207" i="12" l="1"/>
  <c r="B207" i="13" s="1"/>
  <c r="C208" i="12"/>
  <c r="K208" i="12" l="1"/>
  <c r="B208" i="13" s="1"/>
  <c r="C209" i="12"/>
  <c r="K209" i="12" l="1"/>
  <c r="B209" i="13" s="1"/>
  <c r="C210" i="12"/>
  <c r="K210" i="12" l="1"/>
  <c r="B210" i="13" s="1"/>
  <c r="C211" i="12"/>
  <c r="K211" i="12" l="1"/>
  <c r="B211" i="13" s="1"/>
  <c r="C212" i="12"/>
  <c r="C213" i="12" l="1"/>
  <c r="K212" i="12"/>
  <c r="B212" i="13" s="1"/>
  <c r="C214" i="12" l="1"/>
  <c r="K213" i="12"/>
  <c r="B213" i="13" s="1"/>
  <c r="C215" i="12" l="1"/>
  <c r="K214" i="12"/>
  <c r="B214" i="13" s="1"/>
  <c r="C216" i="12" l="1"/>
  <c r="K215" i="12"/>
  <c r="B215" i="13" s="1"/>
  <c r="C217" i="12" l="1"/>
  <c r="K216" i="12"/>
  <c r="B216" i="13" s="1"/>
  <c r="C218" i="12" l="1"/>
  <c r="K217" i="12"/>
  <c r="B217" i="13" s="1"/>
  <c r="C219" i="12" l="1"/>
  <c r="K218" i="12"/>
  <c r="B218" i="13" s="1"/>
  <c r="C220" i="12" l="1"/>
  <c r="K219" i="12"/>
  <c r="B219" i="13" s="1"/>
  <c r="C221" i="12" l="1"/>
  <c r="K220" i="12"/>
  <c r="B220" i="13" s="1"/>
  <c r="C222" i="12" l="1"/>
  <c r="K221" i="12"/>
  <c r="B221" i="13" s="1"/>
  <c r="C223" i="12" l="1"/>
  <c r="K222" i="12"/>
  <c r="B222" i="13" s="1"/>
  <c r="C224" i="12" l="1"/>
  <c r="K223" i="12"/>
  <c r="B223" i="13" s="1"/>
  <c r="C225" i="12" l="1"/>
  <c r="K224" i="12"/>
  <c r="B224" i="13" s="1"/>
  <c r="C226" i="12" l="1"/>
  <c r="K225" i="12"/>
  <c r="B225" i="13" s="1"/>
  <c r="K226" i="12" l="1"/>
  <c r="B226" i="13" s="1"/>
  <c r="C227" i="12"/>
  <c r="K227" i="12" l="1"/>
  <c r="B227" i="13" s="1"/>
  <c r="C228" i="12"/>
  <c r="C229" i="12" l="1"/>
  <c r="K228" i="12"/>
  <c r="B228" i="13" s="1"/>
  <c r="C230" i="12" l="1"/>
  <c r="K229" i="12"/>
  <c r="B229" i="13" s="1"/>
  <c r="K230" i="12" l="1"/>
  <c r="B230" i="13" s="1"/>
  <c r="C231" i="12"/>
  <c r="C232" i="12" l="1"/>
  <c r="K231" i="12"/>
  <c r="B231" i="13" s="1"/>
  <c r="C233" i="12" l="1"/>
  <c r="K232" i="12"/>
  <c r="B232" i="13" s="1"/>
  <c r="K233" i="12" l="1"/>
  <c r="B233" i="13" s="1"/>
  <c r="C234" i="12"/>
  <c r="C235" i="12" l="1"/>
  <c r="K234" i="12"/>
  <c r="B234" i="13" s="1"/>
  <c r="C236" i="12" l="1"/>
  <c r="K235" i="12"/>
  <c r="B235" i="13" s="1"/>
  <c r="K236" i="12" l="1"/>
  <c r="B236" i="13" s="1"/>
  <c r="C237" i="12"/>
  <c r="C238" i="12" l="1"/>
  <c r="K237" i="12"/>
  <c r="B237" i="13" s="1"/>
  <c r="C239" i="12" l="1"/>
  <c r="K238" i="12"/>
  <c r="B238" i="13" s="1"/>
  <c r="C240" i="12" l="1"/>
  <c r="K239" i="12"/>
  <c r="B239" i="13" s="1"/>
  <c r="K240" i="12" l="1"/>
  <c r="C241" i="12"/>
  <c r="B240" i="13" l="1"/>
  <c r="L48" i="11"/>
  <c r="K241" i="12"/>
  <c r="B241" i="13" s="1"/>
  <c r="C242" i="12"/>
  <c r="C243" i="12" l="1"/>
  <c r="K242" i="12"/>
  <c r="B242" i="13" s="1"/>
  <c r="C244" i="12" l="1"/>
  <c r="K243" i="12"/>
  <c r="B243" i="13" s="1"/>
  <c r="K244" i="12" l="1"/>
  <c r="B244" i="13" s="1"/>
  <c r="C245" i="12"/>
  <c r="C246" i="12" l="1"/>
  <c r="K245" i="12"/>
  <c r="B245" i="13" s="1"/>
  <c r="K246" i="12" l="1"/>
  <c r="B246" i="13" s="1"/>
  <c r="C247" i="12"/>
  <c r="K247" i="12" l="1"/>
  <c r="B247" i="13" s="1"/>
  <c r="C248" i="12"/>
  <c r="C249" i="12" s="1"/>
  <c r="K249" i="12" l="1"/>
  <c r="B249" i="13" s="1"/>
  <c r="C250" i="12"/>
  <c r="K248" i="12"/>
  <c r="B248" i="13" s="1"/>
  <c r="K250" i="12" l="1"/>
  <c r="B250" i="13" s="1"/>
  <c r="C251" i="12"/>
  <c r="K251" i="12" l="1"/>
  <c r="B251" i="13" s="1"/>
  <c r="C252" i="12"/>
  <c r="K252" i="12" l="1"/>
  <c r="B252" i="13" s="1"/>
  <c r="C253" i="12"/>
  <c r="K253" i="12" l="1"/>
  <c r="B253" i="13" s="1"/>
  <c r="C254" i="12"/>
  <c r="K254" i="12" l="1"/>
  <c r="B254" i="13" s="1"/>
  <c r="C255" i="12"/>
  <c r="K255" i="12" l="1"/>
  <c r="B255" i="13" s="1"/>
  <c r="C256" i="12"/>
  <c r="K256" i="12" l="1"/>
  <c r="B256" i="13" s="1"/>
  <c r="C257" i="12"/>
  <c r="K257" i="12" l="1"/>
  <c r="B257" i="13" s="1"/>
  <c r="C258" i="12"/>
  <c r="K258" i="12" l="1"/>
  <c r="B258" i="13" s="1"/>
  <c r="C259" i="12"/>
  <c r="K259" i="12" l="1"/>
  <c r="B259" i="13" s="1"/>
  <c r="C260" i="12"/>
  <c r="K260" i="12" l="1"/>
  <c r="B260" i="13" s="1"/>
  <c r="C261" i="12"/>
  <c r="K261" i="12" l="1"/>
  <c r="B261" i="13" s="1"/>
  <c r="C262" i="12"/>
  <c r="K262" i="12" l="1"/>
  <c r="B262" i="13" s="1"/>
  <c r="C263" i="12"/>
  <c r="K263" i="12" l="1"/>
  <c r="B263" i="13" s="1"/>
  <c r="C264" i="12"/>
  <c r="K264" i="12" l="1"/>
  <c r="B264" i="13" s="1"/>
  <c r="C265" i="12"/>
  <c r="K265" i="12" l="1"/>
  <c r="B265" i="13" s="1"/>
  <c r="C266" i="12"/>
  <c r="K266" i="12" l="1"/>
  <c r="B266" i="13" s="1"/>
  <c r="C267" i="12"/>
  <c r="K267" i="12" l="1"/>
  <c r="B267" i="13" s="1"/>
  <c r="C268" i="12"/>
  <c r="K268" i="12" l="1"/>
  <c r="B268" i="13" s="1"/>
  <c r="C269" i="12"/>
  <c r="K269" i="12" l="1"/>
  <c r="B269" i="13" s="1"/>
  <c r="C270" i="12"/>
  <c r="K270" i="12" l="1"/>
  <c r="B270" i="13" s="1"/>
  <c r="C271" i="12"/>
  <c r="K271" i="12" l="1"/>
  <c r="B271" i="13" s="1"/>
  <c r="C272" i="12"/>
  <c r="K272" i="12" l="1"/>
  <c r="B272" i="13" s="1"/>
  <c r="C273" i="12"/>
  <c r="K273" i="12" l="1"/>
  <c r="B273" i="13" s="1"/>
  <c r="C274" i="12"/>
  <c r="K274" i="12" l="1"/>
  <c r="B274" i="13" s="1"/>
  <c r="C275" i="12"/>
  <c r="K275" i="12" l="1"/>
  <c r="B275" i="13" s="1"/>
  <c r="C276" i="12"/>
  <c r="K276" i="12" l="1"/>
  <c r="B276" i="13" s="1"/>
  <c r="C277" i="12"/>
  <c r="K277" i="12" l="1"/>
  <c r="B277" i="13" s="1"/>
  <c r="C278" i="12"/>
  <c r="K278" i="12" l="1"/>
  <c r="B278" i="13" s="1"/>
  <c r="C279" i="12"/>
  <c r="K279" i="12" l="1"/>
  <c r="B279" i="13" s="1"/>
  <c r="C280" i="12"/>
  <c r="K280" i="12" l="1"/>
  <c r="B280" i="13" s="1"/>
  <c r="C281" i="12"/>
  <c r="K281" i="12" l="1"/>
  <c r="B281" i="13" s="1"/>
  <c r="C282" i="12"/>
  <c r="K282" i="12" l="1"/>
  <c r="B282" i="13" s="1"/>
  <c r="C283" i="12"/>
  <c r="C284" i="12" l="1"/>
  <c r="K283" i="12"/>
  <c r="B283" i="13" s="1"/>
  <c r="C285" i="12" l="1"/>
  <c r="K284" i="12"/>
  <c r="B284" i="13" s="1"/>
  <c r="C286" i="12" l="1"/>
  <c r="K285" i="12"/>
  <c r="B285" i="13" s="1"/>
  <c r="C287" i="12" l="1"/>
  <c r="K286" i="12"/>
  <c r="B286" i="13" s="1"/>
  <c r="C288" i="12" l="1"/>
  <c r="K287" i="12"/>
  <c r="B287" i="13" s="1"/>
  <c r="C289" i="12" l="1"/>
  <c r="K288" i="12"/>
  <c r="B288" i="13" s="1"/>
  <c r="C290" i="12" l="1"/>
  <c r="K289" i="12"/>
  <c r="B289" i="13" s="1"/>
  <c r="C291" i="12" l="1"/>
  <c r="K290" i="12"/>
  <c r="B290" i="13" s="1"/>
  <c r="C292" i="12" l="1"/>
  <c r="K291" i="12"/>
  <c r="B291" i="13" s="1"/>
  <c r="C293" i="12" l="1"/>
  <c r="K292" i="12"/>
  <c r="B292" i="13" s="1"/>
  <c r="C294" i="12" l="1"/>
  <c r="K293" i="12"/>
  <c r="B293" i="13" s="1"/>
  <c r="C295" i="12" l="1"/>
  <c r="K294" i="12"/>
  <c r="B294" i="13" s="1"/>
  <c r="C296" i="12" l="1"/>
  <c r="K295" i="12"/>
  <c r="B295" i="13" s="1"/>
  <c r="C297" i="12" l="1"/>
  <c r="K296" i="12"/>
  <c r="B296" i="13" s="1"/>
  <c r="C298" i="12" l="1"/>
  <c r="K297" i="12"/>
  <c r="B297" i="13" s="1"/>
  <c r="C299" i="12" l="1"/>
  <c r="K298" i="12"/>
  <c r="B298" i="13" s="1"/>
  <c r="C300" i="12" l="1"/>
  <c r="K299" i="12"/>
  <c r="B299" i="13" s="1"/>
  <c r="C301" i="12" l="1"/>
  <c r="K300" i="12"/>
  <c r="B300" i="13" s="1"/>
  <c r="C302" i="12" l="1"/>
  <c r="K301" i="12"/>
  <c r="B301" i="13" s="1"/>
  <c r="C303" i="12" l="1"/>
  <c r="K302" i="12"/>
  <c r="B302" i="13" s="1"/>
  <c r="C304" i="12" l="1"/>
  <c r="K303" i="12"/>
  <c r="B303" i="13" s="1"/>
  <c r="C305" i="12" l="1"/>
  <c r="K304" i="12"/>
  <c r="B304" i="13" s="1"/>
  <c r="C306" i="12" l="1"/>
  <c r="K305" i="12"/>
  <c r="B305" i="13" s="1"/>
  <c r="K306" i="12" l="1"/>
  <c r="B306" i="13" s="1"/>
  <c r="C307" i="12"/>
  <c r="K307" i="12" l="1"/>
  <c r="B307" i="13" s="1"/>
  <c r="C308" i="12"/>
  <c r="K308" i="12" l="1"/>
  <c r="B308" i="13" s="1"/>
  <c r="C309" i="12"/>
  <c r="C310" i="12" l="1"/>
  <c r="K309" i="12"/>
  <c r="B309" i="13" s="1"/>
  <c r="K310" i="12" l="1"/>
  <c r="B310" i="13" s="1"/>
  <c r="C311" i="12"/>
  <c r="K311" i="12" l="1"/>
  <c r="B311" i="13" s="1"/>
  <c r="C312" i="12"/>
  <c r="K312" i="12" l="1"/>
  <c r="B312" i="13" s="1"/>
  <c r="C313" i="12"/>
  <c r="K313" i="12" l="1"/>
  <c r="B313" i="13" s="1"/>
  <c r="C314" i="12"/>
  <c r="K314" i="12" l="1"/>
  <c r="B314" i="13" s="1"/>
  <c r="C315" i="12"/>
  <c r="C316" i="12" l="1"/>
  <c r="K315" i="12"/>
  <c r="B315" i="13" s="1"/>
  <c r="K316" i="12" l="1"/>
  <c r="B316" i="13" s="1"/>
  <c r="C317" i="12"/>
  <c r="C318" i="12" l="1"/>
  <c r="K317" i="12"/>
  <c r="B317" i="13" s="1"/>
  <c r="K318" i="12" l="1"/>
  <c r="B318" i="13" s="1"/>
  <c r="C319" i="12"/>
  <c r="K319" i="12" l="1"/>
  <c r="B319" i="13" s="1"/>
  <c r="C320" i="12"/>
  <c r="K320" i="12" l="1"/>
  <c r="B320" i="13" s="1"/>
  <c r="C321" i="12"/>
  <c r="K321" i="12" l="1"/>
  <c r="B321" i="13" s="1"/>
  <c r="C322" i="12"/>
  <c r="K322" i="12" l="1"/>
  <c r="B322" i="13" s="1"/>
  <c r="C323" i="12"/>
  <c r="C324" i="12" l="1"/>
  <c r="K323" i="12"/>
  <c r="B323" i="13" s="1"/>
  <c r="K324" i="12" l="1"/>
  <c r="B324" i="13" s="1"/>
  <c r="C325" i="12"/>
  <c r="K325" i="12" l="1"/>
  <c r="B325" i="13" s="1"/>
  <c r="C326" i="12"/>
  <c r="K326" i="12" l="1"/>
  <c r="B326" i="13" s="1"/>
  <c r="C327" i="12"/>
  <c r="K327" i="12" l="1"/>
  <c r="B327" i="13" s="1"/>
  <c r="C328" i="12"/>
  <c r="K328" i="12" l="1"/>
  <c r="B328" i="13" s="1"/>
  <c r="C329" i="12"/>
  <c r="K329" i="12" l="1"/>
  <c r="B329" i="13" s="1"/>
  <c r="C330" i="12"/>
  <c r="K330" i="12" l="1"/>
  <c r="B330" i="13" s="1"/>
  <c r="C331" i="12"/>
  <c r="K331" i="12" l="1"/>
  <c r="B331" i="13" s="1"/>
  <c r="C332" i="12"/>
  <c r="K332" i="12" l="1"/>
  <c r="B332" i="13" s="1"/>
  <c r="C333" i="12"/>
  <c r="C334" i="12" l="1"/>
  <c r="K333" i="12"/>
  <c r="B333" i="13" s="1"/>
  <c r="K334" i="12" l="1"/>
  <c r="B334" i="13" s="1"/>
  <c r="C335" i="12"/>
  <c r="K335" i="12" l="1"/>
  <c r="B335" i="13" s="1"/>
  <c r="C336" i="12"/>
  <c r="K336" i="12" l="1"/>
  <c r="B336" i="13" s="1"/>
  <c r="C337" i="12"/>
  <c r="K337" i="12" l="1"/>
  <c r="B337" i="13" s="1"/>
  <c r="C338" i="12"/>
  <c r="K338" i="12" l="1"/>
  <c r="B338" i="13" s="1"/>
  <c r="C339" i="12"/>
  <c r="C340" i="12" l="1"/>
  <c r="K339" i="12"/>
  <c r="B339" i="13" s="1"/>
  <c r="C341" i="12" l="1"/>
  <c r="K340" i="12"/>
  <c r="B340" i="13" s="1"/>
  <c r="C342" i="12" l="1"/>
  <c r="K341" i="12"/>
  <c r="B341" i="13" s="1"/>
  <c r="C343" i="12" l="1"/>
  <c r="K342" i="12"/>
  <c r="B342" i="13" s="1"/>
  <c r="C344" i="12" l="1"/>
  <c r="K343" i="12"/>
  <c r="B343" i="13" s="1"/>
  <c r="C345" i="12" l="1"/>
  <c r="K344" i="12"/>
  <c r="B344" i="13" s="1"/>
  <c r="C346" i="12" l="1"/>
  <c r="K345" i="12"/>
  <c r="B345" i="13" s="1"/>
  <c r="C347" i="12" l="1"/>
  <c r="K346" i="12"/>
  <c r="B346" i="13" s="1"/>
  <c r="C348" i="12" l="1"/>
  <c r="C349" i="12" s="1"/>
  <c r="K347" i="12"/>
  <c r="B347" i="13" s="1"/>
  <c r="K349" i="12" l="1"/>
  <c r="B349" i="13" s="1"/>
  <c r="C350" i="12"/>
  <c r="K348" i="12"/>
  <c r="B348" i="13" s="1"/>
  <c r="K350" i="12" l="1"/>
  <c r="B350" i="13" s="1"/>
  <c r="C351" i="12"/>
  <c r="C352" i="12" l="1"/>
  <c r="K351" i="12"/>
  <c r="B351" i="13" s="1"/>
  <c r="C353" i="12" l="1"/>
  <c r="K352" i="12"/>
  <c r="B352" i="13" s="1"/>
  <c r="C354" i="12" l="1"/>
  <c r="K353" i="12"/>
  <c r="B353" i="13" s="1"/>
  <c r="C355" i="12" l="1"/>
  <c r="K354" i="12"/>
  <c r="B354" i="13" s="1"/>
  <c r="C356" i="12" l="1"/>
  <c r="K355" i="12"/>
  <c r="B355" i="13" s="1"/>
  <c r="C357" i="12" l="1"/>
  <c r="K356" i="12"/>
  <c r="B356" i="13" s="1"/>
  <c r="C358" i="12" l="1"/>
  <c r="K357" i="12"/>
  <c r="B357" i="13" s="1"/>
  <c r="C359" i="12" l="1"/>
  <c r="K358" i="12"/>
  <c r="B358" i="13" s="1"/>
  <c r="C360" i="12" l="1"/>
  <c r="K359" i="12"/>
  <c r="B359" i="13" s="1"/>
  <c r="C361" i="12" l="1"/>
  <c r="K360" i="12"/>
  <c r="B360" i="13" s="1"/>
  <c r="C362" i="12" l="1"/>
  <c r="K361" i="12"/>
  <c r="B361" i="13" s="1"/>
  <c r="C363" i="12" l="1"/>
  <c r="K362" i="12"/>
  <c r="B362" i="13" s="1"/>
  <c r="C364" i="12" l="1"/>
  <c r="K363" i="12"/>
  <c r="B363" i="13" s="1"/>
  <c r="C365" i="12" l="1"/>
  <c r="K364" i="12"/>
  <c r="B364" i="13" s="1"/>
  <c r="C366" i="12" l="1"/>
  <c r="K365" i="12"/>
  <c r="B365" i="13" s="1"/>
  <c r="C367" i="12" l="1"/>
  <c r="K366" i="12"/>
  <c r="B366" i="13" s="1"/>
  <c r="C368" i="12" l="1"/>
  <c r="K367" i="12"/>
  <c r="B367" i="13" s="1"/>
  <c r="C369" i="12" l="1"/>
  <c r="K368" i="12"/>
  <c r="B368" i="13" s="1"/>
  <c r="C370" i="12" l="1"/>
  <c r="K369" i="12"/>
  <c r="B369" i="13" s="1"/>
  <c r="C371" i="12" l="1"/>
  <c r="K370" i="12"/>
  <c r="B370" i="13" s="1"/>
  <c r="K371" i="12" l="1"/>
  <c r="B371" i="13" s="1"/>
  <c r="C372" i="12"/>
  <c r="C373" i="12" l="1"/>
  <c r="K372" i="12"/>
  <c r="B372" i="13" s="1"/>
  <c r="K373" i="12" l="1"/>
  <c r="B373" i="13" s="1"/>
  <c r="C374" i="12"/>
  <c r="C375" i="12" l="1"/>
  <c r="K374" i="12"/>
  <c r="B374" i="13" s="1"/>
  <c r="K375" i="12" l="1"/>
  <c r="B375" i="13" s="1"/>
  <c r="C376" i="12"/>
  <c r="K376" i="12" l="1"/>
  <c r="B376" i="13" s="1"/>
  <c r="C377" i="12"/>
  <c r="C378" i="12" l="1"/>
  <c r="K377" i="12"/>
  <c r="B377" i="13" s="1"/>
  <c r="C379" i="12" l="1"/>
  <c r="K378" i="12"/>
  <c r="B378" i="13" s="1"/>
  <c r="K379" i="12" l="1"/>
  <c r="B379" i="13" s="1"/>
  <c r="C380" i="12"/>
  <c r="C381" i="12" l="1"/>
  <c r="K380" i="12"/>
  <c r="B380" i="13" s="1"/>
  <c r="C382" i="12" l="1"/>
  <c r="K381" i="12"/>
  <c r="B381" i="13" s="1"/>
  <c r="C383" i="12" l="1"/>
  <c r="K382" i="12"/>
  <c r="B382" i="13" s="1"/>
  <c r="K383" i="12" l="1"/>
  <c r="B383" i="13" s="1"/>
  <c r="C384" i="12"/>
  <c r="C385" i="12" l="1"/>
  <c r="K384" i="12"/>
  <c r="B384" i="13" s="1"/>
  <c r="C386" i="12" l="1"/>
  <c r="K385" i="12"/>
  <c r="B385" i="13" s="1"/>
  <c r="K386" i="12" l="1"/>
  <c r="B386" i="13" s="1"/>
  <c r="C387" i="12"/>
  <c r="C388" i="12" l="1"/>
  <c r="K387" i="12"/>
  <c r="B387" i="13" s="1"/>
  <c r="K388" i="12" l="1"/>
  <c r="B388" i="13" s="1"/>
  <c r="C389" i="12"/>
  <c r="C390" i="12" l="1"/>
  <c r="K389" i="12"/>
  <c r="B389" i="13" s="1"/>
  <c r="K390" i="12" l="1"/>
  <c r="B390" i="13" s="1"/>
  <c r="C391" i="12"/>
  <c r="C392" i="12" l="1"/>
  <c r="K391" i="12"/>
  <c r="B391" i="13" s="1"/>
  <c r="K392" i="12" l="1"/>
  <c r="B392" i="13" s="1"/>
  <c r="C393" i="12"/>
  <c r="C394" i="12" l="1"/>
  <c r="K393" i="12"/>
  <c r="B393" i="13" s="1"/>
  <c r="K394" i="12" l="1"/>
  <c r="B394" i="13" s="1"/>
  <c r="C395" i="12"/>
  <c r="C396" i="12" l="1"/>
  <c r="K395" i="12"/>
  <c r="B395" i="13" s="1"/>
  <c r="K396" i="12" l="1"/>
  <c r="B396" i="13" s="1"/>
  <c r="C397" i="12"/>
  <c r="C398" i="12" l="1"/>
  <c r="K397" i="12"/>
  <c r="B397" i="13" s="1"/>
  <c r="C399" i="12" l="1"/>
  <c r="K398" i="12"/>
  <c r="B398" i="13" s="1"/>
  <c r="K399" i="12" l="1"/>
  <c r="B399" i="13" s="1"/>
  <c r="C400" i="12"/>
  <c r="C401" i="12" l="1"/>
  <c r="K400" i="12"/>
  <c r="B400" i="13" s="1"/>
  <c r="K401" i="12" l="1"/>
  <c r="B401" i="13" s="1"/>
  <c r="C402" i="12"/>
  <c r="C403" i="12" l="1"/>
  <c r="K402" i="12"/>
  <c r="B402" i="13" s="1"/>
  <c r="K403" i="12" l="1"/>
  <c r="B403" i="13" s="1"/>
  <c r="C404" i="12"/>
  <c r="C405" i="12" l="1"/>
  <c r="K404" i="12"/>
  <c r="B404" i="13" s="1"/>
  <c r="K405" i="12" l="1"/>
  <c r="B405" i="13" s="1"/>
  <c r="C406" i="12"/>
  <c r="C407" i="12" l="1"/>
  <c r="K406" i="12"/>
  <c r="B406" i="13" s="1"/>
  <c r="K407" i="12" l="1"/>
  <c r="B407" i="13" s="1"/>
  <c r="C408" i="12"/>
  <c r="C409" i="12" l="1"/>
  <c r="K408" i="12"/>
  <c r="B408" i="13" s="1"/>
  <c r="K409" i="12" l="1"/>
  <c r="B409" i="13" s="1"/>
  <c r="C410" i="12"/>
  <c r="C411" i="12" l="1"/>
  <c r="K410" i="12"/>
  <c r="B410" i="13" s="1"/>
  <c r="K411" i="12" l="1"/>
  <c r="B411" i="13" s="1"/>
  <c r="C412" i="12"/>
  <c r="C413" i="12" l="1"/>
  <c r="K412" i="12"/>
  <c r="B412" i="13" s="1"/>
  <c r="K413" i="12" l="1"/>
  <c r="B413" i="13" s="1"/>
  <c r="C414" i="12"/>
  <c r="C415" i="12" l="1"/>
  <c r="K414" i="12"/>
  <c r="B414" i="13" s="1"/>
  <c r="K415" i="12" l="1"/>
  <c r="B415" i="13" s="1"/>
  <c r="C416" i="12"/>
  <c r="C417" i="12" l="1"/>
  <c r="K416" i="12"/>
  <c r="B416" i="13" s="1"/>
  <c r="K417" i="12" l="1"/>
  <c r="B417" i="13" s="1"/>
  <c r="C418" i="12"/>
  <c r="C419" i="12" l="1"/>
  <c r="K418" i="12"/>
  <c r="B418" i="13" s="1"/>
  <c r="K419" i="12" l="1"/>
  <c r="B419" i="13" s="1"/>
  <c r="C420" i="12"/>
  <c r="C421" i="12" l="1"/>
  <c r="K420" i="12"/>
  <c r="B420" i="13" s="1"/>
  <c r="K421" i="12" l="1"/>
  <c r="B421" i="13" s="1"/>
  <c r="I13" i="12" l="1"/>
  <c r="H13" i="12"/>
  <c r="B13" i="12" l="1"/>
  <c r="B12" i="12"/>
  <c r="X89" i="12" l="1"/>
  <c r="X144" i="12"/>
  <c r="X239" i="12"/>
  <c r="X155" i="12"/>
  <c r="X211" i="12"/>
  <c r="X268" i="12"/>
  <c r="X181" i="12"/>
  <c r="X266" i="12"/>
  <c r="X197" i="12"/>
  <c r="X284" i="12"/>
  <c r="X373" i="12"/>
  <c r="X251" i="12"/>
  <c r="X305" i="12"/>
  <c r="X360" i="12"/>
  <c r="X288" i="12"/>
  <c r="X363" i="12"/>
  <c r="X295" i="12"/>
  <c r="X361" i="12"/>
  <c r="X14" i="12"/>
  <c r="X23" i="12"/>
  <c r="X25" i="12"/>
  <c r="X17" i="12"/>
  <c r="X88" i="12"/>
  <c r="X63" i="12"/>
  <c r="X116" i="12"/>
  <c r="X200" i="12"/>
  <c r="X146" i="12"/>
  <c r="X186" i="12"/>
  <c r="X224" i="12"/>
  <c r="X137" i="12"/>
  <c r="X220" i="12"/>
  <c r="X160" i="12"/>
  <c r="X245" i="12"/>
  <c r="X329" i="12"/>
  <c r="X398" i="12"/>
  <c r="X289" i="12"/>
  <c r="X334" i="12"/>
  <c r="X256" i="12"/>
  <c r="X338" i="12"/>
  <c r="X400" i="12"/>
  <c r="X331" i="12"/>
  <c r="X401" i="12"/>
  <c r="X42" i="12"/>
  <c r="X70" i="12"/>
  <c r="X98" i="12"/>
  <c r="X78" i="12"/>
  <c r="X16" i="12"/>
  <c r="X72" i="12"/>
  <c r="X120" i="12"/>
  <c r="X204" i="12"/>
  <c r="X148" i="12"/>
  <c r="X188" i="12"/>
  <c r="X228" i="12"/>
  <c r="X139" i="12"/>
  <c r="X226" i="12"/>
  <c r="X164" i="12"/>
  <c r="X254" i="12"/>
  <c r="X335" i="12"/>
  <c r="X399" i="12"/>
  <c r="X293" i="12"/>
  <c r="X339" i="12"/>
  <c r="X257" i="12"/>
  <c r="X344" i="12"/>
  <c r="X402" i="12"/>
  <c r="X336" i="12"/>
  <c r="X404" i="12"/>
  <c r="X74" i="12"/>
  <c r="X87" i="12"/>
  <c r="X97" i="12"/>
  <c r="X57" i="12"/>
  <c r="X19" i="12"/>
  <c r="X104" i="12"/>
  <c r="X167" i="12"/>
  <c r="X249" i="12"/>
  <c r="X166" i="12"/>
  <c r="X216" i="12"/>
  <c r="X123" i="12"/>
  <c r="X190" i="12"/>
  <c r="X275" i="12"/>
  <c r="X209" i="12"/>
  <c r="X294" i="12"/>
  <c r="X379" i="12"/>
  <c r="X264" i="12"/>
  <c r="X318" i="12"/>
  <c r="X393" i="12"/>
  <c r="X308" i="12"/>
  <c r="X367" i="12"/>
  <c r="X314" i="12"/>
  <c r="X375" i="12"/>
  <c r="X91" i="12"/>
  <c r="X115" i="12"/>
  <c r="X168" i="12"/>
  <c r="X252" i="12"/>
  <c r="X169" i="12"/>
  <c r="X217" i="12"/>
  <c r="X109" i="12"/>
  <c r="X194" i="12"/>
  <c r="X119" i="12"/>
  <c r="X213" i="12"/>
  <c r="X298" i="12"/>
  <c r="X383" i="12"/>
  <c r="X265" i="12"/>
  <c r="X319" i="12"/>
  <c r="X396" i="12"/>
  <c r="X312" i="12"/>
  <c r="X374" i="12"/>
  <c r="X315" i="12"/>
  <c r="X380" i="12"/>
  <c r="X26" i="12"/>
  <c r="X101" i="12"/>
  <c r="X62" i="12"/>
  <c r="X69" i="12"/>
  <c r="X90" i="12"/>
  <c r="X67" i="12"/>
  <c r="X134" i="12"/>
  <c r="X229" i="12"/>
  <c r="X152" i="12"/>
  <c r="X199" i="12"/>
  <c r="X238" i="12"/>
  <c r="X165" i="12"/>
  <c r="X236" i="12"/>
  <c r="X180" i="12"/>
  <c r="X279" i="12"/>
  <c r="X343" i="12"/>
  <c r="X411" i="12"/>
  <c r="X301" i="12"/>
  <c r="X351" i="12"/>
  <c r="X276" i="12"/>
  <c r="X355" i="12"/>
  <c r="X416" i="12"/>
  <c r="X348" i="12"/>
  <c r="X421" i="12"/>
  <c r="X68" i="12"/>
  <c r="X34" i="12"/>
  <c r="X56" i="12"/>
  <c r="X93" i="12"/>
  <c r="X49" i="12"/>
  <c r="X53" i="12"/>
  <c r="X140" i="12"/>
  <c r="X233" i="12"/>
  <c r="X153" i="12"/>
  <c r="X203" i="12"/>
  <c r="X243" i="12"/>
  <c r="X171" i="12"/>
  <c r="X242" i="12"/>
  <c r="X184" i="12"/>
  <c r="X282" i="12"/>
  <c r="X346" i="12"/>
  <c r="X415" i="12"/>
  <c r="X303" i="12"/>
  <c r="X352" i="12"/>
  <c r="X280" i="12"/>
  <c r="X357" i="12"/>
  <c r="X420" i="12"/>
  <c r="X353" i="12"/>
  <c r="X22" i="12"/>
  <c r="X94" i="12"/>
  <c r="X50" i="12"/>
  <c r="X24" i="12"/>
  <c r="X102" i="12"/>
  <c r="X30" i="12"/>
  <c r="X111" i="12"/>
  <c r="X183" i="12"/>
  <c r="X261" i="12"/>
  <c r="X178" i="12"/>
  <c r="X221" i="12"/>
  <c r="X132" i="12"/>
  <c r="X206" i="12"/>
  <c r="X121" i="12"/>
  <c r="X230" i="12"/>
  <c r="X310" i="12"/>
  <c r="X390" i="12"/>
  <c r="X278" i="12"/>
  <c r="X327" i="12"/>
  <c r="X412" i="12"/>
  <c r="X333" i="12"/>
  <c r="X391" i="12"/>
  <c r="X323" i="12"/>
  <c r="X389" i="12"/>
  <c r="X28" i="12"/>
  <c r="X75" i="12"/>
  <c r="X112" i="12"/>
  <c r="X196" i="12"/>
  <c r="X277" i="12"/>
  <c r="X185" i="12"/>
  <c r="X222" i="12"/>
  <c r="X136" i="12"/>
  <c r="X210" i="12"/>
  <c r="X126" i="12"/>
  <c r="X235" i="12"/>
  <c r="X316" i="12"/>
  <c r="X395" i="12"/>
  <c r="X285" i="12"/>
  <c r="X328" i="12"/>
  <c r="X419" i="12"/>
  <c r="X337" i="12"/>
  <c r="X394" i="12"/>
  <c r="X330" i="12"/>
  <c r="X392" i="12"/>
  <c r="X21" i="12"/>
  <c r="X105" i="12"/>
  <c r="X55" i="12"/>
  <c r="X52" i="12"/>
  <c r="X103" i="12"/>
  <c r="X33" i="12"/>
  <c r="X157" i="12"/>
  <c r="X244" i="12"/>
  <c r="X156" i="12"/>
  <c r="X212" i="12"/>
  <c r="X269" i="12"/>
  <c r="X182" i="12"/>
  <c r="X267" i="12"/>
  <c r="X201" i="12"/>
  <c r="X286" i="12"/>
  <c r="X376" i="12"/>
  <c r="X258" i="12"/>
  <c r="X309" i="12"/>
  <c r="X371" i="12"/>
  <c r="X292" i="12"/>
  <c r="X365" i="12"/>
  <c r="X307" i="12"/>
  <c r="X364" i="12"/>
  <c r="X35" i="12"/>
  <c r="X45" i="12"/>
  <c r="X65" i="12"/>
  <c r="X85" i="12"/>
  <c r="X54" i="12"/>
  <c r="X96" i="12"/>
  <c r="X59" i="12"/>
  <c r="X159" i="12"/>
  <c r="X248" i="12"/>
  <c r="X158" i="12"/>
  <c r="X215" i="12"/>
  <c r="X287" i="12"/>
  <c r="X187" i="12"/>
  <c r="X274" i="12"/>
  <c r="X205" i="12"/>
  <c r="X290" i="12"/>
  <c r="X377" i="12"/>
  <c r="X259" i="12"/>
  <c r="X313" i="12"/>
  <c r="X388" i="12"/>
  <c r="X296" i="12"/>
  <c r="X366" i="12"/>
  <c r="X311" i="12"/>
  <c r="X372" i="12"/>
  <c r="X51" i="12"/>
  <c r="X58" i="12"/>
  <c r="X82" i="12"/>
  <c r="X71" i="12"/>
  <c r="X32" i="12"/>
  <c r="X73" i="12"/>
  <c r="X124" i="12"/>
  <c r="X208" i="12"/>
  <c r="X149" i="12"/>
  <c r="X191" i="12"/>
  <c r="X232" i="12"/>
  <c r="X142" i="12"/>
  <c r="X227" i="12"/>
  <c r="X173" i="12"/>
  <c r="X255" i="12"/>
  <c r="X340" i="12"/>
  <c r="X405" i="12"/>
  <c r="X297" i="12"/>
  <c r="X345" i="12"/>
  <c r="X270" i="12"/>
  <c r="X349" i="12"/>
  <c r="X403" i="12"/>
  <c r="X341" i="12"/>
  <c r="X406" i="12"/>
  <c r="X106" i="12"/>
  <c r="X40" i="12"/>
  <c r="X130" i="12"/>
  <c r="X223" i="12"/>
  <c r="X150" i="12"/>
  <c r="X195" i="12"/>
  <c r="X237" i="12"/>
  <c r="X161" i="12"/>
  <c r="X231" i="12"/>
  <c r="X174" i="12"/>
  <c r="X262" i="12"/>
  <c r="X342" i="12"/>
  <c r="X408" i="12"/>
  <c r="X300" i="12"/>
  <c r="X350" i="12"/>
  <c r="X271" i="12"/>
  <c r="X354" i="12"/>
  <c r="X407" i="12"/>
  <c r="X347" i="12"/>
  <c r="X417" i="12"/>
  <c r="X47" i="12"/>
  <c r="X36" i="12"/>
  <c r="X80" i="12"/>
  <c r="X31" i="12"/>
  <c r="X95" i="12"/>
  <c r="X145" i="12"/>
  <c r="X175" i="12"/>
  <c r="X253" i="12"/>
  <c r="X170" i="12"/>
  <c r="X218" i="12"/>
  <c r="X122" i="12"/>
  <c r="X198" i="12"/>
  <c r="X110" i="12"/>
  <c r="X214" i="12"/>
  <c r="X302" i="12"/>
  <c r="X385" i="12"/>
  <c r="X272" i="12"/>
  <c r="X321" i="12"/>
  <c r="X409" i="12"/>
  <c r="X320" i="12"/>
  <c r="X382" i="12"/>
  <c r="X317" i="12"/>
  <c r="X381" i="12"/>
  <c r="X92" i="12"/>
  <c r="X99" i="12"/>
  <c r="X61" i="12"/>
  <c r="X43" i="12"/>
  <c r="X100" i="12"/>
  <c r="X41" i="12"/>
  <c r="X114" i="12"/>
  <c r="X176" i="12"/>
  <c r="X260" i="12"/>
  <c r="X177" i="12"/>
  <c r="X219" i="12"/>
  <c r="X128" i="12"/>
  <c r="X202" i="12"/>
  <c r="X113" i="12"/>
  <c r="X225" i="12"/>
  <c r="X306" i="12"/>
  <c r="X387" i="12"/>
  <c r="X273" i="12"/>
  <c r="X326" i="12"/>
  <c r="X410" i="12"/>
  <c r="X332" i="12"/>
  <c r="X386" i="12"/>
  <c r="X322" i="12"/>
  <c r="X384" i="12"/>
  <c r="X48" i="12"/>
  <c r="X38" i="12"/>
  <c r="X29" i="12"/>
  <c r="X37" i="12"/>
  <c r="X64" i="12"/>
  <c r="X44" i="12"/>
  <c r="X141" i="12"/>
  <c r="X234" i="12"/>
  <c r="X154" i="12"/>
  <c r="X207" i="12"/>
  <c r="X247" i="12"/>
  <c r="X172" i="12"/>
  <c r="X246" i="12"/>
  <c r="X189" i="12"/>
  <c r="X283" i="12"/>
  <c r="X370" i="12"/>
  <c r="X250" i="12"/>
  <c r="X304" i="12"/>
  <c r="X359" i="12"/>
  <c r="X281" i="12"/>
  <c r="X362" i="12"/>
  <c r="X291" i="12"/>
  <c r="X356" i="12"/>
  <c r="X20" i="12"/>
  <c r="X86" i="12"/>
  <c r="C104" i="13" l="1"/>
  <c r="C89" i="13"/>
  <c r="C75" i="13"/>
  <c r="C72" i="13"/>
  <c r="C73" i="13"/>
  <c r="C67" i="13"/>
  <c r="C63" i="13"/>
  <c r="C59" i="13"/>
  <c r="C53" i="13"/>
  <c r="C144" i="13"/>
  <c r="D239" i="13"/>
  <c r="D211" i="13"/>
  <c r="S268" i="12"/>
  <c r="T268" i="12" s="1"/>
  <c r="U268" i="12" s="1"/>
  <c r="D181" i="13"/>
  <c r="S197" i="12"/>
  <c r="T197" i="12" s="1"/>
  <c r="U197" i="12" s="1"/>
  <c r="C284" i="13"/>
  <c r="D373" i="13"/>
  <c r="C305" i="13"/>
  <c r="S360" i="12"/>
  <c r="T360" i="12" s="1"/>
  <c r="U360" i="12" s="1"/>
  <c r="D288" i="13"/>
  <c r="S295" i="12"/>
  <c r="T295" i="12" s="1"/>
  <c r="D144" i="13"/>
  <c r="S211" i="12"/>
  <c r="T211" i="12" s="1"/>
  <c r="U211" i="12" s="1"/>
  <c r="C268" i="13"/>
  <c r="C266" i="13"/>
  <c r="C197" i="13"/>
  <c r="D284" i="13"/>
  <c r="S251" i="12"/>
  <c r="T251" i="12" s="1"/>
  <c r="U251" i="12" s="1"/>
  <c r="S305" i="12"/>
  <c r="T305" i="12" s="1"/>
  <c r="U305" i="12" s="1"/>
  <c r="D360" i="13"/>
  <c r="D363" i="13"/>
  <c r="C295" i="13"/>
  <c r="U295" i="12"/>
  <c r="D89" i="13"/>
  <c r="S239" i="12"/>
  <c r="T239" i="12" s="1"/>
  <c r="U239" i="12" s="1"/>
  <c r="D155" i="13"/>
  <c r="C211" i="13"/>
  <c r="S181" i="12"/>
  <c r="T181" i="12" s="1"/>
  <c r="U181" i="12" s="1"/>
  <c r="D266" i="13"/>
  <c r="D197" i="13"/>
  <c r="C373" i="13"/>
  <c r="C251" i="13"/>
  <c r="D305" i="13"/>
  <c r="C288" i="13"/>
  <c r="C363" i="13"/>
  <c r="D295" i="13"/>
  <c r="S144" i="12"/>
  <c r="T144" i="12" s="1"/>
  <c r="C239" i="13"/>
  <c r="C155" i="13"/>
  <c r="D268" i="13"/>
  <c r="C181" i="13"/>
  <c r="S266" i="12"/>
  <c r="T266" i="12" s="1"/>
  <c r="U266" i="12" s="1"/>
  <c r="S284" i="12"/>
  <c r="T284" i="12" s="1"/>
  <c r="U284" i="12" s="1"/>
  <c r="S373" i="12"/>
  <c r="T373" i="12" s="1"/>
  <c r="U373" i="12" s="1"/>
  <c r="D251" i="13"/>
  <c r="C360" i="13"/>
  <c r="S288" i="12"/>
  <c r="T288" i="12" s="1"/>
  <c r="U288" i="12" s="1"/>
  <c r="S363" i="12"/>
  <c r="T363" i="12" s="1"/>
  <c r="U363" i="12" s="1"/>
  <c r="C361" i="13"/>
  <c r="D14" i="13"/>
  <c r="S23" i="12"/>
  <c r="T23" i="12" s="1"/>
  <c r="U23" i="12" s="1"/>
  <c r="D88" i="13"/>
  <c r="C116" i="13"/>
  <c r="D200" i="13"/>
  <c r="D146" i="13"/>
  <c r="C224" i="13"/>
  <c r="S137" i="12"/>
  <c r="T137" i="12" s="1"/>
  <c r="U137" i="12" s="1"/>
  <c r="S220" i="12"/>
  <c r="T220" i="12" s="1"/>
  <c r="U220" i="12" s="1"/>
  <c r="C245" i="13"/>
  <c r="D329" i="13"/>
  <c r="C398" i="13"/>
  <c r="D334" i="13"/>
  <c r="S256" i="12"/>
  <c r="T256" i="12" s="1"/>
  <c r="U256" i="12" s="1"/>
  <c r="D338" i="13"/>
  <c r="D331" i="13"/>
  <c r="S401" i="12"/>
  <c r="T401" i="12" s="1"/>
  <c r="U401" i="12" s="1"/>
  <c r="C42" i="13"/>
  <c r="C98" i="13"/>
  <c r="S78" i="12"/>
  <c r="T78" i="12" s="1"/>
  <c r="U78" i="12" s="1"/>
  <c r="D16" i="13"/>
  <c r="C120" i="13"/>
  <c r="S204" i="12"/>
  <c r="T204" i="12" s="1"/>
  <c r="U204" i="12" s="1"/>
  <c r="C228" i="13"/>
  <c r="C139" i="13"/>
  <c r="S164" i="12"/>
  <c r="T164" i="12" s="1"/>
  <c r="S254" i="12"/>
  <c r="T254" i="12" s="1"/>
  <c r="U254" i="12" s="1"/>
  <c r="D335" i="13"/>
  <c r="C293" i="13"/>
  <c r="S339" i="12"/>
  <c r="T339" i="12" s="1"/>
  <c r="U339" i="12" s="1"/>
  <c r="S257" i="12"/>
  <c r="T257" i="12" s="1"/>
  <c r="U257" i="12" s="1"/>
  <c r="S402" i="12"/>
  <c r="T402" i="12" s="1"/>
  <c r="U402" i="12" s="1"/>
  <c r="C336" i="13"/>
  <c r="D404" i="13"/>
  <c r="S87" i="12"/>
  <c r="T87" i="12" s="1"/>
  <c r="U87" i="12" s="1"/>
  <c r="C97" i="13"/>
  <c r="S57" i="12"/>
  <c r="T57" i="12" s="1"/>
  <c r="U57" i="12" s="1"/>
  <c r="D104" i="13"/>
  <c r="C167" i="13"/>
  <c r="D166" i="13"/>
  <c r="D216" i="13"/>
  <c r="C123" i="13"/>
  <c r="S275" i="12"/>
  <c r="T275" i="12" s="1"/>
  <c r="C209" i="13"/>
  <c r="C294" i="13"/>
  <c r="D264" i="13"/>
  <c r="D318" i="13"/>
  <c r="C393" i="13"/>
  <c r="D367" i="13"/>
  <c r="C314" i="13"/>
  <c r="C375" i="13"/>
  <c r="D115" i="13"/>
  <c r="C168" i="13"/>
  <c r="D252" i="13"/>
  <c r="C217" i="13"/>
  <c r="S109" i="12"/>
  <c r="T109" i="12" s="1"/>
  <c r="U109" i="12" s="1"/>
  <c r="D194" i="13"/>
  <c r="S213" i="12"/>
  <c r="T213" i="12" s="1"/>
  <c r="U213" i="12" s="1"/>
  <c r="C298" i="13"/>
  <c r="S383" i="12"/>
  <c r="T383" i="12" s="1"/>
  <c r="U383" i="12" s="1"/>
  <c r="S319" i="12"/>
  <c r="T319" i="12" s="1"/>
  <c r="C396" i="13"/>
  <c r="D312" i="13"/>
  <c r="C380" i="13"/>
  <c r="C26" i="13"/>
  <c r="D62" i="13"/>
  <c r="S69" i="12"/>
  <c r="T69" i="12" s="1"/>
  <c r="U69" i="12" s="1"/>
  <c r="C90" i="13"/>
  <c r="D134" i="13"/>
  <c r="S229" i="12"/>
  <c r="T229" i="12" s="1"/>
  <c r="U229" i="12" s="1"/>
  <c r="S199" i="12"/>
  <c r="T199" i="12" s="1"/>
  <c r="C238" i="13"/>
  <c r="D165" i="13"/>
  <c r="D180" i="13"/>
  <c r="C279" i="13"/>
  <c r="S343" i="12"/>
  <c r="T343" i="12" s="1"/>
  <c r="U343" i="12" s="1"/>
  <c r="C301" i="13"/>
  <c r="C351" i="13"/>
  <c r="D276" i="13"/>
  <c r="S416" i="12"/>
  <c r="T416" i="12" s="1"/>
  <c r="U416" i="12" s="1"/>
  <c r="S348" i="12"/>
  <c r="T348" i="12" s="1"/>
  <c r="U348" i="12" s="1"/>
  <c r="C421" i="13"/>
  <c r="S34" i="12"/>
  <c r="T34" i="12" s="1"/>
  <c r="U34" i="12" s="1"/>
  <c r="D56" i="13"/>
  <c r="D93" i="13"/>
  <c r="D53" i="13"/>
  <c r="D140" i="13"/>
  <c r="D203" i="13"/>
  <c r="C243" i="13"/>
  <c r="S242" i="12"/>
  <c r="T242" i="12" s="1"/>
  <c r="C184" i="13"/>
  <c r="D282" i="13"/>
  <c r="S303" i="12"/>
  <c r="T303" i="12" s="1"/>
  <c r="U303" i="12" s="1"/>
  <c r="D352" i="13"/>
  <c r="S357" i="12"/>
  <c r="T357" i="12" s="1"/>
  <c r="C420" i="13"/>
  <c r="D353" i="13"/>
  <c r="S94" i="12"/>
  <c r="T94" i="12" s="1"/>
  <c r="U94" i="12" s="1"/>
  <c r="S50" i="12"/>
  <c r="T50" i="12" s="1"/>
  <c r="U50" i="12" s="1"/>
  <c r="D24" i="13"/>
  <c r="D30" i="13"/>
  <c r="C111" i="13"/>
  <c r="C183" i="13"/>
  <c r="S178" i="12"/>
  <c r="T178" i="12" s="1"/>
  <c r="U178" i="12" s="1"/>
  <c r="D221" i="13"/>
  <c r="C132" i="13"/>
  <c r="S121" i="12"/>
  <c r="T121" i="12" s="1"/>
  <c r="C230" i="13"/>
  <c r="C310" i="13"/>
  <c r="D278" i="13"/>
  <c r="S327" i="12"/>
  <c r="T327" i="12" s="1"/>
  <c r="S412" i="12"/>
  <c r="T412" i="12" s="1"/>
  <c r="U412" i="12" s="1"/>
  <c r="C391" i="13"/>
  <c r="D323" i="13"/>
  <c r="C389" i="13"/>
  <c r="D112" i="13"/>
  <c r="C277" i="13"/>
  <c r="D185" i="13"/>
  <c r="D222" i="13"/>
  <c r="D210" i="13"/>
  <c r="D126" i="13"/>
  <c r="S395" i="12"/>
  <c r="T395" i="12" s="1"/>
  <c r="U395" i="12" s="1"/>
  <c r="C285" i="13"/>
  <c r="D419" i="13"/>
  <c r="S337" i="12"/>
  <c r="T337" i="12" s="1"/>
  <c r="U337" i="12" s="1"/>
  <c r="C394" i="13"/>
  <c r="C392" i="13"/>
  <c r="C21" i="13"/>
  <c r="D105" i="13"/>
  <c r="C52" i="13"/>
  <c r="D103" i="13"/>
  <c r="D244" i="13"/>
  <c r="C156" i="13"/>
  <c r="D269" i="13"/>
  <c r="C182" i="13"/>
  <c r="S267" i="12"/>
  <c r="T267" i="12" s="1"/>
  <c r="U267" i="12" s="1"/>
  <c r="D286" i="13"/>
  <c r="S376" i="12"/>
  <c r="T376" i="12" s="1"/>
  <c r="U376" i="12" s="1"/>
  <c r="C258" i="13"/>
  <c r="D371" i="13"/>
  <c r="D292" i="13"/>
  <c r="S365" i="12"/>
  <c r="T365" i="12" s="1"/>
  <c r="U365" i="12" s="1"/>
  <c r="D364" i="13"/>
  <c r="S35" i="12"/>
  <c r="T35" i="12" s="1"/>
  <c r="U35" i="12" s="1"/>
  <c r="C45" i="13"/>
  <c r="D85" i="13"/>
  <c r="S54" i="12"/>
  <c r="T54" i="12" s="1"/>
  <c r="U54" i="12" s="1"/>
  <c r="C96" i="13"/>
  <c r="C159" i="13"/>
  <c r="D248" i="13"/>
  <c r="D215" i="13"/>
  <c r="S287" i="12"/>
  <c r="T287" i="12" s="1"/>
  <c r="U287" i="12" s="1"/>
  <c r="S187" i="12"/>
  <c r="T187" i="12" s="1"/>
  <c r="U187" i="12" s="1"/>
  <c r="C205" i="13"/>
  <c r="S290" i="12"/>
  <c r="T290" i="12" s="1"/>
  <c r="U290" i="12" s="1"/>
  <c r="S377" i="12"/>
  <c r="T377" i="12" s="1"/>
  <c r="U377" i="12" s="1"/>
  <c r="D313" i="13"/>
  <c r="C388" i="13"/>
  <c r="C296" i="13"/>
  <c r="S311" i="12"/>
  <c r="T311" i="12" s="1"/>
  <c r="U311" i="12" s="1"/>
  <c r="S372" i="12"/>
  <c r="T372" i="12" s="1"/>
  <c r="U372" i="12" s="1"/>
  <c r="S51" i="12"/>
  <c r="T51" i="12" s="1"/>
  <c r="U51" i="12" s="1"/>
  <c r="D82" i="13"/>
  <c r="S71" i="12"/>
  <c r="T71" i="12" s="1"/>
  <c r="U71" i="12" s="1"/>
  <c r="C32" i="13"/>
  <c r="S124" i="12"/>
  <c r="T124" i="12" s="1"/>
  <c r="C208" i="13"/>
  <c r="D191" i="13"/>
  <c r="S232" i="12"/>
  <c r="T232" i="12" s="1"/>
  <c r="U232" i="12" s="1"/>
  <c r="D142" i="13"/>
  <c r="S173" i="12"/>
  <c r="T173" i="12" s="1"/>
  <c r="U173" i="12" s="1"/>
  <c r="D255" i="13"/>
  <c r="S340" i="12"/>
  <c r="T340" i="12" s="1"/>
  <c r="U340" i="12" s="1"/>
  <c r="C297" i="13"/>
  <c r="C345" i="13"/>
  <c r="D270" i="13"/>
  <c r="S403" i="12"/>
  <c r="T403" i="12" s="1"/>
  <c r="U403" i="12" s="1"/>
  <c r="S341" i="12"/>
  <c r="T341" i="12" s="1"/>
  <c r="U341" i="12" s="1"/>
  <c r="D406" i="13"/>
  <c r="D40" i="13"/>
  <c r="D130" i="13"/>
  <c r="S150" i="12"/>
  <c r="T150" i="12" s="1"/>
  <c r="C195" i="13"/>
  <c r="C237" i="13"/>
  <c r="S231" i="12"/>
  <c r="T231" i="12" s="1"/>
  <c r="D174" i="13"/>
  <c r="D262" i="13"/>
  <c r="S408" i="12"/>
  <c r="T408" i="12" s="1"/>
  <c r="U408" i="12" s="1"/>
  <c r="C300" i="13"/>
  <c r="D350" i="13"/>
  <c r="S407" i="12"/>
  <c r="T407" i="12" s="1"/>
  <c r="U407" i="12" s="1"/>
  <c r="D347" i="13"/>
  <c r="D47" i="13"/>
  <c r="D36" i="13"/>
  <c r="D80" i="13"/>
  <c r="S95" i="12"/>
  <c r="T95" i="12" s="1"/>
  <c r="U95" i="12" s="1"/>
  <c r="D145" i="13"/>
  <c r="S175" i="12"/>
  <c r="T175" i="12" s="1"/>
  <c r="U175" i="12" s="1"/>
  <c r="S170" i="12"/>
  <c r="T170" i="12" s="1"/>
  <c r="D218" i="13"/>
  <c r="C122" i="13"/>
  <c r="D110" i="13"/>
  <c r="D214" i="13"/>
  <c r="C302" i="13"/>
  <c r="C272" i="13"/>
  <c r="C321" i="13"/>
  <c r="C409" i="13"/>
  <c r="S382" i="12"/>
  <c r="T382" i="12" s="1"/>
  <c r="U382" i="12" s="1"/>
  <c r="S317" i="12"/>
  <c r="T317" i="12" s="1"/>
  <c r="U317" i="12" s="1"/>
  <c r="S381" i="12"/>
  <c r="T381" i="12" s="1"/>
  <c r="U381" i="12" s="1"/>
  <c r="S99" i="12"/>
  <c r="T99" i="12" s="1"/>
  <c r="U99" i="12" s="1"/>
  <c r="C61" i="13"/>
  <c r="S43" i="12"/>
  <c r="T43" i="12" s="1"/>
  <c r="U43" i="12" s="1"/>
  <c r="D41" i="13"/>
  <c r="D114" i="13"/>
  <c r="C176" i="13"/>
  <c r="S177" i="12"/>
  <c r="T177" i="12" s="1"/>
  <c r="D219" i="13"/>
  <c r="D128" i="13"/>
  <c r="S225" i="12"/>
  <c r="T225" i="12" s="1"/>
  <c r="U225" i="12" s="1"/>
  <c r="S306" i="12"/>
  <c r="T306" i="12" s="1"/>
  <c r="U306" i="12" s="1"/>
  <c r="S273" i="12"/>
  <c r="T273" i="12" s="1"/>
  <c r="U273" i="12" s="1"/>
  <c r="C326" i="13"/>
  <c r="S410" i="12"/>
  <c r="T410" i="12" s="1"/>
  <c r="U410" i="12" s="1"/>
  <c r="S386" i="12"/>
  <c r="T386" i="12" s="1"/>
  <c r="D322" i="13"/>
  <c r="C384" i="13"/>
  <c r="D38" i="13"/>
  <c r="S29" i="12"/>
  <c r="T29" i="12" s="1"/>
  <c r="U29" i="12" s="1"/>
  <c r="C37" i="13"/>
  <c r="D44" i="13"/>
  <c r="C141" i="13"/>
  <c r="C234" i="13"/>
  <c r="S207" i="12"/>
  <c r="T207" i="12" s="1"/>
  <c r="U207" i="12" s="1"/>
  <c r="S247" i="12"/>
  <c r="T247" i="12" s="1"/>
  <c r="U247" i="12" s="1"/>
  <c r="C172" i="13"/>
  <c r="C189" i="13"/>
  <c r="D283" i="13"/>
  <c r="D370" i="13"/>
  <c r="C304" i="13"/>
  <c r="C359" i="13"/>
  <c r="S281" i="12"/>
  <c r="T281" i="12" s="1"/>
  <c r="U281" i="12" s="1"/>
  <c r="S291" i="12"/>
  <c r="T291" i="12" s="1"/>
  <c r="U291" i="12" s="1"/>
  <c r="S356" i="12"/>
  <c r="T356" i="12" s="1"/>
  <c r="U356" i="12" s="1"/>
  <c r="C20" i="13"/>
  <c r="S14" i="12"/>
  <c r="S25" i="12"/>
  <c r="T25" i="12" s="1"/>
  <c r="U25" i="12" s="1"/>
  <c r="D17" i="13"/>
  <c r="S88" i="12"/>
  <c r="T88" i="12" s="1"/>
  <c r="U88" i="12" s="1"/>
  <c r="D116" i="13"/>
  <c r="S200" i="12"/>
  <c r="T200" i="12" s="1"/>
  <c r="U200" i="12" s="1"/>
  <c r="C186" i="13"/>
  <c r="D224" i="13"/>
  <c r="D137" i="13"/>
  <c r="D245" i="13"/>
  <c r="S329" i="12"/>
  <c r="T329" i="12" s="1"/>
  <c r="U329" i="12" s="1"/>
  <c r="C289" i="13"/>
  <c r="S334" i="12"/>
  <c r="T334" i="12" s="1"/>
  <c r="U334" i="12" s="1"/>
  <c r="D256" i="13"/>
  <c r="D400" i="13"/>
  <c r="S331" i="12"/>
  <c r="T331" i="12" s="1"/>
  <c r="U331" i="12" s="1"/>
  <c r="D401" i="13"/>
  <c r="S98" i="12"/>
  <c r="T98" i="12" s="1"/>
  <c r="U98" i="12" s="1"/>
  <c r="C78" i="13"/>
  <c r="S72" i="12"/>
  <c r="T72" i="12" s="1"/>
  <c r="D120" i="13"/>
  <c r="D148" i="13"/>
  <c r="C188" i="13"/>
  <c r="S228" i="12"/>
  <c r="T228" i="12" s="1"/>
  <c r="U228" i="12" s="1"/>
  <c r="C226" i="13"/>
  <c r="C164" i="13"/>
  <c r="U164" i="12"/>
  <c r="D254" i="13"/>
  <c r="C399" i="13"/>
  <c r="S293" i="12"/>
  <c r="T293" i="12" s="1"/>
  <c r="U293" i="12" s="1"/>
  <c r="D339" i="13"/>
  <c r="C344" i="13"/>
  <c r="C402" i="13"/>
  <c r="D336" i="13"/>
  <c r="D74" i="13"/>
  <c r="D87" i="13"/>
  <c r="D97" i="13"/>
  <c r="S104" i="12"/>
  <c r="T104" i="12" s="1"/>
  <c r="U104" i="12" s="1"/>
  <c r="D249" i="13"/>
  <c r="C166" i="13"/>
  <c r="C216" i="13"/>
  <c r="S190" i="12"/>
  <c r="T190" i="12" s="1"/>
  <c r="U190" i="12" s="1"/>
  <c r="C275" i="13"/>
  <c r="U275" i="12"/>
  <c r="D209" i="13"/>
  <c r="S379" i="12"/>
  <c r="T379" i="12" s="1"/>
  <c r="S264" i="12"/>
  <c r="T264" i="12" s="1"/>
  <c r="U264" i="12" s="1"/>
  <c r="C318" i="13"/>
  <c r="D308" i="13"/>
  <c r="C367" i="13"/>
  <c r="D314" i="13"/>
  <c r="C91" i="13"/>
  <c r="S115" i="12"/>
  <c r="T115" i="12" s="1"/>
  <c r="U115" i="12" s="1"/>
  <c r="S168" i="12"/>
  <c r="T168" i="12" s="1"/>
  <c r="U168" i="12" s="1"/>
  <c r="S169" i="12"/>
  <c r="T169" i="12" s="1"/>
  <c r="U169" i="12" s="1"/>
  <c r="S217" i="12"/>
  <c r="T217" i="12" s="1"/>
  <c r="U217" i="12" s="1"/>
  <c r="C109" i="13"/>
  <c r="S119" i="12"/>
  <c r="T119" i="12" s="1"/>
  <c r="D213" i="13"/>
  <c r="S298" i="12"/>
  <c r="T298" i="12" s="1"/>
  <c r="U298" i="12" s="1"/>
  <c r="D265" i="13"/>
  <c r="D319" i="13"/>
  <c r="S396" i="12"/>
  <c r="T396" i="12" s="1"/>
  <c r="U396" i="12" s="1"/>
  <c r="S374" i="12"/>
  <c r="T374" i="12" s="1"/>
  <c r="C315" i="13"/>
  <c r="D380" i="13"/>
  <c r="S101" i="12"/>
  <c r="T101" i="12" s="1"/>
  <c r="U101" i="12" s="1"/>
  <c r="S62" i="12"/>
  <c r="T62" i="12" s="1"/>
  <c r="U62" i="12" s="1"/>
  <c r="D69" i="13"/>
  <c r="S67" i="12"/>
  <c r="T67" i="12" s="1"/>
  <c r="C134" i="13"/>
  <c r="C152" i="13"/>
  <c r="D199" i="13"/>
  <c r="S238" i="12"/>
  <c r="T238" i="12" s="1"/>
  <c r="U238" i="12" s="1"/>
  <c r="C236" i="13"/>
  <c r="C180" i="13"/>
  <c r="D279" i="13"/>
  <c r="S411" i="12"/>
  <c r="T411" i="12" s="1"/>
  <c r="D301" i="13"/>
  <c r="D351" i="13"/>
  <c r="D416" i="13"/>
  <c r="C348" i="13"/>
  <c r="C68" i="13"/>
  <c r="C34" i="13"/>
  <c r="S56" i="12"/>
  <c r="T56" i="12" s="1"/>
  <c r="D49" i="13"/>
  <c r="S53" i="12"/>
  <c r="T53" i="12" s="1"/>
  <c r="U53" i="12" s="1"/>
  <c r="S233" i="12"/>
  <c r="T233" i="12" s="1"/>
  <c r="U233" i="12" s="1"/>
  <c r="D153" i="13"/>
  <c r="S203" i="12"/>
  <c r="T203" i="12" s="1"/>
  <c r="U203" i="12" s="1"/>
  <c r="D171" i="13"/>
  <c r="D242" i="13"/>
  <c r="S184" i="12"/>
  <c r="T184" i="12" s="1"/>
  <c r="U184" i="12" s="1"/>
  <c r="C346" i="13"/>
  <c r="D415" i="13"/>
  <c r="D303" i="13"/>
  <c r="S280" i="12"/>
  <c r="T280" i="12" s="1"/>
  <c r="U357" i="12"/>
  <c r="C357" i="13"/>
  <c r="D420" i="13"/>
  <c r="S22" i="12"/>
  <c r="T22" i="12" s="1"/>
  <c r="U22" i="12" s="1"/>
  <c r="D94" i="13"/>
  <c r="D50" i="13"/>
  <c r="C102" i="13"/>
  <c r="C30" i="13"/>
  <c r="D111" i="13"/>
  <c r="D261" i="13"/>
  <c r="C178" i="13"/>
  <c r="C221" i="13"/>
  <c r="S206" i="12"/>
  <c r="T206" i="12" s="1"/>
  <c r="U121" i="12"/>
  <c r="C121" i="13"/>
  <c r="S230" i="12"/>
  <c r="T230" i="12" s="1"/>
  <c r="U230" i="12" s="1"/>
  <c r="C390" i="13"/>
  <c r="C278" i="13"/>
  <c r="C327" i="13"/>
  <c r="U327" i="12"/>
  <c r="S333" i="12"/>
  <c r="T333" i="12" s="1"/>
  <c r="U333" i="12" s="1"/>
  <c r="D391" i="13"/>
  <c r="C323" i="13"/>
  <c r="D75" i="13"/>
  <c r="D196" i="13"/>
  <c r="S277" i="12"/>
  <c r="T277" i="12" s="1"/>
  <c r="U277" i="12" s="1"/>
  <c r="S185" i="12"/>
  <c r="T185" i="12" s="1"/>
  <c r="U185" i="12" s="1"/>
  <c r="S136" i="12"/>
  <c r="T136" i="12" s="1"/>
  <c r="C210" i="13"/>
  <c r="D235" i="13"/>
  <c r="D316" i="13"/>
  <c r="C395" i="13"/>
  <c r="S328" i="12"/>
  <c r="T328" i="12" s="1"/>
  <c r="C419" i="13"/>
  <c r="C337" i="13"/>
  <c r="S330" i="12"/>
  <c r="T330" i="12" s="1"/>
  <c r="D392" i="13"/>
  <c r="S21" i="12"/>
  <c r="T21" i="12" s="1"/>
  <c r="U21" i="12" s="1"/>
  <c r="D55" i="13"/>
  <c r="S52" i="12"/>
  <c r="T52" i="12" s="1"/>
  <c r="U52" i="12" s="1"/>
  <c r="C33" i="13"/>
  <c r="D157" i="13"/>
  <c r="S244" i="12"/>
  <c r="T244" i="12" s="1"/>
  <c r="U244" i="12" s="1"/>
  <c r="D212" i="13"/>
  <c r="C269" i="13"/>
  <c r="D182" i="13"/>
  <c r="C201" i="13"/>
  <c r="C286" i="13"/>
  <c r="C376" i="13"/>
  <c r="D309" i="13"/>
  <c r="C371" i="13"/>
  <c r="C292" i="13"/>
  <c r="C364" i="13"/>
  <c r="C35" i="13"/>
  <c r="C85" i="13"/>
  <c r="D54" i="13"/>
  <c r="D159" i="13"/>
  <c r="C215" i="13"/>
  <c r="D287" i="13"/>
  <c r="S274" i="12"/>
  <c r="T274" i="12" s="1"/>
  <c r="U274" i="12" s="1"/>
  <c r="S205" i="12"/>
  <c r="T205" i="12" s="1"/>
  <c r="U205" i="12" s="1"/>
  <c r="C290" i="13"/>
  <c r="C259" i="13"/>
  <c r="C313" i="13"/>
  <c r="S388" i="12"/>
  <c r="T388" i="12" s="1"/>
  <c r="U388" i="12" s="1"/>
  <c r="D366" i="13"/>
  <c r="C311" i="13"/>
  <c r="D372" i="13"/>
  <c r="C58" i="13"/>
  <c r="S82" i="12"/>
  <c r="T82" i="12" s="1"/>
  <c r="T81" i="12" s="1"/>
  <c r="U81" i="12" s="1"/>
  <c r="D71" i="13"/>
  <c r="D73" i="13"/>
  <c r="U124" i="12"/>
  <c r="C124" i="13"/>
  <c r="D149" i="13"/>
  <c r="C191" i="13"/>
  <c r="D232" i="13"/>
  <c r="C227" i="13"/>
  <c r="C173" i="13"/>
  <c r="S255" i="12"/>
  <c r="T255" i="12" s="1"/>
  <c r="U255" i="12" s="1"/>
  <c r="S405" i="12"/>
  <c r="T405" i="12" s="1"/>
  <c r="S297" i="12"/>
  <c r="T297" i="12" s="1"/>
  <c r="U297" i="12" s="1"/>
  <c r="S345" i="12"/>
  <c r="T345" i="12" s="1"/>
  <c r="U345" i="12" s="1"/>
  <c r="C403" i="13"/>
  <c r="D341" i="13"/>
  <c r="D106" i="13"/>
  <c r="S40" i="12"/>
  <c r="S223" i="12"/>
  <c r="T223" i="12" s="1"/>
  <c r="C150" i="13"/>
  <c r="U150" i="12"/>
  <c r="D195" i="13"/>
  <c r="C161" i="13"/>
  <c r="D231" i="13"/>
  <c r="C174" i="13"/>
  <c r="D342" i="13"/>
  <c r="D408" i="13"/>
  <c r="S300" i="12"/>
  <c r="T300" i="12" s="1"/>
  <c r="C271" i="13"/>
  <c r="C354" i="13"/>
  <c r="D407" i="13"/>
  <c r="C417" i="13"/>
  <c r="C47" i="13"/>
  <c r="C36" i="13"/>
  <c r="D31" i="13"/>
  <c r="D95" i="13"/>
  <c r="C145" i="13"/>
  <c r="S253" i="12"/>
  <c r="T253" i="12" s="1"/>
  <c r="U253" i="12" s="1"/>
  <c r="C170" i="13"/>
  <c r="U170" i="12"/>
  <c r="S218" i="12"/>
  <c r="T218" i="12" s="1"/>
  <c r="U218" i="12" s="1"/>
  <c r="D198" i="13"/>
  <c r="C110" i="13"/>
  <c r="C214" i="13"/>
  <c r="S385" i="12"/>
  <c r="T385" i="12" s="1"/>
  <c r="U385" i="12" s="1"/>
  <c r="S272" i="12"/>
  <c r="T272" i="12" s="1"/>
  <c r="U272" i="12" s="1"/>
  <c r="D321" i="13"/>
  <c r="S320" i="12"/>
  <c r="T320" i="12" s="1"/>
  <c r="U320" i="12" s="1"/>
  <c r="C382" i="13"/>
  <c r="D317" i="13"/>
  <c r="C92" i="13"/>
  <c r="D99" i="13"/>
  <c r="D61" i="13"/>
  <c r="S100" i="12"/>
  <c r="T100" i="12" s="1"/>
  <c r="U100" i="12" s="1"/>
  <c r="S41" i="12"/>
  <c r="T41" i="12" s="1"/>
  <c r="U41" i="12" s="1"/>
  <c r="S114" i="12"/>
  <c r="T114" i="12" s="1"/>
  <c r="U114" i="12" s="1"/>
  <c r="C260" i="13"/>
  <c r="U177" i="12"/>
  <c r="C177" i="13"/>
  <c r="S219" i="12"/>
  <c r="T219" i="12" s="1"/>
  <c r="U219" i="12" s="1"/>
  <c r="C202" i="13"/>
  <c r="C113" i="13"/>
  <c r="C225" i="13"/>
  <c r="S387" i="12"/>
  <c r="T387" i="12" s="1"/>
  <c r="D273" i="13"/>
  <c r="D326" i="13"/>
  <c r="D332" i="13"/>
  <c r="D386" i="13"/>
  <c r="C322" i="13"/>
  <c r="S48" i="12"/>
  <c r="T48" i="12" s="1"/>
  <c r="U48" i="12" s="1"/>
  <c r="C38" i="13"/>
  <c r="C29" i="13"/>
  <c r="D64" i="13"/>
  <c r="C44" i="13"/>
  <c r="D141" i="13"/>
  <c r="D207" i="13"/>
  <c r="D247" i="13"/>
  <c r="S246" i="12"/>
  <c r="T246" i="12" s="1"/>
  <c r="U246" i="12" s="1"/>
  <c r="D189" i="13"/>
  <c r="S283" i="12"/>
  <c r="T283" i="12" s="1"/>
  <c r="U283" i="12" s="1"/>
  <c r="C250" i="13"/>
  <c r="S304" i="12"/>
  <c r="T304" i="12" s="1"/>
  <c r="U304" i="12" s="1"/>
  <c r="D359" i="13"/>
  <c r="S362" i="12"/>
  <c r="T362" i="12" s="1"/>
  <c r="D291" i="13"/>
  <c r="C356" i="13"/>
  <c r="D86" i="13"/>
  <c r="S361" i="12"/>
  <c r="T361" i="12" s="1"/>
  <c r="U361" i="12" s="1"/>
  <c r="D23" i="13"/>
  <c r="D25" i="13"/>
  <c r="C17" i="13"/>
  <c r="S63" i="12"/>
  <c r="T63" i="12" s="1"/>
  <c r="U63" i="12" s="1"/>
  <c r="S116" i="12"/>
  <c r="T116" i="12" s="1"/>
  <c r="U116" i="12" s="1"/>
  <c r="C146" i="13"/>
  <c r="D186" i="13"/>
  <c r="S224" i="12"/>
  <c r="T224" i="12" s="1"/>
  <c r="U224" i="12" s="1"/>
  <c r="D220" i="13"/>
  <c r="C160" i="13"/>
  <c r="S245" i="12"/>
  <c r="T245" i="12" s="1"/>
  <c r="U245" i="12" s="1"/>
  <c r="S398" i="12"/>
  <c r="T398" i="12" s="1"/>
  <c r="S289" i="12"/>
  <c r="T289" i="12" s="1"/>
  <c r="U289" i="12" s="1"/>
  <c r="C334" i="13"/>
  <c r="C338" i="13"/>
  <c r="C400" i="13"/>
  <c r="C331" i="13"/>
  <c r="S42" i="12"/>
  <c r="T42" i="12" s="1"/>
  <c r="U42" i="12" s="1"/>
  <c r="C70" i="13"/>
  <c r="D98" i="13"/>
  <c r="U72" i="12"/>
  <c r="D72" i="13"/>
  <c r="C204" i="13"/>
  <c r="C148" i="13"/>
  <c r="D188" i="13"/>
  <c r="S226" i="12"/>
  <c r="T226" i="12" s="1"/>
  <c r="U226" i="12" s="1"/>
  <c r="D164" i="13"/>
  <c r="C335" i="13"/>
  <c r="S399" i="12"/>
  <c r="T399" i="12" s="1"/>
  <c r="U399" i="12" s="1"/>
  <c r="D293" i="13"/>
  <c r="C257" i="13"/>
  <c r="S344" i="12"/>
  <c r="T344" i="12" s="1"/>
  <c r="U344" i="12" s="1"/>
  <c r="D402" i="13"/>
  <c r="C404" i="13"/>
  <c r="S74" i="12"/>
  <c r="T74" i="12" s="1"/>
  <c r="C87" i="13"/>
  <c r="D57" i="13"/>
  <c r="D19" i="13"/>
  <c r="C249" i="13"/>
  <c r="S166" i="12"/>
  <c r="T166" i="12" s="1"/>
  <c r="U166" i="12" s="1"/>
  <c r="S123" i="12"/>
  <c r="T123" i="12" s="1"/>
  <c r="U123" i="12" s="1"/>
  <c r="C190" i="13"/>
  <c r="D275" i="13"/>
  <c r="S294" i="12"/>
  <c r="T294" i="12" s="1"/>
  <c r="U294" i="12" s="1"/>
  <c r="D379" i="13"/>
  <c r="C264" i="13"/>
  <c r="S393" i="12"/>
  <c r="T393" i="12" s="1"/>
  <c r="U393" i="12" s="1"/>
  <c r="S308" i="12"/>
  <c r="T308" i="12" s="1"/>
  <c r="U308" i="12" s="1"/>
  <c r="S367" i="12"/>
  <c r="T367" i="12" s="1"/>
  <c r="U367" i="12" s="1"/>
  <c r="D375" i="13"/>
  <c r="D91" i="13"/>
  <c r="C115" i="13"/>
  <c r="C252" i="13"/>
  <c r="C169" i="13"/>
  <c r="D217" i="13"/>
  <c r="C194" i="13"/>
  <c r="C119" i="13"/>
  <c r="U119" i="12"/>
  <c r="C213" i="13"/>
  <c r="D383" i="13"/>
  <c r="C265" i="13"/>
  <c r="U319" i="12"/>
  <c r="C319" i="13"/>
  <c r="S312" i="12"/>
  <c r="T312" i="12" s="1"/>
  <c r="U312" i="12" s="1"/>
  <c r="D374" i="13"/>
  <c r="D315" i="13"/>
  <c r="D26" i="13"/>
  <c r="D101" i="13"/>
  <c r="C62" i="13"/>
  <c r="S90" i="12"/>
  <c r="T90" i="12" s="1"/>
  <c r="U90" i="12" s="1"/>
  <c r="D67" i="13"/>
  <c r="U67" i="12"/>
  <c r="C229" i="13"/>
  <c r="D152" i="13"/>
  <c r="U199" i="12"/>
  <c r="C199" i="13"/>
  <c r="S165" i="12"/>
  <c r="T165" i="12" s="1"/>
  <c r="D236" i="13"/>
  <c r="S180" i="12"/>
  <c r="T180" i="12" s="1"/>
  <c r="D343" i="13"/>
  <c r="C411" i="13"/>
  <c r="U411" i="12"/>
  <c r="S301" i="12"/>
  <c r="T301" i="12" s="1"/>
  <c r="U301" i="12" s="1"/>
  <c r="C276" i="13"/>
  <c r="C355" i="13"/>
  <c r="C416" i="13"/>
  <c r="S68" i="12"/>
  <c r="T68" i="12" s="1"/>
  <c r="U68" i="12" s="1"/>
  <c r="D34" i="13"/>
  <c r="C93" i="13"/>
  <c r="C49" i="13"/>
  <c r="D233" i="13"/>
  <c r="C153" i="13"/>
  <c r="D243" i="13"/>
  <c r="C171" i="13"/>
  <c r="C242" i="13"/>
  <c r="U242" i="12"/>
  <c r="S282" i="12"/>
  <c r="T282" i="12" s="1"/>
  <c r="U282" i="12" s="1"/>
  <c r="S346" i="12"/>
  <c r="T346" i="12" s="1"/>
  <c r="U346" i="12" s="1"/>
  <c r="C415" i="13"/>
  <c r="C352" i="13"/>
  <c r="U280" i="12"/>
  <c r="C280" i="13"/>
  <c r="D357" i="13"/>
  <c r="D22" i="13"/>
  <c r="C94" i="13"/>
  <c r="S24" i="12"/>
  <c r="T24" i="12" s="1"/>
  <c r="U24" i="12" s="1"/>
  <c r="S102" i="12"/>
  <c r="T102" i="12" s="1"/>
  <c r="U102" i="12" s="1"/>
  <c r="S30" i="12"/>
  <c r="T30" i="12" s="1"/>
  <c r="U30" i="12" s="1"/>
  <c r="S183" i="12"/>
  <c r="T183" i="12" s="1"/>
  <c r="U183" i="12" s="1"/>
  <c r="C261" i="13"/>
  <c r="D178" i="13"/>
  <c r="S132" i="12"/>
  <c r="T132" i="12" s="1"/>
  <c r="T131" i="12" s="1"/>
  <c r="U131" i="12" s="1"/>
  <c r="D206" i="13"/>
  <c r="D121" i="13"/>
  <c r="S390" i="12"/>
  <c r="T390" i="12" s="1"/>
  <c r="U390" i="12" s="1"/>
  <c r="S278" i="12"/>
  <c r="T278" i="12" s="1"/>
  <c r="U278" i="12" s="1"/>
  <c r="C412" i="13"/>
  <c r="D333" i="13"/>
  <c r="S391" i="12"/>
  <c r="T391" i="12" s="1"/>
  <c r="U391" i="12" s="1"/>
  <c r="D389" i="13"/>
  <c r="D28" i="13"/>
  <c r="C196" i="13"/>
  <c r="D277" i="13"/>
  <c r="C222" i="13"/>
  <c r="D136" i="13"/>
  <c r="S210" i="12"/>
  <c r="T210" i="12" s="1"/>
  <c r="U210" i="12" s="1"/>
  <c r="S235" i="12"/>
  <c r="T235" i="12" s="1"/>
  <c r="U235" i="12" s="1"/>
  <c r="C316" i="13"/>
  <c r="D285" i="13"/>
  <c r="D328" i="13"/>
  <c r="S419" i="12"/>
  <c r="T419" i="12" s="1"/>
  <c r="U419" i="12" s="1"/>
  <c r="D394" i="13"/>
  <c r="D330" i="13"/>
  <c r="S392" i="12"/>
  <c r="T392" i="12" s="1"/>
  <c r="U392" i="12" s="1"/>
  <c r="C105" i="13"/>
  <c r="S55" i="12"/>
  <c r="S103" i="12"/>
  <c r="T103" i="12" s="1"/>
  <c r="U103" i="12" s="1"/>
  <c r="S33" i="12"/>
  <c r="T33" i="12" s="1"/>
  <c r="U33" i="12" s="1"/>
  <c r="C157" i="13"/>
  <c r="C212" i="13"/>
  <c r="S269" i="12"/>
  <c r="T269" i="12" s="1"/>
  <c r="U269" i="12" s="1"/>
  <c r="D267" i="13"/>
  <c r="D201" i="13"/>
  <c r="S286" i="12"/>
  <c r="T286" i="12" s="1"/>
  <c r="U286" i="12" s="1"/>
  <c r="D258" i="13"/>
  <c r="C309" i="13"/>
  <c r="S371" i="12"/>
  <c r="T371" i="12" s="1"/>
  <c r="U371" i="12" s="1"/>
  <c r="D365" i="13"/>
  <c r="D307" i="13"/>
  <c r="S364" i="12"/>
  <c r="T364" i="12" s="1"/>
  <c r="U364" i="12" s="1"/>
  <c r="D45" i="13"/>
  <c r="C65" i="13"/>
  <c r="S85" i="12"/>
  <c r="T85" i="12" s="1"/>
  <c r="D96" i="13"/>
  <c r="D59" i="13"/>
  <c r="S248" i="12"/>
  <c r="T248" i="12" s="1"/>
  <c r="C158" i="13"/>
  <c r="S215" i="12"/>
  <c r="T215" i="12" s="1"/>
  <c r="U215" i="12" s="1"/>
  <c r="C187" i="13"/>
  <c r="D274" i="13"/>
  <c r="D205" i="13"/>
  <c r="C377" i="13"/>
  <c r="S259" i="12"/>
  <c r="T259" i="12" s="1"/>
  <c r="U259" i="12" s="1"/>
  <c r="S313" i="12"/>
  <c r="T313" i="12" s="1"/>
  <c r="U313" i="12" s="1"/>
  <c r="S296" i="12"/>
  <c r="T296" i="12" s="1"/>
  <c r="U296" i="12" s="1"/>
  <c r="C366" i="13"/>
  <c r="D311" i="13"/>
  <c r="D51" i="13"/>
  <c r="S58" i="12"/>
  <c r="T58" i="12" s="1"/>
  <c r="U58" i="12" s="1"/>
  <c r="C82" i="13"/>
  <c r="D32" i="13"/>
  <c r="S73" i="12"/>
  <c r="T73" i="12" s="1"/>
  <c r="U73" i="12" s="1"/>
  <c r="D208" i="13"/>
  <c r="C149" i="13"/>
  <c r="S191" i="12"/>
  <c r="T191" i="12" s="1"/>
  <c r="U191" i="12" s="1"/>
  <c r="S227" i="12"/>
  <c r="T227" i="12" s="1"/>
  <c r="U227" i="12" s="1"/>
  <c r="D173" i="13"/>
  <c r="C340" i="13"/>
  <c r="D405" i="13"/>
  <c r="D297" i="13"/>
  <c r="S270" i="12"/>
  <c r="T270" i="12" s="1"/>
  <c r="U270" i="12" s="1"/>
  <c r="D349" i="13"/>
  <c r="D403" i="13"/>
  <c r="C406" i="13"/>
  <c r="S106" i="12"/>
  <c r="T106" i="12" s="1"/>
  <c r="U106" i="12" s="1"/>
  <c r="S130" i="12"/>
  <c r="T130" i="12" s="1"/>
  <c r="T129" i="12" s="1"/>
  <c r="U129" i="12" s="1"/>
  <c r="D223" i="13"/>
  <c r="D150" i="13"/>
  <c r="S237" i="12"/>
  <c r="T237" i="12" s="1"/>
  <c r="U237" i="12" s="1"/>
  <c r="D161" i="13"/>
  <c r="C231" i="13"/>
  <c r="U231" i="12"/>
  <c r="C262" i="13"/>
  <c r="C342" i="13"/>
  <c r="C408" i="13"/>
  <c r="D271" i="13"/>
  <c r="D354" i="13"/>
  <c r="C347" i="13"/>
  <c r="D417" i="13"/>
  <c r="S47" i="12"/>
  <c r="T47" i="12" s="1"/>
  <c r="U47" i="12" s="1"/>
  <c r="S80" i="12"/>
  <c r="T80" i="12" s="1"/>
  <c r="T79" i="12" s="1"/>
  <c r="U79" i="12" s="1"/>
  <c r="S31" i="12"/>
  <c r="T31" i="12" s="1"/>
  <c r="U31" i="12" s="1"/>
  <c r="C95" i="13"/>
  <c r="D175" i="13"/>
  <c r="D253" i="13"/>
  <c r="D170" i="13"/>
  <c r="D122" i="13"/>
  <c r="S198" i="12"/>
  <c r="T198" i="12" s="1"/>
  <c r="U198" i="12" s="1"/>
  <c r="S110" i="12"/>
  <c r="T110" i="12" s="1"/>
  <c r="U110" i="12" s="1"/>
  <c r="D302" i="13"/>
  <c r="D385" i="13"/>
  <c r="D272" i="13"/>
  <c r="D409" i="13"/>
  <c r="D320" i="13"/>
  <c r="D382" i="13"/>
  <c r="C381" i="13"/>
  <c r="D92" i="13"/>
  <c r="C99" i="13"/>
  <c r="D43" i="13"/>
  <c r="C100" i="13"/>
  <c r="C41" i="13"/>
  <c r="D176" i="13"/>
  <c r="S260" i="12"/>
  <c r="T260" i="12" s="1"/>
  <c r="U260" i="12" s="1"/>
  <c r="D177" i="13"/>
  <c r="S128" i="12"/>
  <c r="T128" i="12" s="1"/>
  <c r="U128" i="12" s="1"/>
  <c r="D202" i="13"/>
  <c r="D113" i="13"/>
  <c r="C306" i="13"/>
  <c r="D387" i="13"/>
  <c r="C273" i="13"/>
  <c r="C410" i="13"/>
  <c r="S332" i="12"/>
  <c r="T332" i="12" s="1"/>
  <c r="U332" i="12" s="1"/>
  <c r="U386" i="12"/>
  <c r="C386" i="13"/>
  <c r="D384" i="13"/>
  <c r="D48" i="13"/>
  <c r="S38" i="12"/>
  <c r="T38" i="12" s="1"/>
  <c r="U38" i="12" s="1"/>
  <c r="D37" i="13"/>
  <c r="S64" i="12"/>
  <c r="T64" i="12" s="1"/>
  <c r="U64" i="12" s="1"/>
  <c r="S44" i="12"/>
  <c r="T44" i="12" s="1"/>
  <c r="U44" i="12" s="1"/>
  <c r="D234" i="13"/>
  <c r="D154" i="13"/>
  <c r="C207" i="13"/>
  <c r="D172" i="13"/>
  <c r="D246" i="13"/>
  <c r="S189" i="12"/>
  <c r="T189" i="12" s="1"/>
  <c r="U189" i="12" s="1"/>
  <c r="S370" i="12"/>
  <c r="T370" i="12" s="1"/>
  <c r="U370" i="12" s="1"/>
  <c r="S250" i="12"/>
  <c r="T250" i="12" s="1"/>
  <c r="U250" i="12" s="1"/>
  <c r="D304" i="13"/>
  <c r="D281" i="13"/>
  <c r="D362" i="13"/>
  <c r="C291" i="13"/>
  <c r="S20" i="12"/>
  <c r="T20" i="12" s="1"/>
  <c r="U20" i="12" s="1"/>
  <c r="S86" i="12"/>
  <c r="T86" i="12" s="1"/>
  <c r="U86" i="12" s="1"/>
  <c r="D361" i="13"/>
  <c r="C23" i="13"/>
  <c r="C25" i="13"/>
  <c r="C88" i="13"/>
  <c r="D63" i="13"/>
  <c r="C200" i="13"/>
  <c r="S146" i="12"/>
  <c r="T146" i="12" s="1"/>
  <c r="U146" i="12" s="1"/>
  <c r="S186" i="12"/>
  <c r="T186" i="12" s="1"/>
  <c r="U186" i="12" s="1"/>
  <c r="C137" i="13"/>
  <c r="C220" i="13"/>
  <c r="D160" i="13"/>
  <c r="C329" i="13"/>
  <c r="D398" i="13"/>
  <c r="D289" i="13"/>
  <c r="C256" i="13"/>
  <c r="S338" i="12"/>
  <c r="T338" i="12" s="1"/>
  <c r="U338" i="12" s="1"/>
  <c r="S400" i="12"/>
  <c r="T400" i="12" s="1"/>
  <c r="U400" i="12" s="1"/>
  <c r="C401" i="13"/>
  <c r="D42" i="13"/>
  <c r="D70" i="13"/>
  <c r="D78" i="13"/>
  <c r="C16" i="13"/>
  <c r="S120" i="12"/>
  <c r="T120" i="12" s="1"/>
  <c r="U120" i="12" s="1"/>
  <c r="D204" i="13"/>
  <c r="S148" i="12"/>
  <c r="T148" i="12" s="1"/>
  <c r="U148" i="12" s="1"/>
  <c r="D228" i="13"/>
  <c r="D139" i="13"/>
  <c r="D226" i="13"/>
  <c r="C254" i="13"/>
  <c r="S335" i="12"/>
  <c r="T335" i="12" s="1"/>
  <c r="U335" i="12" s="1"/>
  <c r="D399" i="13"/>
  <c r="C339" i="13"/>
  <c r="D257" i="13"/>
  <c r="D344" i="13"/>
  <c r="S336" i="12"/>
  <c r="T336" i="12" s="1"/>
  <c r="U336" i="12" s="1"/>
  <c r="S404" i="12"/>
  <c r="T404" i="12" s="1"/>
  <c r="U404" i="12" s="1"/>
  <c r="U74" i="12"/>
  <c r="C74" i="13"/>
  <c r="S97" i="12"/>
  <c r="T97" i="12" s="1"/>
  <c r="U97" i="12" s="1"/>
  <c r="C57" i="13"/>
  <c r="C19" i="13"/>
  <c r="D167" i="13"/>
  <c r="S249" i="12"/>
  <c r="T249" i="12" s="1"/>
  <c r="U249" i="12" s="1"/>
  <c r="S216" i="12"/>
  <c r="T216" i="12" s="1"/>
  <c r="U216" i="12" s="1"/>
  <c r="D123" i="13"/>
  <c r="D190" i="13"/>
  <c r="S209" i="12"/>
  <c r="T209" i="12" s="1"/>
  <c r="U209" i="12" s="1"/>
  <c r="D294" i="13"/>
  <c r="C379" i="13"/>
  <c r="U379" i="12"/>
  <c r="D393" i="13"/>
  <c r="C308" i="13"/>
  <c r="S375" i="12"/>
  <c r="T375" i="12" s="1"/>
  <c r="U375" i="12" s="1"/>
  <c r="S91" i="12"/>
  <c r="T91" i="12" s="1"/>
  <c r="U91" i="12" s="1"/>
  <c r="D168" i="13"/>
  <c r="S252" i="12"/>
  <c r="T252" i="12" s="1"/>
  <c r="U252" i="12" s="1"/>
  <c r="D169" i="13"/>
  <c r="D109" i="13"/>
  <c r="S194" i="12"/>
  <c r="T194" i="12" s="1"/>
  <c r="U194" i="12" s="1"/>
  <c r="D119" i="13"/>
  <c r="D298" i="13"/>
  <c r="C383" i="13"/>
  <c r="S265" i="12"/>
  <c r="T265" i="12" s="1"/>
  <c r="U265" i="12" s="1"/>
  <c r="D396" i="13"/>
  <c r="C312" i="13"/>
  <c r="U374" i="12"/>
  <c r="C374" i="13"/>
  <c r="S26" i="12"/>
  <c r="T26" i="12" s="1"/>
  <c r="U26" i="12" s="1"/>
  <c r="C101" i="13"/>
  <c r="C69" i="13"/>
  <c r="D90" i="13"/>
  <c r="D229" i="13"/>
  <c r="S152" i="12"/>
  <c r="T152" i="12" s="1"/>
  <c r="D238" i="13"/>
  <c r="U165" i="12"/>
  <c r="C165" i="13"/>
  <c r="S236" i="12"/>
  <c r="T236" i="12" s="1"/>
  <c r="U236" i="12" s="1"/>
  <c r="S279" i="12"/>
  <c r="T279" i="12" s="1"/>
  <c r="U279" i="12" s="1"/>
  <c r="C343" i="13"/>
  <c r="D411" i="13"/>
  <c r="S276" i="12"/>
  <c r="T276" i="12" s="1"/>
  <c r="U276" i="12" s="1"/>
  <c r="D355" i="13"/>
  <c r="D348" i="13"/>
  <c r="D421" i="13"/>
  <c r="D68" i="13"/>
  <c r="C56" i="13"/>
  <c r="U56" i="12"/>
  <c r="S93" i="12"/>
  <c r="T93" i="12" s="1"/>
  <c r="U93" i="12" s="1"/>
  <c r="S49" i="12"/>
  <c r="T49" i="12" s="1"/>
  <c r="U49" i="12" s="1"/>
  <c r="C140" i="13"/>
  <c r="C233" i="13"/>
  <c r="C203" i="13"/>
  <c r="S243" i="12"/>
  <c r="T243" i="12" s="1"/>
  <c r="U243" i="12" s="1"/>
  <c r="S171" i="12"/>
  <c r="T171" i="12" s="1"/>
  <c r="U171" i="12" s="1"/>
  <c r="D184" i="13"/>
  <c r="C282" i="13"/>
  <c r="D346" i="13"/>
  <c r="C303" i="13"/>
  <c r="S352" i="12"/>
  <c r="T352" i="12" s="1"/>
  <c r="U352" i="12" s="1"/>
  <c r="D280" i="13"/>
  <c r="S420" i="12"/>
  <c r="T420" i="12" s="1"/>
  <c r="U420" i="12" s="1"/>
  <c r="C353" i="13"/>
  <c r="C22" i="13"/>
  <c r="C50" i="13"/>
  <c r="C24" i="13"/>
  <c r="D102" i="13"/>
  <c r="D183" i="13"/>
  <c r="S261" i="12"/>
  <c r="T261" i="12" s="1"/>
  <c r="U261" i="12" s="1"/>
  <c r="S221" i="12"/>
  <c r="T221" i="12" s="1"/>
  <c r="U221" i="12" s="1"/>
  <c r="D132" i="13"/>
  <c r="U206" i="12"/>
  <c r="C206" i="13"/>
  <c r="D230" i="13"/>
  <c r="D310" i="13"/>
  <c r="D390" i="13"/>
  <c r="D327" i="13"/>
  <c r="D412" i="13"/>
  <c r="C333" i="13"/>
  <c r="S389" i="12"/>
  <c r="T389" i="12" s="1"/>
  <c r="U389" i="12" s="1"/>
  <c r="C28" i="13"/>
  <c r="C112" i="13"/>
  <c r="S196" i="12"/>
  <c r="T196" i="12" s="1"/>
  <c r="U196" i="12" s="1"/>
  <c r="C185" i="13"/>
  <c r="S222" i="12"/>
  <c r="T222" i="12" s="1"/>
  <c r="U222" i="12" s="1"/>
  <c r="C136" i="13"/>
  <c r="U136" i="12"/>
  <c r="C235" i="13"/>
  <c r="D395" i="13"/>
  <c r="S285" i="12"/>
  <c r="T285" i="12" s="1"/>
  <c r="U285" i="12" s="1"/>
  <c r="U328" i="12"/>
  <c r="C328" i="13"/>
  <c r="D337" i="13"/>
  <c r="S394" i="12"/>
  <c r="T394" i="12" s="1"/>
  <c r="U394" i="12" s="1"/>
  <c r="C330" i="13"/>
  <c r="U330" i="12"/>
  <c r="D21" i="13"/>
  <c r="S105" i="12"/>
  <c r="T105" i="12" s="1"/>
  <c r="U105" i="12" s="1"/>
  <c r="D52" i="13"/>
  <c r="C103" i="13"/>
  <c r="D33" i="13"/>
  <c r="C244" i="13"/>
  <c r="D156" i="13"/>
  <c r="S212" i="12"/>
  <c r="T212" i="12" s="1"/>
  <c r="U212" i="12" s="1"/>
  <c r="S182" i="12"/>
  <c r="T182" i="12" s="1"/>
  <c r="U182" i="12" s="1"/>
  <c r="C267" i="13"/>
  <c r="S201" i="12"/>
  <c r="T201" i="12" s="1"/>
  <c r="U201" i="12" s="1"/>
  <c r="D376" i="13"/>
  <c r="S258" i="12"/>
  <c r="T258" i="12" s="1"/>
  <c r="U258" i="12" s="1"/>
  <c r="S309" i="12"/>
  <c r="T309" i="12" s="1"/>
  <c r="U309" i="12" s="1"/>
  <c r="S292" i="12"/>
  <c r="T292" i="12" s="1"/>
  <c r="U292" i="12" s="1"/>
  <c r="C365" i="13"/>
  <c r="C307" i="13"/>
  <c r="D35" i="13"/>
  <c r="S45" i="12"/>
  <c r="T45" i="12" s="1"/>
  <c r="U45" i="12" s="1"/>
  <c r="D65" i="13"/>
  <c r="C54" i="13"/>
  <c r="S96" i="12"/>
  <c r="T96" i="12" s="1"/>
  <c r="U96" i="12" s="1"/>
  <c r="C248" i="13"/>
  <c r="U248" i="12"/>
  <c r="D158" i="13"/>
  <c r="C287" i="13"/>
  <c r="D187" i="13"/>
  <c r="C274" i="13"/>
  <c r="D290" i="13"/>
  <c r="D377" i="13"/>
  <c r="D259" i="13"/>
  <c r="D388" i="13"/>
  <c r="D296" i="13"/>
  <c r="S366" i="12"/>
  <c r="T366" i="12" s="1"/>
  <c r="U366" i="12" s="1"/>
  <c r="C372" i="13"/>
  <c r="C51" i="13"/>
  <c r="D58" i="13"/>
  <c r="C71" i="13"/>
  <c r="S32" i="12"/>
  <c r="T32" i="12" s="1"/>
  <c r="U32" i="12" s="1"/>
  <c r="D124" i="13"/>
  <c r="S208" i="12"/>
  <c r="T208" i="12" s="1"/>
  <c r="U208" i="12" s="1"/>
  <c r="S149" i="12"/>
  <c r="T149" i="12" s="1"/>
  <c r="U149" i="12" s="1"/>
  <c r="C232" i="13"/>
  <c r="C142" i="13"/>
  <c r="D227" i="13"/>
  <c r="C255" i="13"/>
  <c r="D340" i="13"/>
  <c r="C405" i="13"/>
  <c r="U405" i="12"/>
  <c r="D345" i="13"/>
  <c r="C270" i="13"/>
  <c r="C349" i="13"/>
  <c r="C341" i="13"/>
  <c r="S406" i="12"/>
  <c r="T406" i="12" s="1"/>
  <c r="U406" i="12" s="1"/>
  <c r="C106" i="13"/>
  <c r="C130" i="13"/>
  <c r="U223" i="12"/>
  <c r="C223" i="13"/>
  <c r="S195" i="12"/>
  <c r="T195" i="12" s="1"/>
  <c r="U195" i="12" s="1"/>
  <c r="D237" i="13"/>
  <c r="S161" i="12"/>
  <c r="T161" i="12" s="1"/>
  <c r="U161" i="12" s="1"/>
  <c r="S174" i="12"/>
  <c r="T174" i="12" s="1"/>
  <c r="U174" i="12" s="1"/>
  <c r="S262" i="12"/>
  <c r="T262" i="12" s="1"/>
  <c r="U262" i="12" s="1"/>
  <c r="S342" i="12"/>
  <c r="T342" i="12" s="1"/>
  <c r="U342" i="12" s="1"/>
  <c r="D300" i="13"/>
  <c r="C350" i="13"/>
  <c r="S271" i="12"/>
  <c r="T271" i="12" s="1"/>
  <c r="U271" i="12" s="1"/>
  <c r="C407" i="13"/>
  <c r="S347" i="12"/>
  <c r="T347" i="12" s="1"/>
  <c r="U347" i="12" s="1"/>
  <c r="S417" i="12"/>
  <c r="T417" i="12" s="1"/>
  <c r="U417" i="12" s="1"/>
  <c r="S36" i="12"/>
  <c r="T36" i="12" s="1"/>
  <c r="U36" i="12" s="1"/>
  <c r="C80" i="13"/>
  <c r="C31" i="13"/>
  <c r="S145" i="12"/>
  <c r="T145" i="12" s="1"/>
  <c r="U145" i="12" s="1"/>
  <c r="C175" i="13"/>
  <c r="C253" i="13"/>
  <c r="C218" i="13"/>
  <c r="S122" i="12"/>
  <c r="T122" i="12" s="1"/>
  <c r="U122" i="12" s="1"/>
  <c r="C198" i="13"/>
  <c r="S214" i="12"/>
  <c r="T214" i="12" s="1"/>
  <c r="U214" i="12" s="1"/>
  <c r="S302" i="12"/>
  <c r="T302" i="12" s="1"/>
  <c r="U302" i="12" s="1"/>
  <c r="C385" i="13"/>
  <c r="S321" i="12"/>
  <c r="T321" i="12" s="1"/>
  <c r="U321" i="12" s="1"/>
  <c r="S409" i="12"/>
  <c r="T409" i="12" s="1"/>
  <c r="U409" i="12" s="1"/>
  <c r="C320" i="13"/>
  <c r="C317" i="13"/>
  <c r="D381" i="13"/>
  <c r="S92" i="12"/>
  <c r="T92" i="12" s="1"/>
  <c r="U92" i="12" s="1"/>
  <c r="S61" i="12"/>
  <c r="T61" i="12" s="1"/>
  <c r="U61" i="12" s="1"/>
  <c r="C43" i="13"/>
  <c r="D100" i="13"/>
  <c r="C114" i="13"/>
  <c r="S176" i="12"/>
  <c r="T176" i="12" s="1"/>
  <c r="U176" i="12" s="1"/>
  <c r="D260" i="13"/>
  <c r="C219" i="13"/>
  <c r="C128" i="13"/>
  <c r="S202" i="12"/>
  <c r="T202" i="12" s="1"/>
  <c r="U202" i="12" s="1"/>
  <c r="D225" i="13"/>
  <c r="D306" i="13"/>
  <c r="C387" i="13"/>
  <c r="U387" i="12"/>
  <c r="S326" i="12"/>
  <c r="T326" i="12" s="1"/>
  <c r="U326" i="12" s="1"/>
  <c r="D410" i="13"/>
  <c r="C332" i="13"/>
  <c r="S322" i="12"/>
  <c r="T322" i="12" s="1"/>
  <c r="U322" i="12" s="1"/>
  <c r="S384" i="12"/>
  <c r="T384" i="12" s="1"/>
  <c r="U384" i="12" s="1"/>
  <c r="C48" i="13"/>
  <c r="D29" i="13"/>
  <c r="S37" i="12"/>
  <c r="T37" i="12" s="1"/>
  <c r="U37" i="12" s="1"/>
  <c r="C64" i="13"/>
  <c r="S234" i="12"/>
  <c r="T234" i="12" s="1"/>
  <c r="U234" i="12" s="1"/>
  <c r="C154" i="13"/>
  <c r="C247" i="13"/>
  <c r="S172" i="12"/>
  <c r="T172" i="12" s="1"/>
  <c r="U172" i="12" s="1"/>
  <c r="C246" i="13"/>
  <c r="C283" i="13"/>
  <c r="C370" i="13"/>
  <c r="D250" i="13"/>
  <c r="S359" i="12"/>
  <c r="T359" i="12" s="1"/>
  <c r="C281" i="13"/>
  <c r="U362" i="12"/>
  <c r="C362" i="13"/>
  <c r="D356" i="13"/>
  <c r="D20" i="13"/>
  <c r="C86" i="13"/>
  <c r="U82" i="12" l="1"/>
  <c r="T358" i="12"/>
  <c r="U358" i="12" s="1"/>
  <c r="U80" i="12"/>
  <c r="T135" i="12"/>
  <c r="U135" i="12" s="1"/>
  <c r="U130" i="12"/>
  <c r="U85" i="12"/>
  <c r="U152" i="12"/>
  <c r="T117" i="12"/>
  <c r="T118" i="12"/>
  <c r="U118" i="12" s="1"/>
  <c r="T263" i="12"/>
  <c r="U263" i="12" s="1"/>
  <c r="T127" i="12"/>
  <c r="U127" i="12" s="1"/>
  <c r="T40" i="12"/>
  <c r="U40" i="12" s="1"/>
  <c r="T147" i="12"/>
  <c r="U147" i="12" s="1"/>
  <c r="U180" i="12"/>
  <c r="T397" i="12"/>
  <c r="U397" i="12" s="1"/>
  <c r="U359" i="12"/>
  <c r="U300" i="12"/>
  <c r="U132" i="12"/>
  <c r="T241" i="12"/>
  <c r="U241" i="12" s="1"/>
  <c r="T143" i="12"/>
  <c r="U143" i="12" s="1"/>
  <c r="T193" i="12"/>
  <c r="U193" i="12" s="1"/>
  <c r="T192" i="12"/>
  <c r="T369" i="12"/>
  <c r="U369" i="12" s="1"/>
  <c r="T46" i="12"/>
  <c r="U46" i="12" s="1"/>
  <c r="T76" i="12"/>
  <c r="U76" i="12" s="1"/>
  <c r="T77" i="12"/>
  <c r="U77" i="12" s="1"/>
  <c r="U398" i="12"/>
  <c r="U144" i="12"/>
  <c r="U117" i="12" l="1"/>
  <c r="K38" i="11"/>
  <c r="N36" i="11" s="1"/>
  <c r="U192" i="12"/>
  <c r="K47" i="11"/>
  <c r="N45" i="11" s="1"/>
  <c r="S158" i="12" l="1"/>
  <c r="T158" i="12" s="1"/>
  <c r="U158" i="12" s="1"/>
  <c r="S154" i="12"/>
  <c r="T154" i="12" s="1"/>
  <c r="U154" i="12" s="1"/>
  <c r="S59" i="12"/>
  <c r="T59" i="12" s="1"/>
  <c r="S70" i="12"/>
  <c r="T70" i="12" s="1"/>
  <c r="S350" i="12"/>
  <c r="T350" i="12" s="1"/>
  <c r="U350" i="12" s="1"/>
  <c r="S19" i="12"/>
  <c r="T19" i="12" s="1"/>
  <c r="S157" i="12"/>
  <c r="T157" i="12" s="1"/>
  <c r="U157" i="12" s="1"/>
  <c r="S111" i="12"/>
  <c r="T111" i="12" s="1"/>
  <c r="S65" i="12"/>
  <c r="T65" i="12" s="1"/>
  <c r="S75" i="12"/>
  <c r="T75" i="12" s="1"/>
  <c r="U75" i="12" s="1"/>
  <c r="S16" i="12"/>
  <c r="T16" i="12" s="1"/>
  <c r="S421" i="12"/>
  <c r="T421" i="12" s="1"/>
  <c r="S415" i="12"/>
  <c r="T415" i="12" s="1"/>
  <c r="S113" i="12"/>
  <c r="T113" i="12" s="1"/>
  <c r="U113" i="12" s="1"/>
  <c r="S89" i="12"/>
  <c r="T89" i="12" s="1"/>
  <c r="S17" i="12"/>
  <c r="T17" i="12" s="1"/>
  <c r="U17" i="12" s="1"/>
  <c r="S349" i="12"/>
  <c r="T349" i="12" s="1"/>
  <c r="S155" i="12"/>
  <c r="T155" i="12" s="1"/>
  <c r="U155" i="12" s="1"/>
  <c r="S156" i="12"/>
  <c r="T156" i="12" s="1"/>
  <c r="U156" i="12" s="1"/>
  <c r="S153" i="12"/>
  <c r="T153" i="12" s="1"/>
  <c r="S28" i="12"/>
  <c r="T28" i="12" s="1"/>
  <c r="S112" i="12"/>
  <c r="T112" i="12" s="1"/>
  <c r="U112" i="12" s="1"/>
  <c r="R47" i="11"/>
  <c r="W47" i="11"/>
  <c r="U47" i="11"/>
  <c r="AC47" i="11"/>
  <c r="P47" i="11"/>
  <c r="Q47" i="11"/>
  <c r="T47" i="11"/>
  <c r="S47" i="11"/>
  <c r="V47" i="11"/>
  <c r="U38" i="11"/>
  <c r="Q38" i="11"/>
  <c r="AC38" i="11"/>
  <c r="T38" i="11"/>
  <c r="W38" i="11"/>
  <c r="S38" i="11"/>
  <c r="R38" i="11"/>
  <c r="P38" i="11"/>
  <c r="V38" i="11"/>
  <c r="S142" i="12" l="1"/>
  <c r="T142" i="12" s="1"/>
  <c r="U142" i="12" s="1"/>
  <c r="S159" i="12"/>
  <c r="T159" i="12" s="1"/>
  <c r="U159" i="12" s="1"/>
  <c r="U153" i="12"/>
  <c r="U421" i="12"/>
  <c r="T418" i="12"/>
  <c r="U418" i="12" s="1"/>
  <c r="U111" i="12"/>
  <c r="T107" i="12"/>
  <c r="T108" i="12"/>
  <c r="U108" i="12" s="1"/>
  <c r="U70" i="12"/>
  <c r="T66" i="12"/>
  <c r="U66" i="12" s="1"/>
  <c r="U89" i="12"/>
  <c r="T83" i="12"/>
  <c r="T84" i="12"/>
  <c r="U84" i="12" s="1"/>
  <c r="T14" i="12"/>
  <c r="T15" i="12"/>
  <c r="U15" i="12" s="1"/>
  <c r="U16" i="12"/>
  <c r="U59" i="12"/>
  <c r="T55" i="12"/>
  <c r="U55" i="12" s="1"/>
  <c r="T39" i="12"/>
  <c r="T18" i="12"/>
  <c r="U18" i="12" s="1"/>
  <c r="U19" i="12"/>
  <c r="T27" i="12"/>
  <c r="U28" i="12"/>
  <c r="U349" i="12"/>
  <c r="T413" i="12"/>
  <c r="U413" i="12" s="1"/>
  <c r="T414" i="12"/>
  <c r="U414" i="12" s="1"/>
  <c r="U415" i="12"/>
  <c r="U65" i="12"/>
  <c r="T60" i="12"/>
  <c r="U60" i="12" s="1"/>
  <c r="S353" i="12" l="1"/>
  <c r="T353" i="12" s="1"/>
  <c r="U353" i="12" s="1"/>
  <c r="S355" i="12"/>
  <c r="T355" i="12" s="1"/>
  <c r="U355" i="12" s="1"/>
  <c r="S351" i="12"/>
  <c r="T351" i="12" s="1"/>
  <c r="S380" i="12"/>
  <c r="T380" i="12" s="1"/>
  <c r="S167" i="12"/>
  <c r="T167" i="12" s="1"/>
  <c r="S318" i="12"/>
  <c r="T318" i="12" s="1"/>
  <c r="U318" i="12" s="1"/>
  <c r="S315" i="12"/>
  <c r="T315" i="12" s="1"/>
  <c r="U315" i="12" s="1"/>
  <c r="S310" i="12"/>
  <c r="T310" i="12" s="1"/>
  <c r="U310" i="12" s="1"/>
  <c r="S141" i="12"/>
  <c r="T141" i="12" s="1"/>
  <c r="U141" i="12" s="1"/>
  <c r="S139" i="12"/>
  <c r="T139" i="12" s="1"/>
  <c r="S160" i="12"/>
  <c r="T160" i="12" s="1"/>
  <c r="U160" i="12" s="1"/>
  <c r="S307" i="12"/>
  <c r="T307" i="12" s="1"/>
  <c r="S354" i="12"/>
  <c r="T354" i="12" s="1"/>
  <c r="U354" i="12" s="1"/>
  <c r="S323" i="12"/>
  <c r="T323" i="12" s="1"/>
  <c r="U323" i="12" s="1"/>
  <c r="S316" i="12"/>
  <c r="T316" i="12" s="1"/>
  <c r="U316" i="12" s="1"/>
  <c r="S314" i="12"/>
  <c r="T314" i="12" s="1"/>
  <c r="U314" i="12" s="1"/>
  <c r="S188" i="12"/>
  <c r="T188" i="12" s="1"/>
  <c r="S140" i="12"/>
  <c r="T140" i="12" s="1"/>
  <c r="U140" i="12" s="1"/>
  <c r="S134" i="12"/>
  <c r="T134" i="12" s="1"/>
  <c r="K35" i="11"/>
  <c r="N33" i="11" s="1"/>
  <c r="U107" i="12"/>
  <c r="K23" i="11"/>
  <c r="N21" i="11" s="1"/>
  <c r="U14" i="12"/>
  <c r="U39" i="12"/>
  <c r="K29" i="11"/>
  <c r="N27" i="11" s="1"/>
  <c r="K26" i="11"/>
  <c r="N24" i="11" s="1"/>
  <c r="U27" i="12"/>
  <c r="K32" i="11"/>
  <c r="N30" i="11" s="1"/>
  <c r="U83" i="12"/>
  <c r="T151" i="12" l="1"/>
  <c r="U151" i="12" s="1"/>
  <c r="S32" i="11"/>
  <c r="W32" i="11"/>
  <c r="R32" i="11"/>
  <c r="Q32" i="11"/>
  <c r="U32" i="11"/>
  <c r="P32" i="11"/>
  <c r="AC32" i="11"/>
  <c r="V32" i="11"/>
  <c r="T32" i="11"/>
  <c r="U35" i="11"/>
  <c r="P35" i="11"/>
  <c r="R35" i="11"/>
  <c r="S35" i="11"/>
  <c r="W35" i="11"/>
  <c r="V35" i="11"/>
  <c r="T35" i="11"/>
  <c r="AC35" i="11"/>
  <c r="Q35" i="11"/>
  <c r="U307" i="12"/>
  <c r="T240" i="12"/>
  <c r="T299" i="12"/>
  <c r="U299" i="12" s="1"/>
  <c r="U380" i="12"/>
  <c r="T368" i="12"/>
  <c r="U368" i="12" s="1"/>
  <c r="T378" i="12"/>
  <c r="U378" i="12" s="1"/>
  <c r="W23" i="11"/>
  <c r="U23" i="11"/>
  <c r="T23" i="11"/>
  <c r="Q23" i="11"/>
  <c r="AC23" i="11"/>
  <c r="R23" i="11"/>
  <c r="V23" i="11"/>
  <c r="S23" i="11"/>
  <c r="P23" i="11"/>
  <c r="U351" i="12"/>
  <c r="T324" i="12"/>
  <c r="U324" i="12" s="1"/>
  <c r="T325" i="12"/>
  <c r="U325" i="12" s="1"/>
  <c r="T138" i="12"/>
  <c r="U138" i="12" s="1"/>
  <c r="U139" i="12"/>
  <c r="R26" i="11"/>
  <c r="P26" i="11"/>
  <c r="W26" i="11"/>
  <c r="AC26" i="11"/>
  <c r="S26" i="11"/>
  <c r="U26" i="11"/>
  <c r="T26" i="11"/>
  <c r="V26" i="11"/>
  <c r="Q26" i="11"/>
  <c r="T133" i="12"/>
  <c r="U133" i="12" s="1"/>
  <c r="U134" i="12"/>
  <c r="T125" i="12"/>
  <c r="T126" i="12"/>
  <c r="U126" i="12" s="1"/>
  <c r="T13" i="12"/>
  <c r="T12" i="12"/>
  <c r="N14" i="11" s="1"/>
  <c r="AC29" i="11"/>
  <c r="V29" i="11"/>
  <c r="U29" i="11"/>
  <c r="R29" i="11"/>
  <c r="P29" i="11"/>
  <c r="T29" i="11"/>
  <c r="W29" i="11"/>
  <c r="S29" i="11"/>
  <c r="Q29" i="11"/>
  <c r="U188" i="12"/>
  <c r="T179" i="12"/>
  <c r="U179" i="12" s="1"/>
  <c r="U167" i="12"/>
  <c r="T163" i="12"/>
  <c r="U163" i="12" s="1"/>
  <c r="T162" i="12"/>
  <c r="K20" i="11" l="1"/>
  <c r="N18" i="11" s="1"/>
  <c r="U13" i="12"/>
  <c r="U240" i="12"/>
  <c r="K50" i="11"/>
  <c r="N48" i="11" s="1"/>
  <c r="U162" i="12"/>
  <c r="K44" i="11"/>
  <c r="N42" i="11" s="1"/>
  <c r="U125" i="12"/>
  <c r="K41" i="11"/>
  <c r="N39" i="11" s="1"/>
  <c r="W44" i="11" l="1"/>
  <c r="P44" i="11"/>
  <c r="T44" i="11"/>
  <c r="U44" i="11"/>
  <c r="AC44" i="11"/>
  <c r="R44" i="11"/>
  <c r="V44" i="11"/>
  <c r="S44" i="11"/>
  <c r="Q44" i="11"/>
  <c r="U5" i="12"/>
  <c r="U50" i="11"/>
  <c r="T50" i="11"/>
  <c r="P50" i="11"/>
  <c r="R50" i="11"/>
  <c r="W50" i="11"/>
  <c r="V50" i="11"/>
  <c r="Q50" i="11"/>
  <c r="AC50" i="11"/>
  <c r="S50" i="11"/>
  <c r="U41" i="11"/>
  <c r="P41" i="11"/>
  <c r="W41" i="11"/>
  <c r="V41" i="11"/>
  <c r="AC41" i="11"/>
  <c r="R41" i="11"/>
  <c r="T41" i="11"/>
  <c r="Q41" i="11"/>
  <c r="S41" i="11"/>
  <c r="Q20" i="11" l="1"/>
  <c r="Q19" i="11" s="1"/>
  <c r="V20" i="11"/>
  <c r="V19" i="11" s="1"/>
  <c r="T20" i="11"/>
  <c r="W20" i="11"/>
  <c r="S20" i="11"/>
  <c r="AC20" i="11"/>
  <c r="U20" i="11"/>
  <c r="R20" i="11"/>
  <c r="P20" i="11"/>
  <c r="Q17" i="11" l="1"/>
  <c r="Q16" i="11" s="1"/>
  <c r="V17" i="11"/>
  <c r="V16" i="11" s="1"/>
  <c r="S19" i="11"/>
  <c r="S17" i="11"/>
  <c r="R19" i="11"/>
  <c r="R17" i="11"/>
  <c r="W19" i="11"/>
  <c r="W18" i="11" s="1"/>
  <c r="W17" i="11"/>
  <c r="T19" i="11"/>
  <c r="T17" i="11"/>
  <c r="AC17" i="11"/>
  <c r="AC19" i="11"/>
  <c r="AC18" i="11" s="1"/>
  <c r="P17" i="11"/>
  <c r="Q15" i="11" s="1"/>
  <c r="Q14" i="11" s="1"/>
  <c r="Q18" i="11" s="1"/>
  <c r="P19" i="11"/>
  <c r="U17" i="11"/>
  <c r="U19" i="11"/>
  <c r="U16" i="11" l="1"/>
  <c r="U15" i="11"/>
  <c r="U14" i="11" s="1"/>
  <c r="T16" i="11"/>
  <c r="T15" i="11"/>
  <c r="T14" i="11" s="1"/>
  <c r="W16" i="11"/>
  <c r="W15" i="11"/>
  <c r="W14" i="11" s="1"/>
  <c r="V15" i="11"/>
  <c r="V14" i="11" s="1"/>
  <c r="R15" i="11"/>
  <c r="R14" i="11" s="1"/>
  <c r="R18" i="11" s="1"/>
  <c r="R16" i="11"/>
  <c r="AC16" i="11"/>
  <c r="AC15" i="11"/>
  <c r="AC14" i="11" s="1"/>
  <c r="P16" i="11"/>
  <c r="P15" i="11"/>
  <c r="P14" i="11" s="1"/>
  <c r="P18" i="11" s="1"/>
  <c r="S16" i="11"/>
  <c r="S15" i="11"/>
  <c r="S14" i="11" s="1"/>
</calcChain>
</file>

<file path=xl/sharedStrings.xml><?xml version="1.0" encoding="utf-8"?>
<sst xmlns="http://schemas.openxmlformats.org/spreadsheetml/2006/main" count="2902" uniqueCount="957">
  <si>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</si>
  <si>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</si>
  <si>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</si>
  <si>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</si>
  <si>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</si>
  <si>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</si>
  <si>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</si>
  <si>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</si>
  <si>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</si>
  <si>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</si>
  <si>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</si>
  <si>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</si>
  <si>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</si>
  <si>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</si>
  <si>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</si>
  <si>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</si>
  <si>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</si>
  <si>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</si>
  <si>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</si>
  <si>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</si>
  <si>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</si>
  <si>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</si>
  <si>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</si>
  <si>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</si>
  <si>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</si>
  <si>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</si>
  <si>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</si>
  <si>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</si>
  <si>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</si>
  <si>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</si>
  <si>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</si>
  <si>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</si>
  <si>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</si>
  <si>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</si>
  <si>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</si>
  <si>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</si>
  <si>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</si>
  <si>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</si>
  <si>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</si>
  <si>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</si>
  <si>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</si>
  <si>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</si>
  <si>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</si>
  <si>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</si>
  <si>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</si>
  <si>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</si>
  <si>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</si>
  <si>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</si>
  <si>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</si>
  <si>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</si>
  <si>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</si>
  <si>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</si>
  <si>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</si>
  <si>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</si>
  <si>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</si>
  <si>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</si>
  <si>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</si>
  <si>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</si>
  <si>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</si>
  <si>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</si>
  <si>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</si>
  <si>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</si>
  <si>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</si>
  <si>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</si>
  <si>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</si>
  <si>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</si>
  <si>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</si>
  <si>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</si>
  <si>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</si>
  <si>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</si>
  <si>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</si>
  <si>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</si>
  <si>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</si>
  <si>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</si>
  <si>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</si>
  <si>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</si>
  <si>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</si>
  <si>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</si>
  <si>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</si>
  <si>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</si>
  <si>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</si>
  <si>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</si>
  <si>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</si>
  <si>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</si>
  <si>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</si>
  <si>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</si>
  <si>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</si>
  <si>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</si>
  <si>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</si>
  <si>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</si>
  <si>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</si>
  <si>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</si>
  <si>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</si>
  <si>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</si>
  <si>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</si>
  <si>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</si>
  <si>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</si>
  <si>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</si>
  <si>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</si>
  <si>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</si>
  <si>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</si>
  <si>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</si>
  <si>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</si>
  <si>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</si>
  <si>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</si>
  <si>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</si>
  <si>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</si>
  <si>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</si>
  <si>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</si>
  <si>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</si>
  <si>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</si>
  <si>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</si>
  <si>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</si>
  <si>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</si>
  <si>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</si>
  <si>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</si>
  <si>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</si>
  <si>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</si>
  <si>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</si>
  <si>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</si>
  <si>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</si>
  <si>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</si>
  <si>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</si>
  <si>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</si>
  <si>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</si>
  <si>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</si>
  <si>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</si>
  <si>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</si>
  <si>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</si>
  <si>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</si>
  <si>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</si>
  <si>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</si>
  <si>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</si>
  <si>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</si>
  <si>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</si>
  <si>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</si>
  <si>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</si>
  <si>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</si>
  <si>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</si>
  <si>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</si>
  <si>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</si>
  <si>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</si>
  <si>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</si>
  <si>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</si>
  <si>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</si>
  <si>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</si>
  <si>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</si>
  <si>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</si>
  <si>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</si>
  <si>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</si>
  <si>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</si>
  <si>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</si>
  <si>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</si>
  <si>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</si>
  <si>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</si>
  <si>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</si>
  <si>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</si>
  <si>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</si>
  <si>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</si>
  <si>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</si>
  <si>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</si>
  <si>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</si>
  <si>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</si>
  <si>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</si>
  <si>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</si>
  <si>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</si>
  <si>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</si>
  <si>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</si>
  <si>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</si>
  <si>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</si>
  <si>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</si>
  <si>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</si>
  <si>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</si>
  <si>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</si>
  <si>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</si>
  <si>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</si>
  <si>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</si>
  <si>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</si>
  <si>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</si>
  <si>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</si>
  <si>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</si>
  <si>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</si>
  <si>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</si>
  <si>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</si>
  <si>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</si>
  <si>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</si>
  <si>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</si>
  <si>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</si>
  <si>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</si>
  <si>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</si>
  <si>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</si>
  <si>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</si>
  <si>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</si>
  <si>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</si>
  <si>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</si>
  <si>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</si>
  <si>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</si>
  <si>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</si>
  <si>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</si>
  <si>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</si>
  <si>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</si>
  <si>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</si>
  <si>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</si>
  <si>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</si>
  <si>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</si>
  <si>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</si>
  <si>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</si>
  <si>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</si>
  <si>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</si>
  <si>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</si>
  <si>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</si>
  <si>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</si>
  <si>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</si>
  <si>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</si>
  <si>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</si>
  <si>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</si>
  <si>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</si>
  <si>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</si>
  <si>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</si>
  <si>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</si>
  <si>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</si>
  <si>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</si>
  <si>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</si>
  <si>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</si>
  <si>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</si>
  <si>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</si>
  <si>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</si>
  <si>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</si>
  <si>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</si>
  <si>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BENTO GONÇALVES/RS</t>
  </si>
  <si>
    <t>SINAPI</t>
  </si>
  <si>
    <t>Não</t>
  </si>
  <si>
    <t>Única</t>
  </si>
  <si>
    <t>SERVIÇOS INICIAIS</t>
  </si>
  <si>
    <t>SINAPI-I</t>
  </si>
  <si>
    <t>PM BENTO</t>
  </si>
  <si>
    <t>MUNICÍPIO DE BENTO GONÇALVES</t>
  </si>
  <si>
    <t>10775</t>
  </si>
  <si>
    <t>SERVIÇOS FINAIS</t>
  </si>
  <si>
    <t>103689</t>
  </si>
  <si>
    <t>105115</t>
  </si>
  <si>
    <t xml:space="preserve">Encargos Sociais SEM DESONERAÇÃO:HORISTA 112,84% / MENSALISTA 69,95%.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</si>
  <si>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NÃO</t>
  </si>
  <si>
    <t>10776</t>
  </si>
  <si>
    <t>97635</t>
  </si>
  <si>
    <t>93358</t>
  </si>
  <si>
    <t>93382</t>
  </si>
  <si>
    <t>89512</t>
  </si>
  <si>
    <t>95875</t>
  </si>
  <si>
    <t>99059</t>
  </si>
  <si>
    <t>96525</t>
  </si>
  <si>
    <t>96536</t>
  </si>
  <si>
    <t>104919</t>
  </si>
  <si>
    <t>104918</t>
  </si>
  <si>
    <t>104916</t>
  </si>
  <si>
    <t>96557</t>
  </si>
  <si>
    <t>96535</t>
  </si>
  <si>
    <t>96558</t>
  </si>
  <si>
    <t>102492</t>
  </si>
  <si>
    <t>97668</t>
  </si>
  <si>
    <t>88247</t>
  </si>
  <si>
    <t>88264</t>
  </si>
  <si>
    <t>100982</t>
  </si>
  <si>
    <t>97637</t>
  </si>
  <si>
    <t>DEMOLIÇÕES E RETIRADAS</t>
  </si>
  <si>
    <t>09</t>
  </si>
  <si>
    <t>10</t>
  </si>
  <si>
    <t>01</t>
  </si>
  <si>
    <t>98458</t>
  </si>
  <si>
    <t>97064</t>
  </si>
  <si>
    <t>10527</t>
  </si>
  <si>
    <t>14</t>
  </si>
  <si>
    <t>97633</t>
  </si>
  <si>
    <t>SERVIÇOS PRELIMINARES</t>
  </si>
  <si>
    <t>PROJETOS EXECUTIVOS E REVISÕES</t>
  </si>
  <si>
    <t>REFORMA DO PRÉDIO DO COMPLEXO HOSPITALAR - IMAGENOLOGIA 1ª ETAPA</t>
  </si>
  <si>
    <t>REF. COMP. HOSPITALAR - IMAGENOLOGIA 1ª ETAPA</t>
  </si>
  <si>
    <t>RUA GOIÂNIA, 590, BAIRRO BOTAFOGO</t>
  </si>
  <si>
    <t>97625</t>
  </si>
  <si>
    <t>104790</t>
  </si>
  <si>
    <t>104741</t>
  </si>
  <si>
    <t>97640</t>
  </si>
  <si>
    <t>104917</t>
  </si>
  <si>
    <t>104920</t>
  </si>
  <si>
    <t>98557</t>
  </si>
  <si>
    <t>88496</t>
  </si>
  <si>
    <t>92269</t>
  </si>
  <si>
    <t>92762</t>
  </si>
  <si>
    <t>92759</t>
  </si>
  <si>
    <t>15</t>
  </si>
  <si>
    <t>92270</t>
  </si>
  <si>
    <t>92761</t>
  </si>
  <si>
    <t>16</t>
  </si>
  <si>
    <t>101963</t>
  </si>
  <si>
    <t>101964</t>
  </si>
  <si>
    <t>103362</t>
  </si>
  <si>
    <t>103360</t>
  </si>
  <si>
    <t>103358</t>
  </si>
  <si>
    <t>96359</t>
  </si>
  <si>
    <t>11</t>
  </si>
  <si>
    <t>96374</t>
  </si>
  <si>
    <t>87905</t>
  </si>
  <si>
    <t>87879</t>
  </si>
  <si>
    <t>87882</t>
  </si>
  <si>
    <t>87779</t>
  </si>
  <si>
    <t>104951</t>
  </si>
  <si>
    <t>90406</t>
  </si>
  <si>
    <t>88485</t>
  </si>
  <si>
    <t>88415</t>
  </si>
  <si>
    <t>88484</t>
  </si>
  <si>
    <t>88497</t>
  </si>
  <si>
    <t>104642</t>
  </si>
  <si>
    <t>95626</t>
  </si>
  <si>
    <t>104640</t>
  </si>
  <si>
    <t>87273</t>
  </si>
  <si>
    <t>87244</t>
  </si>
  <si>
    <t>87642</t>
  </si>
  <si>
    <t>87263</t>
  </si>
  <si>
    <t>17</t>
  </si>
  <si>
    <t>12</t>
  </si>
  <si>
    <t>18</t>
  </si>
  <si>
    <t>98689</t>
  </si>
  <si>
    <t>101749</t>
  </si>
  <si>
    <t>96113</t>
  </si>
  <si>
    <t>96120</t>
  </si>
  <si>
    <t>88488</t>
  </si>
  <si>
    <t>91961</t>
  </si>
  <si>
    <t>94570</t>
  </si>
  <si>
    <t>94573</t>
  </si>
  <si>
    <t>94569</t>
  </si>
  <si>
    <t>28</t>
  </si>
  <si>
    <t>91341</t>
  </si>
  <si>
    <t>90830</t>
  </si>
  <si>
    <t>29</t>
  </si>
  <si>
    <t>30</t>
  </si>
  <si>
    <t>31</t>
  </si>
  <si>
    <t>46</t>
  </si>
  <si>
    <t>94590</t>
  </si>
  <si>
    <t>105812</t>
  </si>
  <si>
    <t>101965</t>
  </si>
  <si>
    <t>91305</t>
  </si>
  <si>
    <t>102253</t>
  </si>
  <si>
    <t>90790</t>
  </si>
  <si>
    <t>19</t>
  </si>
  <si>
    <t>20</t>
  </si>
  <si>
    <t>21</t>
  </si>
  <si>
    <t>22</t>
  </si>
  <si>
    <t>23</t>
  </si>
  <si>
    <t>24</t>
  </si>
  <si>
    <t>26</t>
  </si>
  <si>
    <t>27</t>
  </si>
  <si>
    <t>88323</t>
  </si>
  <si>
    <t>34</t>
  </si>
  <si>
    <t>97622</t>
  </si>
  <si>
    <t>104803</t>
  </si>
  <si>
    <t>97647</t>
  </si>
  <si>
    <t>97650</t>
  </si>
  <si>
    <t>97651</t>
  </si>
  <si>
    <t>100367</t>
  </si>
  <si>
    <t>100371</t>
  </si>
  <si>
    <t>92543</t>
  </si>
  <si>
    <t>94210</t>
  </si>
  <si>
    <t>101979</t>
  </si>
  <si>
    <t>100327</t>
  </si>
  <si>
    <t>94229</t>
  </si>
  <si>
    <t>87745</t>
  </si>
  <si>
    <t>98546</t>
  </si>
  <si>
    <t>32</t>
  </si>
  <si>
    <t>98563</t>
  </si>
  <si>
    <t>102488</t>
  </si>
  <si>
    <t>COTAÇÃO</t>
  </si>
  <si>
    <t>121</t>
  </si>
  <si>
    <t>115</t>
  </si>
  <si>
    <t>113</t>
  </si>
  <si>
    <t>114</t>
  </si>
  <si>
    <t>103835</t>
  </si>
  <si>
    <t>103836</t>
  </si>
  <si>
    <t>103837</t>
  </si>
  <si>
    <t>97337</t>
  </si>
  <si>
    <t>103866</t>
  </si>
  <si>
    <t>103867</t>
  </si>
  <si>
    <t>92301</t>
  </si>
  <si>
    <t>119</t>
  </si>
  <si>
    <t>117</t>
  </si>
  <si>
    <t>118</t>
  </si>
  <si>
    <t>103838</t>
  </si>
  <si>
    <t>103841</t>
  </si>
  <si>
    <t>103845</t>
  </si>
  <si>
    <t>92289</t>
  </si>
  <si>
    <t>102</t>
  </si>
  <si>
    <t>103</t>
  </si>
  <si>
    <t>104</t>
  </si>
  <si>
    <t>125</t>
  </si>
  <si>
    <t>124</t>
  </si>
  <si>
    <t>123</t>
  </si>
  <si>
    <t>122</t>
  </si>
  <si>
    <t>108</t>
  </si>
  <si>
    <t>107</t>
  </si>
  <si>
    <t>106</t>
  </si>
  <si>
    <t>105</t>
  </si>
  <si>
    <t>135</t>
  </si>
  <si>
    <t>126</t>
  </si>
  <si>
    <t>127</t>
  </si>
  <si>
    <t>128</t>
  </si>
  <si>
    <t>129</t>
  </si>
  <si>
    <t>130</t>
  </si>
  <si>
    <t>109</t>
  </si>
  <si>
    <t>110</t>
  </si>
  <si>
    <t>111</t>
  </si>
  <si>
    <t>101</t>
  </si>
  <si>
    <t>116</t>
  </si>
  <si>
    <t>120</t>
  </si>
  <si>
    <t>131</t>
  </si>
  <si>
    <t>132</t>
  </si>
  <si>
    <t>133</t>
  </si>
  <si>
    <t>134</t>
  </si>
  <si>
    <t>136</t>
  </si>
  <si>
    <t>89383</t>
  </si>
  <si>
    <t>104001</t>
  </si>
  <si>
    <t>103999</t>
  </si>
  <si>
    <t>103972</t>
  </si>
  <si>
    <t>89362</t>
  </si>
  <si>
    <t>103984</t>
  </si>
  <si>
    <t>89366</t>
  </si>
  <si>
    <t>90373</t>
  </si>
  <si>
    <t>103950</t>
  </si>
  <si>
    <t>89385</t>
  </si>
  <si>
    <t>89356</t>
  </si>
  <si>
    <t>103979</t>
  </si>
  <si>
    <t>89451</t>
  </si>
  <si>
    <t>89395</t>
  </si>
  <si>
    <t>104004</t>
  </si>
  <si>
    <t>104006</t>
  </si>
  <si>
    <t>89630</t>
  </si>
  <si>
    <t>90443</t>
  </si>
  <si>
    <t>90466</t>
  </si>
  <si>
    <t>91222</t>
  </si>
  <si>
    <t>90467</t>
  </si>
  <si>
    <t>97902</t>
  </si>
  <si>
    <t>97903</t>
  </si>
  <si>
    <t>104328</t>
  </si>
  <si>
    <t>89709</t>
  </si>
  <si>
    <t>89748</t>
  </si>
  <si>
    <t>89728</t>
  </si>
  <si>
    <t>89746</t>
  </si>
  <si>
    <t>89726</t>
  </si>
  <si>
    <t>89732</t>
  </si>
  <si>
    <t>89744</t>
  </si>
  <si>
    <t>89724</t>
  </si>
  <si>
    <t>89731</t>
  </si>
  <si>
    <t>104345</t>
  </si>
  <si>
    <t>89797</t>
  </si>
  <si>
    <t>104176</t>
  </si>
  <si>
    <t>89714</t>
  </si>
  <si>
    <t>90695</t>
  </si>
  <si>
    <t>89712</t>
  </si>
  <si>
    <t>89711</t>
  </si>
  <si>
    <t>89865</t>
  </si>
  <si>
    <t>89784</t>
  </si>
  <si>
    <t>89802</t>
  </si>
  <si>
    <t>89801</t>
  </si>
  <si>
    <t>89798</t>
  </si>
  <si>
    <t>89825</t>
  </si>
  <si>
    <t>104348</t>
  </si>
  <si>
    <t>89578</t>
  </si>
  <si>
    <t>99253</t>
  </si>
  <si>
    <t>104166</t>
  </si>
  <si>
    <t>86932</t>
  </si>
  <si>
    <t>95472</t>
  </si>
  <si>
    <t>100849</t>
  </si>
  <si>
    <t>86941</t>
  </si>
  <si>
    <t>86942</t>
  </si>
  <si>
    <t>100860</t>
  </si>
  <si>
    <t>86919</t>
  </si>
  <si>
    <t>41</t>
  </si>
  <si>
    <t>100868</t>
  </si>
  <si>
    <t>100866</t>
  </si>
  <si>
    <t>35</t>
  </si>
  <si>
    <t>99635</t>
  </si>
  <si>
    <t>95547</t>
  </si>
  <si>
    <t>95543</t>
  </si>
  <si>
    <t>36</t>
  </si>
  <si>
    <t>37</t>
  </si>
  <si>
    <t>38</t>
  </si>
  <si>
    <t>95545</t>
  </si>
  <si>
    <t>39</t>
  </si>
  <si>
    <t>94794</t>
  </si>
  <si>
    <t>89987</t>
  </si>
  <si>
    <t>89985</t>
  </si>
  <si>
    <t>147</t>
  </si>
  <si>
    <t>40</t>
  </si>
  <si>
    <t>91924</t>
  </si>
  <si>
    <t>91926</t>
  </si>
  <si>
    <t>91930</t>
  </si>
  <si>
    <t>91932</t>
  </si>
  <si>
    <t>91934</t>
  </si>
  <si>
    <t>92986</t>
  </si>
  <si>
    <t>91845</t>
  </si>
  <si>
    <t>91857</t>
  </si>
  <si>
    <t>97892</t>
  </si>
  <si>
    <t>91941</t>
  </si>
  <si>
    <t>91936</t>
  </si>
  <si>
    <t>91953</t>
  </si>
  <si>
    <t>91955</t>
  </si>
  <si>
    <t>92023</t>
  </si>
  <si>
    <t>91959</t>
  </si>
  <si>
    <t>91993</t>
  </si>
  <si>
    <t>93653</t>
  </si>
  <si>
    <t>93654</t>
  </si>
  <si>
    <t>93656</t>
  </si>
  <si>
    <t>93657</t>
  </si>
  <si>
    <t>04</t>
  </si>
  <si>
    <t>05</t>
  </si>
  <si>
    <t>42</t>
  </si>
  <si>
    <t>97605</t>
  </si>
  <si>
    <t>43</t>
  </si>
  <si>
    <t>44</t>
  </si>
  <si>
    <t>45</t>
  </si>
  <si>
    <t>96986</t>
  </si>
  <si>
    <t>101875</t>
  </si>
  <si>
    <t>98295</t>
  </si>
  <si>
    <t>98593</t>
  </si>
  <si>
    <t>98307</t>
  </si>
  <si>
    <t>43102</t>
  </si>
  <si>
    <t>91835</t>
  </si>
  <si>
    <t>91837</t>
  </si>
  <si>
    <t>91855</t>
  </si>
  <si>
    <t>98305</t>
  </si>
  <si>
    <t>005</t>
  </si>
  <si>
    <t>006</t>
  </si>
  <si>
    <t>007</t>
  </si>
  <si>
    <t>008</t>
  </si>
  <si>
    <t>013</t>
  </si>
  <si>
    <t>014</t>
  </si>
  <si>
    <t>015</t>
  </si>
  <si>
    <t>016</t>
  </si>
  <si>
    <t>017</t>
  </si>
  <si>
    <t>33</t>
  </si>
  <si>
    <t>018</t>
  </si>
  <si>
    <t>019</t>
  </si>
  <si>
    <t>020</t>
  </si>
  <si>
    <t>021</t>
  </si>
  <si>
    <t>022</t>
  </si>
  <si>
    <t>023</t>
  </si>
  <si>
    <t>024</t>
  </si>
  <si>
    <t>025</t>
  </si>
  <si>
    <t>026</t>
  </si>
  <si>
    <t>027</t>
  </si>
  <si>
    <t>028</t>
  </si>
  <si>
    <t>009</t>
  </si>
  <si>
    <t>010</t>
  </si>
  <si>
    <t>011</t>
  </si>
  <si>
    <t>012</t>
  </si>
  <si>
    <t>029</t>
  </si>
  <si>
    <t>030</t>
  </si>
  <si>
    <t>031</t>
  </si>
  <si>
    <t>032</t>
  </si>
  <si>
    <t>033</t>
  </si>
  <si>
    <t>034</t>
  </si>
  <si>
    <t>035</t>
  </si>
  <si>
    <t>036</t>
  </si>
  <si>
    <t>037</t>
  </si>
  <si>
    <t>038</t>
  </si>
  <si>
    <t>039</t>
  </si>
  <si>
    <t>040</t>
  </si>
  <si>
    <t>041</t>
  </si>
  <si>
    <t>042</t>
  </si>
  <si>
    <t>043</t>
  </si>
  <si>
    <t>044</t>
  </si>
  <si>
    <t>02</t>
  </si>
  <si>
    <t>97599</t>
  </si>
  <si>
    <t>101909</t>
  </si>
  <si>
    <t>99813</t>
  </si>
  <si>
    <t>03</t>
  </si>
  <si>
    <t>ESTRUTURA</t>
  </si>
  <si>
    <t>FUNDAÇÕES E PILARES DE ARRANQUE</t>
  </si>
  <si>
    <t>VIGAS BALDRAME</t>
  </si>
  <si>
    <t>PILARES</t>
  </si>
  <si>
    <t>VIGAS</t>
  </si>
  <si>
    <t>PILARES E VIGAS DO VOLUME DA CASA DE MÁQUINAS</t>
  </si>
  <si>
    <t>LAJES</t>
  </si>
  <si>
    <t>Térreo</t>
  </si>
  <si>
    <t>Pav. casa de máquinas / cobertura</t>
  </si>
  <si>
    <t>Cobertura da casa de máquinas</t>
  </si>
  <si>
    <t>PAREDES E PAINEIS</t>
  </si>
  <si>
    <t>PAREDES E PAINÉIS</t>
  </si>
  <si>
    <t>PISO</t>
  </si>
  <si>
    <t>FORRO</t>
  </si>
  <si>
    <t xml:space="preserve">ESQUADRIAS  </t>
  </si>
  <si>
    <t>ALUMÍNIO</t>
  </si>
  <si>
    <t>Janela 01</t>
  </si>
  <si>
    <t>Janelas 03 e 04</t>
  </si>
  <si>
    <t>Janela 02</t>
  </si>
  <si>
    <t>Janela 05</t>
  </si>
  <si>
    <t>Portas 01 - Casa de máquinas</t>
  </si>
  <si>
    <t>Guichês</t>
  </si>
  <si>
    <t>Contramarcos, Guarnições e peitoris</t>
  </si>
  <si>
    <t>ITENS DO SANIT, VEST. FUNC. FEM.</t>
  </si>
  <si>
    <t>MADEIRA</t>
  </si>
  <si>
    <t>COBERTURA</t>
  </si>
  <si>
    <t>REVISÃO TELHADO EXISTENTE</t>
  </si>
  <si>
    <t>TELHADO NOVO</t>
  </si>
  <si>
    <t>REDE DE GÁS MEDICINAL</t>
  </si>
  <si>
    <t>INSTALAÇÕES HIDROSSANITÁRIAS</t>
  </si>
  <si>
    <t>PONTOS HIDRÁULICOS</t>
  </si>
  <si>
    <t>PONTOS DE ESGOTO CLOACAL E PLUVIAL</t>
  </si>
  <si>
    <t>LOUÇAS, METAIS E REGISTROS</t>
  </si>
  <si>
    <t>INSTALAÇÕES ELÉTRICAS</t>
  </si>
  <si>
    <t>LÓGICA</t>
  </si>
  <si>
    <t>CLIMATIZAÇÃO</t>
  </si>
  <si>
    <t>EQUIPAMENTOS E ACESSÓRIOS</t>
  </si>
  <si>
    <t>REDE DE DUTOS E ACESSÓRIOS</t>
  </si>
  <si>
    <t>TUBULAÇÃO DE COBRE E ACESSÓRIOS</t>
  </si>
  <si>
    <t>INSTALAÇÕES DE PPCI</t>
  </si>
  <si>
    <t>LIMPEZA GERAL DE OBRA</t>
  </si>
  <si>
    <t>PROJETO EXECUTIVO ESTRUTURAL - CONCRETO ARMADO E REFORÇO</t>
  </si>
  <si>
    <t>PROJETOS EXECUTIVO COMPLEMENTARES -  PROJETOS ELÉTRICO /LÓGICA /HIDRÁULICO /PPCI /SPDA COMPLETOS E COMPATIBILIZADOS</t>
  </si>
  <si>
    <t xml:space="preserve">ADMINISTRAÇÃO DE OBRA </t>
  </si>
  <si>
    <t>FORNECIMENTO E INSTALAÇÃO DE PLACA DE OBRA COM CHAPA GALVANIZADA E ESTRUTURA DE MADEIRA. AF_03/2022_PS</t>
  </si>
  <si>
    <t>TAPUME COM COMPENSADO DE MADEIRA. AF_03/2024</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</si>
  <si>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</si>
  <si>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</si>
  <si>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INSTALAÇÃO E DESINSTALAÇÃO MECANIZADA DE CONTÊINER OU MÓDULO HABITÁVEL DE USOS DIVERSOS. AF_03/2024</t>
  </si>
  <si>
    <t>MONTAGEM E DESMONTAGEM DE ANDAIME TUBULAR TIPO "TORRE" (EXCLUSIVE ANDAIME E LIMPEZA). AF_03/2024</t>
  </si>
  <si>
    <t>LOCACAO DE ANDAIME METALICO TUBULAR DE ENCAIXE, TIPO DE TORRE, CADA PAINEL COM LARGURA DE 1 ATE 1,5 M E ALTURA DE *1,00* M, INCLUINDO DIAGONAL, BARRAS DE LIGACAO, SAPATAS OU RODIZIOS E DEMAIS ITENS NECESSARIOS A MONTAGEM (NAO INCLUI INSTALACAO)</t>
  </si>
  <si>
    <t>REMOÇÃO DE REVESTIMENTO DE PISO EM PARQUET/TACOS DE MADEIRA, SEM REAPROVEITAMENTO.</t>
  </si>
  <si>
    <t>DEMOLIÇÃO DE REVESTIMENTO CERÂMICO, DE FORMA MANUAL, SEM REAPROVEITAMENTO. AF_09/2023</t>
  </si>
  <si>
    <t>DEMOLIÇÃO DE ALVENARIA PARA QUALQUER TIPO DE BLOCO, DE FORMA MECANIZADA, SEM REAPROVEITAMENTO. AF_09/2023</t>
  </si>
  <si>
    <t>REMOÇÃO DE PISO DE BLOCO INTERTRAVADO OU DE PEDRA PORTUGUESA, DE FORMA MANUAL, COM REAPROVEITAMENTO. AF_09/2023</t>
  </si>
  <si>
    <t>DEMOLIÇÃO DE PISO DE CONCRETO SIMPLES, DE FORMA MECANIZADA COM MARTELETE, SEM REAPROVEITAMENTO. AF_09/2023</t>
  </si>
  <si>
    <t>ESCAVAÇÃO MANUAL DE VALA. AF_09/2024</t>
  </si>
  <si>
    <t>ESCAVAÇÃO MECANIZADA PARA VIGA BALDRAME OU SAPATA CORRIDA COM MINI-ESCAVADEIRA (INCLUINDO ESCAVAÇÃO PARA COLOCAÇÃO DE FÔRMAS). AF_01/2024</t>
  </si>
  <si>
    <t>REATERRO MECANIZADO DE VALA COM MINICARREGADEIRA, COM PLACA VIBRATÓRIA. AF_08/2023</t>
  </si>
  <si>
    <t>CARGA, MANOBRA E DESCARGA DE ENTULHO EM CAMINHÃO BASCULANTE 10 M³ - CARGA COM ESCAVADEIRA HIDRÁULICA (CAÇAMBA DE 0,80 M³ / 111 HP) E DESCARGA LIVRE (UNIDADE: M3). AF_07/2020</t>
  </si>
  <si>
    <t>TRANSPORTE COM CAMINHÃO BASCULANTE DE 10 M³, EM VIA URBANA PAVIMENTADA, DMT ATÉ 30 KM (UNIDADE: M3XKM). AF_07/2020</t>
  </si>
  <si>
    <t>LOCAÇÃO CONVENCIONAL DE OBRA, UTILIZANDO GABARITO DE TÁBUAS CORRIDAS PONTALETADAS A CADA 2,00M - 2 UTILIZAÇÕES. AF_03/2024</t>
  </si>
  <si>
    <t>FABRICAÇÃO, MONTAGEM E DESMONTAGEM DE FÔRMA PARA SAPATA, EM MADEIRA SERRADA, E=25 MM, 4 UTILIZAÇÕES. AF_01/2024</t>
  </si>
  <si>
    <t>ARMAÇÃO DE SAPATA ISOLADA, VIGA BALDRAME E SAPATA CORRIDA UTILIZANDO AÇO CA-50 DE 8 MM - MONTAGEM. AF_01/2024</t>
  </si>
  <si>
    <t>ARMAÇÃO DE SAPATA ISOLADA, VIGA BALDRAME E SAPATA CORRIDA UTILIZANDO AÇO CA-50 DE 10 MM - MONTAGEM. AF_01/2024</t>
  </si>
  <si>
    <t>CONCRETAGEM DE SAPATA, FCK 30 MPA, COM USO DE BOMBA - LANÇAMENTO, ADENSAMENTO E ACABAMENTO. AF_01/2024</t>
  </si>
  <si>
    <t>FABRICAÇÃO, MONTAGEM E DESMONTAGEM DE FÔRMA PARA VIGA BALDRAME, EM MADEIRA SERRADA, E=25 MM, 4 UTILIZAÇÕES. AF_01/2024</t>
  </si>
  <si>
    <t>ARMAÇÃO DE SAPATA ISOLADA, VIGA BALDRAME E SAPATA CORRIDA UTILIZANDO AÇO CA-50 DE 6,3 MM - MONTAGEM. AF_01/2024</t>
  </si>
  <si>
    <t>ARMAÇÃO DE BLOCO, SAPATA ISOLADA, VIGA BALDRAME E SAPATA CORRIDA UTILIZANDO AÇO CA-50 DE 12,5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</si>
  <si>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</si>
  <si>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</si>
  <si>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IMPERMEABILIZAÇÃO DE SUPERFÍCIE COM EMULSÃO ASFÁLTICA, 2 DEMÃOS. AF_09/2023</t>
  </si>
  <si>
    <t>FABRICAÇÃO DE FÔRMA PARA PILARES E ESTRUTURAS SIMILARES, EM MADEIRA SERRADA, E=25 MM. AF_09/2020</t>
  </si>
  <si>
    <t>ARMAÇÃO DE PILAR OU VIGA DE ESTRUTURA CONVENCIONAL DE CONCRETO ARMADO UTILIZANDO AÇO CA-50 DE 10,0 MM - MONTAGEM. AF_06/2022</t>
  </si>
  <si>
    <t>ARMAÇÃO DE PILAR OU VIGA DE ESTRUTURA CONVENCIONAL DE CONCRETO ARMADO UTILIZANDO AÇO CA-60 DE 5,0 MM - MONTAGEM. AF_06/2022</t>
  </si>
  <si>
    <t>CONCRETAGEM DE PILARES, FCK = 30 MPA, COM USO DE BOMBA - LANÇAMENTO, ADENSAMENTO E ACABAMENTO (BASE REF. SINAPI 103672)</t>
  </si>
  <si>
    <t>FABRICAÇÃO DE FÔRMA PARA VIGAS, COM MADEIRA SERRADA, E = 25 MM. AF_09/2020</t>
  </si>
  <si>
    <t>ARMAÇÃO DE PILAR OU VIGA DE ESTRUTURA CONVENCIONAL DE CONCRETO ARMADO UTILIZANDO AÇO CA-50 DE 8,0 MM - MONTAGEM. AF_06/2022</t>
  </si>
  <si>
    <t>CONCRETAGEM DE VIGAS E LAJES, FCK = 30 MPA, PARA LAJES PREMOLDADAS COM USO DE BOMBA - LANÇAMENTO, ADENSAMENTO E ACABAMENTO (BASE REF. SINAPI 103674)</t>
  </si>
  <si>
    <t>LAJE PRÉ-MOLDADA UNIDIRECIONAL, BIAPOIADA, PARA PISO, ENCHIMENTO EM CERÂMICA, VIGOTA CONVENCIONAL, ALTURA TOTAL DA LAJE "LT" = 12 CM (ENCHIMENTO+CAPA) = (8+4). AF_08/2025</t>
  </si>
  <si>
    <t>LAJE PRÉ-MOLDADA UNIDIRECIONAL, BIAPOIADA, PARA FORRO, ENCHIMENTO EM CERÂMICA, VIGOTA CONVENCIONAL, ALTURA TOTAL DA LAJE "LT" = 12 CM (ENCHIMENTO+CAPA) = (8+4). AF_08/2025</t>
  </si>
  <si>
    <t>ALVENARIA DE VEDAÇÃO DE BLOCOS CERÂMICOS FURADOS NA HORIZONTAL DE 19X19X29 CM (ESPESSURA 19 CM) E ARGAMASSA DE ASSENTAMENTO COM PREPARO EM BETONEIRA. AF_12/2021</t>
  </si>
  <si>
    <t>ALVENARIA DE VEDAÇÃO DE BLOCOS CERÂMICOS FURADOS NA HORIZONTAL DE 14X19X29 CM (ESPESSURA 14 CM) E ARGAMASSA DE ASSENTAMENTO COM PREPARO EM BETONEIRA. AF_12/2021</t>
  </si>
  <si>
    <t>ALVENARIA DE VEDAÇÃO DE BLOCOS CERÂMICOS FURADOS NA HORIZONTAL DE 11,5X19X29 CM (ESPESSURA 11,5 CM) E ARGAMASSA DE ASSENTAMENTO COM PREPARO EM BETONEIRA. AF_12/2021</t>
  </si>
  <si>
    <t>PAREDE COM SISTEMA EM CHAPAS DE GESSO PARA DRYWALL, USO INTERNO, COM DUAS FACES SIMPLES E ESTRUTURA METÁLICA COM GUIAS SIMPLES PARA PAREDES COM ÁREA LÍQUIDA MAIOR OU IGUAL A 6 M2, COM VÃOS. AF_07/2023_PS</t>
  </si>
  <si>
    <t>INSTALAÇÃO DE ISOLAMENTO COM LÃ DE VIDRO OU LÃ DE PET OU LÃ DE ROCHA EM PAREDES DRYWALL.</t>
  </si>
  <si>
    <t>INSTALAÇÃO DE REFORÇO DE MADEIRA EM PAREDE DRYWALL. AF_07/2023</t>
  </si>
  <si>
    <t>CHAPISCO APLICADO EM ALVENARIA (COM PRESENÇA DE VÃOS) E ESTRUTURAS DE CONCRETO DE FACHADA, COM COLHER DE PEDREIRO. ARGAMASSA TRAÇO 1:3 COM PREPARO EM BETONEIRA 400L.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</si>
  <si>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</si>
  <si>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EM BETONEIRA 400L. AF_10/2022</t>
  </si>
  <si>
    <t>EMBOÇO OU MASSA ÚNICA EM ARGAMASSA TRAÇO 1:2:8, PREPARO MECÂNICO COM BETONEIRA 400 L, APLICADA MANUALMENTE EM PANOS DE FACHADA COM PRESENÇA DE VÃOS, ESPESSURA DE 35 MM. AF_08/2022</t>
  </si>
  <si>
    <t>MASSA ÚNICA, EM ARGAMASSA TRAÇO 1:2:8, PREPARO MECÂNICO, APLICADA MANUALMENTE EM PAREDES INTERNAS DE AMBIENTES COM ÁREA MAIOR QUE 10M², E = 17,5MM, COM TALISCAS. AF_03/2024</t>
  </si>
  <si>
    <t>MASSA ÚNICA, EM ARGAMASSA TRAÇO 1:2:8, PREPARO MECÂNICO, APLICADA MANUALMENTE EM TETO, E = 17,5MM, COM TALISCAS. AF_03/2024</t>
  </si>
  <si>
    <t>FUNDO SELADOR ACRÍLICO, APLICAÇÃO MANUAL EM PAREDE, UMA DEMÃO. AF_04/2023</t>
  </si>
  <si>
    <t>APLICAÇÃO MANUAL DE FUNDO SELADOR ACRÍLICO EM PAREDES EXTERNAS DE CASAS. AF_03/2024</t>
  </si>
  <si>
    <t>FUNDO SELADOR ACRÍLICO, APLICAÇÃO MANUAL EM TETO, UMA DEMÃO. AF_04/2023</t>
  </si>
  <si>
    <t>EMASSAMENTO COM MASSA LÁTEX, APLICAÇÃO EM PAREDE, DUAS DEMÃOS, LIXAMENTO MANUAL. AF_04/2023</t>
  </si>
  <si>
    <t>EMASSAMENTO COM MASSA LÁTEX, APLICAÇÃO EM TETO, DUAS DEMÃOS, LIXAMENTO MANUAL. AF_04/2023</t>
  </si>
  <si>
    <t>PINTURA LÁTEX ACRÍLICA STANDARD, APLICAÇÃO MANUAL EM PAREDES, DUAS DEMÃOS. AF_04/2023</t>
  </si>
  <si>
    <t>APLICAÇÃO MANUAL DE TINTA LÁTEX ACRÍLICA EM PAREDE EXTERNAS DE CASAS, DUAS DEMÃOS. AF_03/2024</t>
  </si>
  <si>
    <t>PINTURA LÁTEX ACRÍLICA STANDARD, APLICAÇÃO MANUAL EM TETO, DUAS DEMÃOS. AF_04/2023</t>
  </si>
  <si>
    <t>REVESTIMENTO CERÂMICO PARA PAREDES INTERNAS COM PLACAS TIPO ESMALTADA DE DIMENSÕES 33X45 CM APLICADAS NA ALTURA INTEIRA DAS PAREDES. AF_02/2023_PE</t>
  </si>
  <si>
    <t>REVESTIMENTO CERÂMICO PARA PAREDES EXTERNAS EM PASTILHAS DE PORCELANA 5 X 5 CM (PLACAS DE 30 X 30 CM), ALINHADAS A PRUMO. AF_02/2023</t>
  </si>
  <si>
    <t>CONTRAPISO EM ARGAMASSA TRAÇO 1:4 (CIMENTO E AREIA), PREPARO MANUAL, APLICADO EM ÁREAS SECAS SOBRE LAJE, ADERIDO, ACABAMENTO NÃO REFORÇADO, ESPESSURA 4CM. AF_07/2021</t>
  </si>
  <si>
    <t>REVESTIMENTO CERÂMICO PARA PISO COM PLACAS TIPO PORCELANATO DE DIMENSÕES 60X60 CM APLICADA EM AMBIENTES DE ÁREA MAIOR QUE 10 M². AF_02/2023_PE</t>
  </si>
  <si>
    <t>RODAPÉ CERÂMICO DE 10CM DE ALTURA COM PLACAS TIPO ESMALTADA / PORCELANATO, DE DIMENSÕES 60X60CM. (BASE REF. SINAPI 88650)</t>
  </si>
  <si>
    <t>PISO VINÍLICO FLEXÍVEL EM MANTA, PADRÃO LISO, ESPESSURA 2 MM - CONFORME PROJETO E MEMORIAL (BASE REF. SINAPI 101728)</t>
  </si>
  <si>
    <t>RODAPÉ VINÍLICO FLEXÍVEL EM MANTA, ALTURA 10CM (BASE REF. SINAPI 98687)</t>
  </si>
  <si>
    <t>SOLEIRA EM GRANITO, LARGURA 15 CM, ESPESSURA 2,0 CM. AF_09/2020</t>
  </si>
  <si>
    <t>PISO CIMENTADO, TRAÇO 1:3 (CIMENTO E AREIA), ACABAMENTO LISO, ESPESSURA 4,0 CM, PREPARO MECÂNICO DA ARGAMASSA. AF_09/2020</t>
  </si>
  <si>
    <t>PINTURA DE PISO COM TINTA ACRÍLICA, APLICAÇÃO MANUAL, 3 DEMÃOS, INCLUSO FUNDO PREPARADOR. AF_05/2021</t>
  </si>
  <si>
    <t>FORRO EM PLACAS DE GESSO, PARA AMBIENTES COMERCIAIS. AF_08/2023_PS</t>
  </si>
  <si>
    <t>ACABAMENTOS PARA FORRO (MOLDURA DE GESSO). AF_08/2023</t>
  </si>
  <si>
    <t>PINTURA LÁTEX ACRÍLICA PREMIUM, APLICAÇÃO MANUAL EM TETO, DUAS DEMÃOS. AF_04/2023</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</si>
  <si>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</si>
  <si>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</si>
  <si>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</si>
  <si>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EM ALUMÍNIO FIXA TIPO VENEZIANA COM GUARNIÇÃO, FIXAÇÃO COM PARAFUSOS - FORNECIMENTO E INSTALAÇÃO (BASE REF. 91341)</t>
  </si>
  <si>
    <t>PORTA EM ALUMÍNIO DE ABRIR TIPO VENEZIANA COM GUARNIÇÃO, FIXAÇÃO COM PARAFUSOS - FORNECIMENTO E INSTALAÇÃO. AF_10/2025</t>
  </si>
  <si>
    <t>FECHADURA DE EMBUTIR COM CILINDRO, EXTERNA, COMPLETA, ACABAMENTO PADRÃO MÉDIO, INCLUSO EXECUÇÃO DE FURO - FORNECIMENTO E INSTALAÇÃO. AF_10/2025</t>
  </si>
  <si>
    <t>GUICHÊ 01 - JANELA DE ALUMÍNIO TIPO GUILHOTINA, BATENTE/REQUADRO DE 6 A 14 CM, COM VIDROS TEMPERADOS DE 6MM, SEM GUARNIÇÃO/ALIZAR, COM ACABAMENTO COR BRANCA, VEDAÇÃO COM SILICONE, EXCLUSIVE CONTRAMARCO - FORNECIMENTO E INSTALAÇÃO (BASE REF. 94570)</t>
  </si>
  <si>
    <t>GUICHÊ 02 - JANELA DE ALUMÍNIO FIXA, COM VÃO PARA PASSAGEM DE DOCUMENTOS, BATENTE/REQUADRO DE 4 A 14 CM, COM VIDROS TEMPERADOS DE 6MM, SEM GUARNIÇÃO/ALIZAR, COM ACABAMENTO COR BRANCA, VEDAÇÃO COM SILICONE, EXCLUSIVE CONTRAMARCO - FORNECIMENTO E INSTALAÇÃO (BASE REF. 100674)</t>
  </si>
  <si>
    <t>BASE PARA GUICHÊ EM GRANITO POLIDO, L = 20CM, E = 3CM, ASSENTADO COM ARGAMASSA 1:6 COM ADITIVO, COR CONFORME PROJETO - FORNECIMENTO E INSTALAÇÃO (BASE REF. 101965)</t>
  </si>
  <si>
    <t>BASE PARA GUICHÊ EM AÇO INOX, CONFORME PROJETO - FORNECIMENTO E INSTALAÇÃO (BASE REF. 101965)</t>
  </si>
  <si>
    <t>CONTRAMARCO DE ALUMÍNIO, FIXAÇÃO COM PARAFUSO - FORNECIMENTO E INSTALAÇÃO. AF_11/2024</t>
  </si>
  <si>
    <t>GUARNIÇÃO DE ALUMÍNIO. AF_11/2024</t>
  </si>
  <si>
    <t>PEITORIL LINEAR EM GRANITO OU MÁRMORE, L = 15CM, ASSENTADO COM ARGAMASSA 1:6 COM ADITIVO. AF_11/2020</t>
  </si>
  <si>
    <t>FECHADURA DE EMBUTIR SEM CILINDRO, PARA PORTA DE BANHEIRO, COMPLETA, ACABAMENTO PADRÃO POPULAR, INCLUSO EXECUÇÃO DE FURO - FORNECIMENTO E INSTALAÇÃO. AF_10/2025</t>
  </si>
  <si>
    <t>DIVISORIA SANITÁRIA, EM GRANITO CINZA POLIDO, ESP = 3CM, ASSENTADO COM ARGAMASSA COLANTE AC III-E. AF_10/2025</t>
  </si>
  <si>
    <t>KIT DE PORTA-PRONTA DE MADEIRA EM ACABAMENTO MELAMÍNICO BRANCO, FOLHA LEVE OU MÉDIA, 80X210CM, EXCLUSIVE FECHADURA, FIXAÇÃO COM PREENCHIMENTO PARCIAL DE ESPUMA EXPANSIVA - FORNECIMENTO E INSTALAÇÃO. AF_10/2025</t>
  </si>
  <si>
    <t>PORTA 02 - KIT PORTA-PRONTA DE MADEIRA EM ACABAMENTO MELAMÍNICO BRANCO, FOLHA LEVE OU MÉDIA, 80X210CM, COM GRELHA TIPO VENEZIANA FIXA EM ALUMÍNIO BRANCO, EXCLUSIVE FECHADURA, FIXAÇÃO COM PREENCHIMENTO DE ESPUMA EXPANSIVA - FORNECIMENTO E INSTALAÇÃO (BASE REF. 90790 ADAPTADA)</t>
  </si>
  <si>
    <t>PORTA 03 - KIT PORTA-PRONTA DE MADEIRA EM ACABAMENTO MELAMÍNICO BRANCO, FOLHA LEVE OU MÉDIA, 120X210CM, COM GRELHA TIPO VENEZIANA FIXA EM ALUMÍNIO BRANCO, EXCLUSIVE FECHADURA, FIXAÇÃO COM PREENCHIMENTO DE ESPUMA EXPANSIVA - FORNECIMENTO E INSTALAÇÃO (BASE REF. 100675 ADAPTADA)</t>
  </si>
  <si>
    <t>PORTA 04 - KIT PORTA-PRONTA DE MADEIRA EM ACABAMENTO MELAMÍNICO BRANCO, FOLHA LEVE OU MÉDIA, 120X210CM, EXCLUSIVE FECHADURA, FIXAÇÃO COM PREENCHIMENTO DE ESPUMA EXPANSIVA - FORNECIMENTO E INSTALAÇÃO (BASE REF. 100675 ADAPTADA)</t>
  </si>
  <si>
    <t>PORTA 05 - KIT PORTA-PRONTA DE MADEIRA EM ACABAMENTO MELAMÍNICO BRANCO, FOLHA LEVE OU MÉDIA, 100X210CM, EXCLUSIVE FECHADURA, FIXAÇÃO COM PREENCHIMENTO DE ESPUMA EXPANSIVA - FORNECIMENTO E INSTALAÇÃO (BASE REF. 100675 ADAPTADA)</t>
  </si>
  <si>
    <t>PORTA 06 - KIT PORTA-PRONTA DE MADEIRA EM ACABAMENTO MELAMÍNICO BRANCO, FOLHA LEVE OU MÉDIA, 90X210CM, COM PLACA DE PROTEÇÃO COM CHAPA INOX, EXCLUSIVE FECHADURA, FIXAÇÃO COM PREENCHIMENTO DE ESPUMA EXPANSIVA - FORNECIMENTO E INSTALAÇÃO (BASE REF. 100675 ADAPTADA)</t>
  </si>
  <si>
    <t>PORTA 07 - KIT PORTA-PRONTA DE MADEIRA EM ACABAMENTO MELAMÍNICO BRANCO, FOLHA LEVE OU MÉDIA, 160X210CM, 2 FOLHS, COM 1 VISOR EM CADA FOLHA, EXCLUSIVE FECHADURA, FIXAÇÃO COM PREENCHIMENTO DE ESPUMA EXPANSIVA - FORNECIMENTO E INSTALAÇÃO (BASE REF. 100675 ADAPTADA)</t>
  </si>
  <si>
    <t>PORTA 08 - KIT PORTA-PRONTA CORTA-FOGO, COM PINTURA BRANCA, ANTI-CHAMAS OU INTUMESCENTE, 220X210CM, 2 FOLHAS, COM 1 VISOR EM CADA FOLHA, COM BARRA ANTIPÂNICO DUPLA E FECHADURA NO LADO OPOSTO - FORNECIMENTO E INSTALAÇÃO</t>
  </si>
  <si>
    <t>PORTA 09 - KIT PORTA-PRONTA DE MADEIRA EM ACABAMENTO MELAMÍNICO BRANCO, FOLHA LEVE OU MÉDIA, 110X210CM, 2 FOLHAS, EXCLUSIVE FECHADURA, FIXAÇÃO COM PREENCHIMENTO DE ESPUMA EXPANSIVA - FORNECIMENTO E INSTALAÇÃO (BASE REF. 100675 ADAPTADA)</t>
  </si>
  <si>
    <t>TELHADISTA COM ENCARGOS COMPLEMENTARES</t>
  </si>
  <si>
    <t>ELETRICISTA COM ENCARGOS COMPLEMENTARES</t>
  </si>
  <si>
    <t>AUXILIAR DE ELETRICISTA COM ENCARGOS COMPLEMENTARES</t>
  </si>
  <si>
    <t>RETIRADA DE PAINÉIS SOLARES</t>
  </si>
  <si>
    <t>DEMOLIÇÃO DE ALVENARIA DE BLOCO FURADO, DE FORMA MANUAL, SEM REAPROVEITAMENTO. AF_09/2023</t>
  </si>
  <si>
    <t>REMOÇÃO CALHAS E RUFOS, DE FORMA MANUAL, SEM REAPROVEITAMENTO. AF_09/2023</t>
  </si>
  <si>
    <t>REMOÇÃO DE TELHAS DE FIBROCIMENTO METÁLICA E CERÂMICA, DE FORMA MANUAL, SEM REAPROVEITAMENTO. AF_09/2023</t>
  </si>
  <si>
    <t>REMOÇÃO DE TRAMA DE MADEIRA PARA COBERTURA, DE FORMA MANUAL, SEM REAPROVEITAMENTO. AF_09/2023</t>
  </si>
  <si>
    <t>REMOÇÃO DE TESOURAS DE MADEIRA, COM VÃO MENOR QUE 8M, DE FORMA MANUAL, SEM REAPROVEITAMENTO. AF_09/2023</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</si>
  <si>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</si>
  <si>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7 M, PARA TELHA ONDULADA DE FIBROCIMENTO, ALUMÍNIO, PLÁSTICA OU TERMOACÚSTICA, INCLUSO IÇAMENTO. AF_10/2025</t>
  </si>
  <si>
    <t>TRAMA DE MADEIRA COMPOSTA POR TERÇAS PARA TELHADOS DE ATÉ 2 ÁGUAS PARA TELHA ONDULADA DE FIBROCIMENTO, METÁLICA, PLÁSTICA OU TERMOACÚSTICA, INCLUSO TRANSPORTE VERTICAL. AF_10/2025</t>
  </si>
  <si>
    <t>TELHAMENTO COM TELHA ONDULADA DE FIBROCIMENTO E = 6 MM, COM RECOBRIMENTO LATERAL DE 1 1/4 DE ONDA PARA TELHADO COM INCLINAÇÃO MÁXIMA DE 10°, COM ATÉ 2 ÁGUAS, INCLUSO IÇAMENTO. AF_07/2019</t>
  </si>
  <si>
    <t>CHAPIM (RUFO CAPA) EM AÇO GALVANIZADO, CORTE 33. AF_11/2020</t>
  </si>
  <si>
    <t>RUFO EXTERNO/INTERNO EM CHAPA DE AÇO GALVANIZADO NÚMERO 26, CORTE DE 33 CM, INCLUSO IÇAMENTO. AF_07/2019</t>
  </si>
  <si>
    <t>CALHA EM CHAPA DE AÇO GALVANIZADO NÚMERO 24, DESENVOLVIMENTO DE 100 CM, INCLUSO TRANSPORTE VERTICAL. AF_07/2019</t>
  </si>
  <si>
    <t>CONTRAPISO EM ARGAMASSA TRAÇO 1:4 (CIMENTO E AREIA), PREPARO MECÂNICO COM BETONEIRA 400 L, APLICADO EM ÁREAS MOLHADAS SOBRE LAJE, ADERIDO, ACABAMENTO NÃO REFORÇADO, ESPESSURA 3CM. AF_07/2021</t>
  </si>
  <si>
    <t>IMPERMEABILIZAÇÃO DE SUPERFÍCIE COM MANTA ASFÁLTICA, UMA CAMADA, INCLUSIVE APLICAÇÃO DE PRIMER ASFÁLTICO, E=4MM. AF_09/2023</t>
  </si>
  <si>
    <t>TRATAMENTO DE RALO OU PONTO EMERGENTE EM IMPERMEABILIZAÇÃO COM MANTA ASFÁLTICA, E=4MM</t>
  </si>
  <si>
    <t>PROTEÇÃO MECÂNICA DE SUPERFÍCIE HORIZONTAL COM ARGAMASSA DE CIMENTO E AREIA, TRAÇO 1:3, E=2CM. AF_09/2023</t>
  </si>
  <si>
    <t>PREPARO DO PISO CIMENTADO PARA PINTURA - LIXAMENTO E LIMPEZA. AF_05/2021</t>
  </si>
  <si>
    <t>Painel de cabeceira de leito completo instalado (FO-FAM-FVC) - fornecimento e instalação</t>
  </si>
  <si>
    <t>Painel de alarme vácuo sem bateria - fornecimento e instalação</t>
  </si>
  <si>
    <t>Painel de alarme oxigênio sem bateria - fornecimento e instalação</t>
  </si>
  <si>
    <t>Painel de alarme ar comprimido sem bateria - fornecimento e instalação</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</si>
  <si>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</si>
  <si>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</si>
  <si>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</si>
  <si>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35 MM, CLASSE A, SEM ISOLAMENTO, INSTALADO EM PRUMADA DE GÁS COMBUSTÍVEL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</si>
  <si>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</si>
  <si>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</si>
  <si>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TE EM COBRE, DN 35 MM, SEM ANEL DE SOLDA, INSTALADO EM PRUMADA DE HIDRÁULICA PREDIAL - FORNECIMENTO E INSTALAÇÃO. AF_04/2022</t>
  </si>
  <si>
    <t>Canopla para ponto de consumo embutido vácuo - fornecimento e instalação</t>
  </si>
  <si>
    <t>Canopla para ponto de consumo embutido oxigênio - fornecimento e instalação</t>
  </si>
  <si>
    <t>Canopla para ponto de consumo embutido ar comprimdo - fornecimento e instalação</t>
  </si>
  <si>
    <t>COTOVELO EM COBRE, DN 15 MM, 90 GRAUS, SEM ANEL DE SOLDA, INSTALADO EM RAMAL E SUB-RAMAL DE GÁS MEDICINAL - FORNECIMENTO E INSTALAÇÃO. AF_04/2022</t>
  </si>
  <si>
    <t>COTOVELO EM COBRE, DN 22 MM, 90 GRAUS, SEM ANEL DE SOLDA, INSTALADO EM RAMAL E SUB-RAMAL DE GÁS MEDICINAL - FORNECIMENTO E INSTALAÇÃO. AF_04/2022</t>
  </si>
  <si>
    <t>COTOVELO EM COBRE, DN 28 MM, 90 GRAUS, SEM ANEL DE SOLDA, INSTALADO EM RAMAL E SUB-RAMAL DE GÁS MEDICINAL - FORNECIMENTO E INSTALAÇÃO. AF_04/2022</t>
  </si>
  <si>
    <t>COTOVELO EM COBRE, DN 35 MM, 90 GRAUS, SEM ANEL DE SOLDA, INSTALADO EM PRUMADA DE HIDRÁULICA PREDIAL - FORNECIMENTO E INSTALAÇÃO. AF_04/2022</t>
  </si>
  <si>
    <t>Bucha de redução de cobre, juntas soldadas, 35 x 22mm - fornecimento e instalação</t>
  </si>
  <si>
    <t>Bucha de redução de cobre, juntas soldadas, 28 x 22mm - fornecimento e instalação</t>
  </si>
  <si>
    <t>Bucha de redução de cobre, juntas soldadas, 22 x 15mm - fornecimento e instalação</t>
  </si>
  <si>
    <t xml:space="preserve">Válvula de esfera triparida 1/2" total inox classe 300 lbs </t>
  </si>
  <si>
    <t xml:space="preserve">Válvula de esfera triparida 3/4" total inox classe 300 lbs </t>
  </si>
  <si>
    <t xml:space="preserve">Válvula de esfera triparida 1" total inox classe 300 lbs </t>
  </si>
  <si>
    <t xml:space="preserve">Válvula de esfera triparida 1 1/4" total inox classe 300 lbs </t>
  </si>
  <si>
    <t>Conector macho bronze 1/2" x 15mm - fornecimento e instalação</t>
  </si>
  <si>
    <t>Conector macho bronze 3/4" x 22mm - fornecimento e instalação</t>
  </si>
  <si>
    <t>Conector macho bronze 1" x 28mm - fornecimento e instalação</t>
  </si>
  <si>
    <t>Conector macho bronze 1 1/4" x 35mm - fornecimento e instalação</t>
  </si>
  <si>
    <t>Suporte e fixação de tubulação em laje 100x100x50mm</t>
  </si>
  <si>
    <t>Fluxo para pasta de solda Agflux</t>
  </si>
  <si>
    <t>Enforce limpador alcalino</t>
  </si>
  <si>
    <t xml:space="preserve">Nitrogênio </t>
  </si>
  <si>
    <t>Oxigênio</t>
  </si>
  <si>
    <t>Acetileno</t>
  </si>
  <si>
    <t>Luva de cobre 35mm - fornecimento e instalação</t>
  </si>
  <si>
    <t>Luva de cobre 28mm - fornecimento e instalação</t>
  </si>
  <si>
    <t>Luva de cobre 22mm  - fornecimento e instalação</t>
  </si>
  <si>
    <t>Adesivos de identificação de tubulações - fornecimento e instalação</t>
  </si>
  <si>
    <t>Placa de identificação válvulas de esfera - fornecimento e instalação</t>
  </si>
  <si>
    <t>Prolongador latão 30mm - fornecimento e instalação</t>
  </si>
  <si>
    <t>Fixação de tubos em laje de concreto com abraçadeira metálica</t>
  </si>
  <si>
    <t>Fita anticorrosiva adesiva preta flexível 50mm</t>
  </si>
  <si>
    <t>Isolamento de tubos de cobre</t>
  </si>
  <si>
    <t>Furos em concreto diâmetro até 100mm</t>
  </si>
  <si>
    <t>Isolamento de tubulação com borracha elastomérica 5/8"</t>
  </si>
  <si>
    <t>ADAPTADOR CURTO COM BOLSA E ROSCA PARA REGISTRO, PVC, SOLDÁVEL, DN 25MM X 3/4, INSTALADO EM RAMAL OU SUB-RAMAL DE ÁGUA - FORNECIMENTO E INSTALAÇÃO. AF_06/2022</t>
  </si>
  <si>
    <t>ADAPTADOR CURTO COM BOLSA E ROSCA PARA REGISTRO, PVC, SOLDÁVEL, DN 50MM X 1.1/2", INSTALADO EM RAMAL DE DISTRIBUIÇÃO DE ÁGUA - FORNECIMENTO E INSTALAÇÃO. AF_06/2022</t>
  </si>
  <si>
    <t>BUCHA DE REDUÇÃO, LONGA, PVC, SOLDÁVEL, DN 50 X 25 MM, INSTALADO EM RAMAL DE DISTRIBUIÇÃO DE ÁGUA - FORNECIMENTO E INSTALAÇÃO. AF_06/2022</t>
  </si>
  <si>
    <t>BUCHA DE REDUÇÃO, LONGA, PVC, SOLDÁVEL, DN 75 X 50 MM, INSTALADO EM PRUMADA DE ÁGUA - FORNECIMENTO E INSTALAÇÃO. AF_06/2022</t>
  </si>
  <si>
    <t>JOELHO 90 GRAUS, PVC, SOLDÁVEL, DN 25MM, INSTALADO EM RAMAL OU SUB-RAMAL DE ÁGUA - FORNECIMENTO E INSTALAÇÃO. AF_06/2022</t>
  </si>
  <si>
    <t>JOELHO 90 GRAUS, PVC, SOLDÁVEL, DN 50MM, INSTALADO EM RAMAL DE DISTRIBUIÇÃO DE ÁGUA - FORNECIMENTO E INSTALAÇÃO. AF_06/2022</t>
  </si>
  <si>
    <t>JOELHO 90 GRAUS COM BUCHA DE LATÃO, PVC, SOLDÁVEL, DN 25MM, X 3/4 INSTALADO EM RAMAL OU SUB-RAMAL DE ÁGUA - FORNECIMENTO E INSTALAÇÃO. AF_06/2022</t>
  </si>
  <si>
    <t>JOELHO 90 GRAUS COM BUCHA DE LATÃO, PVC, SOLDÁVEL, DN 25MM, X 1/2 INSTALADO EM RAMAL OU SUB-RAMAL DE ÁGUA - FORNECIMENTO E INSTALAÇÃO. AF_06/2022</t>
  </si>
  <si>
    <t>JOELHO DE REDUÇÃO, 90 GRAUS, PVC, SOLDÁVEL, DN 25 MM X 20 MM, INSTALADO EM RAMAL OU SUB-RAMAL DE ÁGUA - FORNECIMENTO E INSTALAÇÃO. AF_06/2022</t>
  </si>
  <si>
    <t>LUVA SOLDÁVEL E COM ROSCA, PVC, SOLDÁVEL, DN 25MM X 3/4, INSTALADO EM RAMAL OU SUB-RAMAL DE ÁGUA - FORNECIMENTO E INSTALAÇÃO. AF_06/2022</t>
  </si>
  <si>
    <t>TUBO, PVC, SOLDÁVEL, DE 25MM, INSTALADO EM RAMAL OU SUB-RAMAL DE ÁGUA - FORNECIMENTO E INSTALAÇÃO. AF_06/2022</t>
  </si>
  <si>
    <t>TUBO, PVC, SOLDÁVEL, DE 50MM, INSTALADO EM RAMAL DE DISTRIBUIÇÃO DE ÁGUA - FORNECIMENTO E INSTALAÇÃO. AF_06/2022</t>
  </si>
  <si>
    <t>TUBO, PVC, SOLDÁVEL, DE 75MM, INSTALADO EM PRUMADA DE ÁGUA - FORNECIMENTO E INSTALAÇÃO. AF_06/2022</t>
  </si>
  <si>
    <t>TE, PVC, SOLDÁVEL, DN 25MM, INSTALADO EM RAMAL OU SUB-RAMAL DE ÁGUA - FORNECIMENTO E INSTALAÇÃO. AF_06/2022</t>
  </si>
  <si>
    <t>TE, PVC, SOLDÁVEL, DN 50MM, INSTALADO EM RAMAL DE DISTRIBUIÇÃO DE ÁGUA - FORNECIMENTO E INSTALAÇÃO. AF_06/2022</t>
  </si>
  <si>
    <t>TÊ DE REDUÇÃO, PVC, SOLDÁVEL, DN 50MM X 25MM, INSTALADO EM RAMAL DE DISTRIBUIÇÃO DE ÁGUA - FORNECIMENTO E INSTALAÇÃO. AF_06/2022</t>
  </si>
  <si>
    <t>TE DE REDUÇÃO, PVC, SOLDÁVEL, DN 75MM X 50MM, INSTALADO EM PRUMADA DE ÁGUA - FORNECIMENTO E INSTALAÇÃO. AF_06/2022</t>
  </si>
  <si>
    <t>RASGO LINEAR MANUAL EM ALVENARIA, PARA RAMAIS/ DISTRIBUIÇÃO DE INSTALAÇÕES HIDRÁULICAS, DIÂMETROS MENORES OU IGUAIS A 40 MM. AF_09/2023</t>
  </si>
  <si>
    <t>CHUMBAMENTO LINEAR EM ALVENARIA PARA RAMAIS/DISTRIBUIÇÃO DE INSTALAÇÕES HIDRÁULICAS COM DIÂMETROS MENORES OU IGUAIS A 40 MM. AF_09/2023</t>
  </si>
  <si>
    <t>RASGO LINEAR MANUAL EM ALVENARIA, PARA RAMAIS/ DISTRIBUIÇÃO DE INSTALAÇÕES HIDRÁULICAS, DIÂMETROS MAIORES QUE 40 MM E MENORES OU IGUAIS A 75 MM. AF_09/2023</t>
  </si>
  <si>
    <t>CHUMBAMENTO LINEAR EM ALVENARIA PARA RAMAIS/DISTRIBUIÇÃO DE INSTALAÇÕES HIDRÁULICAS COM DIÂMETROS MAIORES QUE 40 MM E MENORES OU IGUAIS A 75 MM. AF_09/2023</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</si>
  <si>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</si>
  <si>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</si>
  <si>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SIFONADA, COM GRELHA QUADRADA, PVC, DN 150 X 150 X 50 MM, JUNTA SOLDÁVEL, FORNECIDA E INSTALADA EM RAMAL DE DESCARGA OU EM RAMAL DE ESGOTO SANITÁRIO. AF_08/2022</t>
  </si>
  <si>
    <t>RALO SIFONADO, PVC, DN 100 X 40 MM, JUNTA SOLDÁVEL, FORNECIDO E INSTALADO EM RAMAL DE DESCARGA OU EM RAMAL DE ESGOTO SANITÁRIO. AF_08/2022</t>
  </si>
  <si>
    <t>CURVA CURTA 90 GRAUS, PVC, SERIE NORMAL, ESGOTO PREDIAL, DN 100 MM, JUNTA ELÁSTICA, FORNECIDO E INSTALADO EM RAMAL DE DESCARGA OU RAMAL DE ESGOTO SANITÁRIO. AF_08/2022</t>
  </si>
  <si>
    <t>CURVA CURTA 90 GRAUS, PVC, SERIE NORMAL, ESGOTO PREDIAL, DN 40 MM, JUNTA SOLDÁVEL, FORNECIDO E INSTALADO EM RAMAL DE DESCARGA OU RAMAL DE ESGOTO SANITÁRIO. AF_08/2022</t>
  </si>
  <si>
    <t>JOELHO 45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</si>
  <si>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</si>
  <si>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</si>
  <si>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</si>
  <si>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</si>
  <si>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</si>
  <si>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</si>
  <si>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</si>
  <si>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R, ÁGUA PLUVIAL, DN 150 X 150 MM, JUNTA ELÁSTICA, FORNECIDO E INSTALADO EM RAMAL DE ENCAMINHAMENTO. AF_06/2022</t>
  </si>
  <si>
    <t>TUBO PVC, SERIE NORMAL, ESGOTO PREDIAL, DN 100 MM, FORNECIDO E INSTALADO EM RAMAL DE DESCARGA OU RAMAL DE ESGOTO SANITÁRIO. AF_08/2022</t>
  </si>
  <si>
    <t>TUBO DE PVC PARA REDE COLETORA DE ESGOTO DE PAREDE MACIÇA, DN 150 MM, JUNTA ELÁSTICA - FORNECIMENTO E ASSENTAMENTO. AF_01/2021</t>
  </si>
  <si>
    <t>TUBO PVC, SERIE NORMAL, ESGOTO PREDIAL, DN 50 MM, FORNECIDO E INSTALADO EM RAMAL DE DESCARGA OU RAMAL DE ESGOTO SANITÁRIO. AF_08/2022</t>
  </si>
  <si>
    <t>TUBO PVC, SERIE NORMAL, ESGOTO PREDIAL, DN 40 MM, FORNECIDO E INSTALADO EM RAMAL DE DESCARGA OU RAMAL DE ESGOTO SANITÁRIO. AF_08/2022</t>
  </si>
  <si>
    <t>TUBO, PVC, SOLDÁVEL, DE 25MM, INSTALADO EM DRENO DE AR-CONDICIONADO - FORNECIMENTO E INSTALAÇÃO. AF_08/2022</t>
  </si>
  <si>
    <t>TE, PVC, SERIE NORMAL, ESGOTO PREDIAL, DN 50 X 50 MM, JUNTA ELÁSTICA, FORNECIDO E INSTALADO EM RAMAL DE DESCARGA OU RAMAL DE ESGOTO SANITÁRIO. AF_08/2022</t>
  </si>
  <si>
    <t>JOELHO 45 GRAUS, PVC, SERIE NORMAL, ESGOTO PREDIAL, DN 50 MM, JUNTA ELÁSTICA, FORNECIDO E INSTALADO EM PRUMADA DE ESGOTO SANITÁRIO OU VENTILAÇÃO. AF_08/2022</t>
  </si>
  <si>
    <t>JOELHO 90 GRAUS, PVC, SERIE NORMAL, ESGOTO PREDIAL, DN 50 MM, JUNTA ELÁSTICA, FORNECIDO E INSTALADO EM PRUMADA DE ESGOTO SANITÁRIO OU VENTILAÇÃO. AF_08/2022</t>
  </si>
  <si>
    <t>TUBO PVC, SERIE NORMAL, ESGOTO PREDIAL, DN 50 MM, FORNECIDO E INSTALADO EM PRUMADA DE ESGOTO SANITÁRIO OU VENTILAÇÃO. AF_08/2022</t>
  </si>
  <si>
    <t>TE, PVC, SERIE NORMAL, ESGOTO PREDIAL, DN 50 X 50 MM, JUNTA ELÁSTICA, FORNECIDO E INSTALADO EM PRUMADA DE ESGOTO SANITÁRIO OU VENTILAÇÃO. AF_08/2022</t>
  </si>
  <si>
    <t>TERMINAL DE VENTILAÇÃO, PVC, SÉRIE NORMAL, ESGOTO PREDIAL, DN 50 MM, JUNTA SOLDÁVEL, FORNECIDO E INSTALADO EM PRUMADA DE ESGOTO SANITÁRIO OU VENTILAÇÃO. AF_08/2022</t>
  </si>
  <si>
    <t>TUBO PVC, SÉRIE R, ÁGUA PLUVIAL, DN 100 MM, FORNECIDO E INSTALADO EM CONDUTORES VERTICAIS DE ÁGUAS PLUVIAIS. AF_06/2022</t>
  </si>
  <si>
    <t>CAIXA ENTERRADA HIDRÁULICA RETANGULAR EM ALVENARIA COM TIJOLOS CERÂMICOS MACIÇOS, DIMENSÕES INTERNAS: 0,6X0,6X0,6 M PARA REDE DE DRENAGEM. AF_12/2020</t>
  </si>
  <si>
    <t>TUBO PVC, SÉRIE R, ÁGUA PLUVIAL, DN 100 MM, FORNECIDO E INSTALADO EM RAMAL DE ENCAMINHAMENTO. AF_06/2022</t>
  </si>
  <si>
    <t>TUBO PVC, SÉRIE R, ÁGUA PLUVIAL, DN 150 MM, FORNECIDO E INSTALADO EM RAMAL DE ENCAMINHAMENTO. AF_06/2022</t>
  </si>
  <si>
    <t>REATERRO MANUAL DE VALAS, COM COMPACTADOR DE SOLOS DE PERCUSSÃO. AF_08/2023</t>
  </si>
  <si>
    <t>VASO SANITÁRIO SIFONADO COM CAIXA ACOPLADA LOUÇA BRANCA - PADRÃO MÉDIO, INCLUSO ENGATE FLEXÍVEL EM METAL CROMADO, 1/2 X 40CM - FORNECIMENTO E INSTALAÇÃO. AF_01/2020</t>
  </si>
  <si>
    <t>VASO SANITARIO SIFONADO CONVENCIONAL PARA PCD SEM FURO FRONTAL COM LOUÇA BRANCA SEM ASSENTO, INCLUSO CONJUNTO DE LIGAÇÃO PARA BACIA SANITÁRIA AJUSTÁVEL - FORNECIMENTO E INSTALAÇÃO. AF_01/2020</t>
  </si>
  <si>
    <t>ASSENTO SANITÁRIO CONVENCIONAL - FORNECIMENTO E INSTALACAO.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</si>
  <si>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</si>
  <si>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</si>
  <si>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CHUVEIRO ELÉTRICO COMUM CORPO PLÁSTICO, TIPO DUCHA - FORNECIMENTO E INSTALAÇÃO. AF_01/2020</t>
  </si>
  <si>
    <t>TANQUE DE LOUÇA BRANCA COM COLUNA, 30L OU EQUIVALENTE, INCLUSO SIFÃO FLEXÍVEL EM PVC, VÁLVULA METÁLICA E TORNEIRA DE METAL CROMADO PADRÃO MÉDIO - FORNECIMENTO E INSTALAÇÃO. AF_01/2020</t>
  </si>
  <si>
    <t>TORNEIRA ELÉTRICA DE PAREDE, PLÁSTICA, BICA ALTA, PARA COZINHA, 5500W (110/220V) - FORNECIMENTO E INSTALAÇÃO (BASE REF. 100860)</t>
  </si>
  <si>
    <t>BARRA DE APOIO RETA, EM ACO INOX POLIDO, COMPRIMENTO 80 CM, FIXADA NA PAREDE - FORNECIMENTO E INSTALAÇÃO. AF_01/2020</t>
  </si>
  <si>
    <t>BARRA DE APOIO RETA, EM ACO INOX POLIDO, COMPRIMENTO 60CM, FIXADA NA PAREDE - FORNECIMENTO E INSTALAÇÃO. AF_01/2020</t>
  </si>
  <si>
    <t>DIVISÓRIA EM VIDRO TEMPERADO 10 MM COM PORTA DE CORRER, INCLUSIVE FERRAGENS - FORNECIMENTO E INSTALAÇÃO (BASE REF. 102236)</t>
  </si>
  <si>
    <t>VÁLVULA DE DESCARGA METÁLICA, BASE 1 1/2", ACABAMENTO METALICO CROMADO - FORNECIMENTO E INSTALAÇÃO. AF_08/2021</t>
  </si>
  <si>
    <t>SABONETEIRA PLASTICA TIPO DISPENSER PARA SABONETE LIQUIDO COM RESERVATORIO 800 A 1500 ML, INCLUSO FIXAÇÃO. AF_01/2020</t>
  </si>
  <si>
    <t>PORTA TOALHA BANHO EM METAL CROMADO, TIPO BARRA, INCLUSO FIXAÇÃO. AF_01/2020</t>
  </si>
  <si>
    <t>PAPELEIRA PLASTICA TIPO DISPENSER PARA PAPEL HIGIENICO ROLAO, INCLUSO FIXAÇÃO (BASE REF. 95547)</t>
  </si>
  <si>
    <t>TOALHEIRO PLASTICO TIPO DISPENSER PARA PAPEL TOALHA INTERFOLHADO, INCLUSO FIXAÇÃO (BASE REF. 95547)</t>
  </si>
  <si>
    <t>DISPENSER PLÁSTICO PARA ÁLCOOL, INCLUSO FIXAÇÃO (BASE REF. 95547)</t>
  </si>
  <si>
    <t>SABONETEIRA DE PAREDE EM METAL CROMADO, INCLUSO FIXAÇÃO. AF_01/2020</t>
  </si>
  <si>
    <t>ESPELHO CRISTAL, ESPESSURA 4 MM, SEM MOLDURA, ADERIDO COM ADESIVO FIXA-ESPELHO (BASE REF. 102147)</t>
  </si>
  <si>
    <t>REGISTRO DE GAVETA BRUTO, LATÃO, ROSCÁVEL, 1 1/2", COM ACABAMENTO E CANOPLA CROMADOS - FORNECIMENTO E INSTALAÇÃO. AF_08/2021</t>
  </si>
  <si>
    <t>REGISTRO DE GAVETA BRUTO, LATÃO, ROSCÁVEL, 3/4", COM ACABAMENTO E CANOPLA CROMADOS - FORNECIMENTO E INSTALAÇÃO. AF_08/2021</t>
  </si>
  <si>
    <t>REGISTRO DE PRESSÃO BRUTO, LATÃO, ROSCÁVEL, 3/4", COM ACABAMENTO E CANOPLA CROMADOS - FORNECIMENTO E INSTALAÇÃO. AF_08/2021</t>
  </si>
  <si>
    <t>ACABAMENTO PARA RALO, TAMPA INOX, ESCAMOTEÁVEL</t>
  </si>
  <si>
    <t>DUCHA HIGIENICA PLASTICA COM REGISTRO METALICO - FORNECIMENTO E INSTALAÇÃO (BASE REF. 100860)</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</si>
  <si>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</si>
  <si>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</si>
  <si>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6 MM², ANTI-CHAMA 450/750 V, PARA CIRCUITOS TERMINAIS - FORNECIMENTO E INSTALAÇÃO. AF_03/2023</t>
  </si>
  <si>
    <t>CABO DE COBRE FLEXÍVEL ISOLADO, 10 MM², ANTI-CHAMA 450/750 V, PARA CIRCUITOS TERMINAIS - FORNECIMENTO E INSTALAÇÃO. AF_03/2023</t>
  </si>
  <si>
    <t>CABO DE COBRE FLEXÍVEL ISOLADO, 16 MM², ANTI-CHAMA 450/750 V, PARA CIRCUITOS TERMINAIS - FORNECIMENTO E INSTALAÇÃO. AF_03/2023</t>
  </si>
  <si>
    <t>CABO DE COBRE FLEXÍVEL ISOLADO, 35 MM², ANTI-CHAMA 0,6/1,0 KV, PARA REDE ENTERRADA DE DISTRIBUIÇÃO DE ENERGIA ELÉTRICA - FORNECIMENTO E INSTALAÇÃO. AF_12/2021</t>
  </si>
  <si>
    <t>ELETRODUTO FLEXÍVEL CORRUGADO REFORÇADO, PVC, DN 25 MM (3/4"), PARA CIRCUITOS TERMINAIS, INSTALADO EM LAJE - FORNECIMENTO E INSTALAÇÃO. AF_03/2023</t>
  </si>
  <si>
    <t>ELETRODUTO FLEXÍVEL CORRUGADO REFORÇADO, PVC, DN 32 MM (1"), PARA CIRCUITOS TERMINAIS, INSTALADO EM PAREDE - FORNECIMENTO E INSTALAÇÃO. AF_03/2023</t>
  </si>
  <si>
    <t>ELETRODUTO FLEXÍVEL CORRUGADO, PEAD, DN 63 (2"), PARA REDE ENTERRADA DE DISTRIBUIÇÃO DE ENERGIA ELÉTRICA - FORNECIMENTO E INSTALAÇÃO. AF_12/2021</t>
  </si>
  <si>
    <t>CAIXA ENTERRADA ELÉTRICA RETANGULAR, EM ALVENARIA COM BLOCOS DE CONCRETO, FUNDO COM BRITA, DIMENSÕES INTERNAS: 0,6X0,6X0,6 M. AF_12/2020</t>
  </si>
  <si>
    <t>CAIXA RETANGULAR 4" X 2" BAIXA (0,30 M DO PISO), PVC, INSTALADA EM PAREDE - FORNECIMENTO E INSTALAÇÃO. AF_03/2023</t>
  </si>
  <si>
    <t>CAIXA OCTOGONAL 4" X 4", PVC, INSTALADA EM LAJE - FORNECIMENTO E INSTALAÇÃO. AF_03/2023</t>
  </si>
  <si>
    <t>INTERRUPTOR SIMPLES (1 MÓDULO), 10A/250V, INCLUINDO SUPORTE E PLACA - FORNECIMENTO E INSTALAÇÃO. AF_03/2023</t>
  </si>
  <si>
    <t>INTERRUPTOR PARALELO (1 MÓDULO), 10A/250V, INCLUINDO SUPORTE E PLACA - FORNECIMENTO E INSTALAÇÃO. AF_03/2023</t>
  </si>
  <si>
    <t>INTERRUPTOR SIMPLES (1 MÓDULO) COM 1 TOMADA DE EMBUTIR 2P+T 10 A, INCLUINDO SUPORTE E PLACA - FORNECIMENTO E INSTALAÇÃO. AF_03/2023</t>
  </si>
  <si>
    <t>INTERRUPTOR SIMPLES (2 MÓDULOS), 10A/250V, INCLUINDO SUPORTE E PLACA - FORNECIMENTO E INSTALAÇÃO. AF_03/2023</t>
  </si>
  <si>
    <t>TOMADA ALTA DE EMBUTIR (1 MÓDULO), 2P+T 20 A, INCLUINDO SUPORTE E PLACA - FORNECIMENTO E INSTALAÇÃO. AF_03/2023</t>
  </si>
  <si>
    <t>DISJUNTOR MONOPOLAR TIPO DIN, CORRENTE NOMINAL DE 10A - FORNECIMENTO E INSTALAÇÃO. AF_07/2025</t>
  </si>
  <si>
    <t>DISJUNTOR MONOPOLAR TIPO DIN, CORRENTE NOMINAL DE 16A - FORNECIMENTO E INSTALAÇÃO. AF_07/2025</t>
  </si>
  <si>
    <t>DISJUNTOR MONOPOLAR TIPO DIN, CORRENTE NOMINAL DE 25A - FORNECIMENTO E INSTALAÇÃO. AF_07/2025</t>
  </si>
  <si>
    <t>DISJUNTOR MONOPOLAR TIPO DIN, CORRENTE NOMINAL DE 32A - FORNECIMENTO E INSTALAÇÃO. AF_07/2025</t>
  </si>
  <si>
    <t>DISPOSITIVO DR 25 A - FORNECIMENTO E INSTALAÇÃO</t>
  </si>
  <si>
    <t>DISPOSITIVO DPS TENSÃO MÁXIMA DE 275 V - FORNECIMENTO E INSTALAÇÃO</t>
  </si>
  <si>
    <t>LUMINÁRIA TIPO CALHA, DE EMBUTIR, COM 2 LÂMPADAS TUBULARES DE LED DE 18W - FORNECIMENTO E INSTALAÇÃO (INCLUÍDAS AS LÂMPADAS) (BASE REF. 100916)</t>
  </si>
  <si>
    <t>LUMINÁRIA ARANDELA TIPO MEIA LUA, DE SOBREPOR, COM 1 LÂMPADA LED DE 6 W, SEM REATOR - FORNECIMENTO E INSTALAÇÃO. AF_09/2024</t>
  </si>
  <si>
    <t>LUMINÁRIA TIPO PLAFON QUADRADA, DE EMBUTIR, COM LED DE 24W - FORNECIMENTO E INSTALAÇÃO (BASE REF. 103788)</t>
  </si>
  <si>
    <t>ARANDELA DE SOM, ALTOFALANTE, 30W, PARA SISTEMA DE SOM CENTRAL - FORNECIMENTO E INSTALAÇÃO (BASE REF. 103788)</t>
  </si>
  <si>
    <t>AMPLIFICADOR PARA SISTEMA DE SOM CENTRAL, 40W, RMS, BLUETOOTH, USB, RÁDIO, MICROFONE, EQUALIZADOR - FORNECIMENTO E INSTALAÇÃO</t>
  </si>
  <si>
    <t>HASTE DE ATERRAMENTO, DIÂMETRO 3/4", COM 3 METROS - FORNECIMENTO E INSTALAÇÃO. AF_08/2023</t>
  </si>
  <si>
    <t>QUADRO DE DISTRIBUIÇÃO DE ENERGIA EM CHAPA DE AÇO GALVANIZADO, DE EMBUTIR, COM BARRAMENTO TRIFÁSICO, PARA 12 DISJUNTORES DIN 100A - FORNECIMENTO E INSTALAÇÃO. AF_07/2025</t>
  </si>
  <si>
    <t>CABO ELETRÔNICO CATEGORIA 5E, INSTALADO EM EDIFICAÇÃO INSTITUCIONAL - FORNECIMENTO E INSTALAÇÃO. AF_08/2025</t>
  </si>
  <si>
    <t>PATCH PANEL 48 PORTAS, CATEGORIA 5E - FORNECIMENTO E INSTALAÇÃO. AF_08/2025</t>
  </si>
  <si>
    <t>TOMADA DE REDE RJ45 - FORNECIMENTO E INSTALAÇÃO. AF_08/2025</t>
  </si>
  <si>
    <t>CAIXA DE PASSAGEM ELETRICA DE PAREDE, DE SOBREPOR, EM PVC, COM TAMPA APARAFUSADA, DIMENSOES 300 X 300 X *100* MM</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</si>
  <si>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</si>
  <si>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</si>
  <si>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REFORÇADO, PVC, DN 25 MM (3/4"), PARA CIRCUITOS TERMINAIS, INSTALADO EM PAREDE - FORNECIMENTO E INSTALAÇÃO. AF_03/2023</t>
  </si>
  <si>
    <t>RACK FECHADO 44U PARA SERVIDOR - FORNECIMENTO E INSTALAÇÃO. AF_08/2025</t>
  </si>
  <si>
    <t>Fornecimento e Instalação de Unidade climatizadora do tipo AHU para expansão direta. Capacidade 2TR. Vazão de insuflamento 839 m³/h. Vazão de Retorno: 596 m³/h. Vazão de ar externo: 243 m³/h. Perda de carga disponível 15mmca.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t>
  </si>
  <si>
    <t>Fornecimento e Instalação de Unidade climatizadora do tipo AHU para expansão direta. Capacidade 2,5TR. Vazão de insuflamento 1303 m³/h. Vazão de Retorno: 1110 m³/h. Vazão de ar externo: 193 m³/h. Perda de carga disponível 15mmca.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t>
  </si>
  <si>
    <t>Fornecimento e Instalação de Unidade climatizadora do tipo AHU para expansão direta. Capacidade 5TR. Vazão de insuflamento 1328 m³/h. Vazão de Retorno: 404 m³/h. Vazão de ar externo: 924 m³/h. Perda de carga disponível 20mmca.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t>
  </si>
  <si>
    <t>Fornecimento e Instalação de Unidade climatizadora do tipo AHU para expansão direta. Capacidade 10TR. Vazão de insuflamento 4601 m³/h. Vazão de Retorno: 3665 m³/h. Vazão de ar externo: 936 m³/h. Perda de carga disponível 20mmca.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t>
  </si>
  <si>
    <t>Unidade Condensadora, 100% Inverter, tipo VRF com compressor tipo scroll, fluido refrigerante R410A, ciclo reverso/quente e frio, capacidade térmica de refrigeração de 8HP,  condensação a ar. Fornecimento e instalação</t>
  </si>
  <si>
    <t>Unidade Condensadora, 100% Inverter, tipo VRF com compressor tipo scroll, fluido refrigerante R410A, ciclo reverso/quente e frio, capacidade térmica de refrigeração de 14HP,  condensação a ar. Fornecimento e instalação</t>
  </si>
  <si>
    <t>Unidade Condensadora, 100% Inverter, tipo mini VRF com compressor tipo scroll, fluido refrigerante R410A, ciclo reverso/quente e frio, capacidade térmica de refrigeração de 3HP,  condensação a ar. Fornecimento e instalação</t>
  </si>
  <si>
    <t>Unidade Condensadora, 100% Inverter, tipo mini VRF com compressor tipo scroll, fluido refrigerante R410A, ciclo reverso/quente e frio,  capacidade térmica de refrigeração de 4HP,  condensação a ar. Fornecimento e instalação</t>
  </si>
  <si>
    <t>Painel de MPU para dutos de ar condicionado, espessura 20mm e acessórios de montagem</t>
  </si>
  <si>
    <t>Chapa de aço galvanizado bitola 24, espessura 0,64 mm (5,12 kg/m²) - Fornecimento e instalação</t>
  </si>
  <si>
    <t>Difusor 4 vias em alumínio anodizado com registro - 361x361mm</t>
  </si>
  <si>
    <t>Difusor 4 vias em alumínio anodizado com registro - 491x491mm</t>
  </si>
  <si>
    <t>Grelha de retorno em alumínio anodizado com registro - 225x525mm</t>
  </si>
  <si>
    <t>Grelha de retorno em alumínio anodizado com registro - 225x325mm</t>
  </si>
  <si>
    <t>Grelha de retorno em alumínio anodizado com registro - 225x825mm</t>
  </si>
  <si>
    <t>Grelha de retorno em alumínio anodizado com registro - 225x85mm</t>
  </si>
  <si>
    <t>Grelha de retorno de porto com dupla moldura em alumínio anodizado - 500x300mm</t>
  </si>
  <si>
    <t>Veneziana para descarga de exaustão - 100x100mm</t>
  </si>
  <si>
    <t>Veneziana para descarga de exaustão - 125x125mm</t>
  </si>
  <si>
    <t>Veneziana para descarga de exaustão - 150x150mm</t>
  </si>
  <si>
    <t>Veneziana para descarga de exaustão - 200x200mm</t>
  </si>
  <si>
    <t>Exaustor Axial Turbo Inline - Ø200mm - Vazão: 882 m³/h - Pressão Disponível: 7,5mmCA</t>
  </si>
  <si>
    <t>Exaustor Axial Turbo Inline - Ø150mm - Vazão: 500 m³/h - Pressão Disponível: 7mmCA</t>
  </si>
  <si>
    <t>Exaustor Axial Turbo Inline - Ø125mm - Vazão: 252 m³/h - Pressão Disponível: 5mmCA</t>
  </si>
  <si>
    <t>Exaustor Axial Turbo Inline - Ø100mm - Vazão: 126 m³/h - Pressão Disponível: 4mmCA</t>
  </si>
  <si>
    <t>Suportação para dutos incluindos perfilados 19x38mm, barra roscada 1/4'', Chumbador, Conjunto Cone/Jaqueta 1/4 e arruela lisa M6</t>
  </si>
  <si>
    <t>Tubo de Cobre Ø3/8'', fornecimento e mão de obra de instalação.</t>
  </si>
  <si>
    <t>Tubo de Cobre Ø1/2'', fornecimento e mão de obra de instalação.</t>
  </si>
  <si>
    <t>Tubo de Cobre Ø5/8'', fornecimento e mão de obra de instalação.</t>
  </si>
  <si>
    <t>Tubo de Cobre Ø3/4'', fornecimento e mão de obra de instalação.</t>
  </si>
  <si>
    <t>Tubo de Cobre Ø1 1/8'', fornecimento e mão de obra de instalação.</t>
  </si>
  <si>
    <t>Isolamento térmico elastomérico para cobre Ø3/8'', fornecimento e mão de obra de instalação.</t>
  </si>
  <si>
    <t>Isolamento térmico elastomérico para cobre Ø1/2'', fornecimento e mão de obra de instalação.</t>
  </si>
  <si>
    <t>Isolamento térmico elastomérico para cobre Ø5/8'', fornecimento e mão de obra de instalação.</t>
  </si>
  <si>
    <t>Isolamento térmico elastomérico para cobre Ø3/4'', fornecimento e mão de obra de instalação.</t>
  </si>
  <si>
    <t>Isolamento térmico elastomérico para cobre Ø1 1/8'', fornecimento e mão de obra de instalação.</t>
  </si>
  <si>
    <t>Gás Nitrogênio</t>
  </si>
  <si>
    <t>Solda Foscoper</t>
  </si>
  <si>
    <t>Carga de fluido refrigerante complementar, R410-A</t>
  </si>
  <si>
    <t>Válvulas GBC</t>
  </si>
  <si>
    <t>Cabo Comunicação 2 x 18 AWG</t>
  </si>
  <si>
    <t>PLACAS DE SINALIZAÇÃO CONTRA INCÊNDIO - FORNECIMENTO E INSTALAÇÃO</t>
  </si>
  <si>
    <t>LUMINÁRIA DE EMERGÊNCIA, COM 30 LÂMPADAS LED DE 2 W, SEM REATOR - FORNECIMENTO E INSTALAÇÃO. AF_09/2024</t>
  </si>
  <si>
    <t>EXTINTOR DE INCÊNDIO PORTÁTIL COM CARGA DE PQS DE 6 KG, CLASSE BC - FORNECIMENTO E INSTALAÇÃO. AF_01/2026_PE</t>
  </si>
  <si>
    <t>REMOÇÃO DE TAPUME/ CHAPAS METÁLICAS E DE MADEIRA, DE FORMA MANUAL, SEM REAPROVEITAMENTO. AF_09/2023</t>
  </si>
  <si>
    <t>LIMPEZA DE REVESTIMENTO CERÂMICO/ MÁRMORE/ GRANITO EM PAREDE UTILIZANDO DETERGENTE NEUTRO E ESCOVAÇÃO MANUAL. AF_10/2025_PS</t>
  </si>
  <si>
    <t>LIMPEZA GERAL/FINAL DE OBRA</t>
  </si>
  <si>
    <t>M2</t>
  </si>
  <si>
    <t>UNID</t>
  </si>
  <si>
    <t>MÊS</t>
  </si>
  <si>
    <t>MES</t>
  </si>
  <si>
    <t>UN</t>
  </si>
  <si>
    <t>M</t>
  </si>
  <si>
    <t>MXMES</t>
  </si>
  <si>
    <t>M3</t>
  </si>
  <si>
    <t>M3XKM</t>
  </si>
  <si>
    <t>KG</t>
  </si>
  <si>
    <t>H</t>
  </si>
  <si>
    <t>UNIDADE</t>
  </si>
  <si>
    <t>PÇ</t>
  </si>
  <si>
    <t>LT</t>
  </si>
  <si>
    <t xml:space="preserve">M </t>
  </si>
  <si>
    <t>U N</t>
  </si>
  <si>
    <t>kg</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</si>
</sst>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 numFmtId="172" formatCode="_-* #,##0.00_-;\-* #,##0.00_-;_-* \-??_-;_-@_-"/>
    <numFmt numFmtId="173" formatCode="_(* #,##0.00_);_(* \(#,##0.00\);_(* \-??_);_(@_)"/>
    <numFmt numFmtId="174" formatCode="_-&quot;R$ &quot;* #,##0.00_-;&quot;-R$ &quot;* #,##0.00_-;_-&quot;R$ &quot;* \-??_-;_-@_-"/>
  </numFmts>
  <fonts count="6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Calibri"/>
      <family val="2"/>
      <scheme val="minor"/>
    </font>
    <font>
      <sz val="10"/>
      <color indexed="8"/>
      <name val="Arial"/>
      <family val="2"/>
    </font>
    <font>
      <sz val="11"/>
      <color rgb="FF000000"/>
      <name val="Calibri"/>
      <family val="2"/>
      <charset val="204"/>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s>
  <borders count="4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
      <left style="thin">
        <color indexed="44"/>
      </left>
      <right style="thin">
        <color indexed="44"/>
      </right>
      <top style="thin">
        <color indexed="44"/>
      </top>
      <bottom style="thin">
        <color indexed="44"/>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hair">
        <color indexed="8"/>
      </left>
      <right style="hair">
        <color indexed="8"/>
      </right>
      <top style="hair">
        <color indexed="8"/>
      </top>
      <bottom style="hair">
        <color indexed="8"/>
      </bottom>
      <diagonal/>
    </border>
  </borders>
  <cellStyleXfs count="340">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13" fillId="3" borderId="0" applyNumberFormat="0" applyBorder="0" applyAlignment="0" applyProtection="0"/>
    <xf numFmtId="0" fontId="8" fillId="4" borderId="0" applyNumberFormat="0" applyBorder="0" applyAlignment="0" applyProtection="0"/>
    <xf numFmtId="0" fontId="9" fillId="20" borderId="1" applyNumberFormat="0" applyAlignment="0" applyProtection="0"/>
    <xf numFmtId="0" fontId="9" fillId="20" borderId="1" applyNumberFormat="0" applyAlignment="0" applyProtection="0"/>
    <xf numFmtId="0" fontId="10" fillId="21" borderId="2" applyNumberFormat="0" applyAlignment="0" applyProtection="0"/>
    <xf numFmtId="0" fontId="11" fillId="0" borderId="3" applyNumberFormat="0" applyFill="0" applyAlignment="0" applyProtection="0"/>
    <xf numFmtId="0" fontId="10" fillId="21" borderId="2" applyNumberFormat="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12" fillId="7" borderId="1" applyNumberFormat="0" applyAlignment="0" applyProtection="0"/>
    <xf numFmtId="0" fontId="6" fillId="0" borderId="0"/>
    <xf numFmtId="0" fontId="17" fillId="0" borderId="0" applyNumberFormat="0" applyFill="0" applyBorder="0" applyAlignment="0" applyProtection="0"/>
    <xf numFmtId="0" fontId="8" fillId="4" borderId="0" applyNumberFormat="0" applyBorder="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13" fillId="3" borderId="0" applyNumberFormat="0" applyBorder="0" applyAlignment="0" applyProtection="0"/>
    <xf numFmtId="0" fontId="12" fillId="7" borderId="1" applyNumberFormat="0" applyAlignment="0" applyProtection="0"/>
    <xf numFmtId="0" fontId="11" fillId="0" borderId="3" applyNumberFormat="0" applyFill="0" applyAlignment="0" applyProtection="0"/>
    <xf numFmtId="165" fontId="4" fillId="0" borderId="0" applyFont="0" applyFill="0" applyBorder="0" applyAlignment="0" applyProtection="0"/>
    <xf numFmtId="169" fontId="4" fillId="0" borderId="0" applyFont="0" applyFill="0" applyBorder="0" applyAlignment="0" applyProtection="0"/>
    <xf numFmtId="0" fontId="14" fillId="22" borderId="0" applyNumberFormat="0" applyBorder="0" applyAlignment="0" applyProtection="0"/>
    <xf numFmtId="0" fontId="14" fillId="22" borderId="0" applyNumberFormat="0" applyBorder="0" applyAlignment="0" applyProtection="0"/>
    <xf numFmtId="0" fontId="4" fillId="0" borderId="0"/>
    <xf numFmtId="0" fontId="5" fillId="0" borderId="0"/>
    <xf numFmtId="0" fontId="4" fillId="23" borderId="7" applyNumberFormat="0" applyFont="0" applyAlignment="0" applyProtection="0"/>
    <xf numFmtId="0" fontId="4" fillId="23" borderId="7" applyNumberFormat="0" applyFont="0" applyAlignment="0" applyProtection="0"/>
    <xf numFmtId="0" fontId="15" fillId="20" borderId="8" applyNumberFormat="0" applyAlignment="0" applyProtection="0"/>
    <xf numFmtId="9" fontId="4" fillId="0" borderId="0" applyFont="0" applyFill="0" applyBorder="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2" fillId="0" borderId="9" applyNumberFormat="0" applyFill="0" applyAlignment="0" applyProtection="0"/>
    <xf numFmtId="164" fontId="4" fillId="0" borderId="0" applyFont="0" applyFill="0" applyBorder="0" applyAlignment="0" applyProtection="0"/>
    <xf numFmtId="0" fontId="16" fillId="0" borderId="0" applyNumberFormat="0" applyFill="0" applyBorder="0" applyAlignment="0" applyProtection="0"/>
    <xf numFmtId="0" fontId="6" fillId="32"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35" borderId="0" applyNumberFormat="0" applyBorder="0" applyAlignment="0" applyProtection="0"/>
    <xf numFmtId="0" fontId="6" fillId="34" borderId="0" applyNumberFormat="0" applyBorder="0" applyAlignment="0" applyProtection="0"/>
    <xf numFmtId="0" fontId="6" fillId="35"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36" borderId="0" applyNumberFormat="0" applyBorder="0" applyAlignment="0" applyProtection="0"/>
    <xf numFmtId="0" fontId="6" fillId="37" borderId="0" applyNumberFormat="0" applyBorder="0" applyAlignment="0" applyProtection="0"/>
    <xf numFmtId="0" fontId="6" fillId="36" borderId="0" applyNumberFormat="0" applyBorder="0" applyAlignment="0" applyProtection="0"/>
    <xf numFmtId="0" fontId="7" fillId="37" borderId="0" applyNumberFormat="0" applyBorder="0" applyAlignment="0" applyProtection="0"/>
    <xf numFmtId="0" fontId="7" fillId="33" borderId="0" applyNumberFormat="0" applyBorder="0" applyAlignment="0" applyProtection="0"/>
    <xf numFmtId="0" fontId="7" fillId="38" borderId="0" applyNumberFormat="0" applyBorder="0" applyAlignment="0" applyProtection="0"/>
    <xf numFmtId="0" fontId="7" fillId="36" borderId="0" applyNumberFormat="0" applyBorder="0" applyAlignment="0" applyProtection="0"/>
    <xf numFmtId="0" fontId="7" fillId="39" borderId="0" applyNumberFormat="0" applyBorder="0" applyAlignment="0" applyProtection="0"/>
    <xf numFmtId="0" fontId="7" fillId="40" borderId="0" applyNumberFormat="0" applyBorder="0" applyAlignment="0" applyProtection="0"/>
    <xf numFmtId="0" fontId="8" fillId="32" borderId="0" applyNumberFormat="0" applyBorder="0" applyAlignment="0" applyProtection="0"/>
    <xf numFmtId="0" fontId="9" fillId="41" borderId="1" applyNumberFormat="0" applyAlignment="0" applyProtection="0"/>
    <xf numFmtId="0" fontId="10" fillId="42" borderId="2" applyNumberFormat="0" applyAlignment="0" applyProtection="0"/>
    <xf numFmtId="0" fontId="7" fillId="39" borderId="0" applyNumberFormat="0" applyBorder="0" applyAlignment="0" applyProtection="0"/>
    <xf numFmtId="0" fontId="7" fillId="43" borderId="0" applyNumberFormat="0" applyBorder="0" applyAlignment="0" applyProtection="0"/>
    <xf numFmtId="0" fontId="7" fillId="42"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0" borderId="0" applyNumberFormat="0" applyBorder="0" applyAlignment="0" applyProtection="0"/>
    <xf numFmtId="0" fontId="12" fillId="33" borderId="1" applyNumberFormat="0" applyAlignment="0" applyProtection="0"/>
    <xf numFmtId="174" fontId="4" fillId="0" borderId="0" applyFill="0" applyBorder="0" applyAlignment="0" applyProtection="0"/>
    <xf numFmtId="0" fontId="6" fillId="0" borderId="0"/>
    <xf numFmtId="0" fontId="4" fillId="35" borderId="41" applyNumberFormat="0" applyAlignment="0" applyProtection="0"/>
    <xf numFmtId="9" fontId="4" fillId="0" borderId="0" applyFill="0" applyBorder="0" applyAlignment="0" applyProtection="0"/>
    <xf numFmtId="9" fontId="4" fillId="0" borderId="0" applyFill="0" applyBorder="0" applyAlignment="0" applyProtection="0"/>
    <xf numFmtId="0" fontId="15" fillId="41" borderId="8" applyNumberFormat="0" applyAlignment="0" applyProtection="0"/>
    <xf numFmtId="0" fontId="56" fillId="0" borderId="42" applyNumberFormat="0" applyFill="0" applyAlignment="0" applyProtection="0"/>
    <xf numFmtId="0" fontId="57" fillId="0" borderId="43" applyNumberFormat="0" applyFill="0" applyAlignment="0" applyProtection="0"/>
    <xf numFmtId="0" fontId="58" fillId="0" borderId="44" applyNumberFormat="0" applyFill="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22" fillId="0" borderId="45" applyNumberFormat="0" applyFill="0" applyAlignment="0" applyProtection="0"/>
    <xf numFmtId="173" fontId="4" fillId="0" borderId="0" applyFill="0" applyBorder="0" applyAlignment="0" applyProtection="0"/>
    <xf numFmtId="172" fontId="4" fillId="0" borderId="0" applyFill="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8" fillId="4" borderId="0" applyNumberFormat="0" applyBorder="0" applyAlignment="0" applyProtection="0"/>
    <xf numFmtId="0" fontId="9" fillId="20" borderId="1" applyNumberFormat="0" applyAlignment="0" applyProtection="0"/>
    <xf numFmtId="0" fontId="10" fillId="21" borderId="2" applyNumberFormat="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12" fillId="7" borderId="1" applyNumberFormat="0" applyAlignment="0" applyProtection="0"/>
    <xf numFmtId="0" fontId="13" fillId="3" borderId="0" applyNumberFormat="0" applyBorder="0" applyAlignment="0" applyProtection="0"/>
    <xf numFmtId="0" fontId="14" fillId="22" borderId="0" applyNumberFormat="0" applyBorder="0" applyAlignment="0" applyProtection="0"/>
    <xf numFmtId="0" fontId="4" fillId="23" borderId="7" applyNumberFormat="0" applyFont="0" applyAlignment="0" applyProtection="0"/>
    <xf numFmtId="9" fontId="4" fillId="0" borderId="0" applyFont="0" applyFill="0" applyBorder="0" applyAlignment="0" applyProtection="0"/>
    <xf numFmtId="0" fontId="15" fillId="20" borderId="8" applyNumberFormat="0" applyAlignment="0" applyProtection="0"/>
    <xf numFmtId="0" fontId="18" fillId="0" borderId="0" applyNumberFormat="0" applyFill="0" applyBorder="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2" fillId="0" borderId="9" applyNumberFormat="0" applyFill="0" applyAlignment="0" applyProtection="0"/>
    <xf numFmtId="164" fontId="4" fillId="0" borderId="0" applyFont="0" applyFill="0" applyBorder="0" applyAlignment="0" applyProtection="0"/>
    <xf numFmtId="0" fontId="12" fillId="33" borderId="1" applyNumberFormat="0" applyAlignment="0" applyProtection="0"/>
    <xf numFmtId="0" fontId="9" fillId="41" borderId="1" applyNumberFormat="0" applyAlignment="0" applyProtection="0"/>
    <xf numFmtId="0" fontId="22" fillId="0" borderId="45" applyNumberFormat="0" applyFill="0" applyAlignment="0" applyProtection="0"/>
    <xf numFmtId="0" fontId="4" fillId="35" borderId="41" applyNumberFormat="0" applyAlignment="0" applyProtection="0"/>
    <xf numFmtId="0" fontId="22" fillId="0" borderId="45" applyNumberFormat="0" applyFill="0" applyAlignment="0" applyProtection="0"/>
    <xf numFmtId="0" fontId="15" fillId="41" borderId="8" applyNumberFormat="0" applyAlignment="0" applyProtection="0"/>
    <xf numFmtId="0" fontId="15" fillId="41" borderId="8" applyNumberFormat="0" applyAlignment="0" applyProtection="0"/>
    <xf numFmtId="0" fontId="15" fillId="41" borderId="8" applyNumberFormat="0" applyAlignment="0" applyProtection="0"/>
    <xf numFmtId="0" fontId="4" fillId="35" borderId="41" applyNumberFormat="0" applyAlignment="0" applyProtection="0"/>
    <xf numFmtId="0" fontId="15" fillId="41" borderId="8" applyNumberFormat="0" applyAlignment="0" applyProtection="0"/>
    <xf numFmtId="0" fontId="4" fillId="35" borderId="41" applyNumberFormat="0" applyAlignment="0" applyProtection="0"/>
    <xf numFmtId="0" fontId="4" fillId="35" borderId="41" applyNumberFormat="0" applyAlignment="0" applyProtection="0"/>
    <xf numFmtId="0" fontId="4" fillId="35" borderId="4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12" fillId="33" borderId="1" applyNumberFormat="0" applyAlignment="0" applyProtection="0"/>
    <xf numFmtId="0" fontId="12" fillId="33" borderId="1" applyNumberFormat="0" applyAlignment="0" applyProtection="0"/>
    <xf numFmtId="0" fontId="9" fillId="41" borderId="1" applyNumberFormat="0" applyAlignment="0" applyProtection="0"/>
    <xf numFmtId="0" fontId="9" fillId="41"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9" fillId="41" borderId="1" applyNumberFormat="0" applyAlignment="0" applyProtection="0"/>
    <xf numFmtId="0" fontId="4" fillId="35" borderId="41" applyNumberFormat="0" applyAlignment="0" applyProtection="0"/>
    <xf numFmtId="0" fontId="4" fillId="35" borderId="41" applyNumberFormat="0" applyAlignment="0" applyProtection="0"/>
    <xf numFmtId="0" fontId="4" fillId="35" borderId="41" applyNumberFormat="0" applyAlignment="0" applyProtection="0"/>
    <xf numFmtId="0" fontId="15" fillId="41" borderId="8" applyNumberFormat="0" applyAlignment="0" applyProtection="0"/>
    <xf numFmtId="0" fontId="15" fillId="41" borderId="8" applyNumberFormat="0" applyAlignment="0" applyProtection="0"/>
    <xf numFmtId="0" fontId="15" fillId="41" borderId="8" applyNumberFormat="0" applyAlignment="0" applyProtection="0"/>
    <xf numFmtId="0" fontId="4" fillId="35" borderId="41" applyNumberFormat="0" applyAlignment="0" applyProtection="0"/>
    <xf numFmtId="0" fontId="15" fillId="41" borderId="8" applyNumberFormat="0" applyAlignment="0" applyProtection="0"/>
    <xf numFmtId="0" fontId="15" fillId="41" borderId="8" applyNumberFormat="0" applyAlignment="0" applyProtection="0"/>
    <xf numFmtId="0" fontId="60" fillId="0" borderId="0"/>
    <xf numFmtId="0" fontId="12" fillId="33" borderId="1" applyNumberFormat="0" applyAlignment="0" applyProtection="0"/>
    <xf numFmtId="0" fontId="12" fillId="33" borderId="1" applyNumberFormat="0" applyAlignment="0" applyProtection="0"/>
    <xf numFmtId="0" fontId="22" fillId="0" borderId="45" applyNumberFormat="0" applyFill="0" applyAlignment="0" applyProtection="0"/>
    <xf numFmtId="0" fontId="12" fillId="33" borderId="1" applyNumberFormat="0" applyAlignment="0" applyProtection="0"/>
    <xf numFmtId="0" fontId="12" fillId="33" borderId="1" applyNumberFormat="0" applyAlignment="0" applyProtection="0"/>
    <xf numFmtId="0" fontId="22" fillId="0" borderId="45" applyNumberFormat="0" applyFill="0" applyAlignment="0" applyProtection="0"/>
    <xf numFmtId="0" fontId="12" fillId="33" borderId="1" applyNumberFormat="0" applyAlignment="0" applyProtection="0"/>
    <xf numFmtId="0" fontId="12" fillId="33" borderId="1" applyNumberFormat="0" applyAlignment="0" applyProtection="0"/>
    <xf numFmtId="0" fontId="22" fillId="0" borderId="45" applyNumberFormat="0" applyFill="0" applyAlignment="0" applyProtection="0"/>
    <xf numFmtId="0" fontId="22" fillId="0" borderId="45" applyNumberFormat="0" applyFill="0" applyAlignment="0" applyProtection="0"/>
    <xf numFmtId="0" fontId="4" fillId="35" borderId="41" applyNumberFormat="0" applyAlignment="0" applyProtection="0"/>
    <xf numFmtId="0" fontId="22" fillId="0" borderId="45" applyNumberFormat="0" applyFill="0" applyAlignment="0" applyProtection="0"/>
    <xf numFmtId="0" fontId="4" fillId="35" borderId="41" applyNumberFormat="0" applyAlignment="0" applyProtection="0"/>
    <xf numFmtId="0" fontId="15" fillId="41" borderId="8" applyNumberFormat="0" applyAlignment="0" applyProtection="0"/>
    <xf numFmtId="0" fontId="22" fillId="0" borderId="45" applyNumberFormat="0" applyFill="0" applyAlignment="0" applyProtection="0"/>
    <xf numFmtId="0" fontId="4" fillId="35" borderId="41" applyNumberFormat="0" applyAlignment="0" applyProtection="0"/>
    <xf numFmtId="0" fontId="22" fillId="0" borderId="45" applyNumberFormat="0" applyFill="0" applyAlignment="0" applyProtection="0"/>
    <xf numFmtId="0" fontId="15" fillId="41" borderId="8" applyNumberFormat="0" applyAlignment="0" applyProtection="0"/>
    <xf numFmtId="0" fontId="9" fillId="41" borderId="1" applyNumberFormat="0" applyAlignment="0" applyProtection="0"/>
    <xf numFmtId="0" fontId="15" fillId="41" borderId="8" applyNumberFormat="0" applyAlignment="0" applyProtection="0"/>
    <xf numFmtId="0" fontId="22" fillId="0" borderId="45" applyNumberFormat="0" applyFill="0" applyAlignment="0" applyProtection="0"/>
    <xf numFmtId="0" fontId="4" fillId="35" borderId="41" applyNumberFormat="0" applyAlignment="0" applyProtection="0"/>
    <xf numFmtId="0" fontId="22" fillId="0" borderId="45" applyNumberFormat="0" applyFill="0" applyAlignment="0" applyProtection="0"/>
    <xf numFmtId="0" fontId="15" fillId="41" borderId="8" applyNumberFormat="0" applyAlignment="0" applyProtection="0"/>
    <xf numFmtId="0" fontId="9" fillId="41" borderId="1" applyNumberFormat="0" applyAlignment="0" applyProtection="0"/>
    <xf numFmtId="0" fontId="22" fillId="0" borderId="45" applyNumberFormat="0" applyFill="0" applyAlignment="0" applyProtection="0"/>
    <xf numFmtId="0" fontId="15" fillId="41" borderId="8" applyNumberFormat="0" applyAlignment="0" applyProtection="0"/>
    <xf numFmtId="0" fontId="22" fillId="0" borderId="45" applyNumberFormat="0" applyFill="0" applyAlignment="0" applyProtection="0"/>
    <xf numFmtId="0" fontId="4" fillId="35" borderId="41" applyNumberFormat="0" applyAlignment="0" applyProtection="0"/>
    <xf numFmtId="0" fontId="4" fillId="35" borderId="41" applyNumberFormat="0" applyAlignment="0" applyProtection="0"/>
    <xf numFmtId="0" fontId="4" fillId="35" borderId="41" applyNumberFormat="0" applyAlignment="0" applyProtection="0"/>
    <xf numFmtId="0" fontId="15" fillId="41" borderId="8" applyNumberFormat="0" applyAlignment="0" applyProtection="0"/>
    <xf numFmtId="0" fontId="9" fillId="41" borderId="1" applyNumberFormat="0" applyAlignment="0" applyProtection="0"/>
    <xf numFmtId="0" fontId="12" fillId="33" borderId="1" applyNumberFormat="0" applyAlignment="0" applyProtection="0"/>
    <xf numFmtId="0" fontId="4" fillId="35" borderId="41" applyNumberFormat="0" applyAlignment="0" applyProtection="0"/>
    <xf numFmtId="0" fontId="9" fillId="41"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9" fillId="41" borderId="1" applyNumberFormat="0" applyAlignment="0" applyProtection="0"/>
    <xf numFmtId="0" fontId="9" fillId="41"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12" fillId="33" borderId="1" applyNumberFormat="0" applyAlignment="0" applyProtection="0"/>
    <xf numFmtId="0" fontId="9" fillId="41" borderId="1" applyNumberFormat="0" applyAlignment="0" applyProtection="0"/>
    <xf numFmtId="0" fontId="12" fillId="33" borderId="1" applyNumberFormat="0" applyAlignment="0" applyProtection="0"/>
    <xf numFmtId="0" fontId="12" fillId="33" borderId="1" applyNumberFormat="0" applyAlignment="0" applyProtection="0"/>
    <xf numFmtId="0" fontId="4" fillId="35" borderId="41" applyNumberFormat="0" applyAlignment="0" applyProtection="0"/>
    <xf numFmtId="0" fontId="4" fillId="35" borderId="41" applyNumberFormat="0" applyAlignment="0" applyProtection="0"/>
    <xf numFmtId="0" fontId="4" fillId="35" borderId="41" applyNumberFormat="0" applyAlignment="0" applyProtection="0"/>
    <xf numFmtId="0" fontId="15" fillId="41" borderId="8" applyNumberFormat="0" applyAlignment="0" applyProtection="0"/>
    <xf numFmtId="0" fontId="15" fillId="41" borderId="8" applyNumberFormat="0" applyAlignment="0" applyProtection="0"/>
    <xf numFmtId="0" fontId="15" fillId="41" borderId="8" applyNumberFormat="0" applyAlignment="0" applyProtection="0"/>
    <xf numFmtId="0" fontId="15" fillId="41" borderId="8" applyNumberFormat="0" applyAlignment="0" applyProtection="0"/>
    <xf numFmtId="0" fontId="12" fillId="33" borderId="1" applyNumberFormat="0" applyAlignment="0" applyProtection="0"/>
    <xf numFmtId="0" fontId="22" fillId="0" borderId="45" applyNumberFormat="0" applyFill="0" applyAlignment="0" applyProtection="0"/>
    <xf numFmtId="0" fontId="4" fillId="35" borderId="41" applyNumberFormat="0" applyAlignment="0" applyProtection="0"/>
    <xf numFmtId="0" fontId="22" fillId="0" borderId="45" applyNumberFormat="0" applyFill="0" applyAlignment="0" applyProtection="0"/>
    <xf numFmtId="0" fontId="15" fillId="41" borderId="8" applyNumberFormat="0" applyAlignment="0" applyProtection="0"/>
    <xf numFmtId="0" fontId="12" fillId="33" borderId="1" applyNumberFormat="0" applyAlignment="0" applyProtection="0"/>
    <xf numFmtId="0" fontId="4" fillId="35" borderId="41" applyNumberFormat="0" applyAlignment="0" applyProtection="0"/>
    <xf numFmtId="0" fontId="22" fillId="0" borderId="45" applyNumberFormat="0" applyFill="0" applyAlignment="0" applyProtection="0"/>
    <xf numFmtId="0" fontId="15" fillId="41" borderId="8" applyNumberFormat="0" applyAlignment="0" applyProtection="0"/>
    <xf numFmtId="0" fontId="15" fillId="41" borderId="8" applyNumberFormat="0" applyAlignment="0" applyProtection="0"/>
    <xf numFmtId="0" fontId="22" fillId="0" borderId="45" applyNumberFormat="0" applyFill="0" applyAlignment="0" applyProtection="0"/>
    <xf numFmtId="0" fontId="12" fillId="33" borderId="1" applyNumberFormat="0" applyAlignment="0" applyProtection="0"/>
    <xf numFmtId="0" fontId="22" fillId="0" borderId="45" applyNumberFormat="0" applyFill="0" applyAlignment="0" applyProtection="0"/>
    <xf numFmtId="0" fontId="22" fillId="0" borderId="45" applyNumberFormat="0" applyFill="0" applyAlignment="0" applyProtection="0"/>
    <xf numFmtId="0" fontId="22" fillId="0" borderId="45" applyNumberFormat="0" applyFill="0" applyAlignment="0" applyProtection="0"/>
    <xf numFmtId="0" fontId="22" fillId="0" borderId="45" applyNumberFormat="0" applyFill="0" applyAlignment="0" applyProtection="0"/>
    <xf numFmtId="0" fontId="22" fillId="0" borderId="45" applyNumberFormat="0" applyFill="0" applyAlignment="0" applyProtection="0"/>
    <xf numFmtId="0" fontId="4" fillId="0" borderId="0"/>
    <xf numFmtId="0" fontId="9" fillId="20" borderId="1" applyNumberFormat="0" applyAlignment="0" applyProtection="0"/>
    <xf numFmtId="0" fontId="9" fillId="20" borderId="1" applyNumberFormat="0" applyAlignment="0" applyProtection="0"/>
    <xf numFmtId="0" fontId="12" fillId="7" borderId="1" applyNumberFormat="0" applyAlignment="0" applyProtection="0"/>
    <xf numFmtId="0" fontId="12" fillId="7" borderId="1" applyNumberFormat="0" applyAlignment="0" applyProtection="0"/>
    <xf numFmtId="0" fontId="15" fillId="20" borderId="8" applyNumberFormat="0" applyAlignment="0" applyProtection="0"/>
    <xf numFmtId="0" fontId="15" fillId="20" borderId="8" applyNumberFormat="0" applyAlignment="0" applyProtection="0"/>
    <xf numFmtId="0" fontId="61" fillId="0" borderId="0" applyNumberFormat="0" applyFill="0" applyBorder="0" applyAlignment="0" applyProtection="0"/>
    <xf numFmtId="165" fontId="61" fillId="0" borderId="0" applyFont="0" applyFill="0" applyBorder="0" applyAlignment="0" applyProtection="0"/>
    <xf numFmtId="165" fontId="6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0" fontId="61" fillId="0" borderId="0" applyNumberFormat="0" applyFill="0" applyBorder="0" applyAlignment="0" applyProtection="0"/>
    <xf numFmtId="0" fontId="3" fillId="0" borderId="0"/>
    <xf numFmtId="0" fontId="62" fillId="0" borderId="0"/>
    <xf numFmtId="9" fontId="61" fillId="0" borderId="0" applyFont="0" applyFill="0" applyBorder="0" applyAlignment="0" applyProtection="0"/>
    <xf numFmtId="9" fontId="3" fillId="0" borderId="0" applyFont="0" applyFill="0" applyBorder="0" applyAlignment="0" applyProtection="0"/>
    <xf numFmtId="9" fontId="61" fillId="0" borderId="0" applyFont="0" applyFill="0" applyBorder="0" applyAlignment="0" applyProtection="0"/>
    <xf numFmtId="164" fontId="61" fillId="0" borderId="0" applyFont="0" applyFill="0" applyBorder="0" applyAlignment="0" applyProtection="0"/>
    <xf numFmtId="164" fontId="61" fillId="0" borderId="0" applyFont="0" applyFill="0" applyBorder="0" applyAlignment="0" applyProtection="0"/>
    <xf numFmtId="164" fontId="6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6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61" fillId="0" borderId="0" applyFont="0" applyFill="0" applyBorder="0" applyAlignment="0" applyProtection="0"/>
    <xf numFmtId="164" fontId="61" fillId="0" borderId="0" applyFont="0" applyFill="0" applyBorder="0" applyAlignment="0" applyProtection="0"/>
    <xf numFmtId="164" fontId="61" fillId="0" borderId="0" applyFont="0" applyFill="0" applyBorder="0" applyAlignment="0" applyProtection="0"/>
    <xf numFmtId="0" fontId="4" fillId="0" borderId="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66">
    <xf numFmtId="0" fontId="0" fillId="0" borderId="0" xfId="0"/>
    <xf numFmtId="0" fontId="4" fillId="0" borderId="0" xfId="0" applyFont="1"/>
    <xf numFmtId="0" fontId="23" fillId="0" borderId="0" xfId="0" applyFont="1"/>
    <xf numFmtId="0" fontId="25" fillId="0" borderId="0" xfId="0" applyFont="1" applyAlignment="1">
      <alignment horizontal="center"/>
    </xf>
    <xf numFmtId="0" fontId="4" fillId="0" borderId="0" xfId="0" applyFont="1" applyAlignment="1">
      <alignment horizontal="center"/>
    </xf>
    <xf numFmtId="0" fontId="0" fillId="0" borderId="0" xfId="0" applyAlignment="1">
      <alignment horizontal="left"/>
    </xf>
    <xf numFmtId="49" fontId="25" fillId="24" borderId="10" xfId="0" applyNumberFormat="1" applyFont="1" applyFill="1" applyBorder="1" applyAlignment="1">
      <alignment horizontal="center" vertical="center"/>
    </xf>
    <xf numFmtId="164" fontId="25" fillId="24" borderId="10" xfId="87" applyFont="1" applyFill="1" applyBorder="1" applyAlignment="1" applyProtection="1">
      <alignment horizontal="center" vertical="center"/>
    </xf>
    <xf numFmtId="10" fontId="25" fillId="24" borderId="10" xfId="76" applyNumberFormat="1" applyFont="1" applyFill="1" applyBorder="1" applyAlignment="1" applyProtection="1">
      <alignment horizontal="center" vertical="center"/>
    </xf>
    <xf numFmtId="0" fontId="26" fillId="0" borderId="0" xfId="0" applyFont="1"/>
    <xf numFmtId="0" fontId="4" fillId="0" borderId="0" xfId="0" applyFont="1" applyAlignment="1">
      <alignment horizontal="left"/>
    </xf>
    <xf numFmtId="0" fontId="4" fillId="0" borderId="0" xfId="0" applyFont="1" applyAlignment="1">
      <alignment horizontal="center" vertical="center"/>
    </xf>
    <xf numFmtId="164" fontId="4" fillId="0" borderId="0" xfId="87" applyFont="1"/>
    <xf numFmtId="0" fontId="30" fillId="0" borderId="0" xfId="0" applyFont="1" applyAlignment="1">
      <alignment vertical="center"/>
    </xf>
    <xf numFmtId="0" fontId="4" fillId="0" borderId="0" xfId="0" applyFont="1" applyAlignment="1">
      <alignment horizontal="right"/>
    </xf>
    <xf numFmtId="0" fontId="25" fillId="0" borderId="0" xfId="0" applyFont="1" applyAlignment="1">
      <alignment horizontal="right"/>
    </xf>
    <xf numFmtId="0" fontId="4" fillId="0" borderId="0" xfId="0" applyFont="1" applyAlignment="1">
      <alignment wrapText="1"/>
    </xf>
    <xf numFmtId="0" fontId="0" fillId="0" borderId="0" xfId="0" applyAlignment="1">
      <alignment horizontal="left" wrapText="1"/>
    </xf>
    <xf numFmtId="0" fontId="4" fillId="0" borderId="0" xfId="0" applyFont="1" applyAlignment="1">
      <alignment horizontal="left" wrapText="1" indent="2"/>
    </xf>
    <xf numFmtId="0" fontId="0" fillId="0" borderId="0" xfId="0" applyAlignment="1">
      <alignment horizontal="center"/>
    </xf>
    <xf numFmtId="0" fontId="25" fillId="0" borderId="11" xfId="72" applyFont="1" applyBorder="1" applyAlignment="1">
      <alignment horizontal="left" vertical="top"/>
    </xf>
    <xf numFmtId="0" fontId="25" fillId="0" borderId="0" xfId="72" applyFont="1" applyAlignment="1">
      <alignment horizontal="left" vertical="top"/>
    </xf>
    <xf numFmtId="0" fontId="25" fillId="0" borderId="12" xfId="72" applyFont="1" applyBorder="1" applyAlignment="1">
      <alignment horizontal="left" vertical="top"/>
    </xf>
    <xf numFmtId="10" fontId="4" fillId="0" borderId="0" xfId="76" applyNumberFormat="1" applyFont="1" applyBorder="1" applyAlignment="1" applyProtection="1">
      <alignment horizontal="left"/>
    </xf>
    <xf numFmtId="0" fontId="0" fillId="0" borderId="0" xfId="0" applyAlignment="1">
      <alignment horizontal="left" indent="2"/>
    </xf>
    <xf numFmtId="14" fontId="31" fillId="0" borderId="0" xfId="0" applyNumberFormat="1" applyFont="1" applyAlignment="1">
      <alignment vertical="top" wrapText="1"/>
    </xf>
    <xf numFmtId="0" fontId="32" fillId="0" borderId="0" xfId="0" applyFont="1" applyAlignment="1">
      <alignment horizontal="center"/>
    </xf>
    <xf numFmtId="0" fontId="32" fillId="0" borderId="0" xfId="0" applyFont="1"/>
    <xf numFmtId="0" fontId="24"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4" fillId="0" borderId="0" xfId="0" applyFont="1" applyProtection="1">
      <protection hidden="1"/>
    </xf>
    <xf numFmtId="0" fontId="25" fillId="0" borderId="0" xfId="0" applyFont="1" applyAlignment="1" applyProtection="1">
      <alignment wrapText="1"/>
      <protection hidden="1"/>
    </xf>
    <xf numFmtId="0" fontId="25" fillId="0" borderId="0" xfId="0" applyFont="1" applyAlignment="1" applyProtection="1">
      <alignment horizontal="center" vertical="center"/>
      <protection hidden="1"/>
    </xf>
    <xf numFmtId="0" fontId="5" fillId="0" borderId="0" xfId="0" applyFont="1" applyProtection="1">
      <protection hidden="1"/>
    </xf>
    <xf numFmtId="0" fontId="4" fillId="0" borderId="0" xfId="0" applyFont="1" applyAlignment="1" applyProtection="1">
      <alignment horizontal="center"/>
      <protection hidden="1"/>
    </xf>
    <xf numFmtId="0" fontId="4" fillId="0" borderId="0" xfId="0" applyFont="1" applyAlignment="1">
      <alignment horizontal="left" wrapText="1"/>
    </xf>
    <xf numFmtId="0" fontId="4" fillId="0" borderId="0" xfId="0" applyFont="1" applyAlignment="1">
      <alignment horizontal="left" wrapText="1" indent="1"/>
    </xf>
    <xf numFmtId="0" fontId="25" fillId="0" borderId="0" xfId="0" applyFont="1" applyAlignment="1">
      <alignment horizontal="left" wrapText="1" indent="1"/>
    </xf>
    <xf numFmtId="0" fontId="25" fillId="0" borderId="0" xfId="0" applyFont="1" applyAlignment="1">
      <alignment horizontal="left" indent="1"/>
    </xf>
    <xf numFmtId="0" fontId="4" fillId="0" borderId="0" xfId="71"/>
    <xf numFmtId="0" fontId="25" fillId="0" borderId="0" xfId="71" applyFont="1" applyAlignment="1">
      <alignment horizontal="center"/>
    </xf>
    <xf numFmtId="0" fontId="25" fillId="0" borderId="14" xfId="71" applyFont="1" applyBorder="1" applyAlignment="1">
      <alignment horizontal="center"/>
    </xf>
    <xf numFmtId="10" fontId="34" fillId="0" borderId="14" xfId="71" applyNumberFormat="1" applyFont="1" applyBorder="1" applyAlignment="1">
      <alignment horizontal="center"/>
    </xf>
    <xf numFmtId="0" fontId="24" fillId="0" borderId="0" xfId="71" applyFont="1" applyAlignment="1">
      <alignment horizontal="center"/>
    </xf>
    <xf numFmtId="0" fontId="35" fillId="0" borderId="0" xfId="71" applyFont="1"/>
    <xf numFmtId="0" fontId="25" fillId="0" borderId="0" xfId="71" applyFont="1"/>
    <xf numFmtId="0" fontId="25" fillId="0" borderId="14" xfId="71" applyFont="1" applyBorder="1" applyAlignment="1">
      <alignment horizontal="center" vertical="center" wrapText="1"/>
    </xf>
    <xf numFmtId="0" fontId="33" fillId="0" borderId="14" xfId="71" applyFont="1" applyBorder="1" applyAlignment="1">
      <alignment horizontal="center" vertical="center"/>
    </xf>
    <xf numFmtId="10" fontId="33" fillId="25" borderId="14" xfId="71" applyNumberFormat="1" applyFont="1" applyFill="1" applyBorder="1" applyAlignment="1" applyProtection="1">
      <alignment horizontal="center" vertical="center"/>
      <protection locked="0"/>
    </xf>
    <xf numFmtId="4" fontId="29" fillId="0" borderId="14" xfId="71" applyNumberFormat="1" applyFont="1" applyBorder="1" applyAlignment="1">
      <alignment horizontal="center" vertical="center"/>
    </xf>
    <xf numFmtId="10" fontId="33" fillId="0" borderId="14" xfId="71" applyNumberFormat="1" applyFont="1" applyBorder="1" applyAlignment="1">
      <alignment horizontal="center" vertical="center"/>
    </xf>
    <xf numFmtId="10" fontId="33" fillId="0" borderId="14" xfId="71" applyNumberFormat="1" applyFont="1" applyBorder="1" applyAlignment="1">
      <alignment horizontal="center" vertical="center" wrapText="1"/>
    </xf>
    <xf numFmtId="0" fontId="33" fillId="0" borderId="14" xfId="71" applyFont="1" applyBorder="1" applyAlignment="1">
      <alignment horizontal="center" vertical="center" wrapText="1"/>
    </xf>
    <xf numFmtId="0" fontId="42" fillId="0" borderId="0" xfId="71" applyFont="1" applyAlignment="1">
      <alignment horizontal="center" vertical="center" wrapText="1"/>
    </xf>
    <xf numFmtId="10" fontId="42" fillId="0" borderId="0" xfId="71" applyNumberFormat="1" applyFont="1" applyAlignment="1">
      <alignment horizontal="center" vertical="center"/>
    </xf>
    <xf numFmtId="170" fontId="4" fillId="0" borderId="0" xfId="71" applyNumberFormat="1"/>
    <xf numFmtId="0" fontId="33" fillId="0" borderId="0" xfId="71" applyFont="1"/>
    <xf numFmtId="0" fontId="33" fillId="0" borderId="0" xfId="71" applyFont="1" applyAlignment="1">
      <alignment vertical="top"/>
    </xf>
    <xf numFmtId="0" fontId="37" fillId="0" borderId="0" xfId="71" applyFont="1" applyAlignment="1">
      <alignment horizontal="center" vertical="top"/>
    </xf>
    <xf numFmtId="0" fontId="25" fillId="0" borderId="14" xfId="0" applyFont="1" applyBorder="1" applyAlignment="1">
      <alignment horizontal="center" vertical="center" wrapText="1"/>
    </xf>
    <xf numFmtId="0" fontId="25" fillId="0" borderId="14" xfId="0" applyFont="1" applyBorder="1" applyAlignment="1">
      <alignment horizontal="center" vertical="center"/>
    </xf>
    <xf numFmtId="0" fontId="25" fillId="24" borderId="14" xfId="0" applyFont="1" applyFill="1" applyBorder="1" applyAlignment="1">
      <alignment horizontal="center" vertical="center"/>
    </xf>
    <xf numFmtId="0" fontId="4" fillId="0" borderId="15" xfId="0" applyFont="1" applyBorder="1" applyAlignment="1">
      <alignment horizontal="center"/>
    </xf>
    <xf numFmtId="0" fontId="25" fillId="0" borderId="16" xfId="0" applyFont="1" applyBorder="1" applyAlignment="1">
      <alignment horizontal="center"/>
    </xf>
    <xf numFmtId="0" fontId="39" fillId="0" borderId="0" xfId="0" applyFont="1" applyAlignment="1">
      <alignment vertical="center"/>
    </xf>
    <xf numFmtId="0" fontId="4" fillId="0" borderId="0" xfId="0" applyFont="1" applyAlignment="1">
      <alignment horizontal="center" vertical="top"/>
    </xf>
    <xf numFmtId="0" fontId="4" fillId="0" borderId="17" xfId="0" applyFont="1" applyBorder="1"/>
    <xf numFmtId="0" fontId="33" fillId="0" borderId="0" xfId="0" applyFont="1"/>
    <xf numFmtId="0" fontId="24" fillId="0" borderId="0" xfId="0" applyFont="1" applyAlignment="1">
      <alignment horizontal="right"/>
    </xf>
    <xf numFmtId="0" fontId="25" fillId="25" borderId="0" xfId="0" applyFont="1" applyFill="1" applyProtection="1">
      <protection locked="0"/>
    </xf>
    <xf numFmtId="0" fontId="25" fillId="24" borderId="10" xfId="0" applyFont="1" applyFill="1" applyBorder="1" applyAlignment="1">
      <alignment horizontal="center" vertical="center" wrapText="1"/>
    </xf>
    <xf numFmtId="0" fontId="4" fillId="25" borderId="18" xfId="0" applyFont="1" applyFill="1" applyBorder="1" applyAlignment="1" applyProtection="1">
      <alignment horizontal="left" vertical="top" wrapText="1"/>
      <protection locked="0"/>
    </xf>
    <xf numFmtId="0" fontId="4" fillId="0" borderId="12" xfId="0" applyFont="1" applyBorder="1"/>
    <xf numFmtId="0" fontId="33" fillId="0" borderId="11" xfId="0" applyFont="1" applyBorder="1" applyAlignment="1">
      <alignment horizontal="left" vertical="center"/>
    </xf>
    <xf numFmtId="0" fontId="4" fillId="25" borderId="18" xfId="0" applyFont="1" applyFill="1" applyBorder="1" applyAlignment="1" applyProtection="1">
      <alignment vertical="top" wrapText="1"/>
      <protection locked="0"/>
    </xf>
    <xf numFmtId="0" fontId="25" fillId="0" borderId="11" xfId="72" applyFont="1" applyBorder="1" applyAlignment="1">
      <alignment vertical="top"/>
    </xf>
    <xf numFmtId="0" fontId="25" fillId="0" borderId="15" xfId="72" applyFont="1" applyBorder="1" applyAlignment="1">
      <alignment horizontal="center" vertical="top"/>
    </xf>
    <xf numFmtId="10" fontId="40"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5" fillId="24" borderId="19" xfId="87" applyFont="1" applyFill="1" applyBorder="1" applyAlignment="1" applyProtection="1">
      <alignment horizontal="center" vertical="center" shrinkToFit="1"/>
    </xf>
    <xf numFmtId="164" fontId="4" fillId="0" borderId="20" xfId="87" applyFont="1" applyFill="1" applyBorder="1" applyAlignment="1">
      <alignment horizontal="center" vertical="center" shrinkToFit="1"/>
    </xf>
    <xf numFmtId="0" fontId="24" fillId="0" borderId="0" xfId="0" applyFont="1" applyAlignment="1">
      <alignment horizontal="left" vertical="center"/>
    </xf>
    <xf numFmtId="0" fontId="4" fillId="0" borderId="0" xfId="71" applyAlignment="1">
      <alignment horizontal="center" vertical="top"/>
    </xf>
    <xf numFmtId="0" fontId="41" fillId="0" borderId="0" xfId="72" applyFont="1" applyAlignment="1">
      <alignment horizontal="left" vertical="top"/>
    </xf>
    <xf numFmtId="0" fontId="38" fillId="0" borderId="0" xfId="0" applyFont="1" applyAlignment="1">
      <alignment horizontal="left" vertical="center"/>
    </xf>
    <xf numFmtId="3" fontId="0" fillId="26" borderId="21" xfId="0" applyNumberFormat="1" applyFill="1" applyBorder="1" applyAlignment="1">
      <alignment horizontal="left"/>
    </xf>
    <xf numFmtId="10" fontId="40" fillId="25" borderId="18" xfId="76" applyNumberFormat="1" applyFont="1" applyFill="1" applyBorder="1" applyAlignment="1" applyProtection="1">
      <alignment horizontal="left" vertical="top" wrapText="1"/>
      <protection locked="0"/>
    </xf>
    <xf numFmtId="0" fontId="4" fillId="26" borderId="18" xfId="0" applyFont="1" applyFill="1" applyBorder="1" applyAlignment="1">
      <alignment horizontal="left"/>
    </xf>
    <xf numFmtId="4" fontId="29" fillId="0" borderId="14" xfId="71" applyNumberFormat="1" applyFont="1" applyBorder="1" applyAlignment="1">
      <alignment horizontal="center" vertical="center" wrapText="1"/>
    </xf>
    <xf numFmtId="0" fontId="49" fillId="0" borderId="0" xfId="71" applyFont="1" applyAlignment="1">
      <alignment wrapText="1"/>
    </xf>
    <xf numFmtId="0" fontId="50" fillId="0" borderId="0" xfId="71" applyFont="1" applyAlignment="1">
      <alignment vertical="top" wrapText="1"/>
    </xf>
    <xf numFmtId="0" fontId="47" fillId="0" borderId="14" xfId="71" applyFont="1" applyBorder="1" applyAlignment="1">
      <alignment horizontal="center" vertical="center"/>
    </xf>
    <xf numFmtId="4" fontId="29" fillId="0" borderId="0" xfId="71" applyNumberFormat="1" applyFont="1" applyAlignment="1">
      <alignment horizontal="center" vertical="center" wrapText="1"/>
    </xf>
    <xf numFmtId="0" fontId="4" fillId="0" borderId="0" xfId="71" applyProtection="1">
      <protection locked="0"/>
    </xf>
    <xf numFmtId="0" fontId="25" fillId="0" borderId="0" xfId="0" applyFont="1"/>
    <xf numFmtId="0" fontId="25" fillId="0" borderId="0" xfId="0" applyFont="1" applyAlignment="1">
      <alignment horizontal="left"/>
    </xf>
    <xf numFmtId="0" fontId="25" fillId="0" borderId="22" xfId="0" applyFont="1" applyBorder="1" applyAlignment="1">
      <alignment horizontal="center" vertical="center" wrapText="1"/>
    </xf>
    <xf numFmtId="0" fontId="25" fillId="0" borderId="0" xfId="0" applyFont="1" applyAlignment="1">
      <alignment horizontal="center" vertical="center" wrapText="1"/>
    </xf>
    <xf numFmtId="0" fontId="26" fillId="0" borderId="16" xfId="0" applyFont="1" applyBorder="1" applyAlignment="1">
      <alignment horizontal="center"/>
    </xf>
    <xf numFmtId="0" fontId="5" fillId="25" borderId="23" xfId="0" applyFont="1" applyFill="1" applyBorder="1" applyAlignment="1" applyProtection="1">
      <alignment vertical="center" wrapText="1"/>
      <protection locked="0"/>
    </xf>
    <xf numFmtId="164" fontId="4" fillId="0" borderId="24" xfId="87" applyFont="1" applyFill="1" applyBorder="1" applyAlignment="1">
      <alignment vertical="center" shrinkToFit="1"/>
    </xf>
    <xf numFmtId="0" fontId="4" fillId="25" borderId="25" xfId="0" applyFont="1" applyFill="1" applyBorder="1" applyAlignment="1" applyProtection="1">
      <alignment horizontal="center" textRotation="90" wrapText="1"/>
      <protection locked="0"/>
    </xf>
    <xf numFmtId="0" fontId="25" fillId="0" borderId="15" xfId="0" applyFont="1" applyBorder="1" applyAlignment="1">
      <alignment horizontal="center" vertical="center" wrapText="1"/>
    </xf>
    <xf numFmtId="0" fontId="25" fillId="0" borderId="15" xfId="0" applyFont="1" applyBorder="1" applyAlignment="1">
      <alignment horizontal="center" vertical="center"/>
    </xf>
    <xf numFmtId="0" fontId="30" fillId="0" borderId="26" xfId="0" applyFont="1" applyBorder="1" applyAlignment="1">
      <alignment horizontal="center" vertical="center"/>
    </xf>
    <xf numFmtId="0" fontId="5" fillId="0" borderId="27" xfId="0" applyFont="1" applyBorder="1" applyAlignment="1">
      <alignment vertical="center"/>
    </xf>
    <xf numFmtId="0" fontId="4" fillId="0" borderId="28" xfId="0" applyFont="1" applyBorder="1" applyAlignment="1">
      <alignment vertical="center" wrapText="1"/>
    </xf>
    <xf numFmtId="0" fontId="5" fillId="0" borderId="28" xfId="0" applyFont="1" applyBorder="1" applyAlignment="1">
      <alignment vertical="center"/>
    </xf>
    <xf numFmtId="0" fontId="4" fillId="0" borderId="28" xfId="0" applyFont="1" applyBorder="1" applyAlignment="1">
      <alignment horizontal="center" vertical="center" wrapText="1"/>
    </xf>
    <xf numFmtId="0" fontId="4" fillId="0" borderId="28" xfId="0" applyFont="1" applyBorder="1" applyAlignment="1">
      <alignment vertical="center" shrinkToFit="1"/>
    </xf>
    <xf numFmtId="10" fontId="4" fillId="0" borderId="24" xfId="87" applyNumberFormat="1" applyFont="1" applyFill="1" applyBorder="1" applyAlignment="1">
      <alignment vertical="center" shrinkToFit="1"/>
    </xf>
    <xf numFmtId="10" fontId="25" fillId="24" borderId="10" xfId="87" applyNumberFormat="1" applyFont="1" applyFill="1" applyBorder="1" applyAlignment="1" applyProtection="1">
      <alignment horizontal="center" vertical="center"/>
    </xf>
    <xf numFmtId="0" fontId="4" fillId="0" borderId="18" xfId="0" applyFont="1" applyBorder="1" applyAlignment="1">
      <alignment vertical="top" wrapText="1"/>
    </xf>
    <xf numFmtId="0" fontId="4" fillId="0" borderId="18" xfId="0" applyFont="1" applyBorder="1" applyAlignment="1">
      <alignment horizontal="left" vertical="top" wrapText="1"/>
    </xf>
    <xf numFmtId="10" fontId="40" fillId="0" borderId="16" xfId="76" applyNumberFormat="1" applyFont="1" applyFill="1" applyBorder="1" applyAlignment="1" applyProtection="1">
      <alignment horizontal="center" vertical="top" wrapText="1"/>
    </xf>
    <xf numFmtId="10" fontId="40" fillId="0" borderId="18" xfId="76" applyNumberFormat="1" applyFont="1" applyFill="1" applyBorder="1" applyAlignment="1" applyProtection="1">
      <alignment horizontal="left" vertical="top" wrapText="1"/>
    </xf>
    <xf numFmtId="0" fontId="25" fillId="0" borderId="17" xfId="0" applyFont="1" applyBorder="1"/>
    <xf numFmtId="0" fontId="25" fillId="0" borderId="17" xfId="0" applyFont="1" applyBorder="1" applyAlignment="1">
      <alignment horizontal="left"/>
    </xf>
    <xf numFmtId="0" fontId="4" fillId="0" borderId="17" xfId="0" applyFont="1" applyBorder="1" applyAlignment="1">
      <alignment horizontal="left"/>
    </xf>
    <xf numFmtId="0" fontId="25" fillId="0" borderId="17" xfId="71" applyFont="1" applyBorder="1" applyAlignment="1">
      <alignment horizontal="left"/>
    </xf>
    <xf numFmtId="0" fontId="4" fillId="0" borderId="17" xfId="71" applyBorder="1"/>
    <xf numFmtId="0" fontId="30" fillId="0" borderId="0" xfId="0" applyFont="1" applyAlignment="1">
      <alignment horizontal="center" vertical="center"/>
    </xf>
    <xf numFmtId="0" fontId="41" fillId="0" borderId="29" xfId="0" applyFont="1" applyBorder="1" applyAlignment="1">
      <alignment horizontal="center" vertical="center" wrapText="1"/>
    </xf>
    <xf numFmtId="0" fontId="32" fillId="0" borderId="0" xfId="0" applyFont="1" applyAlignment="1">
      <alignment horizontal="center" vertical="center" wrapText="1"/>
    </xf>
    <xf numFmtId="4" fontId="29" fillId="27" borderId="13" xfId="87" applyNumberFormat="1" applyFont="1" applyFill="1" applyBorder="1" applyAlignment="1" applyProtection="1">
      <alignment horizontal="center" vertical="center" shrinkToFit="1"/>
    </xf>
    <xf numFmtId="10" fontId="29" fillId="28" borderId="0" xfId="76" applyNumberFormat="1" applyFont="1" applyFill="1" applyBorder="1" applyAlignment="1" applyProtection="1">
      <alignment horizontal="center" vertical="center" shrinkToFit="1"/>
    </xf>
    <xf numFmtId="4" fontId="29" fillId="28" borderId="13" xfId="87" applyNumberFormat="1" applyFont="1" applyFill="1" applyBorder="1" applyAlignment="1" applyProtection="1">
      <alignment horizontal="center" vertical="center" shrinkToFit="1"/>
    </xf>
    <xf numFmtId="0" fontId="41" fillId="0" borderId="30" xfId="0" applyFont="1" applyBorder="1" applyAlignment="1">
      <alignment horizontal="center" vertical="center" wrapText="1"/>
    </xf>
    <xf numFmtId="0" fontId="4" fillId="0" borderId="17" xfId="0" applyFont="1" applyBorder="1" applyAlignment="1">
      <alignment horizontal="center"/>
    </xf>
    <xf numFmtId="0" fontId="25" fillId="27" borderId="18" xfId="0" applyFont="1" applyFill="1" applyBorder="1" applyAlignment="1">
      <alignment horizontal="center" vertical="center"/>
    </xf>
    <xf numFmtId="0" fontId="25" fillId="28" borderId="11" xfId="0" applyFont="1" applyFill="1" applyBorder="1" applyAlignment="1">
      <alignment horizontal="center" vertical="center"/>
    </xf>
    <xf numFmtId="0" fontId="25"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41" fillId="0" borderId="0" xfId="0" applyFont="1" applyAlignment="1">
      <alignment horizontal="center" wrapText="1"/>
    </xf>
    <xf numFmtId="0" fontId="53" fillId="0" borderId="0" xfId="0" applyFont="1"/>
    <xf numFmtId="0" fontId="4" fillId="0" borderId="31" xfId="0" applyFont="1" applyBorder="1" applyAlignment="1">
      <alignment vertical="center" wrapText="1" shrinkToFit="1"/>
    </xf>
    <xf numFmtId="0" fontId="43" fillId="24" borderId="32" xfId="0" applyFont="1" applyFill="1" applyBorder="1" applyAlignment="1">
      <alignment horizontal="center" vertical="center" wrapText="1"/>
    </xf>
    <xf numFmtId="164" fontId="4" fillId="0" borderId="28" xfId="87" applyFont="1" applyFill="1" applyBorder="1" applyAlignment="1" applyProtection="1">
      <alignment vertical="center" shrinkToFit="1"/>
    </xf>
    <xf numFmtId="0" fontId="4" fillId="0" borderId="0" xfId="0" applyFont="1" applyAlignment="1" applyProtection="1">
      <alignment horizontal="center"/>
      <protection locked="0"/>
    </xf>
    <xf numFmtId="0" fontId="25" fillId="27" borderId="11" xfId="0" applyFont="1" applyFill="1" applyBorder="1" applyAlignment="1">
      <alignment horizontal="center" vertical="center"/>
    </xf>
    <xf numFmtId="10" fontId="33" fillId="0" borderId="0" xfId="76" applyNumberFormat="1" applyFont="1" applyFill="1" applyBorder="1" applyAlignment="1" applyProtection="1">
      <alignment horizontal="center" vertical="center"/>
    </xf>
    <xf numFmtId="4" fontId="33" fillId="0" borderId="0" xfId="76" applyNumberFormat="1" applyFont="1" applyFill="1" applyBorder="1" applyAlignment="1" applyProtection="1">
      <alignment horizontal="center" vertical="center"/>
    </xf>
    <xf numFmtId="0" fontId="4" fillId="0" borderId="11" xfId="0" applyFont="1" applyBorder="1" applyAlignment="1">
      <alignment horizontal="center" vertical="center"/>
    </xf>
    <xf numFmtId="0" fontId="25" fillId="0" borderId="11" xfId="0" applyFont="1" applyBorder="1" applyAlignment="1">
      <alignment horizontal="center" vertical="center"/>
    </xf>
    <xf numFmtId="0" fontId="27" fillId="0" borderId="0" xfId="0" applyFont="1" applyAlignment="1">
      <alignment vertical="center"/>
    </xf>
    <xf numFmtId="0" fontId="24" fillId="0" borderId="0" xfId="0" applyFont="1" applyAlignment="1">
      <alignment horizontal="right" vertical="center"/>
    </xf>
    <xf numFmtId="0" fontId="0" fillId="0" borderId="0" xfId="0" applyAlignment="1">
      <alignment horizontal="center" vertical="top"/>
    </xf>
    <xf numFmtId="0" fontId="4" fillId="0" borderId="0" xfId="0" applyFont="1" applyAlignment="1">
      <alignment horizontal="center" wrapText="1"/>
    </xf>
    <xf numFmtId="0" fontId="51" fillId="0" borderId="0" xfId="0" applyFont="1" applyAlignment="1">
      <alignment wrapText="1"/>
    </xf>
    <xf numFmtId="0" fontId="25" fillId="0" borderId="0" xfId="0" applyFont="1" applyAlignment="1">
      <alignment horizontal="center" wrapText="1"/>
    </xf>
    <xf numFmtId="0" fontId="29" fillId="0" borderId="15" xfId="0" applyFont="1" applyBorder="1" applyAlignment="1">
      <alignment horizontal="center" vertical="center"/>
    </xf>
    <xf numFmtId="0" fontId="29" fillId="0" borderId="15" xfId="0" applyFont="1" applyBorder="1" applyAlignment="1">
      <alignment horizontal="center" vertical="center" wrapText="1"/>
    </xf>
    <xf numFmtId="0" fontId="29" fillId="0" borderId="30" xfId="0" applyFont="1" applyBorder="1" applyAlignment="1">
      <alignment horizontal="center" vertical="center" wrapText="1"/>
    </xf>
    <xf numFmtId="4" fontId="4" fillId="0" borderId="0" xfId="0" applyNumberFormat="1" applyFont="1" applyAlignment="1">
      <alignment horizontal="center" vertical="center"/>
    </xf>
    <xf numFmtId="0" fontId="5" fillId="0" borderId="0" xfId="0" applyFont="1"/>
    <xf numFmtId="0" fontId="4" fillId="0" borderId="0" xfId="0" applyFont="1" applyAlignment="1">
      <alignment vertical="top"/>
    </xf>
    <xf numFmtId="0" fontId="25" fillId="0" borderId="0" xfId="0" applyFont="1" applyAlignment="1">
      <alignment vertical="center"/>
    </xf>
    <xf numFmtId="4" fontId="5" fillId="0" borderId="0" xfId="0" applyNumberFormat="1" applyFont="1"/>
    <xf numFmtId="0" fontId="25" fillId="0" borderId="17" xfId="0" applyFont="1" applyBorder="1" applyAlignment="1">
      <alignment horizontal="left" vertical="center"/>
    </xf>
    <xf numFmtId="0" fontId="25" fillId="0" borderId="11" xfId="0" applyFont="1" applyBorder="1" applyAlignment="1">
      <alignment wrapText="1"/>
    </xf>
    <xf numFmtId="0" fontId="0" fillId="0" borderId="11" xfId="0" applyBorder="1"/>
    <xf numFmtId="0" fontId="0" fillId="0" borderId="11" xfId="0" quotePrefix="1" applyBorder="1"/>
    <xf numFmtId="10" fontId="33" fillId="0" borderId="11" xfId="76" applyNumberFormat="1" applyFont="1" applyFill="1" applyBorder="1" applyAlignment="1" applyProtection="1">
      <alignment horizontal="center" vertical="center"/>
    </xf>
    <xf numFmtId="4" fontId="33" fillId="0" borderId="11" xfId="76" applyNumberFormat="1" applyFont="1" applyFill="1" applyBorder="1" applyAlignment="1" applyProtection="1">
      <alignment horizontal="center" vertical="center"/>
    </xf>
    <xf numFmtId="4" fontId="29" fillId="27" borderId="18" xfId="87" applyNumberFormat="1" applyFont="1" applyFill="1" applyBorder="1" applyAlignment="1" applyProtection="1">
      <alignment horizontal="center" vertical="center" shrinkToFit="1"/>
    </xf>
    <xf numFmtId="10" fontId="29" fillId="28" borderId="11" xfId="76" applyNumberFormat="1" applyFont="1" applyFill="1" applyBorder="1" applyAlignment="1" applyProtection="1">
      <alignment horizontal="center" vertical="center" shrinkToFit="1"/>
    </xf>
    <xf numFmtId="4" fontId="29" fillId="28" borderId="18" xfId="87" applyNumberFormat="1" applyFont="1" applyFill="1" applyBorder="1" applyAlignment="1" applyProtection="1">
      <alignment horizontal="center" vertical="center" shrinkToFit="1"/>
    </xf>
    <xf numFmtId="0" fontId="4" fillId="0" borderId="15" xfId="0" applyFont="1" applyBorder="1" applyAlignment="1">
      <alignment horizontal="center" vertical="center"/>
    </xf>
    <xf numFmtId="0" fontId="4" fillId="0" borderId="33" xfId="0" applyFont="1" applyBorder="1" applyAlignment="1">
      <alignment horizontal="center" vertical="center"/>
    </xf>
    <xf numFmtId="10" fontId="29" fillId="27" borderId="11" xfId="76" applyNumberFormat="1" applyFont="1" applyFill="1" applyBorder="1" applyAlignment="1" applyProtection="1">
      <alignment horizontal="center" vertical="center" shrinkToFit="1"/>
    </xf>
    <xf numFmtId="10" fontId="29" fillId="27" borderId="0" xfId="76" applyNumberFormat="1" applyFont="1" applyFill="1" applyBorder="1" applyAlignment="1" applyProtection="1">
      <alignment horizontal="center" vertical="center" shrinkToFit="1"/>
    </xf>
    <xf numFmtId="4" fontId="33" fillId="0" borderId="12" xfId="76" applyNumberFormat="1" applyFont="1" applyFill="1" applyBorder="1" applyAlignment="1" applyProtection="1">
      <alignment horizontal="center" vertical="center"/>
    </xf>
    <xf numFmtId="10" fontId="0" fillId="0" borderId="14" xfId="0" applyNumberFormat="1" applyBorder="1"/>
    <xf numFmtId="49" fontId="4" fillId="25" borderId="24" xfId="0" applyNumberFormat="1" applyFont="1" applyFill="1" applyBorder="1" applyAlignment="1" applyProtection="1">
      <alignment horizontal="center" vertical="center" wrapText="1"/>
      <protection locked="0"/>
    </xf>
    <xf numFmtId="0" fontId="29" fillId="0" borderId="0" xfId="0" applyFont="1" applyAlignment="1">
      <alignment horizontal="center" vertical="center" wrapText="1"/>
    </xf>
    <xf numFmtId="0" fontId="4" fillId="0" borderId="14" xfId="0" applyFont="1" applyBorder="1"/>
    <xf numFmtId="0" fontId="0" fillId="0" borderId="0" xfId="0" quotePrefix="1"/>
    <xf numFmtId="0" fontId="33" fillId="0" borderId="0" xfId="0" applyFont="1" applyAlignment="1" applyProtection="1">
      <alignment horizontal="left" wrapText="1"/>
      <protection locked="0"/>
    </xf>
    <xf numFmtId="0" fontId="4" fillId="0" borderId="14" xfId="0" applyFont="1" applyBorder="1" applyProtection="1">
      <protection locked="0"/>
    </xf>
    <xf numFmtId="164" fontId="4" fillId="25" borderId="34" xfId="87" applyFont="1" applyFill="1" applyBorder="1" applyAlignment="1" applyProtection="1">
      <alignment vertical="center" shrinkToFit="1"/>
      <protection locked="0"/>
    </xf>
    <xf numFmtId="0" fontId="25" fillId="24" borderId="32" xfId="0" applyFont="1" applyFill="1" applyBorder="1" applyAlignment="1">
      <alignment horizontal="center" vertical="center" shrinkToFit="1"/>
    </xf>
    <xf numFmtId="0" fontId="25" fillId="24" borderId="25" xfId="0" applyFont="1" applyFill="1" applyBorder="1" applyAlignment="1">
      <alignment horizontal="center" vertical="center" shrinkToFit="1"/>
    </xf>
    <xf numFmtId="0" fontId="25" fillId="0" borderId="11" xfId="0" applyFont="1" applyBorder="1" applyAlignment="1">
      <alignment horizontal="center" vertical="center" wrapText="1" shrinkToFit="1"/>
    </xf>
    <xf numFmtId="14" fontId="29" fillId="0" borderId="11" xfId="0" applyNumberFormat="1" applyFont="1" applyBorder="1" applyAlignment="1">
      <alignment horizontal="center" vertical="center" wrapText="1"/>
    </xf>
    <xf numFmtId="0" fontId="4" fillId="0" borderId="28" xfId="0" applyFont="1" applyBorder="1" applyAlignment="1">
      <alignment horizontal="center" vertical="center"/>
    </xf>
    <xf numFmtId="10" fontId="33" fillId="25" borderId="35" xfId="76" applyNumberFormat="1" applyFont="1" applyFill="1" applyBorder="1" applyAlignment="1" applyProtection="1">
      <alignment horizontal="center" vertical="center"/>
      <protection locked="0" hidden="1"/>
    </xf>
    <xf numFmtId="0" fontId="29" fillId="0" borderId="12" xfId="0" applyFont="1" applyBorder="1" applyAlignment="1">
      <alignment horizontal="center" vertical="center" wrapText="1"/>
    </xf>
    <xf numFmtId="0" fontId="25" fillId="0" borderId="0" xfId="0" applyFont="1" applyAlignment="1">
      <alignment wrapText="1"/>
    </xf>
    <xf numFmtId="0" fontId="4" fillId="26" borderId="0" xfId="0" applyFont="1" applyFill="1"/>
    <xf numFmtId="10" fontId="33" fillId="25" borderId="36" xfId="76" applyNumberFormat="1" applyFont="1" applyFill="1" applyBorder="1" applyAlignment="1" applyProtection="1">
      <alignment horizontal="center" vertical="center"/>
      <protection locked="0"/>
    </xf>
    <xf numFmtId="10" fontId="33" fillId="25" borderId="35" xfId="76" applyNumberFormat="1" applyFont="1" applyFill="1" applyBorder="1" applyAlignment="1" applyProtection="1">
      <alignment horizontal="center" vertical="center"/>
      <protection locked="0"/>
    </xf>
    <xf numFmtId="10" fontId="33" fillId="25" borderId="37" xfId="76" applyNumberFormat="1" applyFont="1" applyFill="1" applyBorder="1" applyAlignment="1" applyProtection="1">
      <alignment horizontal="center" vertical="center"/>
      <protection locked="0"/>
    </xf>
    <xf numFmtId="164" fontId="4" fillId="31" borderId="24" xfId="87" applyFont="1" applyFill="1" applyBorder="1" applyAlignment="1" applyProtection="1">
      <alignment vertical="center" wrapText="1"/>
      <protection locked="0"/>
    </xf>
    <xf numFmtId="0" fontId="4" fillId="31" borderId="24" xfId="0" applyFont="1" applyFill="1" applyBorder="1" applyAlignment="1" applyProtection="1">
      <alignment horizontal="center" vertical="center" wrapText="1"/>
      <protection locked="0"/>
    </xf>
    <xf numFmtId="0" fontId="4" fillId="31" borderId="24" xfId="0" applyFont="1" applyFill="1" applyBorder="1" applyAlignment="1" applyProtection="1">
      <alignment vertical="center" wrapText="1"/>
      <protection locked="0"/>
    </xf>
    <xf numFmtId="10" fontId="4" fillId="31" borderId="24" xfId="76" applyNumberFormat="1" applyFont="1" applyFill="1" applyBorder="1" applyAlignment="1" applyProtection="1">
      <alignment horizontal="center" vertical="center" wrapText="1"/>
      <protection locked="0"/>
    </xf>
    <xf numFmtId="164" fontId="4" fillId="25" borderId="24" xfId="87" applyFont="1" applyFill="1" applyBorder="1" applyAlignment="1" applyProtection="1">
      <alignment vertical="center" shrinkToFit="1"/>
      <protection locked="0"/>
    </xf>
    <xf numFmtId="0" fontId="25" fillId="0" borderId="0" xfId="72" applyFont="1" applyAlignment="1">
      <alignment horizontal="left" vertical="top"/>
    </xf>
    <xf numFmtId="4" fontId="29" fillId="0" borderId="14" xfId="71" applyNumberFormat="1" applyFont="1" applyBorder="1" applyAlignment="1">
      <alignment horizontal="center" vertical="center"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5" fillId="0" borderId="11" xfId="72" applyFont="1" applyBorder="1" applyAlignment="1">
      <alignment horizontal="left" vertical="top"/>
    </xf>
    <xf numFmtId="0" fontId="25" fillId="0" borderId="0" xfId="72" applyFont="1" applyAlignment="1">
      <alignment horizontal="left" vertical="top"/>
    </xf>
    <xf numFmtId="0" fontId="25" fillId="0" borderId="12" xfId="72" applyFont="1" applyBorder="1" applyAlignment="1">
      <alignment horizontal="left" vertical="top"/>
    </xf>
    <xf numFmtId="0" fontId="4" fillId="25" borderId="18" xfId="0" applyFont="1" applyFill="1" applyBorder="1" applyAlignment="1" applyProtection="1">
      <alignment horizontal="left" vertical="top" wrapText="1"/>
      <protection locked="0"/>
    </xf>
    <xf numFmtId="0" fontId="4" fillId="25" borderId="13" xfId="0" applyFont="1" applyFill="1" applyBorder="1" applyAlignment="1" applyProtection="1">
      <alignment horizontal="left" vertical="top" wrapText="1"/>
      <protection locked="0"/>
    </xf>
    <xf numFmtId="0" fontId="4"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4" fillId="25" borderId="18" xfId="0" applyNumberFormat="1" applyFon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4" fillId="0" borderId="0" xfId="0" applyFont="1" applyAlignment="1">
      <alignment horizontal="left" wrapText="1" indent="2"/>
    </xf>
    <xf numFmtId="0" fontId="0" fillId="0" borderId="0" xfId="0" applyAlignment="1">
      <alignment horizontal="left" indent="2"/>
    </xf>
    <xf numFmtId="10" fontId="4" fillId="25" borderId="18" xfId="76" applyNumberFormat="1" applyFont="1" applyFill="1" applyBorder="1" applyAlignment="1" applyProtection="1">
      <alignment horizontal="left" vertical="top" wrapText="1"/>
      <protection locked="0"/>
    </xf>
    <xf numFmtId="10" fontId="40" fillId="25" borderId="13" xfId="76" applyNumberFormat="1" applyFont="1" applyFill="1" applyBorder="1" applyAlignment="1" applyProtection="1">
      <alignment horizontal="left" vertical="top" wrapText="1"/>
      <protection locked="0"/>
    </xf>
    <xf numFmtId="10" fontId="40" fillId="25" borderId="38" xfId="76" applyNumberFormat="1" applyFont="1" applyFill="1" applyBorder="1" applyAlignment="1" applyProtection="1">
      <alignment horizontal="left" vertical="top" wrapText="1"/>
      <protection locked="0"/>
    </xf>
    <xf numFmtId="10" fontId="4" fillId="0" borderId="18" xfId="76" applyNumberFormat="1" applyFont="1" applyFill="1" applyBorder="1" applyAlignment="1" applyProtection="1">
      <alignment horizontal="left" vertical="top" wrapText="1"/>
    </xf>
    <xf numFmtId="10" fontId="4" fillId="0" borderId="13" xfId="76" applyNumberFormat="1" applyFont="1" applyFill="1" applyBorder="1" applyAlignment="1" applyProtection="1">
      <alignment horizontal="left" vertical="top" wrapText="1"/>
    </xf>
    <xf numFmtId="10" fontId="40" fillId="0" borderId="13" xfId="76" applyNumberFormat="1" applyFont="1" applyFill="1" applyBorder="1" applyAlignment="1" applyProtection="1">
      <alignment horizontal="left" vertical="top" wrapText="1"/>
    </xf>
    <xf numFmtId="10" fontId="40" fillId="0" borderId="38" xfId="76" applyNumberFormat="1" applyFont="1" applyFill="1" applyBorder="1" applyAlignment="1" applyProtection="1">
      <alignment horizontal="left" vertical="top" wrapText="1"/>
    </xf>
    <xf numFmtId="14" fontId="40" fillId="0" borderId="18" xfId="76" applyNumberFormat="1" applyFont="1" applyFill="1" applyBorder="1" applyAlignment="1" applyProtection="1">
      <alignment horizontal="center" vertical="top" wrapText="1"/>
    </xf>
    <xf numFmtId="14" fontId="40" fillId="0" borderId="38" xfId="76" applyNumberFormat="1" applyFont="1" applyFill="1" applyBorder="1" applyAlignment="1" applyProtection="1">
      <alignment horizontal="center" vertical="top" wrapText="1"/>
    </xf>
    <xf numFmtId="0" fontId="4" fillId="0" borderId="0" xfId="0" applyFont="1" applyAlignment="1">
      <alignment horizontal="left" wrapText="1" indent="3"/>
    </xf>
    <xf numFmtId="0" fontId="0" fillId="0" borderId="0" xfId="0" applyAlignment="1">
      <alignment horizontal="left" indent="3"/>
    </xf>
    <xf numFmtId="0" fontId="4" fillId="0" borderId="18" xfId="0" applyFont="1" applyBorder="1" applyAlignment="1">
      <alignment horizontal="left" vertical="top" wrapText="1"/>
    </xf>
    <xf numFmtId="0" fontId="4" fillId="0" borderId="38" xfId="0" applyFont="1" applyBorder="1" applyAlignment="1">
      <alignment horizontal="left" vertical="top" wrapText="1"/>
    </xf>
    <xf numFmtId="14" fontId="4" fillId="0" borderId="18" xfId="76" applyNumberFormat="1" applyFont="1" applyFill="1" applyBorder="1" applyAlignment="1" applyProtection="1">
      <alignment horizontal="center" vertical="top" wrapText="1"/>
    </xf>
    <xf numFmtId="14" fontId="4" fillId="0" borderId="38" xfId="76" applyNumberFormat="1" applyFont="1" applyFill="1" applyBorder="1" applyAlignment="1" applyProtection="1">
      <alignment horizontal="center" vertical="top" wrapText="1"/>
    </xf>
    <xf numFmtId="0" fontId="4" fillId="0" borderId="13" xfId="0" applyFont="1" applyBorder="1" applyAlignment="1">
      <alignment horizontal="left" vertical="top" wrapText="1"/>
    </xf>
    <xf numFmtId="167" fontId="4" fillId="0" borderId="18" xfId="76" applyNumberFormat="1" applyFont="1" applyFill="1" applyBorder="1" applyAlignment="1" applyProtection="1">
      <alignment horizontal="left" vertical="top" wrapText="1"/>
    </xf>
    <xf numFmtId="167" fontId="4" fillId="0" borderId="13" xfId="76"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41" fillId="0" borderId="11" xfId="72" applyFont="1" applyBorder="1" applyAlignment="1">
      <alignment horizontal="left" vertical="top"/>
    </xf>
    <xf numFmtId="0" fontId="41" fillId="0" borderId="12" xfId="72"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4"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5" fillId="0" borderId="0" xfId="0" applyFont="1" applyAlignment="1">
      <alignment horizontal="left" wrapText="1" indent="1"/>
    </xf>
    <xf numFmtId="0" fontId="25" fillId="0" borderId="0" xfId="0" applyFont="1" applyAlignment="1">
      <alignment horizontal="left" indent="1"/>
    </xf>
    <xf numFmtId="0" fontId="54" fillId="29" borderId="0" xfId="0" applyFont="1" applyFill="1" applyAlignment="1">
      <alignment horizontal="left" vertical="top" wrapText="1" indent="2"/>
    </xf>
    <xf numFmtId="0" fontId="54" fillId="29" borderId="0" xfId="0" applyFont="1" applyFill="1" applyAlignment="1">
      <alignment horizontal="left" vertical="top" indent="2"/>
    </xf>
    <xf numFmtId="49" fontId="4" fillId="25" borderId="0" xfId="0" applyNumberFormat="1" applyFont="1" applyFill="1" applyAlignment="1" applyProtection="1">
      <alignment horizontal="left"/>
      <protection locked="0"/>
    </xf>
    <xf numFmtId="0" fontId="24" fillId="26" borderId="17" xfId="0" applyFont="1" applyFill="1" applyBorder="1" applyAlignment="1">
      <alignment horizontal="center" vertical="center" wrapText="1"/>
    </xf>
    <xf numFmtId="0" fontId="24" fillId="26" borderId="39" xfId="0" applyFont="1" applyFill="1" applyBorder="1" applyAlignment="1">
      <alignment horizontal="center" vertical="center" wrapText="1"/>
    </xf>
    <xf numFmtId="0" fontId="24" fillId="26" borderId="13" xfId="0" applyFont="1" applyFill="1" applyBorder="1" applyAlignment="1">
      <alignment horizontal="center" vertical="center" wrapText="1"/>
    </xf>
    <xf numFmtId="0" fontId="24" fillId="26" borderId="38" xfId="0" applyFont="1" applyFill="1" applyBorder="1" applyAlignment="1">
      <alignment horizontal="center" vertical="center" wrapText="1"/>
    </xf>
    <xf numFmtId="14" fontId="4" fillId="25" borderId="18" xfId="76" applyNumberFormat="1" applyFont="1" applyFill="1" applyBorder="1" applyAlignment="1" applyProtection="1">
      <alignment horizontal="center" vertical="top" wrapText="1"/>
      <protection locked="0"/>
    </xf>
    <xf numFmtId="14" fontId="40" fillId="25" borderId="38" xfId="76" applyNumberFormat="1" applyFont="1" applyFill="1" applyBorder="1" applyAlignment="1" applyProtection="1">
      <alignment horizontal="center" vertical="top" wrapText="1"/>
      <protection locked="0"/>
    </xf>
    <xf numFmtId="49" fontId="4" fillId="25" borderId="18" xfId="76" applyNumberFormat="1" applyFont="1" applyFill="1" applyBorder="1" applyAlignment="1" applyProtection="1">
      <alignment horizontal="left" vertical="top" wrapText="1"/>
      <protection locked="0"/>
    </xf>
    <xf numFmtId="49" fontId="4" fillId="25" borderId="13" xfId="76" applyNumberFormat="1" applyFont="1" applyFill="1" applyBorder="1" applyAlignment="1" applyProtection="1">
      <alignment horizontal="left" vertical="top" wrapText="1"/>
      <protection locked="0"/>
    </xf>
    <xf numFmtId="49" fontId="40" fillId="25" borderId="13" xfId="76" applyNumberFormat="1" applyFont="1" applyFill="1" applyBorder="1" applyAlignment="1" applyProtection="1">
      <alignment horizontal="left" vertical="top" wrapText="1"/>
      <protection locked="0"/>
    </xf>
    <xf numFmtId="49" fontId="40" fillId="25" borderId="38" xfId="76" applyNumberFormat="1" applyFont="1" applyFill="1" applyBorder="1" applyAlignment="1" applyProtection="1">
      <alignment horizontal="left" vertical="top" wrapText="1"/>
      <protection locked="0"/>
    </xf>
    <xf numFmtId="14" fontId="4" fillId="25" borderId="38" xfId="76" applyNumberFormat="1" applyFont="1" applyFill="1" applyBorder="1" applyAlignment="1" applyProtection="1">
      <alignment horizontal="center" vertical="top" wrapText="1"/>
      <protection locked="0"/>
    </xf>
    <xf numFmtId="0" fontId="29" fillId="0" borderId="0" xfId="0" applyFont="1" applyAlignment="1">
      <alignment horizontal="center" vertical="center" wrapText="1"/>
    </xf>
    <xf numFmtId="0" fontId="4" fillId="0" borderId="40" xfId="0" applyFont="1" applyBorder="1" applyAlignment="1">
      <alignment horizontal="left" vertical="top" wrapText="1"/>
    </xf>
    <xf numFmtId="0" fontId="4" fillId="0" borderId="0" xfId="0" applyFont="1" applyAlignment="1">
      <alignment horizontal="left" vertical="top" wrapText="1"/>
    </xf>
    <xf numFmtId="0" fontId="4" fillId="0" borderId="0" xfId="0" applyFont="1" applyAlignment="1">
      <alignment horizontal="left" wrapText="1"/>
    </xf>
    <xf numFmtId="0" fontId="4" fillId="0" borderId="40" xfId="0" applyFont="1" applyBorder="1" applyAlignment="1">
      <alignment horizontal="left" wrapText="1"/>
    </xf>
    <xf numFmtId="0" fontId="4" fillId="0" borderId="0" xfId="0" applyFont="1" applyAlignment="1">
      <alignment horizontal="left" wrapText="1" indent="1"/>
    </xf>
    <xf numFmtId="49" fontId="4" fillId="25" borderId="38" xfId="0" applyNumberFormat="1" applyFont="1" applyFill="1" applyBorder="1" applyAlignment="1" applyProtection="1">
      <alignment horizontal="left" vertical="top" wrapText="1"/>
      <protection locked="0"/>
    </xf>
    <xf numFmtId="0" fontId="55" fillId="29" borderId="0" xfId="0" applyFont="1" applyFill="1" applyAlignment="1">
      <alignment horizontal="left" vertical="top" wrapText="1" indent="2"/>
    </xf>
    <xf numFmtId="0" fontId="55" fillId="29" borderId="0" xfId="0" applyFont="1" applyFill="1" applyAlignment="1">
      <alignment horizontal="left" vertical="top" indent="2"/>
    </xf>
    <xf numFmtId="0" fontId="25" fillId="0" borderId="40" xfId="0" applyFont="1" applyBorder="1" applyAlignment="1">
      <alignment horizontal="left" wrapText="1"/>
    </xf>
    <xf numFmtId="0" fontId="25" fillId="0" borderId="0" xfId="0" applyFont="1" applyAlignment="1">
      <alignment horizontal="left" wrapText="1"/>
    </xf>
    <xf numFmtId="49" fontId="4" fillId="0" borderId="0" xfId="71" applyNumberFormat="1" applyAlignment="1" applyProtection="1">
      <alignment horizontal="left"/>
      <protection locked="0"/>
    </xf>
    <xf numFmtId="0" fontId="29" fillId="0" borderId="0" xfId="71" applyFont="1" applyAlignment="1">
      <alignment horizontal="left" vertical="center"/>
    </xf>
    <xf numFmtId="0" fontId="25" fillId="0" borderId="0" xfId="71" applyFont="1" applyAlignment="1">
      <alignment horizontal="left" vertical="center"/>
    </xf>
    <xf numFmtId="10" fontId="5" fillId="25" borderId="14" xfId="71" applyNumberFormat="1" applyFont="1" applyFill="1" applyBorder="1" applyAlignment="1" applyProtection="1">
      <alignment horizontal="center"/>
      <protection locked="0"/>
    </xf>
    <xf numFmtId="0" fontId="5" fillId="0" borderId="14" xfId="71" applyFont="1" applyBorder="1" applyAlignment="1">
      <alignment horizontal="left"/>
    </xf>
    <xf numFmtId="0" fontId="29" fillId="0" borderId="14" xfId="71" applyFont="1" applyBorder="1" applyAlignment="1">
      <alignment horizontal="center" vertical="center"/>
    </xf>
    <xf numFmtId="0" fontId="5" fillId="0" borderId="14" xfId="71" applyFont="1" applyBorder="1" applyAlignment="1">
      <alignment horizontal="left" wrapText="1"/>
    </xf>
    <xf numFmtId="4" fontId="29" fillId="0" borderId="14" xfId="71" applyNumberFormat="1" applyFont="1" applyBorder="1" applyAlignment="1">
      <alignment horizontal="center" vertical="center" wrapText="1"/>
    </xf>
    <xf numFmtId="169" fontId="5" fillId="25" borderId="18" xfId="68" applyFont="1" applyFill="1" applyBorder="1" applyAlignment="1" applyProtection="1">
      <alignment horizontal="left"/>
      <protection locked="0"/>
    </xf>
    <xf numFmtId="169" fontId="5" fillId="25" borderId="13" xfId="68" applyFont="1" applyFill="1" applyBorder="1" applyAlignment="1" applyProtection="1">
      <alignment horizontal="left"/>
      <protection locked="0"/>
    </xf>
    <xf numFmtId="169" fontId="5" fillId="25" borderId="38" xfId="68" applyFont="1" applyFill="1" applyBorder="1" applyAlignment="1" applyProtection="1">
      <alignment horizontal="left"/>
      <protection locked="0"/>
    </xf>
    <xf numFmtId="0" fontId="4" fillId="0" borderId="18" xfId="71" applyBorder="1" applyAlignment="1">
      <alignment horizontal="center" vertical="top" wrapText="1"/>
    </xf>
    <xf numFmtId="0" fontId="4" fillId="0" borderId="38" xfId="71" applyBorder="1" applyAlignment="1">
      <alignment horizontal="center" vertical="top" wrapText="1"/>
    </xf>
    <xf numFmtId="0" fontId="4" fillId="0" borderId="18" xfId="71" applyBorder="1" applyAlignment="1">
      <alignment horizontal="left" vertical="top" wrapText="1"/>
    </xf>
    <xf numFmtId="0" fontId="4" fillId="0" borderId="38" xfId="71" applyBorder="1" applyAlignment="1">
      <alignment horizontal="left" vertical="top" wrapText="1"/>
    </xf>
    <xf numFmtId="49" fontId="4" fillId="0" borderId="18" xfId="71" applyNumberFormat="1" applyBorder="1" applyAlignment="1">
      <alignment horizontal="left" vertical="top" wrapText="1"/>
    </xf>
    <xf numFmtId="0" fontId="4" fillId="0" borderId="13" xfId="71" applyBorder="1" applyAlignment="1">
      <alignment horizontal="left" vertical="top" wrapText="1"/>
    </xf>
    <xf numFmtId="0" fontId="5" fillId="0" borderId="16" xfId="68" applyNumberFormat="1" applyFont="1" applyFill="1" applyBorder="1" applyAlignment="1" applyProtection="1">
      <alignment horizontal="left" wrapText="1"/>
    </xf>
    <xf numFmtId="0" fontId="50" fillId="0" borderId="0" xfId="71" applyFont="1" applyAlignment="1">
      <alignment horizontal="center" vertical="top" wrapText="1"/>
    </xf>
    <xf numFmtId="171" fontId="4" fillId="0" borderId="13" xfId="71" applyNumberFormat="1" applyBorder="1" applyAlignment="1">
      <alignment horizontal="left"/>
    </xf>
    <xf numFmtId="0" fontId="4" fillId="0" borderId="14" xfId="71" applyBorder="1" applyAlignment="1">
      <alignment horizontal="left" vertical="center" wrapText="1"/>
    </xf>
    <xf numFmtId="0" fontId="4" fillId="0" borderId="14" xfId="71" applyBorder="1" applyAlignment="1">
      <alignment horizontal="left" vertical="center"/>
    </xf>
    <xf numFmtId="0" fontId="25" fillId="0" borderId="14" xfId="71" applyFont="1" applyBorder="1" applyAlignment="1">
      <alignment horizontal="center" vertical="center"/>
    </xf>
    <xf numFmtId="0" fontId="38" fillId="0" borderId="14" xfId="71" applyFont="1" applyBorder="1" applyAlignment="1">
      <alignment horizontal="center" vertical="center" wrapText="1"/>
    </xf>
    <xf numFmtId="0" fontId="44" fillId="0" borderId="0" xfId="0" quotePrefix="1" applyFont="1" applyAlignment="1">
      <alignment horizontal="left" vertical="center"/>
    </xf>
    <xf numFmtId="0" fontId="44" fillId="0" borderId="0" xfId="0" applyFont="1" applyAlignment="1">
      <alignment horizontal="left" vertical="center"/>
    </xf>
    <xf numFmtId="0" fontId="45" fillId="0" borderId="0" xfId="0" applyFont="1" applyAlignment="1">
      <alignment horizontal="center"/>
    </xf>
    <xf numFmtId="0" fontId="44" fillId="0" borderId="0" xfId="0" applyFont="1" applyAlignment="1">
      <alignment horizontal="center" vertical="top"/>
    </xf>
    <xf numFmtId="0" fontId="44" fillId="0" borderId="0" xfId="0" applyFont="1" applyAlignment="1">
      <alignment horizontal="right" vertical="center"/>
    </xf>
    <xf numFmtId="171" fontId="4" fillId="0" borderId="0" xfId="71" applyNumberFormat="1" applyAlignment="1">
      <alignment horizontal="left"/>
    </xf>
    <xf numFmtId="0" fontId="48" fillId="0" borderId="0" xfId="71" applyFont="1" applyAlignment="1">
      <alignment horizontal="left" vertical="center" indent="1"/>
    </xf>
    <xf numFmtId="0" fontId="42" fillId="0" borderId="0" xfId="71" applyFont="1" applyAlignment="1">
      <alignment horizontal="left" vertical="center" wrapText="1"/>
    </xf>
    <xf numFmtId="2" fontId="36" fillId="0" borderId="17" xfId="71" applyNumberFormat="1" applyFont="1" applyBorder="1" applyAlignment="1">
      <alignment horizontal="center" vertical="center"/>
    </xf>
    <xf numFmtId="0" fontId="4" fillId="0" borderId="0" xfId="71" applyAlignment="1">
      <alignment horizontal="center" vertical="center"/>
    </xf>
    <xf numFmtId="168" fontId="4" fillId="0" borderId="13" xfId="71" applyNumberFormat="1" applyBorder="1" applyAlignment="1">
      <alignment horizontal="left"/>
    </xf>
    <xf numFmtId="49" fontId="4" fillId="25" borderId="32" xfId="71" applyNumberFormat="1" applyFill="1" applyBorder="1" applyAlignment="1" applyProtection="1">
      <alignment horizontal="left" vertical="top" wrapText="1"/>
      <protection locked="0"/>
    </xf>
    <xf numFmtId="49" fontId="4" fillId="25" borderId="10" xfId="71" applyNumberFormat="1" applyFill="1" applyBorder="1" applyAlignment="1" applyProtection="1">
      <alignment horizontal="left" vertical="top" wrapText="1"/>
      <protection locked="0"/>
    </xf>
    <xf numFmtId="49" fontId="4" fillId="25" borderId="19" xfId="71" applyNumberFormat="1" applyFill="1" applyBorder="1" applyAlignment="1" applyProtection="1">
      <alignment horizontal="left" vertical="top" wrapText="1"/>
      <protection locked="0"/>
    </xf>
    <xf numFmtId="0" fontId="4" fillId="0" borderId="17" xfId="71" applyBorder="1" applyAlignment="1">
      <alignment horizontal="center" vertical="center"/>
    </xf>
    <xf numFmtId="0" fontId="4" fillId="0" borderId="14" xfId="0" applyFont="1" applyBorder="1" applyAlignment="1">
      <alignment horizontal="center"/>
    </xf>
    <xf numFmtId="0" fontId="29" fillId="0" borderId="32" xfId="0" applyFont="1" applyBorder="1" applyAlignment="1">
      <alignment horizontal="left" wrapText="1"/>
    </xf>
    <xf numFmtId="0" fontId="29" fillId="0" borderId="10" xfId="0" applyFont="1" applyBorder="1" applyAlignment="1">
      <alignment horizontal="left" wrapText="1"/>
    </xf>
    <xf numFmtId="0" fontId="29" fillId="0" borderId="19" xfId="0" applyFont="1" applyBorder="1" applyAlignment="1">
      <alignment horizontal="left" wrapText="1"/>
    </xf>
    <xf numFmtId="0" fontId="33" fillId="25" borderId="11" xfId="0" applyFont="1" applyFill="1" applyBorder="1" applyAlignment="1" applyProtection="1">
      <alignment horizontal="left" wrapText="1"/>
      <protection locked="0"/>
    </xf>
    <xf numFmtId="0" fontId="33" fillId="25" borderId="0" xfId="0" applyFont="1" applyFill="1" applyAlignment="1" applyProtection="1">
      <alignment horizontal="left" wrapText="1"/>
      <protection locked="0"/>
    </xf>
    <xf numFmtId="0" fontId="33" fillId="25" borderId="12" xfId="0" applyFont="1" applyFill="1" applyBorder="1" applyAlignment="1" applyProtection="1">
      <alignment horizontal="left" wrapText="1"/>
      <protection locked="0"/>
    </xf>
    <xf numFmtId="0" fontId="33" fillId="25" borderId="18" xfId="0" applyFont="1" applyFill="1" applyBorder="1" applyAlignment="1" applyProtection="1">
      <alignment horizontal="left" wrapText="1"/>
      <protection locked="0"/>
    </xf>
    <xf numFmtId="0" fontId="33" fillId="25" borderId="13" xfId="0" applyFont="1" applyFill="1" applyBorder="1" applyAlignment="1" applyProtection="1">
      <alignment horizontal="left" wrapText="1"/>
      <protection locked="0"/>
    </xf>
    <xf numFmtId="0" fontId="33" fillId="25" borderId="38" xfId="0" applyFont="1" applyFill="1" applyBorder="1" applyAlignment="1" applyProtection="1">
      <alignment horizontal="left" wrapText="1"/>
      <protection locked="0"/>
    </xf>
    <xf numFmtId="0" fontId="33" fillId="0" borderId="32" xfId="0" applyFont="1" applyBorder="1" applyAlignment="1" applyProtection="1">
      <alignment horizontal="left" vertical="center"/>
      <protection locked="0"/>
    </xf>
    <xf numFmtId="0" fontId="33" fillId="0" borderId="10" xfId="0" applyFont="1" applyBorder="1" applyAlignment="1" applyProtection="1">
      <alignment horizontal="left" vertical="center"/>
      <protection locked="0"/>
    </xf>
    <xf numFmtId="0" fontId="33" fillId="0" borderId="19" xfId="0" applyFont="1" applyBorder="1" applyAlignment="1" applyProtection="1">
      <alignment horizontal="left" vertical="center"/>
      <protection locked="0"/>
    </xf>
    <xf numFmtId="170" fontId="4" fillId="0" borderId="0" xfId="0" applyNumberFormat="1" applyFont="1" applyAlignment="1" applyProtection="1">
      <alignment horizontal="left"/>
      <protection locked="0"/>
    </xf>
    <xf numFmtId="171" fontId="4" fillId="0" borderId="13" xfId="0" applyNumberFormat="1" applyFont="1" applyBorder="1" applyAlignment="1" applyProtection="1">
      <alignment horizontal="left"/>
      <protection locked="0"/>
    </xf>
    <xf numFmtId="171" fontId="4" fillId="0" borderId="13" xfId="0" applyNumberFormat="1" applyFont="1" applyBorder="1" applyAlignment="1">
      <alignment horizontal="left"/>
    </xf>
    <xf numFmtId="170" fontId="4" fillId="0" borderId="13" xfId="0" applyNumberFormat="1" applyFont="1" applyBorder="1" applyAlignment="1">
      <alignment horizontal="left"/>
    </xf>
    <xf numFmtId="170" fontId="4" fillId="0" borderId="13" xfId="0" applyNumberFormat="1" applyFont="1" applyBorder="1" applyAlignment="1">
      <alignment horizontal="left" vertical="center"/>
    </xf>
    <xf numFmtId="0" fontId="33" fillId="30" borderId="36" xfId="0" applyFont="1" applyFill="1" applyBorder="1" applyAlignment="1">
      <alignment horizontal="center" vertical="center" shrinkToFit="1"/>
    </xf>
    <xf numFmtId="0" fontId="33" fillId="30" borderId="11" xfId="0" applyFont="1" applyFill="1" applyBorder="1" applyAlignment="1">
      <alignment horizontal="center" vertical="center" shrinkToFit="1"/>
    </xf>
    <xf numFmtId="0" fontId="33" fillId="30" borderId="37" xfId="0" applyFont="1" applyFill="1" applyBorder="1" applyAlignment="1">
      <alignment horizontal="center" vertical="center" wrapText="1"/>
    </xf>
    <xf numFmtId="0" fontId="33" fillId="30" borderId="12" xfId="0" applyFont="1" applyFill="1" applyBorder="1" applyAlignment="1">
      <alignment horizontal="center" vertical="center" wrapText="1"/>
    </xf>
    <xf numFmtId="0" fontId="29" fillId="24" borderId="21" xfId="0" applyFont="1" applyFill="1" applyBorder="1" applyAlignment="1">
      <alignment horizontal="center" vertical="center" wrapText="1"/>
    </xf>
    <xf numFmtId="0" fontId="29" fillId="24" borderId="39" xfId="0" applyFont="1" applyFill="1" applyBorder="1" applyAlignment="1">
      <alignment horizontal="center" vertical="center" wrapText="1"/>
    </xf>
    <xf numFmtId="0" fontId="29" fillId="24" borderId="11" xfId="0" applyFont="1" applyFill="1" applyBorder="1" applyAlignment="1">
      <alignment horizontal="center" vertical="center" wrapText="1"/>
    </xf>
    <xf numFmtId="0" fontId="29" fillId="24" borderId="12" xfId="0" applyFont="1" applyFill="1" applyBorder="1" applyAlignment="1">
      <alignment horizontal="center" vertical="center" wrapText="1"/>
    </xf>
    <xf numFmtId="0" fontId="29" fillId="24" borderId="18" xfId="0" applyFont="1" applyFill="1" applyBorder="1" applyAlignment="1">
      <alignment horizontal="center" vertical="center" wrapText="1"/>
    </xf>
    <xf numFmtId="0" fontId="29" fillId="24" borderId="38" xfId="0" applyFont="1" applyFill="1" applyBorder="1" applyAlignment="1">
      <alignment horizontal="center" vertical="center" wrapText="1"/>
    </xf>
    <xf numFmtId="4" fontId="29" fillId="24" borderId="30" xfId="0" applyNumberFormat="1" applyFont="1" applyFill="1" applyBorder="1" applyAlignment="1">
      <alignment horizontal="center" vertical="center" shrinkToFit="1"/>
    </xf>
    <xf numFmtId="4" fontId="29" fillId="24" borderId="15" xfId="0" applyNumberFormat="1" applyFont="1" applyFill="1" applyBorder="1" applyAlignment="1">
      <alignment horizontal="center" vertical="center" shrinkToFit="1"/>
    </xf>
    <xf numFmtId="4" fontId="29" fillId="24" borderId="16" xfId="0" applyNumberFormat="1" applyFont="1" applyFill="1" applyBorder="1" applyAlignment="1">
      <alignment horizontal="center" vertical="center" shrinkToFit="1"/>
    </xf>
    <xf numFmtId="4" fontId="33" fillId="30" borderId="28" xfId="0" applyNumberFormat="1" applyFont="1" applyFill="1" applyBorder="1" applyAlignment="1">
      <alignment horizontal="center" vertical="center"/>
    </xf>
    <xf numFmtId="4" fontId="33" fillId="30" borderId="15" xfId="0" applyNumberFormat="1" applyFont="1" applyFill="1" applyBorder="1" applyAlignment="1">
      <alignment horizontal="center" vertical="center"/>
    </xf>
    <xf numFmtId="168" fontId="4" fillId="0" borderId="0" xfId="0" applyNumberFormat="1" applyFont="1" applyAlignment="1">
      <alignment horizontal="left"/>
    </xf>
    <xf numFmtId="49" fontId="4" fillId="0" borderId="0" xfId="0" applyNumberFormat="1" applyFont="1" applyAlignment="1">
      <alignment horizontal="left"/>
    </xf>
    <xf numFmtId="0" fontId="4" fillId="0" borderId="0" xfId="0" applyFont="1" applyAlignment="1">
      <alignment horizontal="left"/>
    </xf>
    <xf numFmtId="171" fontId="4" fillId="0" borderId="13" xfId="0" applyNumberFormat="1" applyFont="1" applyBorder="1" applyAlignment="1">
      <alignment horizontal="left" vertical="center"/>
    </xf>
    <xf numFmtId="0" fontId="52" fillId="0" borderId="0" xfId="0" applyFont="1" applyAlignment="1">
      <alignment horizontal="center" vertical="top" wrapText="1"/>
    </xf>
    <xf numFmtId="0" fontId="5" fillId="28" borderId="23" xfId="0" applyFont="1" applyFill="1" applyBorder="1" applyAlignment="1" applyProtection="1">
      <alignment vertical="center" wrapText="1"/>
    </xf>
    <xf numFmtId="0" fontId="5" fillId="25" borderId="23" xfId="0" applyFont="1" applyFill="1" applyBorder="1" applyAlignment="1" applyProtection="1">
      <alignment vertical="center" wrapText="1"/>
    </xf>
    <xf numFmtId="49" fontId="4" fillId="25" borderId="24" xfId="0" applyNumberFormat="1" applyFont="1" applyFill="1" applyBorder="1" applyAlignment="1" applyProtection="1">
      <alignment horizontal="center" vertical="center" wrapText="1"/>
    </xf>
    <xf numFmtId="49" fontId="4" fillId="36" borderId="46" xfId="71" applyNumberFormat="1" applyFill="1" applyBorder="1" applyAlignment="1" applyProtection="1">
      <alignment horizontal="center" vertical="center" wrapText="1"/>
    </xf>
    <xf numFmtId="49" fontId="4" fillId="25" borderId="24" xfId="71" applyNumberFormat="1" applyFont="1" applyFill="1" applyBorder="1" applyAlignment="1" applyProtection="1">
      <alignment horizontal="center" vertical="center" wrapText="1"/>
    </xf>
    <xf numFmtId="49" fontId="4" fillId="25" borderId="24" xfId="315" applyNumberFormat="1" applyFont="1" applyFill="1" applyBorder="1" applyAlignment="1" applyProtection="1">
      <alignment horizontal="center" vertical="center" wrapText="1"/>
    </xf>
    <xf numFmtId="0" fontId="4" fillId="31" borderId="24" xfId="0" applyFont="1" applyFill="1" applyBorder="1" applyAlignment="1" applyProtection="1">
      <alignment vertical="center" wrapText="1"/>
    </xf>
    <xf numFmtId="0" fontId="4" fillId="36" borderId="46" xfId="71" applyFill="1" applyBorder="1" applyAlignment="1" applyProtection="1">
      <alignment horizontal="left" vertical="center" wrapText="1"/>
    </xf>
    <xf numFmtId="0" fontId="4" fillId="31" borderId="24" xfId="0" applyFont="1" applyFill="1" applyBorder="1" applyAlignment="1" applyProtection="1">
      <alignment horizontal="center" vertical="center" wrapText="1"/>
    </xf>
    <xf numFmtId="164" fontId="4" fillId="25" borderId="24" xfId="87" applyFont="1" applyFill="1" applyBorder="1" applyAlignment="1" applyProtection="1">
      <alignment vertical="center" shrinkToFit="1"/>
    </xf>
    <xf numFmtId="164" fontId="4" fillId="25" borderId="34" xfId="87" applyFont="1" applyFill="1" applyBorder="1" applyAlignment="1" applyProtection="1">
      <alignment vertical="center" shrinkToFit="1"/>
    </xf>
    <xf numFmtId="0" fontId="4" fillId="25" borderId="25" xfId="0" applyFont="1" applyFill="1" applyBorder="1" applyAlignment="1" applyProtection="1">
      <alignment horizontal="center" textRotation="90" wrapText="1"/>
    </xf>
  </cellXfs>
  <cellStyles count="340">
    <cellStyle name="20% - Accent1" xfId="1"/>
    <cellStyle name="20% - Accent2" xfId="2"/>
    <cellStyle name="20% - Accent3" xfId="3"/>
    <cellStyle name="20% - Accent4" xfId="4"/>
    <cellStyle name="20% - Accent5" xfId="5"/>
    <cellStyle name="20% - Accent6" xfId="6"/>
    <cellStyle name="20% - Ênfase1" xfId="7" builtinId="30" customBuiltin="1"/>
    <cellStyle name="20% - Ênfase1 2" xfId="131"/>
    <cellStyle name="20% - Ênfase1 3" xfId="89"/>
    <cellStyle name="20% - Ênfase2" xfId="8" builtinId="34" customBuiltin="1"/>
    <cellStyle name="20% - Ênfase2 2" xfId="132"/>
    <cellStyle name="20% - Ênfase2 3" xfId="90"/>
    <cellStyle name="20% - Ênfase3" xfId="9" builtinId="38" customBuiltin="1"/>
    <cellStyle name="20% - Ênfase3 2" xfId="133"/>
    <cellStyle name="20% - Ênfase3 3" xfId="91"/>
    <cellStyle name="20% - Ênfase4" xfId="10" builtinId="42" customBuiltin="1"/>
    <cellStyle name="20% - Ênfase4 2" xfId="134"/>
    <cellStyle name="20% - Ênfase4 3" xfId="92"/>
    <cellStyle name="20% - Ênfase5" xfId="11" builtinId="46" customBuiltin="1"/>
    <cellStyle name="20% - Ênfase5 2" xfId="135"/>
    <cellStyle name="20% - Ênfase5 3" xfId="93"/>
    <cellStyle name="20% - Ênfase6" xfId="12" builtinId="50" customBuiltin="1"/>
    <cellStyle name="20% - Ênfase6 2" xfId="136"/>
    <cellStyle name="20% - Ênfase6 3" xfId="94"/>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1 2" xfId="137"/>
    <cellStyle name="40% - Ênfase1 3" xfId="95"/>
    <cellStyle name="40% - Ênfase2" xfId="20" builtinId="35" customBuiltin="1"/>
    <cellStyle name="40% - Ênfase2 2" xfId="138"/>
    <cellStyle name="40% - Ênfase2 3" xfId="96"/>
    <cellStyle name="40% - Ênfase3" xfId="21" builtinId="39" customBuiltin="1"/>
    <cellStyle name="40% - Ênfase3 2" xfId="139"/>
    <cellStyle name="40% - Ênfase3 3" xfId="97"/>
    <cellStyle name="40% - Ênfase4" xfId="22" builtinId="43" customBuiltin="1"/>
    <cellStyle name="40% - Ênfase4 2" xfId="140"/>
    <cellStyle name="40% - Ênfase4 3" xfId="98"/>
    <cellStyle name="40% - Ênfase5" xfId="23" builtinId="47" customBuiltin="1"/>
    <cellStyle name="40% - Ênfase5 2" xfId="141"/>
    <cellStyle name="40% - Ênfase5 3" xfId="99"/>
    <cellStyle name="40% - Ênfase6" xfId="24" builtinId="51" customBuiltin="1"/>
    <cellStyle name="40% - Ênfase6 2" xfId="142"/>
    <cellStyle name="40% - Ênfase6 3" xfId="100"/>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1 2" xfId="143"/>
    <cellStyle name="60% - Ênfase1 3" xfId="101"/>
    <cellStyle name="60% - Ênfase2" xfId="32" builtinId="36" customBuiltin="1"/>
    <cellStyle name="60% - Ênfase2 2" xfId="144"/>
    <cellStyle name="60% - Ênfase2 3" xfId="102"/>
    <cellStyle name="60% - Ênfase3" xfId="33" builtinId="40" customBuiltin="1"/>
    <cellStyle name="60% - Ênfase3 2" xfId="145"/>
    <cellStyle name="60% - Ênfase3 3" xfId="103"/>
    <cellStyle name="60% - Ênfase4" xfId="34" builtinId="44" customBuiltin="1"/>
    <cellStyle name="60% - Ênfase4 2" xfId="146"/>
    <cellStyle name="60% - Ênfase4 3" xfId="104"/>
    <cellStyle name="60% - Ênfase5" xfId="35" builtinId="48" customBuiltin="1"/>
    <cellStyle name="60% - Ênfase5 2" xfId="147"/>
    <cellStyle name="60% - Ênfase5 3" xfId="105"/>
    <cellStyle name="60% - Ênfase6" xfId="36" builtinId="52" customBuiltin="1"/>
    <cellStyle name="60% - Ênfase6 2" xfId="148"/>
    <cellStyle name="60% - Ênfase6 3" xfId="106"/>
    <cellStyle name="Accent1" xfId="37"/>
    <cellStyle name="Accent2" xfId="38"/>
    <cellStyle name="Accent3" xfId="39"/>
    <cellStyle name="Accent4" xfId="40"/>
    <cellStyle name="Accent5" xfId="41"/>
    <cellStyle name="Accent6" xfId="42"/>
    <cellStyle name="Bad" xfId="43"/>
    <cellStyle name="Bom" xfId="44" builtinId="26" customBuiltin="1"/>
    <cellStyle name="Bom 2" xfId="149"/>
    <cellStyle name="Bom 3" xfId="107"/>
    <cellStyle name="Calculation" xfId="45"/>
    <cellStyle name="Calculation 2" xfId="283"/>
    <cellStyle name="Cálculo" xfId="46" builtinId="22" customBuiltin="1"/>
    <cellStyle name="Cálculo 10" xfId="184"/>
    <cellStyle name="Cálculo 11" xfId="198"/>
    <cellStyle name="Cálculo 12" xfId="228"/>
    <cellStyle name="Cálculo 13" xfId="172"/>
    <cellStyle name="Cálculo 14" xfId="189"/>
    <cellStyle name="Cálculo 15" xfId="234"/>
    <cellStyle name="Cálculo 16" xfId="249"/>
    <cellStyle name="Cálculo 17" xfId="255"/>
    <cellStyle name="Cálculo 18" xfId="248"/>
    <cellStyle name="Cálculo 19" xfId="250"/>
    <cellStyle name="Cálculo 2" xfId="150"/>
    <cellStyle name="Cálculo 20" xfId="246"/>
    <cellStyle name="Cálculo 21" xfId="251"/>
    <cellStyle name="Cálculo 22" xfId="245"/>
    <cellStyle name="Cálculo 23" xfId="253"/>
    <cellStyle name="Cálculo 24" xfId="242"/>
    <cellStyle name="Cálculo 25" xfId="108"/>
    <cellStyle name="Cálculo 25 2" xfId="284"/>
    <cellStyle name="Cálculo 3" xfId="194"/>
    <cellStyle name="Cálculo 4" xfId="188"/>
    <cellStyle name="Cálculo 5" xfId="195"/>
    <cellStyle name="Cálculo 6" xfId="186"/>
    <cellStyle name="Cálculo 7" xfId="196"/>
    <cellStyle name="Cálculo 8" xfId="199"/>
    <cellStyle name="Cálculo 9" xfId="191"/>
    <cellStyle name="Célula de Verificação" xfId="47" builtinId="23" customBuiltin="1"/>
    <cellStyle name="Célula de Verificação 2" xfId="151"/>
    <cellStyle name="Célula de Verificação 3" xfId="109"/>
    <cellStyle name="Célula Vinculada" xfId="48" builtinId="24" customBuiltin="1"/>
    <cellStyle name="Check Cell" xfId="49"/>
    <cellStyle name="Ênfase1" xfId="50" builtinId="29" customBuiltin="1"/>
    <cellStyle name="Ênfase1 2" xfId="152"/>
    <cellStyle name="Ênfase1 3" xfId="110"/>
    <cellStyle name="Ênfase2" xfId="51" builtinId="33" customBuiltin="1"/>
    <cellStyle name="Ênfase2 2" xfId="153"/>
    <cellStyle name="Ênfase2 3" xfId="111"/>
    <cellStyle name="Ênfase3" xfId="52" builtinId="37" customBuiltin="1"/>
    <cellStyle name="Ênfase3 2" xfId="154"/>
    <cellStyle name="Ênfase3 3" xfId="112"/>
    <cellStyle name="Ênfase4" xfId="53" builtinId="41" customBuiltin="1"/>
    <cellStyle name="Ênfase4 2" xfId="155"/>
    <cellStyle name="Ênfase4 3" xfId="113"/>
    <cellStyle name="Ênfase5" xfId="54" builtinId="45" customBuiltin="1"/>
    <cellStyle name="Ênfase5 2" xfId="156"/>
    <cellStyle name="Ênfase5 3" xfId="114"/>
    <cellStyle name="Ênfase6" xfId="55" builtinId="49" customBuiltin="1"/>
    <cellStyle name="Ênfase6 2" xfId="157"/>
    <cellStyle name="Ênfase6 3" xfId="115"/>
    <cellStyle name="Entrada" xfId="56" builtinId="20" customBuiltin="1"/>
    <cellStyle name="Entrada 10" xfId="211"/>
    <cellStyle name="Entrada 11" xfId="214"/>
    <cellStyle name="Entrada 12" xfId="217"/>
    <cellStyle name="Entrada 13" xfId="192"/>
    <cellStyle name="Entrada 14" xfId="216"/>
    <cellStyle name="Entrada 15" xfId="193"/>
    <cellStyle name="Entrada 16" xfId="256"/>
    <cellStyle name="Entrada 17" xfId="247"/>
    <cellStyle name="Entrada 18" xfId="257"/>
    <cellStyle name="Entrada 19" xfId="270"/>
    <cellStyle name="Entrada 2" xfId="158"/>
    <cellStyle name="Entrada 20" xfId="252"/>
    <cellStyle name="Entrada 21" xfId="243"/>
    <cellStyle name="Entrada 22" xfId="254"/>
    <cellStyle name="Entrada 23" xfId="265"/>
    <cellStyle name="Entrada 24" xfId="276"/>
    <cellStyle name="Entrada 25" xfId="116"/>
    <cellStyle name="Entrada 25 2" xfId="285"/>
    <cellStyle name="Entrada 3" xfId="187"/>
    <cellStyle name="Entrada 4" xfId="171"/>
    <cellStyle name="Entrada 5" xfId="185"/>
    <cellStyle name="Entrada 6" xfId="197"/>
    <cellStyle name="Entrada 7" xfId="210"/>
    <cellStyle name="Entrada 8" xfId="190"/>
    <cellStyle name="Entrada 9" xfId="213"/>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correto 2" xfId="159"/>
    <cellStyle name="Input" xfId="65"/>
    <cellStyle name="Input 2" xfId="286"/>
    <cellStyle name="Linked Cell" xfId="66"/>
    <cellStyle name="Moeda 2" xfId="67"/>
    <cellStyle name="Moeda 2 2" xfId="291"/>
    <cellStyle name="Moeda 2 3" xfId="290"/>
    <cellStyle name="Moeda 3" xfId="117"/>
    <cellStyle name="Moeda 3 2" xfId="293"/>
    <cellStyle name="Moeda 3 2 2" xfId="317"/>
    <cellStyle name="Moeda 3 2 3" xfId="329"/>
    <cellStyle name="Moeda 3 3" xfId="292"/>
    <cellStyle name="Moeda 3 4" xfId="316"/>
    <cellStyle name="Moeda 3 5" xfId="328"/>
    <cellStyle name="Moeda_Composicao BDI v2.1" xfId="68"/>
    <cellStyle name="Neutra" xfId="69" builtinId="28" customBuiltin="1"/>
    <cellStyle name="Neutra 2" xfId="160"/>
    <cellStyle name="Neutral" xfId="70"/>
    <cellStyle name="Normal" xfId="0" builtinId="0"/>
    <cellStyle name="Normal 2" xfId="71"/>
    <cellStyle name="Normal 2 2" xfId="294"/>
    <cellStyle name="Normal 3" xfId="118"/>
    <cellStyle name="Normal 3 2" xfId="295"/>
    <cellStyle name="Normal 3 2 2" xfId="318"/>
    <cellStyle name="Normal 3 2 3" xfId="330"/>
    <cellStyle name="Normal 4" xfId="209"/>
    <cellStyle name="Normal 4 2" xfId="296"/>
    <cellStyle name="Normal 5" xfId="289"/>
    <cellStyle name="Normal 6" xfId="282"/>
    <cellStyle name="Normal 7" xfId="315"/>
    <cellStyle name="Normal_FICHA DE VERIFICAÇÃO PRELIMINAR - Plano R" xfId="72"/>
    <cellStyle name="Nota" xfId="73" builtinId="10" customBuiltin="1"/>
    <cellStyle name="Nota 10" xfId="222"/>
    <cellStyle name="Nota 11" xfId="179"/>
    <cellStyle name="Nota 12" xfId="202"/>
    <cellStyle name="Nota 13" xfId="231"/>
    <cellStyle name="Nota 14" xfId="174"/>
    <cellStyle name="Nota 15" xfId="225"/>
    <cellStyle name="Nota 16" xfId="259"/>
    <cellStyle name="Nota 17" xfId="244"/>
    <cellStyle name="Nota 18" xfId="260"/>
    <cellStyle name="Nota 19" xfId="240"/>
    <cellStyle name="Nota 2" xfId="161"/>
    <cellStyle name="Nota 20" xfId="271"/>
    <cellStyle name="Nota 21" xfId="239"/>
    <cellStyle name="Nota 22" xfId="258"/>
    <cellStyle name="Nota 23" xfId="238"/>
    <cellStyle name="Nota 24" xfId="267"/>
    <cellStyle name="Nota 25" xfId="119"/>
    <cellStyle name="Nota 3" xfId="183"/>
    <cellStyle name="Nota 4" xfId="200"/>
    <cellStyle name="Nota 5" xfId="182"/>
    <cellStyle name="Nota 6" xfId="201"/>
    <cellStyle name="Nota 7" xfId="181"/>
    <cellStyle name="Nota 8" xfId="220"/>
    <cellStyle name="Nota 9" xfId="206"/>
    <cellStyle name="Note" xfId="74"/>
    <cellStyle name="Output" xfId="75"/>
    <cellStyle name="Output 2" xfId="287"/>
    <cellStyle name="Porcentagem" xfId="76" builtinId="5"/>
    <cellStyle name="Porcentagem 2" xfId="121"/>
    <cellStyle name="Porcentagem 2 2" xfId="298"/>
    <cellStyle name="Porcentagem 2 2 2" xfId="319"/>
    <cellStyle name="Porcentagem 2 2 3" xfId="331"/>
    <cellStyle name="Porcentagem 3" xfId="162"/>
    <cellStyle name="Porcentagem 3 2" xfId="299"/>
    <cellStyle name="Porcentagem 4" xfId="120"/>
    <cellStyle name="Porcentagem 4 2" xfId="297"/>
    <cellStyle name="Saída" xfId="77" builtinId="21" customBuiltin="1"/>
    <cellStyle name="Saída 10" xfId="227"/>
    <cellStyle name="Saída 11" xfId="176"/>
    <cellStyle name="Saída 12" xfId="207"/>
    <cellStyle name="Saída 13" xfId="233"/>
    <cellStyle name="Saída 14" xfId="229"/>
    <cellStyle name="Saída 15" xfId="204"/>
    <cellStyle name="Saída 16" xfId="262"/>
    <cellStyle name="Saída 17" xfId="241"/>
    <cellStyle name="Saída 18" xfId="263"/>
    <cellStyle name="Saída 19" xfId="236"/>
    <cellStyle name="Saída 2" xfId="163"/>
    <cellStyle name="Saída 20" xfId="273"/>
    <cellStyle name="Saída 21" xfId="269"/>
    <cellStyle name="Saída 22" xfId="261"/>
    <cellStyle name="Saída 23" xfId="274"/>
    <cellStyle name="Saída 24" xfId="264"/>
    <cellStyle name="Saída 25" xfId="122"/>
    <cellStyle name="Saída 25 2" xfId="288"/>
    <cellStyle name="Saída 3" xfId="180"/>
    <cellStyle name="Saída 4" xfId="203"/>
    <cellStyle name="Saída 5" xfId="178"/>
    <cellStyle name="Saída 6" xfId="205"/>
    <cellStyle name="Saída 7" xfId="177"/>
    <cellStyle name="Saída 8" xfId="223"/>
    <cellStyle name="Saída 9" xfId="208"/>
    <cellStyle name="Separador de milhares 2" xfId="300"/>
    <cellStyle name="Separador de milhares 2 2" xfId="301"/>
    <cellStyle name="Separador de milhares 2 2 2" xfId="302"/>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1 2" xfId="165"/>
    <cellStyle name="Título 1 3" xfId="123"/>
    <cellStyle name="Título 2" xfId="83" builtinId="17" customBuiltin="1"/>
    <cellStyle name="Título 2 2" xfId="166"/>
    <cellStyle name="Título 2 3" xfId="124"/>
    <cellStyle name="Título 3" xfId="84" builtinId="18" customBuiltin="1"/>
    <cellStyle name="Título 3 2" xfId="167"/>
    <cellStyle name="Título 3 3" xfId="125"/>
    <cellStyle name="Título 4" xfId="85" builtinId="19" customBuiltin="1"/>
    <cellStyle name="Título 4 2" xfId="168"/>
    <cellStyle name="Título 4 3" xfId="126"/>
    <cellStyle name="Título 5" xfId="127"/>
    <cellStyle name="Título 6" xfId="164"/>
    <cellStyle name="Total" xfId="86" builtinId="25" customBuiltin="1"/>
    <cellStyle name="Total 10" xfId="224"/>
    <cellStyle name="Total 11" xfId="230"/>
    <cellStyle name="Total 12" xfId="232"/>
    <cellStyle name="Total 13" xfId="219"/>
    <cellStyle name="Total 14" xfId="235"/>
    <cellStyle name="Total 15" xfId="237"/>
    <cellStyle name="Total 16" xfId="266"/>
    <cellStyle name="Total 17" xfId="268"/>
    <cellStyle name="Total 18" xfId="272"/>
    <cellStyle name="Total 19" xfId="275"/>
    <cellStyle name="Total 2" xfId="169"/>
    <cellStyle name="Total 20" xfId="277"/>
    <cellStyle name="Total 21" xfId="278"/>
    <cellStyle name="Total 22" xfId="279"/>
    <cellStyle name="Total 23" xfId="280"/>
    <cellStyle name="Total 24" xfId="281"/>
    <cellStyle name="Total 25" xfId="128"/>
    <cellStyle name="Total 3" xfId="175"/>
    <cellStyle name="Total 4" xfId="212"/>
    <cellStyle name="Total 5" xfId="215"/>
    <cellStyle name="Total 6" xfId="218"/>
    <cellStyle name="Total 7" xfId="221"/>
    <cellStyle name="Total 8" xfId="173"/>
    <cellStyle name="Total 9" xfId="226"/>
    <cellStyle name="Vírgula" xfId="87" builtinId="3"/>
    <cellStyle name="Vírgula 2" xfId="130"/>
    <cellStyle name="Vírgula 2 2" xfId="304"/>
    <cellStyle name="Vírgula 2 2 2" xfId="305"/>
    <cellStyle name="Vírgula 2 2 2 2" xfId="322"/>
    <cellStyle name="Vírgula 2 2 2 3" xfId="334"/>
    <cellStyle name="Vírgula 2 2 3" xfId="321"/>
    <cellStyle name="Vírgula 2 2 4" xfId="333"/>
    <cellStyle name="Vírgula 2 3" xfId="306"/>
    <cellStyle name="Vírgula 2 3 2" xfId="307"/>
    <cellStyle name="Vírgula 2 3 2 2" xfId="324"/>
    <cellStyle name="Vírgula 2 3 2 3" xfId="336"/>
    <cellStyle name="Vírgula 2 3 3" xfId="323"/>
    <cellStyle name="Vírgula 2 3 4" xfId="335"/>
    <cellStyle name="Vírgula 2 4" xfId="308"/>
    <cellStyle name="Vírgula 2 4 2" xfId="325"/>
    <cellStyle name="Vírgula 2 4 3" xfId="337"/>
    <cellStyle name="Vírgula 2 5" xfId="303"/>
    <cellStyle name="Vírgula 2 5 2" xfId="320"/>
    <cellStyle name="Vírgula 2 5 3" xfId="332"/>
    <cellStyle name="Vírgula 3" xfId="170"/>
    <cellStyle name="Vírgula 3 2" xfId="310"/>
    <cellStyle name="Vírgula 3 2 2" xfId="311"/>
    <cellStyle name="Vírgula 3 2 2 2" xfId="327"/>
    <cellStyle name="Vírgula 3 2 2 3" xfId="339"/>
    <cellStyle name="Vírgula 3 2 3" xfId="326"/>
    <cellStyle name="Vírgula 3 2 4" xfId="338"/>
    <cellStyle name="Vírgula 3 3" xfId="312"/>
    <cellStyle name="Vírgula 3 4" xfId="309"/>
    <cellStyle name="Vírgula 4" xfId="129"/>
    <cellStyle name="Vírgula 4 2" xfId="314"/>
    <cellStyle name="Vírgula 4 3" xfId="313"/>
    <cellStyle name="Warning Text" xfId="88"/>
  </cellStyles>
  <dxfs count="578">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8.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 xmlns:a16="http://schemas.microsoft.com/office/drawing/2014/main" id="{00000000-0008-0000-0100-0000B4600200}"/>
                </a:ext>
              </a:extLst>
            </xdr:cNvPr>
            <xdr:cNvPicPr>
              <a:picLocks noChangeArrowheads="1"/>
              <a:extLst>
                <a:ext uri="{84589F7E-364E-4C9E-8A38-B11213B215E9}">
                  <a14:cameraTool cellRange="PO!$T$1:$T$2" spid="_x0000_s155684"/>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 xmlns:a16="http://schemas.microsoft.com/office/drawing/2014/main" id="{00000000-0008-0000-0100-0000DC6102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637823</xdr:colOff>
          <xdr:row>2</xdr:row>
          <xdr:rowOff>12773</xdr:rowOff>
        </xdr:to>
        <xdr:pic>
          <xdr:nvPicPr>
            <xdr:cNvPr id="5" name="SigiloPic">
              <a:extLst>
                <a:ext uri="{FF2B5EF4-FFF2-40B4-BE49-F238E27FC236}">
                  <a16:creationId xmlns="" xmlns:a16="http://schemas.microsoft.com/office/drawing/2014/main" id="{00000000-0008-0000-0100-0000B4600200}"/>
                </a:ext>
              </a:extLst>
            </xdr:cNvPr>
            <xdr:cNvPicPr>
              <a:picLocks noChangeArrowheads="1"/>
              <a:extLst>
                <a:ext uri="{84589F7E-364E-4C9E-8A38-B11213B215E9}">
                  <a14:cameraTool cellRange="PO!$T$1:$T$2" spid="_x0000_s285770"/>
                </a:ext>
              </a:extLst>
            </xdr:cNvPicPr>
          </xdr:nvPicPr>
          <xdr:blipFill>
            <a:blip xmlns:r="http://schemas.openxmlformats.org/officeDocument/2006/relationships" r:embed="rId2"/>
            <a:srcRect/>
            <a:stretch>
              <a:fillRect/>
            </a:stretch>
          </xdr:blipFill>
          <xdr:spPr bwMode="auto">
            <a:xfrm>
              <a:off x="6219825" y="28575"/>
              <a:ext cx="1044677" cy="337984"/>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 xmlns:a16="http://schemas.microsoft.com/office/drawing/2014/main"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 xmlns:a16="http://schemas.microsoft.com/office/drawing/2014/main" id="{00000000-0008-0000-0200-00009A050300}"/>
                </a:ext>
              </a:extLst>
            </xdr:cNvPr>
            <xdr:cNvPicPr>
              <a:picLocks noChangeArrowheads="1"/>
              <a:extLst>
                <a:ext uri="{84589F7E-364E-4C9E-8A38-B11213B215E9}">
                  <a14:cameraTool cellRange="DADOS!$A$220:$X$230" spid="_x0000_s197739"/>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432</xdr:row>
          <xdr:rowOff>0</xdr:rowOff>
        </xdr:from>
        <xdr:to>
          <xdr:col>19</xdr:col>
          <xdr:colOff>123825</xdr:colOff>
          <xdr:row>436</xdr:row>
          <xdr:rowOff>142875</xdr:rowOff>
        </xdr:to>
        <xdr:pic>
          <xdr:nvPicPr>
            <xdr:cNvPr id="198043" name="Picture 483">
              <a:extLst>
                <a:ext uri="{FF2B5EF4-FFF2-40B4-BE49-F238E27FC236}">
                  <a16:creationId xmlns="" xmlns:a16="http://schemas.microsoft.com/office/drawing/2014/main" id="{00000000-0008-0000-0200-00009B050300}"/>
                </a:ext>
              </a:extLst>
            </xdr:cNvPr>
            <xdr:cNvPicPr>
              <a:picLocks noChangeArrowheads="1"/>
              <a:extLst>
                <a:ext uri="{84589F7E-364E-4C9E-8A38-B11213B215E9}">
                  <a14:cameraTool cellRange="DADOS!$A$53:$K$57" spid="_x0000_s197740"/>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 xmlns:a16="http://schemas.microsoft.com/office/drawing/2014/main" id="{00000000-0008-0000-0300-0000C57E0000}"/>
                </a:ext>
              </a:extLst>
            </xdr:cNvPr>
            <xdr:cNvPicPr>
              <a:picLocks noChangeArrowheads="1"/>
              <a:extLst>
                <a:ext uri="{84589F7E-364E-4C9E-8A38-B11213B215E9}">
                  <a14:cameraTool cellRange="DADOS!$A$220:$X$230" spid="_x0000_s31885"/>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 xmlns:a16="http://schemas.microsoft.com/office/drawing/2014/main" id="{00000000-0008-0000-0300-0000C67E0000}"/>
                </a:ext>
              </a:extLst>
            </xdr:cNvPr>
            <xdr:cNvPicPr>
              <a:picLocks noChangeArrowheads="1"/>
              <a:extLst>
                <a:ext uri="{84589F7E-364E-4C9E-8A38-B11213B215E9}">
                  <a14:cameraTool cellRange="DADOS!$A$220:$X$230" spid="_x0000_s31886"/>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423</xdr:row>
          <xdr:rowOff>9525</xdr:rowOff>
        </xdr:from>
        <xdr:to>
          <xdr:col>14</xdr:col>
          <xdr:colOff>28575</xdr:colOff>
          <xdr:row>427</xdr:row>
          <xdr:rowOff>152400</xdr:rowOff>
        </xdr:to>
        <xdr:pic>
          <xdr:nvPicPr>
            <xdr:cNvPr id="32455" name="Picture 483">
              <a:extLst>
                <a:ext uri="{FF2B5EF4-FFF2-40B4-BE49-F238E27FC236}">
                  <a16:creationId xmlns="" xmlns:a16="http://schemas.microsoft.com/office/drawing/2014/main" id="{00000000-0008-0000-0300-0000C77E0000}"/>
                </a:ext>
              </a:extLst>
            </xdr:cNvPr>
            <xdr:cNvPicPr>
              <a:picLocks noChangeArrowheads="1"/>
              <a:extLst>
                <a:ext uri="{84589F7E-364E-4C9E-8A38-B11213B215E9}">
                  <a14:cameraTool cellRange="DADOS!$A$53:$K$57" spid="_x0000_s31887"/>
                </a:ext>
              </a:extLst>
            </xdr:cNvPicPr>
          </xdr:nvPicPr>
          <xdr:blipFill>
            <a:blip xmlns:r="http://schemas.openxmlformats.org/officeDocument/2006/relationships" r:embed="rId3"/>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 xmlns:a16="http://schemas.microsoft.com/office/drawing/2014/main" id="{00000000-0008-0000-0300-0000C87E0000}"/>
                </a:ext>
              </a:extLst>
            </xdr:cNvPr>
            <xdr:cNvPicPr>
              <a:picLocks noChangeArrowheads="1"/>
              <a:extLst>
                <a:ext uri="{84589F7E-364E-4C9E-8A38-B11213B215E9}">
                  <a14:cameraTool cellRange="PO!$T$1:$T$2" spid="_x0000_s31888"/>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 xmlns:a16="http://schemas.microsoft.com/office/drawing/2014/main" id="{00000000-0008-0000-0400-0000AF150300}"/>
                </a:ext>
              </a:extLst>
            </xdr:cNvPr>
            <xdr:cNvPicPr>
              <a:picLocks noChangeArrowheads="1"/>
              <a:extLst>
                <a:ext uri="{84589F7E-364E-4C9E-8A38-B11213B215E9}">
                  <a14:cameraTool cellRange="DADOS!$A$220:$X$230" spid="_x0000_s29163"/>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 xmlns:a16="http://schemas.microsoft.com/office/drawing/2014/main" id="{00000000-0008-0000-0400-0000B0150300}"/>
                </a:ext>
              </a:extLst>
            </xdr:cNvPr>
            <xdr:cNvPicPr>
              <a:picLocks noChangeArrowheads="1"/>
              <a:extLst>
                <a:ext uri="{84589F7E-364E-4C9E-8A38-B11213B215E9}">
                  <a14:cameraTool cellRange="DADOS!$A$220:$X$230" spid="_x0000_s29164"/>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52</xdr:row>
          <xdr:rowOff>0</xdr:rowOff>
        </xdr:from>
        <xdr:to>
          <xdr:col>22</xdr:col>
          <xdr:colOff>28575</xdr:colOff>
          <xdr:row>56</xdr:row>
          <xdr:rowOff>142875</xdr:rowOff>
        </xdr:to>
        <xdr:pic>
          <xdr:nvPicPr>
            <xdr:cNvPr id="202161" name="Picture 483">
              <a:extLst>
                <a:ext uri="{FF2B5EF4-FFF2-40B4-BE49-F238E27FC236}">
                  <a16:creationId xmlns="" xmlns:a16="http://schemas.microsoft.com/office/drawing/2014/main" id="{00000000-0008-0000-0400-0000B1150300}"/>
                </a:ext>
              </a:extLst>
            </xdr:cNvPr>
            <xdr:cNvPicPr>
              <a:picLocks noChangeArrowheads="1"/>
              <a:extLst>
                <a:ext uri="{84589F7E-364E-4C9E-8A38-B11213B215E9}">
                  <a14:cameraTool cellRange="DADOS!$A$53:$K$57" spid="_x0000_s29165"/>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 xmlns:a16="http://schemas.microsoft.com/office/drawing/2014/main" id="{00000000-0008-0000-0400-0000B2150300}"/>
                </a:ext>
              </a:extLst>
            </xdr:cNvPr>
            <xdr:cNvPicPr>
              <a:picLocks noChangeArrowheads="1"/>
              <a:extLst>
                <a:ext uri="{84589F7E-364E-4C9E-8A38-B11213B215E9}">
                  <a14:cameraTool cellRange="PO!$T$1:$T$2" spid="_x0000_s29166"/>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3" name="Picture 2483">
              <a:extLst>
                <a:ext uri="{FF2B5EF4-FFF2-40B4-BE49-F238E27FC236}">
                  <a16:creationId xmlns="" xmlns:a16="http://schemas.microsoft.com/office/drawing/2014/main" id="{00000000-0008-0000-0400-0000B3150300}"/>
                </a:ext>
              </a:extLst>
            </xdr:cNvPr>
            <xdr:cNvPicPr>
              <a:picLocks noChangeArrowheads="1"/>
              <a:extLst>
                <a:ext uri="{84589F7E-364E-4C9E-8A38-B11213B215E9}">
                  <a14:cameraTool cellRange="DADOS!$A$53:$K$57" spid="_x0000_s29167"/>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a:extLst>
                <a:ext uri="{FF2B5EF4-FFF2-40B4-BE49-F238E27FC236}">
                  <a16:creationId xmlns="" xmlns:a16="http://schemas.microsoft.com/office/drawing/2014/main" id="{00000000-0008-0000-0400-0000B4150300}"/>
                </a:ext>
              </a:extLst>
            </xdr:cNvPr>
            <xdr:cNvPicPr>
              <a:picLocks noChangeArrowheads="1"/>
              <a:extLst>
                <a:ext uri="{84589F7E-364E-4C9E-8A38-B11213B215E9}">
                  <a14:cameraTool cellRange="PO!$T$1:$T$2" spid="_x0000_s2916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5" name="Picture 2485">
              <a:extLst>
                <a:ext uri="{FF2B5EF4-FFF2-40B4-BE49-F238E27FC236}">
                  <a16:creationId xmlns="" xmlns:a16="http://schemas.microsoft.com/office/drawing/2014/main" id="{00000000-0008-0000-0400-0000B5150300}"/>
                </a:ext>
              </a:extLst>
            </xdr:cNvPr>
            <xdr:cNvPicPr>
              <a:picLocks noChangeArrowheads="1"/>
              <a:extLst>
                <a:ext uri="{84589F7E-364E-4C9E-8A38-B11213B215E9}">
                  <a14:cameraTool cellRange="DADOS!$A$53:$K$57" spid="_x0000_s29169"/>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a:extLst>
                <a:ext uri="{FF2B5EF4-FFF2-40B4-BE49-F238E27FC236}">
                  <a16:creationId xmlns="" xmlns:a16="http://schemas.microsoft.com/office/drawing/2014/main" id="{00000000-0008-0000-0400-0000B6150300}"/>
                </a:ext>
              </a:extLst>
            </xdr:cNvPr>
            <xdr:cNvPicPr>
              <a:picLocks noChangeArrowheads="1"/>
              <a:extLst>
                <a:ext uri="{84589F7E-364E-4C9E-8A38-B11213B215E9}">
                  <a14:cameraTool cellRange="PO!$T$1:$T$2" spid="_x0000_s2917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7" name="Picture 2487">
              <a:extLst>
                <a:ext uri="{FF2B5EF4-FFF2-40B4-BE49-F238E27FC236}">
                  <a16:creationId xmlns="" xmlns:a16="http://schemas.microsoft.com/office/drawing/2014/main" id="{00000000-0008-0000-0400-0000B7150300}"/>
                </a:ext>
              </a:extLst>
            </xdr:cNvPr>
            <xdr:cNvPicPr>
              <a:picLocks noChangeArrowheads="1"/>
              <a:extLst>
                <a:ext uri="{84589F7E-364E-4C9E-8A38-B11213B215E9}">
                  <a14:cameraTool cellRange="DADOS!$A$53:$K$57" spid="_x0000_s29171"/>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a:extLst>
                <a:ext uri="{FF2B5EF4-FFF2-40B4-BE49-F238E27FC236}">
                  <a16:creationId xmlns="" xmlns:a16="http://schemas.microsoft.com/office/drawing/2014/main" id="{00000000-0008-0000-0400-0000B8150300}"/>
                </a:ext>
              </a:extLst>
            </xdr:cNvPr>
            <xdr:cNvPicPr>
              <a:picLocks noChangeArrowheads="1"/>
              <a:extLst>
                <a:ext uri="{84589F7E-364E-4C9E-8A38-B11213B215E9}">
                  <a14:cameraTool cellRange="PO!$T$1:$T$2" spid="_x0000_s2917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9" name="Picture 2489">
              <a:extLst>
                <a:ext uri="{FF2B5EF4-FFF2-40B4-BE49-F238E27FC236}">
                  <a16:creationId xmlns="" xmlns:a16="http://schemas.microsoft.com/office/drawing/2014/main" id="{00000000-0008-0000-0400-0000B9150300}"/>
                </a:ext>
              </a:extLst>
            </xdr:cNvPr>
            <xdr:cNvPicPr>
              <a:picLocks noChangeArrowheads="1"/>
              <a:extLst>
                <a:ext uri="{84589F7E-364E-4C9E-8A38-B11213B215E9}">
                  <a14:cameraTool cellRange="DADOS!$A$53:$K$57" spid="_x0000_s29173"/>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a:extLst>
                <a:ext uri="{FF2B5EF4-FFF2-40B4-BE49-F238E27FC236}">
                  <a16:creationId xmlns="" xmlns:a16="http://schemas.microsoft.com/office/drawing/2014/main" id="{00000000-0008-0000-0400-0000BA150300}"/>
                </a:ext>
              </a:extLst>
            </xdr:cNvPr>
            <xdr:cNvPicPr>
              <a:picLocks noChangeArrowheads="1"/>
              <a:extLst>
                <a:ext uri="{84589F7E-364E-4C9E-8A38-B11213B215E9}">
                  <a14:cameraTool cellRange="PO!$T$1:$T$2" spid="_x0000_s2917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71" name="Picture 2491">
              <a:extLst>
                <a:ext uri="{FF2B5EF4-FFF2-40B4-BE49-F238E27FC236}">
                  <a16:creationId xmlns="" xmlns:a16="http://schemas.microsoft.com/office/drawing/2014/main" id="{00000000-0008-0000-0400-0000BB150300}"/>
                </a:ext>
              </a:extLst>
            </xdr:cNvPr>
            <xdr:cNvPicPr>
              <a:picLocks noChangeArrowheads="1"/>
              <a:extLst>
                <a:ext uri="{84589F7E-364E-4C9E-8A38-B11213B215E9}">
                  <a14:cameraTool cellRange="DADOS!$A$53:$K$57" spid="_x0000_s29175"/>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a:extLst>
                <a:ext uri="{FF2B5EF4-FFF2-40B4-BE49-F238E27FC236}">
                  <a16:creationId xmlns="" xmlns:a16="http://schemas.microsoft.com/office/drawing/2014/main" id="{00000000-0008-0000-0400-0000BC150300}"/>
                </a:ext>
              </a:extLst>
            </xdr:cNvPr>
            <xdr:cNvPicPr>
              <a:picLocks noChangeArrowheads="1"/>
              <a:extLst>
                <a:ext uri="{84589F7E-364E-4C9E-8A38-B11213B215E9}">
                  <a14:cameraTool cellRange="PO!$T$1:$T$2" spid="_x0000_s2917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12" zoomScale="70" zoomScaleNormal="70" zoomScaleSheetLayoutView="100" workbookViewId="0">
      <selection activeCell="K33" sqref="K33"/>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5" t="s">
        <v>2</v>
      </c>
      <c r="C1" s="255"/>
      <c r="D1" s="255"/>
      <c r="E1" s="255"/>
      <c r="F1" s="255"/>
      <c r="G1" s="255"/>
      <c r="H1" s="255"/>
      <c r="I1" s="255"/>
      <c r="J1" s="255"/>
      <c r="K1" s="255"/>
      <c r="L1" s="255"/>
      <c r="M1" s="255"/>
      <c r="N1" s="255"/>
      <c r="O1" s="255"/>
      <c r="P1" s="255"/>
      <c r="Q1" s="255"/>
      <c r="R1" s="255"/>
      <c r="S1" s="255"/>
      <c r="T1" s="255"/>
      <c r="U1" s="255"/>
      <c r="V1" s="255"/>
      <c r="W1" s="255"/>
      <c r="X1" s="256"/>
    </row>
    <row r="2" spans="1:25" ht="13.5" customHeight="1" x14ac:dyDescent="0.2">
      <c r="A2" s="90" t="s">
        <v>228</v>
      </c>
      <c r="B2" s="257"/>
      <c r="C2" s="257"/>
      <c r="D2" s="257"/>
      <c r="E2" s="257"/>
      <c r="F2" s="257"/>
      <c r="G2" s="257"/>
      <c r="H2" s="257"/>
      <c r="I2" s="257"/>
      <c r="J2" s="257"/>
      <c r="K2" s="257"/>
      <c r="L2" s="257"/>
      <c r="M2" s="257"/>
      <c r="N2" s="257"/>
      <c r="O2" s="257"/>
      <c r="P2" s="257"/>
      <c r="Q2" s="257"/>
      <c r="R2" s="257"/>
      <c r="S2" s="257"/>
      <c r="T2" s="257"/>
      <c r="U2" s="257"/>
      <c r="V2" s="257"/>
      <c r="W2" s="257"/>
      <c r="X2" s="258"/>
    </row>
    <row r="3" spans="1:25" ht="13.5" customHeight="1" x14ac:dyDescent="0.2">
      <c r="A3"/>
      <c r="B3"/>
      <c r="F3"/>
      <c r="G3"/>
      <c r="H3"/>
    </row>
    <row r="4" spans="1:25" ht="12.75" customHeight="1" x14ac:dyDescent="0.2">
      <c r="A4" s="266" t="s">
        <v>168</v>
      </c>
      <c r="B4" s="266"/>
      <c r="C4" s="266"/>
      <c r="D4" s="266"/>
      <c r="E4" s="266"/>
      <c r="F4" s="266"/>
      <c r="G4" s="266"/>
      <c r="H4" s="266"/>
      <c r="I4" s="266"/>
      <c r="J4" s="266"/>
      <c r="K4" s="266"/>
      <c r="L4" s="266"/>
      <c r="M4" s="266"/>
      <c r="N4" s="266"/>
      <c r="O4" s="266"/>
      <c r="P4" s="266"/>
      <c r="Q4" s="266"/>
      <c r="R4" s="266"/>
      <c r="S4" s="266"/>
      <c r="T4" s="266"/>
      <c r="U4" s="266"/>
      <c r="V4" s="266"/>
      <c r="W4" s="266"/>
      <c r="X4" s="266"/>
    </row>
    <row r="6" spans="1:25" s="5" customFormat="1" ht="24.95" customHeight="1" x14ac:dyDescent="0.2">
      <c r="A6" s="267" t="s">
        <v>179</v>
      </c>
      <c r="B6" s="268"/>
      <c r="C6" s="268"/>
      <c r="D6" s="268"/>
      <c r="E6" s="268"/>
      <c r="F6" s="268"/>
      <c r="G6" s="268"/>
      <c r="H6" s="268"/>
      <c r="I6" s="268"/>
      <c r="J6" s="268"/>
      <c r="K6" s="268"/>
      <c r="L6" s="268"/>
      <c r="M6" s="268"/>
      <c r="N6" s="268"/>
      <c r="O6" s="268"/>
      <c r="P6" s="268"/>
      <c r="Q6" s="268"/>
      <c r="R6" s="268"/>
      <c r="S6" s="268"/>
      <c r="T6" s="268"/>
      <c r="U6" s="268"/>
      <c r="V6" s="268"/>
      <c r="W6" s="268"/>
      <c r="X6" s="268"/>
    </row>
    <row r="7" spans="1:25" ht="12.75" customHeight="1" x14ac:dyDescent="0.2"/>
    <row r="8" spans="1:25" ht="12.75" customHeight="1" x14ac:dyDescent="0.2">
      <c r="A8" s="269" t="s">
        <v>23</v>
      </c>
      <c r="B8" s="269"/>
      <c r="C8" s="269"/>
      <c r="D8" s="269"/>
      <c r="E8" s="269"/>
      <c r="F8" s="269"/>
      <c r="G8" s="269"/>
      <c r="H8" s="269"/>
      <c r="I8" s="269"/>
      <c r="J8" s="269"/>
      <c r="K8" s="269"/>
      <c r="L8" s="269"/>
      <c r="M8" s="269"/>
      <c r="N8" s="269"/>
      <c r="O8" s="269"/>
      <c r="P8" s="269"/>
      <c r="Q8" s="269"/>
      <c r="R8" s="269"/>
      <c r="S8" s="269"/>
      <c r="T8" s="269"/>
      <c r="U8" s="269"/>
      <c r="V8" s="269"/>
      <c r="W8" s="269"/>
      <c r="X8" s="269"/>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71" t="s">
        <v>169</v>
      </c>
      <c r="B10" s="271"/>
      <c r="C10" s="271"/>
      <c r="D10" s="271"/>
      <c r="E10" s="271"/>
      <c r="F10" s="271"/>
      <c r="G10" s="271"/>
      <c r="H10" s="271"/>
      <c r="I10" s="271"/>
      <c r="J10" s="271"/>
      <c r="K10" s="271"/>
      <c r="L10" s="271"/>
      <c r="M10" s="271"/>
      <c r="N10" s="271"/>
      <c r="O10" s="271"/>
      <c r="P10" s="271"/>
      <c r="Q10" s="271"/>
      <c r="R10" s="271"/>
      <c r="S10" s="271"/>
      <c r="T10" s="271"/>
      <c r="U10" s="271"/>
      <c r="V10" s="271"/>
      <c r="W10" s="271"/>
      <c r="X10" s="271"/>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71" t="s">
        <v>1</v>
      </c>
      <c r="B12" s="271"/>
      <c r="C12" s="271"/>
      <c r="D12" s="271"/>
      <c r="E12" s="271"/>
      <c r="F12" s="271"/>
      <c r="G12" s="271"/>
      <c r="H12" s="271"/>
      <c r="I12" s="271"/>
      <c r="J12" s="271"/>
      <c r="K12" s="271"/>
      <c r="L12" s="271"/>
      <c r="M12" s="271"/>
      <c r="N12" s="271"/>
      <c r="O12" s="271"/>
      <c r="P12" s="271"/>
      <c r="Q12" s="271"/>
      <c r="R12" s="271"/>
      <c r="S12" s="271"/>
      <c r="T12" s="271"/>
      <c r="U12" s="271"/>
      <c r="V12" s="271"/>
      <c r="W12" s="271"/>
      <c r="X12" s="271"/>
    </row>
    <row r="14" spans="1:25" x14ac:dyDescent="0.2">
      <c r="A14" s="270" t="s">
        <v>24</v>
      </c>
      <c r="B14" s="269"/>
      <c r="C14" s="269"/>
      <c r="D14" s="269"/>
      <c r="E14" s="269"/>
      <c r="F14" s="269"/>
      <c r="G14" s="269"/>
      <c r="H14" s="269"/>
      <c r="I14" s="269"/>
      <c r="J14" s="269"/>
      <c r="K14" s="269"/>
      <c r="L14" s="269"/>
      <c r="M14" s="269"/>
      <c r="N14" s="269"/>
      <c r="O14" s="269"/>
      <c r="P14" s="269"/>
      <c r="Q14" s="269"/>
      <c r="R14" s="269"/>
      <c r="S14" s="269"/>
      <c r="T14" s="269"/>
      <c r="U14" s="269"/>
      <c r="V14" s="269"/>
      <c r="W14" s="269"/>
      <c r="X14" s="269"/>
    </row>
    <row r="16" spans="1:25" x14ac:dyDescent="0.2">
      <c r="A16" s="275" t="s">
        <v>186</v>
      </c>
      <c r="B16" s="276"/>
      <c r="C16" s="276"/>
      <c r="D16" s="276"/>
      <c r="E16" s="276"/>
      <c r="F16" s="276"/>
      <c r="G16" s="276"/>
      <c r="H16" s="276"/>
      <c r="I16" s="276"/>
      <c r="J16" s="276"/>
      <c r="K16" s="276"/>
      <c r="L16" s="276"/>
      <c r="M16" s="276"/>
      <c r="N16" s="276"/>
      <c r="O16" s="276"/>
      <c r="P16" s="276"/>
      <c r="Q16" s="276"/>
      <c r="R16" s="276"/>
      <c r="S16" s="276"/>
      <c r="T16" s="276"/>
      <c r="U16" s="276"/>
      <c r="V16" s="276"/>
      <c r="W16" s="276"/>
      <c r="X16" s="276"/>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50" t="s">
        <v>187</v>
      </c>
      <c r="B18" s="250"/>
      <c r="C18" s="251"/>
      <c r="D18" s="251"/>
      <c r="E18" s="251"/>
      <c r="F18" s="251"/>
      <c r="G18" s="251"/>
      <c r="H18" s="251"/>
      <c r="I18" s="251"/>
      <c r="J18" s="251"/>
      <c r="K18" s="251"/>
      <c r="L18" s="251"/>
      <c r="M18" s="251"/>
      <c r="N18" s="251"/>
      <c r="O18" s="251"/>
      <c r="P18" s="251"/>
      <c r="Q18" s="251"/>
      <c r="R18" s="251"/>
      <c r="S18" s="251"/>
      <c r="T18" s="251"/>
      <c r="U18" s="251"/>
      <c r="V18" s="251"/>
      <c r="W18" s="251"/>
      <c r="X18" s="251"/>
    </row>
    <row r="21" spans="1:25" x14ac:dyDescent="0.2">
      <c r="A21"/>
    </row>
    <row r="22" spans="1:25" ht="12.75" customHeight="1" x14ac:dyDescent="0.2">
      <c r="A22" s="275" t="s">
        <v>189</v>
      </c>
      <c r="B22" s="276"/>
      <c r="C22" s="276"/>
      <c r="D22" s="276"/>
      <c r="E22" s="276"/>
      <c r="F22" s="276"/>
      <c r="G22" s="276"/>
      <c r="H22" s="276"/>
      <c r="I22" s="276"/>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50" t="s">
        <v>190</v>
      </c>
      <c r="B24" s="250"/>
      <c r="C24" s="251"/>
      <c r="D24" s="251"/>
      <c r="E24" s="251"/>
      <c r="F24" s="251"/>
      <c r="G24" s="251"/>
      <c r="H24" s="251"/>
      <c r="I24" s="251"/>
      <c r="J24" s="251"/>
      <c r="K24" s="251"/>
      <c r="L24" s="251"/>
      <c r="M24" s="251"/>
      <c r="N24" s="251"/>
      <c r="O24" s="251"/>
      <c r="P24" s="251"/>
      <c r="Q24" s="251"/>
      <c r="R24" s="251"/>
      <c r="S24" s="251"/>
      <c r="T24" s="251"/>
      <c r="U24" s="251"/>
      <c r="V24" s="251"/>
      <c r="W24" s="251"/>
      <c r="X24" s="251"/>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6" t="s">
        <v>191</v>
      </c>
      <c r="B26" s="216"/>
      <c r="C26" s="217"/>
      <c r="D26" s="217"/>
      <c r="E26" s="217"/>
      <c r="F26" s="217"/>
      <c r="G26" s="217"/>
      <c r="H26" s="217"/>
      <c r="I26" s="217"/>
      <c r="J26" s="217"/>
      <c r="K26" s="217"/>
      <c r="L26" s="217"/>
      <c r="M26" s="217"/>
      <c r="N26" s="217"/>
      <c r="O26" s="217"/>
      <c r="P26" s="217"/>
      <c r="Q26" s="217"/>
      <c r="R26" s="217"/>
      <c r="S26" s="217"/>
      <c r="T26" s="217"/>
      <c r="U26" s="217"/>
      <c r="V26" s="217"/>
      <c r="W26" s="217"/>
      <c r="X26" s="217"/>
    </row>
    <row r="27" spans="1:25" ht="6" customHeight="1" x14ac:dyDescent="0.2">
      <c r="A27" s="17"/>
      <c r="B27" s="17"/>
    </row>
    <row r="28" spans="1:25" ht="12.75" customHeight="1" x14ac:dyDescent="0.2">
      <c r="A28" s="205" t="s">
        <v>177</v>
      </c>
      <c r="B28" s="207"/>
      <c r="C28" s="205" t="s">
        <v>170</v>
      </c>
      <c r="D28" s="206"/>
      <c r="E28" s="207"/>
      <c r="F28" s="205" t="s">
        <v>171</v>
      </c>
      <c r="G28" s="206"/>
      <c r="H28" s="206"/>
      <c r="I28" s="207"/>
      <c r="J28" s="205" t="s">
        <v>172</v>
      </c>
      <c r="K28" s="206"/>
      <c r="L28" s="206"/>
      <c r="M28" s="206"/>
      <c r="N28" s="206"/>
      <c r="O28" s="207"/>
      <c r="P28" s="205" t="s">
        <v>0</v>
      </c>
      <c r="Q28" s="206"/>
      <c r="R28" s="206"/>
      <c r="S28" s="206"/>
      <c r="T28" s="206"/>
      <c r="U28" s="206"/>
      <c r="V28" s="206"/>
      <c r="W28" s="206"/>
      <c r="X28" s="207"/>
    </row>
    <row r="29" spans="1:25" ht="12.75" customHeight="1" x14ac:dyDescent="0.2">
      <c r="A29" s="208"/>
      <c r="B29" s="212"/>
      <c r="C29" s="208"/>
      <c r="D29" s="209"/>
      <c r="E29" s="210"/>
      <c r="F29" s="208"/>
      <c r="G29" s="211"/>
      <c r="H29" s="211"/>
      <c r="I29" s="212"/>
      <c r="J29" s="208"/>
      <c r="K29" s="211"/>
      <c r="L29" s="211"/>
      <c r="M29" s="211"/>
      <c r="N29" s="211"/>
      <c r="O29" s="212"/>
      <c r="P29" s="208" t="s">
        <v>275</v>
      </c>
      <c r="Q29" s="211"/>
      <c r="R29" s="211"/>
      <c r="S29" s="211"/>
      <c r="T29" s="211"/>
      <c r="U29" s="211"/>
      <c r="V29" s="211"/>
      <c r="W29" s="211"/>
      <c r="X29" s="212"/>
    </row>
    <row r="30" spans="1:25" ht="6" customHeight="1" x14ac:dyDescent="0.2">
      <c r="A30"/>
      <c r="B30"/>
      <c r="F30"/>
      <c r="G30"/>
      <c r="H30"/>
    </row>
    <row r="31" spans="1:25" x14ac:dyDescent="0.2">
      <c r="A31" s="205" t="s">
        <v>173</v>
      </c>
      <c r="B31" s="206"/>
      <c r="C31" s="206"/>
      <c r="D31" s="206"/>
      <c r="E31" s="206"/>
      <c r="F31" s="207"/>
      <c r="G31" s="205" t="s">
        <v>174</v>
      </c>
      <c r="H31" s="206"/>
      <c r="I31" s="206"/>
      <c r="J31" s="207"/>
      <c r="K31" s="205" t="s">
        <v>175</v>
      </c>
      <c r="L31" s="206"/>
      <c r="M31" s="206"/>
      <c r="N31" s="206"/>
      <c r="O31" s="206"/>
      <c r="P31" s="207"/>
      <c r="Q31" s="205" t="s">
        <v>180</v>
      </c>
      <c r="R31" s="206"/>
      <c r="S31" s="206"/>
      <c r="T31" s="206"/>
      <c r="U31" s="206"/>
      <c r="V31" s="206"/>
      <c r="W31" s="206"/>
      <c r="X31" s="207"/>
    </row>
    <row r="32" spans="1:25" x14ac:dyDescent="0.2">
      <c r="A32" s="213" t="s">
        <v>236</v>
      </c>
      <c r="B32" s="214"/>
      <c r="C32" s="214"/>
      <c r="D32" s="214"/>
      <c r="E32" s="214"/>
      <c r="F32" s="215"/>
      <c r="G32" s="208" t="s">
        <v>229</v>
      </c>
      <c r="H32" s="209"/>
      <c r="I32" s="209"/>
      <c r="J32" s="210"/>
      <c r="K32" s="208" t="s">
        <v>277</v>
      </c>
      <c r="L32" s="211"/>
      <c r="M32" s="211"/>
      <c r="N32" s="211"/>
      <c r="O32" s="211"/>
      <c r="P32" s="212"/>
      <c r="Q32" s="208" t="str">
        <f>Import.ObjetoCR</f>
        <v>REFORMA DO PRÉDIO DO COMPLEXO HOSPITALAR - IMAGENOLOGIA 1ª ETAPA</v>
      </c>
      <c r="R32" s="211"/>
      <c r="S32" s="211"/>
      <c r="T32" s="211"/>
      <c r="U32" s="211"/>
      <c r="V32" s="211"/>
      <c r="W32" s="211"/>
      <c r="X32" s="212"/>
    </row>
    <row r="33" spans="1:24" ht="9" customHeight="1" x14ac:dyDescent="0.2"/>
    <row r="34" spans="1:24" s="19" customFormat="1" x14ac:dyDescent="0.2"/>
    <row r="35" spans="1:24" ht="12.75" customHeight="1" x14ac:dyDescent="0.2">
      <c r="A35" s="216" t="s">
        <v>192</v>
      </c>
      <c r="B35" s="216"/>
      <c r="C35" s="217"/>
      <c r="D35" s="217"/>
      <c r="E35" s="217"/>
      <c r="F35" s="217"/>
      <c r="G35" s="217"/>
      <c r="H35" s="217"/>
      <c r="I35" s="217"/>
      <c r="J35" s="217"/>
      <c r="K35" s="217"/>
      <c r="L35" s="217"/>
      <c r="M35" s="217"/>
      <c r="N35" s="217"/>
      <c r="O35" s="217"/>
      <c r="P35" s="217"/>
      <c r="Q35" s="217"/>
      <c r="R35" s="217"/>
      <c r="S35" s="217"/>
      <c r="T35" s="217"/>
      <c r="U35" s="217"/>
      <c r="V35" s="217"/>
      <c r="W35" s="217"/>
      <c r="X35" s="217"/>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5" t="s">
        <v>16</v>
      </c>
      <c r="B37" s="207"/>
      <c r="C37" s="78" t="s">
        <v>91</v>
      </c>
      <c r="D37" s="205" t="s">
        <v>14</v>
      </c>
      <c r="E37" s="206"/>
      <c r="F37" s="207"/>
      <c r="G37" s="205" t="s">
        <v>12</v>
      </c>
      <c r="H37" s="206"/>
      <c r="I37" s="206"/>
      <c r="J37" s="206"/>
      <c r="K37" s="206"/>
      <c r="L37" s="206"/>
      <c r="M37" s="206"/>
      <c r="N37" s="206"/>
      <c r="O37" s="206"/>
      <c r="P37" s="206"/>
      <c r="Q37" s="206"/>
      <c r="R37" s="206"/>
      <c r="S37" s="207"/>
      <c r="T37" s="79" t="s">
        <v>7</v>
      </c>
      <c r="U37" s="79" t="s">
        <v>8</v>
      </c>
      <c r="V37" s="79" t="s">
        <v>9</v>
      </c>
      <c r="W37" s="79" t="s">
        <v>10</v>
      </c>
      <c r="X37" s="79" t="s">
        <v>11</v>
      </c>
    </row>
    <row r="38" spans="1:24" ht="12.75" customHeight="1" x14ac:dyDescent="0.2">
      <c r="A38" s="240">
        <v>46032</v>
      </c>
      <c r="B38" s="241"/>
      <c r="C38" s="77" t="s">
        <v>231</v>
      </c>
      <c r="D38" s="208" t="s">
        <v>78</v>
      </c>
      <c r="E38" s="209"/>
      <c r="F38" s="210"/>
      <c r="G38" s="208" t="str">
        <f>Import.Apelido</f>
        <v>REFORMA DO PRÉDIO DO COMPLEXO HOSPITALAR - IMAGENOLOGIA 1ª ETAPA</v>
      </c>
      <c r="H38" s="209"/>
      <c r="I38" s="209"/>
      <c r="J38" s="209"/>
      <c r="K38" s="209"/>
      <c r="L38" s="209"/>
      <c r="M38" s="209"/>
      <c r="N38" s="209"/>
      <c r="O38" s="209"/>
      <c r="P38" s="209"/>
      <c r="Q38" s="209"/>
      <c r="R38" s="209"/>
      <c r="S38" s="210"/>
      <c r="T38" s="80">
        <f ca="1">IF(ISERROR(INDIRECT("'BDI ("&amp;RIGHT(T37,1)&amp;")'!N27")),"",INDIRECT("'BDI ("&amp;RIGHT(T37,1)&amp;")'!N27"))</f>
        <v>0.23130000000000001</v>
      </c>
      <c r="U38" s="81">
        <f ca="1">IF(ISERROR(INDIRECT("'BDI ("&amp;RIGHT(U37,1)&amp;")'!N27")),"",INDIRECT("'BDI ("&amp;RIGHT(U37,1)&amp;")'!N27"))</f>
        <v>0.12470000000000001</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6" t="s">
        <v>162</v>
      </c>
      <c r="B40" s="216"/>
      <c r="C40" s="217"/>
      <c r="D40" s="217"/>
      <c r="E40" s="217"/>
      <c r="F40" s="217"/>
      <c r="G40" s="217"/>
      <c r="H40" s="217"/>
      <c r="I40" s="217"/>
      <c r="J40" s="217"/>
      <c r="K40" s="217"/>
      <c r="L40" s="217"/>
      <c r="M40" s="217"/>
      <c r="N40" s="217"/>
      <c r="O40" s="217"/>
      <c r="P40" s="217"/>
      <c r="Q40" s="217"/>
      <c r="R40" s="217"/>
      <c r="S40" s="217"/>
      <c r="T40" s="217"/>
      <c r="U40" s="217"/>
      <c r="V40" s="217"/>
      <c r="W40" s="217"/>
      <c r="X40" s="217"/>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5" t="s">
        <v>87</v>
      </c>
      <c r="B42" s="207"/>
      <c r="C42" s="205" t="s">
        <v>111</v>
      </c>
      <c r="D42" s="206"/>
      <c r="E42" s="206"/>
      <c r="F42" s="206"/>
      <c r="G42" s="206"/>
      <c r="H42" s="205" t="s">
        <v>16</v>
      </c>
      <c r="I42" s="206"/>
      <c r="J42" s="20" t="s">
        <v>91</v>
      </c>
      <c r="K42" s="205" t="s">
        <v>88</v>
      </c>
      <c r="L42" s="206"/>
      <c r="M42" s="207"/>
      <c r="N42" s="20" t="s">
        <v>92</v>
      </c>
      <c r="O42" s="205" t="s">
        <v>93</v>
      </c>
      <c r="P42" s="206"/>
      <c r="Q42" s="206"/>
      <c r="R42" s="206"/>
      <c r="S42" s="206"/>
      <c r="T42" s="207"/>
      <c r="U42" s="238" t="s">
        <v>89</v>
      </c>
      <c r="V42" s="239"/>
      <c r="W42" s="238" t="s">
        <v>90</v>
      </c>
      <c r="X42" s="239"/>
    </row>
    <row r="43" spans="1:24" ht="12.75" customHeight="1" x14ac:dyDescent="0.2">
      <c r="A43" s="213"/>
      <c r="B43" s="272"/>
      <c r="C43" s="208"/>
      <c r="D43" s="209"/>
      <c r="E43" s="209"/>
      <c r="F43" s="209"/>
      <c r="G43" s="209"/>
      <c r="H43" s="240"/>
      <c r="I43" s="241"/>
      <c r="J43" s="74"/>
      <c r="K43" s="218"/>
      <c r="L43" s="219"/>
      <c r="M43" s="220"/>
      <c r="N43" s="89"/>
      <c r="O43" s="261"/>
      <c r="P43" s="262"/>
      <c r="Q43" s="262"/>
      <c r="R43" s="263"/>
      <c r="S43" s="263"/>
      <c r="T43" s="264"/>
      <c r="U43" s="259"/>
      <c r="V43" s="265"/>
      <c r="W43" s="259"/>
      <c r="X43" s="260"/>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6" t="s">
        <v>193</v>
      </c>
      <c r="B45" s="216"/>
      <c r="C45" s="217"/>
      <c r="D45" s="217"/>
      <c r="E45" s="217"/>
      <c r="F45" s="217"/>
      <c r="G45" s="217"/>
      <c r="H45" s="217"/>
      <c r="I45" s="217"/>
      <c r="J45" s="217"/>
      <c r="K45" s="217"/>
      <c r="L45" s="217"/>
      <c r="M45" s="217"/>
      <c r="N45" s="217"/>
      <c r="O45" s="217"/>
      <c r="P45" s="217"/>
      <c r="Q45" s="217"/>
      <c r="R45" s="217"/>
      <c r="S45" s="217"/>
      <c r="T45" s="217"/>
      <c r="U45" s="217"/>
      <c r="V45" s="217"/>
      <c r="W45" s="217"/>
      <c r="X45" s="217"/>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4">
        <v>46183</v>
      </c>
      <c r="B48" s="245"/>
      <c r="C48" s="246"/>
      <c r="E48" s="29"/>
      <c r="F48"/>
      <c r="G48"/>
      <c r="H48"/>
    </row>
    <row r="49" spans="1:24" x14ac:dyDescent="0.2">
      <c r="F49" s="25"/>
      <c r="G49" s="26"/>
      <c r="H49" s="27"/>
    </row>
    <row r="50" spans="1:24" x14ac:dyDescent="0.2">
      <c r="A50" s="216" t="s">
        <v>194</v>
      </c>
      <c r="B50" s="216"/>
      <c r="C50" s="217"/>
      <c r="D50" s="217"/>
      <c r="E50" s="217"/>
      <c r="F50" s="217"/>
      <c r="G50" s="217"/>
      <c r="H50" s="217"/>
      <c r="I50" s="217"/>
      <c r="J50" s="217"/>
      <c r="K50" s="217"/>
      <c r="L50" s="217"/>
      <c r="M50" s="217"/>
      <c r="N50" s="217"/>
      <c r="O50" s="217"/>
      <c r="P50" s="217"/>
      <c r="Q50" s="217"/>
      <c r="R50" s="217"/>
      <c r="S50" s="217"/>
      <c r="T50" s="217"/>
      <c r="U50" s="217"/>
      <c r="V50" s="217"/>
      <c r="W50" s="217"/>
      <c r="X50" s="217"/>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242</v>
      </c>
      <c r="L52" s="24"/>
    </row>
    <row r="53" spans="1:24" x14ac:dyDescent="0.2">
      <c r="A53" s="30"/>
      <c r="B53" s="30"/>
      <c r="C53" s="31"/>
      <c r="D53" s="31"/>
      <c r="E53" s="31"/>
      <c r="F53" s="25"/>
      <c r="G53" s="30"/>
      <c r="H53" s="30"/>
      <c r="I53" s="31"/>
      <c r="J53" s="31"/>
      <c r="K53" s="31"/>
    </row>
    <row r="54" spans="1:24" x14ac:dyDescent="0.2">
      <c r="A54" s="86" t="s">
        <v>140</v>
      </c>
      <c r="B54" s="248"/>
      <c r="C54" s="249"/>
      <c r="D54" s="249"/>
      <c r="E54" s="249"/>
      <c r="F54" s="25"/>
      <c r="G54" s="86" t="s">
        <v>140</v>
      </c>
      <c r="H54" s="248"/>
      <c r="I54" s="249"/>
      <c r="J54" s="249"/>
      <c r="K54" s="249"/>
    </row>
    <row r="55" spans="1:24" x14ac:dyDescent="0.2">
      <c r="A55" s="86" t="str">
        <f>IF(OR(TipoOrçamento="BASE",TipoOrçamento="REPROGRAMADONPL"),"Título:","Cargo:")</f>
        <v>Cargo:</v>
      </c>
      <c r="B55" s="248"/>
      <c r="C55" s="249"/>
      <c r="D55" s="249"/>
      <c r="E55" s="249"/>
      <c r="F55" s="25"/>
      <c r="G55" s="86" t="str">
        <f>A55</f>
        <v>Cargo:</v>
      </c>
      <c r="H55" s="248"/>
      <c r="I55" s="249"/>
      <c r="J55" s="249"/>
      <c r="K55" s="249"/>
    </row>
    <row r="56" spans="1:24" x14ac:dyDescent="0.2">
      <c r="A56" s="86" t="str">
        <f>IF(OR(TipoOrçamento="BASE",TipoOrçamento="REPROGRAMADONPL"),"CREA/CAU:","Empresa:")</f>
        <v>Empresa:</v>
      </c>
      <c r="B56" s="254"/>
      <c r="C56" s="247"/>
      <c r="D56" s="247"/>
      <c r="E56" s="247"/>
      <c r="F56" s="25"/>
      <c r="G56" s="86" t="str">
        <f>A56</f>
        <v>Empresa:</v>
      </c>
      <c r="H56" s="254"/>
      <c r="I56" s="247"/>
      <c r="J56" s="247"/>
      <c r="K56" s="247"/>
    </row>
    <row r="57" spans="1:24" x14ac:dyDescent="0.2">
      <c r="A57" s="86" t="str">
        <f>IF(OR(TipoOrçamento="BASE",TipoOrçamento="REPROGRAMADONPL"),"ART/RRT:","CNPJ:")</f>
        <v>CNPJ:</v>
      </c>
      <c r="B57" s="254"/>
      <c r="C57" s="247"/>
      <c r="D57" s="247"/>
      <c r="E57" s="247"/>
      <c r="F57" s="25"/>
      <c r="G57" s="86" t="str">
        <f>A57</f>
        <v>CNPJ:</v>
      </c>
      <c r="H57" s="247"/>
      <c r="I57" s="247"/>
      <c r="J57" s="247"/>
      <c r="K57" s="247"/>
    </row>
    <row r="58" spans="1:24" x14ac:dyDescent="0.2">
      <c r="F58" s="25"/>
      <c r="G58" s="26"/>
      <c r="H58" s="27"/>
    </row>
    <row r="59" spans="1:24" x14ac:dyDescent="0.2">
      <c r="F59" s="25"/>
      <c r="G59" s="26"/>
      <c r="H59" s="27"/>
    </row>
    <row r="60" spans="1:24" ht="12.75" customHeight="1" x14ac:dyDescent="0.2">
      <c r="A60" s="250" t="s">
        <v>195</v>
      </c>
      <c r="B60" s="250"/>
      <c r="C60" s="251"/>
      <c r="D60" s="251"/>
      <c r="E60" s="251"/>
      <c r="F60" s="251"/>
      <c r="G60" s="251"/>
      <c r="H60" s="251"/>
      <c r="I60" s="251"/>
      <c r="J60" s="251"/>
      <c r="K60" s="251"/>
      <c r="L60" s="251"/>
      <c r="M60" s="251"/>
      <c r="N60" s="251"/>
      <c r="O60" s="251"/>
      <c r="P60" s="251"/>
      <c r="Q60" s="251"/>
      <c r="R60" s="251"/>
      <c r="S60" s="251"/>
      <c r="T60" s="251"/>
      <c r="U60" s="251"/>
      <c r="V60" s="251"/>
      <c r="W60" s="251"/>
      <c r="X60" s="251"/>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2" t="s">
        <v>196</v>
      </c>
      <c r="B62" s="273"/>
      <c r="C62" s="274"/>
      <c r="D62" s="274"/>
      <c r="E62" s="274"/>
      <c r="F62" s="274"/>
      <c r="G62" s="274"/>
      <c r="H62" s="274"/>
      <c r="I62" s="274"/>
      <c r="J62" s="274"/>
      <c r="K62" s="274"/>
      <c r="L62" s="274"/>
      <c r="M62" s="274"/>
      <c r="N62" s="274"/>
      <c r="O62" s="274"/>
      <c r="P62" s="274"/>
      <c r="Q62" s="274"/>
      <c r="R62" s="274"/>
      <c r="S62" s="274"/>
      <c r="T62" s="274"/>
      <c r="U62" s="274"/>
      <c r="V62" s="274"/>
      <c r="W62" s="274"/>
      <c r="X62" s="274"/>
    </row>
    <row r="63" spans="1:24" ht="30" customHeight="1" x14ac:dyDescent="0.2">
      <c r="A63" s="252" t="s">
        <v>197</v>
      </c>
      <c r="B63" s="252"/>
      <c r="C63" s="253"/>
      <c r="D63" s="253"/>
      <c r="E63" s="253"/>
      <c r="F63" s="253"/>
      <c r="G63" s="253"/>
      <c r="H63" s="253"/>
      <c r="I63" s="253"/>
      <c r="J63" s="253"/>
      <c r="K63" s="253"/>
      <c r="L63" s="253"/>
      <c r="M63" s="253"/>
      <c r="N63" s="253"/>
      <c r="O63" s="253"/>
      <c r="P63" s="253"/>
      <c r="Q63" s="253"/>
      <c r="R63" s="253"/>
      <c r="S63" s="253"/>
      <c r="T63" s="253"/>
      <c r="U63" s="253"/>
      <c r="V63" s="253"/>
      <c r="W63" s="253"/>
      <c r="X63" s="253"/>
    </row>
    <row r="64" spans="1:24" x14ac:dyDescent="0.2">
      <c r="F64" s="25"/>
      <c r="G64" s="26"/>
      <c r="H64" s="27"/>
    </row>
    <row r="65" spans="1:24" ht="12.75" customHeight="1" x14ac:dyDescent="0.2">
      <c r="A65" s="250" t="s">
        <v>198</v>
      </c>
      <c r="B65" s="250"/>
      <c r="C65" s="251"/>
      <c r="D65" s="251"/>
      <c r="E65" s="251"/>
      <c r="F65" s="251"/>
      <c r="G65" s="251"/>
      <c r="H65" s="251"/>
      <c r="I65" s="251"/>
      <c r="J65" s="251"/>
      <c r="K65" s="251"/>
      <c r="L65" s="251"/>
      <c r="M65" s="251"/>
      <c r="N65" s="251"/>
      <c r="O65" s="251"/>
      <c r="P65" s="251"/>
      <c r="Q65" s="251"/>
      <c r="R65" s="251"/>
      <c r="S65" s="251"/>
      <c r="T65" s="251"/>
      <c r="U65" s="251"/>
      <c r="V65" s="251"/>
      <c r="W65" s="251"/>
      <c r="X65" s="251"/>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6" t="s">
        <v>199</v>
      </c>
      <c r="B67" s="216"/>
      <c r="C67" s="217"/>
      <c r="D67" s="217"/>
      <c r="E67" s="217"/>
      <c r="F67" s="217"/>
      <c r="G67" s="217"/>
      <c r="H67" s="217"/>
      <c r="I67" s="217"/>
      <c r="J67" s="217"/>
      <c r="K67" s="217"/>
      <c r="L67" s="217"/>
      <c r="M67" s="217"/>
      <c r="N67" s="217"/>
      <c r="O67" s="217"/>
      <c r="P67" s="217"/>
      <c r="Q67" s="217"/>
      <c r="R67" s="217"/>
      <c r="S67" s="217"/>
      <c r="T67" s="217"/>
      <c r="U67" s="217"/>
      <c r="V67" s="217"/>
      <c r="W67" s="217"/>
      <c r="X67" s="217"/>
    </row>
    <row r="68" spans="1:24" x14ac:dyDescent="0.2">
      <c r="A68" s="216" t="s">
        <v>200</v>
      </c>
      <c r="B68" s="216"/>
      <c r="C68" s="217"/>
      <c r="D68" s="217"/>
      <c r="E68" s="217"/>
      <c r="F68" s="217"/>
      <c r="G68" s="217"/>
      <c r="H68" s="217"/>
      <c r="I68" s="217"/>
      <c r="J68" s="217"/>
      <c r="K68" s="217"/>
      <c r="L68" s="217"/>
      <c r="M68" s="217"/>
      <c r="N68" s="217"/>
      <c r="O68" s="217"/>
      <c r="P68" s="217"/>
      <c r="Q68" s="217"/>
      <c r="R68" s="217"/>
      <c r="S68" s="217"/>
      <c r="T68" s="217"/>
      <c r="U68" s="217"/>
      <c r="V68" s="217"/>
      <c r="W68" s="217"/>
      <c r="X68" s="217"/>
    </row>
    <row r="69" spans="1:24" ht="12.75" customHeight="1" x14ac:dyDescent="0.2">
      <c r="A69" s="216" t="s">
        <v>201</v>
      </c>
      <c r="B69" s="216"/>
      <c r="C69" s="217"/>
      <c r="D69" s="217"/>
      <c r="E69" s="217"/>
      <c r="F69" s="217"/>
      <c r="G69" s="217"/>
      <c r="H69" s="217"/>
      <c r="I69" s="217"/>
      <c r="J69" s="217"/>
      <c r="K69" s="217"/>
      <c r="L69" s="217"/>
      <c r="M69" s="217"/>
      <c r="N69" s="217"/>
      <c r="O69" s="217"/>
      <c r="P69" s="217"/>
      <c r="Q69" s="217"/>
      <c r="R69" s="217"/>
      <c r="S69" s="217"/>
      <c r="T69" s="217"/>
      <c r="U69" s="217"/>
      <c r="V69" s="217"/>
      <c r="W69" s="217"/>
      <c r="X69" s="217"/>
    </row>
    <row r="70" spans="1:24" ht="12.75" customHeight="1" x14ac:dyDescent="0.2">
      <c r="A70" s="216" t="s">
        <v>202</v>
      </c>
      <c r="B70" s="216"/>
      <c r="C70" s="217"/>
      <c r="D70" s="217"/>
      <c r="E70" s="217"/>
      <c r="F70" s="217"/>
      <c r="G70" s="217"/>
      <c r="H70" s="217"/>
      <c r="I70" s="217"/>
      <c r="J70" s="217"/>
      <c r="K70" s="217"/>
      <c r="L70" s="217"/>
      <c r="M70" s="217"/>
      <c r="N70" s="217"/>
      <c r="O70" s="217"/>
      <c r="P70" s="217"/>
      <c r="Q70" s="217"/>
      <c r="R70" s="217"/>
      <c r="S70" s="217"/>
      <c r="T70" s="217"/>
      <c r="U70" s="217"/>
      <c r="V70" s="217"/>
      <c r="W70" s="217"/>
      <c r="X70" s="217"/>
    </row>
    <row r="71" spans="1:24" ht="12.75" customHeight="1" x14ac:dyDescent="0.2">
      <c r="A71" s="216" t="s">
        <v>203</v>
      </c>
      <c r="B71" s="216"/>
      <c r="C71" s="217"/>
      <c r="D71" s="217"/>
      <c r="E71" s="217"/>
      <c r="F71" s="217"/>
      <c r="G71" s="217"/>
      <c r="H71" s="217"/>
      <c r="I71" s="217"/>
      <c r="J71" s="217"/>
      <c r="K71" s="217"/>
      <c r="L71" s="217"/>
      <c r="M71" s="217"/>
      <c r="N71" s="217"/>
      <c r="O71" s="217"/>
      <c r="P71" s="217"/>
      <c r="Q71" s="217"/>
      <c r="R71" s="217"/>
      <c r="S71" s="217"/>
      <c r="T71" s="217"/>
      <c r="U71" s="217"/>
      <c r="V71" s="217"/>
      <c r="W71" s="217"/>
      <c r="X71" s="217"/>
    </row>
    <row r="72" spans="1:24" ht="12.75" customHeight="1" x14ac:dyDescent="0.2">
      <c r="A72" s="216" t="s">
        <v>204</v>
      </c>
      <c r="B72" s="216"/>
      <c r="C72" s="217"/>
      <c r="D72" s="217"/>
      <c r="E72" s="217"/>
      <c r="F72" s="217"/>
      <c r="G72" s="217"/>
      <c r="H72" s="217"/>
      <c r="I72" s="217"/>
      <c r="J72" s="217"/>
      <c r="K72" s="217"/>
      <c r="L72" s="217"/>
      <c r="M72" s="217"/>
      <c r="N72" s="217"/>
      <c r="O72" s="217"/>
      <c r="P72" s="217"/>
      <c r="Q72" s="217"/>
      <c r="R72" s="217"/>
      <c r="S72" s="217"/>
      <c r="T72" s="217"/>
      <c r="U72" s="217"/>
      <c r="V72" s="217"/>
      <c r="W72" s="217"/>
      <c r="X72" s="217"/>
    </row>
    <row r="73" spans="1:24" x14ac:dyDescent="0.2">
      <c r="F73" s="25"/>
      <c r="G73" s="26"/>
      <c r="H73" s="27"/>
    </row>
    <row r="74" spans="1:24" ht="12.75" customHeight="1" x14ac:dyDescent="0.2">
      <c r="A74" s="250" t="s">
        <v>205</v>
      </c>
      <c r="B74" s="250"/>
      <c r="C74" s="251"/>
      <c r="D74" s="251"/>
      <c r="E74" s="251"/>
      <c r="F74" s="251"/>
      <c r="G74" s="251"/>
      <c r="H74" s="251"/>
      <c r="I74" s="251"/>
      <c r="J74" s="251"/>
      <c r="K74" s="251"/>
      <c r="L74" s="251"/>
      <c r="M74" s="251"/>
      <c r="N74" s="251"/>
      <c r="O74" s="251"/>
      <c r="P74" s="251"/>
      <c r="Q74" s="251"/>
      <c r="R74" s="251"/>
      <c r="S74" s="251"/>
      <c r="T74" s="251"/>
      <c r="U74" s="251"/>
      <c r="V74" s="251"/>
      <c r="W74" s="251"/>
      <c r="X74" s="251"/>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6" t="s">
        <v>206</v>
      </c>
      <c r="B76" s="216"/>
      <c r="C76" s="217"/>
      <c r="D76" s="217"/>
      <c r="E76" s="217"/>
      <c r="F76" s="217"/>
      <c r="G76" s="217"/>
      <c r="H76" s="217"/>
      <c r="I76" s="217"/>
      <c r="J76" s="217"/>
      <c r="K76" s="217"/>
      <c r="L76" s="217"/>
      <c r="M76" s="217"/>
      <c r="N76" s="217"/>
      <c r="O76" s="217"/>
      <c r="P76" s="217"/>
      <c r="Q76" s="217"/>
      <c r="R76" s="217"/>
      <c r="S76" s="217"/>
      <c r="T76" s="217"/>
      <c r="U76" s="217"/>
      <c r="V76" s="217"/>
      <c r="W76" s="217"/>
      <c r="X76" s="217"/>
    </row>
    <row r="77" spans="1:24" ht="26.1" customHeight="1" x14ac:dyDescent="0.2">
      <c r="A77" s="227" t="s">
        <v>207</v>
      </c>
      <c r="B77" s="227"/>
      <c r="C77" s="228"/>
      <c r="D77" s="228"/>
      <c r="E77" s="228"/>
      <c r="F77" s="228"/>
      <c r="G77" s="228"/>
      <c r="H77" s="228"/>
      <c r="I77" s="228"/>
      <c r="J77" s="228"/>
      <c r="K77" s="228"/>
      <c r="L77" s="228"/>
      <c r="M77" s="228"/>
      <c r="N77" s="228"/>
      <c r="O77" s="228"/>
      <c r="P77" s="228"/>
      <c r="Q77" s="228"/>
      <c r="R77" s="228"/>
      <c r="S77" s="228"/>
      <c r="T77" s="228"/>
      <c r="U77" s="228"/>
      <c r="V77" s="228"/>
      <c r="W77" s="228"/>
      <c r="X77" s="228"/>
    </row>
    <row r="78" spans="1:24" ht="12.75" customHeight="1" x14ac:dyDescent="0.2">
      <c r="A78" s="216" t="s">
        <v>208</v>
      </c>
      <c r="B78" s="216"/>
      <c r="C78" s="217"/>
      <c r="D78" s="217"/>
      <c r="E78" s="217"/>
      <c r="F78" s="217"/>
      <c r="G78" s="217"/>
      <c r="H78" s="217"/>
      <c r="I78" s="217"/>
      <c r="J78" s="217"/>
      <c r="K78" s="217"/>
      <c r="L78" s="217"/>
      <c r="M78" s="217"/>
      <c r="N78" s="217"/>
      <c r="O78" s="217"/>
      <c r="P78" s="217"/>
      <c r="Q78" s="217"/>
      <c r="R78" s="217"/>
      <c r="S78" s="217"/>
      <c r="T78" s="217"/>
      <c r="U78" s="217"/>
      <c r="V78" s="217"/>
      <c r="W78" s="217"/>
      <c r="X78" s="217"/>
    </row>
    <row r="79" spans="1:24" ht="25.5" customHeight="1" x14ac:dyDescent="0.2">
      <c r="A79" s="216" t="s">
        <v>209</v>
      </c>
      <c r="B79" s="216"/>
      <c r="C79" s="217"/>
      <c r="D79" s="217"/>
      <c r="E79" s="217"/>
      <c r="F79" s="217"/>
      <c r="G79" s="217"/>
      <c r="H79" s="217"/>
      <c r="I79" s="217"/>
      <c r="J79" s="217"/>
      <c r="K79" s="217"/>
      <c r="L79" s="217"/>
      <c r="M79" s="217"/>
      <c r="N79" s="217"/>
      <c r="O79" s="217"/>
      <c r="P79" s="217"/>
      <c r="Q79" s="217"/>
      <c r="R79" s="217"/>
      <c r="S79" s="217"/>
      <c r="T79" s="217"/>
      <c r="U79" s="217"/>
      <c r="V79" s="217"/>
      <c r="W79" s="217"/>
      <c r="X79" s="217"/>
    </row>
    <row r="80" spans="1:24" x14ac:dyDescent="0.2">
      <c r="A80" s="227" t="s">
        <v>210</v>
      </c>
      <c r="B80" s="227"/>
      <c r="C80" s="228"/>
      <c r="D80" s="228"/>
      <c r="E80" s="228"/>
      <c r="F80" s="228"/>
      <c r="G80" s="228"/>
      <c r="H80" s="228"/>
      <c r="I80" s="228"/>
      <c r="J80" s="228"/>
      <c r="K80" s="228"/>
      <c r="L80" s="228"/>
      <c r="M80" s="228"/>
      <c r="N80" s="228"/>
      <c r="O80" s="228"/>
      <c r="P80" s="228"/>
      <c r="Q80" s="228"/>
      <c r="R80" s="228"/>
      <c r="S80" s="228"/>
      <c r="T80" s="228"/>
      <c r="U80" s="228"/>
      <c r="V80" s="228"/>
      <c r="W80" s="228"/>
      <c r="X80" s="228"/>
    </row>
    <row r="81" spans="1:24" ht="12.75" customHeight="1" x14ac:dyDescent="0.2">
      <c r="A81" s="216" t="s">
        <v>211</v>
      </c>
      <c r="B81" s="216"/>
      <c r="C81" s="217"/>
      <c r="D81" s="217"/>
      <c r="E81" s="217"/>
      <c r="F81" s="217"/>
      <c r="G81" s="217"/>
      <c r="H81" s="217"/>
      <c r="I81" s="217"/>
      <c r="J81" s="217"/>
      <c r="K81" s="217"/>
      <c r="L81" s="217"/>
      <c r="M81" s="217"/>
      <c r="N81" s="217"/>
      <c r="O81" s="217"/>
      <c r="P81" s="217"/>
      <c r="Q81" s="217"/>
      <c r="R81" s="217"/>
      <c r="S81" s="217"/>
      <c r="T81" s="217"/>
      <c r="U81" s="217"/>
      <c r="V81" s="217"/>
      <c r="W81" s="217"/>
      <c r="X81" s="217"/>
    </row>
    <row r="82" spans="1:24" ht="26.1" customHeight="1" x14ac:dyDescent="0.2">
      <c r="A82" s="216" t="s">
        <v>212</v>
      </c>
      <c r="B82" s="216"/>
      <c r="C82" s="217"/>
      <c r="D82" s="217"/>
      <c r="E82" s="217"/>
      <c r="F82" s="217"/>
      <c r="G82" s="217"/>
      <c r="H82" s="217"/>
      <c r="I82" s="217"/>
      <c r="J82" s="217"/>
      <c r="K82" s="217"/>
      <c r="L82" s="217"/>
      <c r="M82" s="217"/>
      <c r="N82" s="217"/>
      <c r="O82" s="217"/>
      <c r="P82" s="217"/>
      <c r="Q82" s="217"/>
      <c r="R82" s="217"/>
      <c r="S82" s="217"/>
      <c r="T82" s="217"/>
      <c r="U82" s="217"/>
      <c r="V82" s="217"/>
      <c r="W82" s="217"/>
      <c r="X82" s="217"/>
    </row>
    <row r="83" spans="1:24" ht="26.1" customHeight="1" x14ac:dyDescent="0.2">
      <c r="A83" s="216" t="s">
        <v>213</v>
      </c>
      <c r="B83" s="216"/>
      <c r="C83" s="217"/>
      <c r="D83" s="217"/>
      <c r="E83" s="217"/>
      <c r="F83" s="217"/>
      <c r="G83" s="217"/>
      <c r="H83" s="217"/>
      <c r="I83" s="217"/>
      <c r="J83" s="217"/>
      <c r="K83" s="217"/>
      <c r="L83" s="217"/>
      <c r="M83" s="217"/>
      <c r="N83" s="217"/>
      <c r="O83" s="217"/>
      <c r="P83" s="217"/>
      <c r="Q83" s="217"/>
      <c r="R83" s="217"/>
      <c r="S83" s="217"/>
      <c r="T83" s="217"/>
      <c r="U83" s="217"/>
      <c r="V83" s="217"/>
      <c r="W83" s="217"/>
      <c r="X83" s="217"/>
    </row>
    <row r="84" spans="1:24" ht="12.75" customHeight="1" x14ac:dyDescent="0.2">
      <c r="A84" s="216" t="s">
        <v>214</v>
      </c>
      <c r="B84" s="216"/>
      <c r="C84" s="217"/>
      <c r="D84" s="217"/>
      <c r="E84" s="217"/>
      <c r="F84" s="217"/>
      <c r="G84" s="217"/>
      <c r="H84" s="217"/>
      <c r="I84" s="217"/>
      <c r="J84" s="217"/>
      <c r="K84" s="217"/>
      <c r="L84" s="217"/>
      <c r="M84" s="217"/>
      <c r="N84" s="217"/>
      <c r="O84" s="217"/>
      <c r="P84" s="217"/>
      <c r="Q84" s="217"/>
      <c r="R84" s="217"/>
      <c r="S84" s="217"/>
      <c r="T84" s="217"/>
      <c r="U84" s="217"/>
      <c r="V84" s="217"/>
      <c r="W84" s="217"/>
      <c r="X84" s="217"/>
    </row>
    <row r="85" spans="1:24" x14ac:dyDescent="0.2">
      <c r="A85" s="216" t="s">
        <v>215</v>
      </c>
      <c r="B85" s="216"/>
      <c r="C85" s="217"/>
      <c r="D85" s="217"/>
      <c r="E85" s="217"/>
      <c r="F85" s="217"/>
      <c r="G85" s="217"/>
      <c r="H85" s="217"/>
      <c r="I85" s="217"/>
      <c r="J85" s="217"/>
      <c r="K85" s="217"/>
      <c r="L85" s="217"/>
      <c r="M85" s="217"/>
      <c r="N85" s="217"/>
      <c r="O85" s="217"/>
      <c r="P85" s="217"/>
      <c r="Q85" s="217"/>
      <c r="R85" s="217"/>
      <c r="S85" s="217"/>
      <c r="T85" s="217"/>
      <c r="U85" s="217"/>
      <c r="V85" s="217"/>
      <c r="W85" s="217"/>
      <c r="X85" s="217"/>
    </row>
    <row r="86" spans="1:24" ht="12.75" customHeight="1" x14ac:dyDescent="0.2">
      <c r="A86" s="227" t="s">
        <v>216</v>
      </c>
      <c r="B86" s="227"/>
      <c r="C86" s="228"/>
      <c r="D86" s="228"/>
      <c r="E86" s="228"/>
      <c r="F86" s="228"/>
      <c r="G86" s="228"/>
      <c r="H86" s="228"/>
      <c r="I86" s="228"/>
      <c r="J86" s="228"/>
      <c r="K86" s="228"/>
      <c r="L86" s="228"/>
      <c r="M86" s="228"/>
      <c r="N86" s="228"/>
      <c r="O86" s="228"/>
      <c r="P86" s="228"/>
      <c r="Q86" s="228"/>
      <c r="R86" s="228"/>
      <c r="S86" s="228"/>
      <c r="T86" s="228"/>
      <c r="U86" s="228"/>
      <c r="V86" s="228"/>
      <c r="W86" s="228"/>
      <c r="X86" s="228"/>
    </row>
    <row r="87" spans="1:24" x14ac:dyDescent="0.2">
      <c r="A87" s="216" t="s">
        <v>217</v>
      </c>
      <c r="B87" s="216"/>
      <c r="C87" s="217"/>
      <c r="D87" s="217"/>
      <c r="E87" s="217"/>
      <c r="F87" s="217"/>
      <c r="G87" s="217"/>
      <c r="H87" s="217"/>
      <c r="I87" s="217"/>
      <c r="J87" s="217"/>
      <c r="K87" s="217"/>
      <c r="L87" s="217"/>
      <c r="M87" s="217"/>
      <c r="N87" s="217"/>
      <c r="O87" s="217"/>
      <c r="P87" s="217"/>
      <c r="Q87" s="217"/>
      <c r="R87" s="217"/>
      <c r="S87" s="217"/>
      <c r="T87" s="217"/>
      <c r="U87" s="217"/>
      <c r="V87" s="217"/>
      <c r="W87" s="217"/>
      <c r="X87" s="217"/>
    </row>
    <row r="88" spans="1:24" x14ac:dyDescent="0.2">
      <c r="A88" s="216" t="s">
        <v>218</v>
      </c>
      <c r="B88" s="216"/>
      <c r="C88" s="217"/>
      <c r="D88" s="217"/>
      <c r="E88" s="217"/>
      <c r="F88" s="217"/>
      <c r="G88" s="217"/>
      <c r="H88" s="217"/>
      <c r="I88" s="217"/>
      <c r="J88" s="217"/>
      <c r="K88" s="217"/>
      <c r="L88" s="217"/>
      <c r="M88" s="217"/>
      <c r="N88" s="217"/>
      <c r="O88" s="217"/>
      <c r="P88" s="217"/>
      <c r="Q88" s="217"/>
      <c r="R88" s="217"/>
      <c r="S88" s="217"/>
      <c r="T88" s="217"/>
      <c r="U88" s="217"/>
      <c r="V88" s="217"/>
      <c r="W88" s="217"/>
      <c r="X88" s="217"/>
    </row>
    <row r="90" spans="1:24" x14ac:dyDescent="0.2">
      <c r="A90" s="250" t="s">
        <v>219</v>
      </c>
      <c r="B90" s="250"/>
      <c r="C90" s="251"/>
      <c r="D90" s="251"/>
      <c r="E90" s="251"/>
      <c r="F90" s="251"/>
      <c r="G90" s="251"/>
      <c r="H90" s="251"/>
      <c r="I90" s="251"/>
      <c r="J90" s="251"/>
      <c r="K90" s="251"/>
      <c r="L90" s="251"/>
      <c r="M90" s="251"/>
      <c r="N90" s="251"/>
      <c r="O90" s="251"/>
      <c r="P90" s="251"/>
      <c r="Q90" s="251"/>
      <c r="R90" s="251"/>
      <c r="S90" s="251"/>
      <c r="T90" s="251"/>
      <c r="U90" s="251"/>
      <c r="V90" s="251"/>
      <c r="W90" s="251"/>
      <c r="X90" s="251"/>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6" t="s">
        <v>220</v>
      </c>
      <c r="B92" s="216"/>
      <c r="C92" s="217"/>
      <c r="D92" s="217"/>
      <c r="E92" s="217"/>
      <c r="F92" s="217"/>
      <c r="G92" s="217"/>
      <c r="H92" s="217"/>
      <c r="I92" s="217"/>
      <c r="J92" s="217"/>
      <c r="K92" s="217"/>
      <c r="L92" s="217"/>
      <c r="M92" s="217"/>
      <c r="N92" s="217"/>
      <c r="O92" s="217"/>
      <c r="P92" s="217"/>
      <c r="Q92" s="217"/>
      <c r="R92" s="217"/>
      <c r="S92" s="217"/>
      <c r="T92" s="217"/>
      <c r="U92" s="217"/>
      <c r="V92" s="217"/>
      <c r="W92" s="217"/>
      <c r="X92" s="217"/>
    </row>
    <row r="93" spans="1:24" ht="12.75" customHeight="1" x14ac:dyDescent="0.2">
      <c r="A93" s="227" t="s">
        <v>221</v>
      </c>
      <c r="B93" s="227"/>
      <c r="C93" s="228"/>
      <c r="D93" s="228"/>
      <c r="E93" s="228"/>
      <c r="F93" s="228"/>
      <c r="G93" s="228"/>
      <c r="H93" s="228"/>
      <c r="I93" s="228"/>
      <c r="J93" s="228"/>
      <c r="K93" s="228"/>
      <c r="L93" s="228"/>
      <c r="M93" s="228"/>
      <c r="N93" s="228"/>
      <c r="O93" s="228"/>
      <c r="P93" s="228"/>
      <c r="Q93" s="228"/>
      <c r="R93" s="228"/>
      <c r="S93" s="228"/>
      <c r="T93" s="228"/>
      <c r="U93" s="228"/>
      <c r="V93" s="228"/>
      <c r="W93" s="228"/>
      <c r="X93" s="228"/>
    </row>
    <row r="94" spans="1:24" ht="12.75" customHeight="1" x14ac:dyDescent="0.2">
      <c r="A94" s="216" t="s">
        <v>222</v>
      </c>
      <c r="B94" s="216"/>
      <c r="C94" s="217"/>
      <c r="D94" s="217"/>
      <c r="E94" s="217"/>
      <c r="F94" s="217"/>
      <c r="G94" s="217"/>
      <c r="H94" s="217"/>
      <c r="I94" s="217"/>
      <c r="J94" s="217"/>
      <c r="K94" s="217"/>
      <c r="L94" s="217"/>
      <c r="M94" s="217"/>
      <c r="N94" s="217"/>
      <c r="O94" s="217"/>
      <c r="P94" s="217"/>
      <c r="Q94" s="217"/>
      <c r="R94" s="217"/>
      <c r="S94" s="217"/>
      <c r="T94" s="217"/>
      <c r="U94" s="217"/>
      <c r="V94" s="217"/>
      <c r="W94" s="217"/>
      <c r="X94" s="217"/>
    </row>
    <row r="95" spans="1:24" x14ac:dyDescent="0.2">
      <c r="A95" s="216" t="s">
        <v>223</v>
      </c>
      <c r="B95" s="216"/>
      <c r="C95" s="217"/>
      <c r="D95" s="217"/>
      <c r="E95" s="217"/>
      <c r="F95" s="217"/>
      <c r="G95" s="217"/>
      <c r="H95" s="217"/>
      <c r="I95" s="217"/>
      <c r="J95" s="217"/>
      <c r="K95" s="217"/>
      <c r="L95" s="217"/>
      <c r="M95" s="217"/>
      <c r="N95" s="217"/>
      <c r="O95" s="217"/>
      <c r="P95" s="217"/>
      <c r="Q95" s="217"/>
      <c r="R95" s="217"/>
      <c r="S95" s="217"/>
      <c r="T95" s="217"/>
      <c r="U95" s="217"/>
      <c r="V95" s="217"/>
      <c r="W95" s="217"/>
      <c r="X95" s="217"/>
    </row>
    <row r="96" spans="1:24" ht="12.75" customHeight="1" x14ac:dyDescent="0.2">
      <c r="A96" s="227"/>
      <c r="B96" s="227"/>
      <c r="C96" s="228"/>
      <c r="D96" s="228"/>
      <c r="E96" s="228"/>
      <c r="F96" s="228"/>
      <c r="G96" s="228"/>
      <c r="H96" s="228"/>
      <c r="I96" s="228"/>
      <c r="J96" s="228"/>
      <c r="K96" s="228"/>
      <c r="L96" s="228"/>
      <c r="M96" s="228"/>
      <c r="N96" s="228"/>
      <c r="O96" s="228"/>
      <c r="P96" s="228"/>
      <c r="Q96" s="228"/>
      <c r="R96" s="228"/>
      <c r="S96" s="228"/>
      <c r="T96" s="228"/>
      <c r="U96" s="228"/>
      <c r="V96" s="228"/>
      <c r="W96" s="228"/>
      <c r="X96" s="228"/>
    </row>
    <row r="97" spans="1:24" x14ac:dyDescent="0.2">
      <c r="A97" s="250" t="s">
        <v>224</v>
      </c>
      <c r="B97" s="250"/>
      <c r="C97" s="251"/>
      <c r="D97" s="251"/>
      <c r="E97" s="251"/>
      <c r="F97" s="251"/>
      <c r="G97" s="251"/>
      <c r="H97" s="251"/>
      <c r="I97" s="251"/>
      <c r="J97" s="251"/>
      <c r="K97" s="251"/>
      <c r="L97" s="251"/>
      <c r="M97" s="251"/>
      <c r="N97" s="251"/>
      <c r="O97" s="251"/>
      <c r="P97" s="251"/>
      <c r="Q97" s="251"/>
      <c r="R97" s="251"/>
      <c r="S97" s="251"/>
      <c r="T97" s="251"/>
      <c r="U97" s="251"/>
      <c r="V97" s="251"/>
      <c r="W97" s="251"/>
      <c r="X97" s="251"/>
    </row>
    <row r="98" spans="1:24" ht="12.75" customHeight="1" x14ac:dyDescent="0.2">
      <c r="A98" s="227"/>
      <c r="B98" s="227"/>
      <c r="C98" s="228"/>
      <c r="D98" s="228"/>
      <c r="E98" s="228"/>
      <c r="F98" s="228"/>
      <c r="G98" s="228"/>
      <c r="H98" s="228"/>
      <c r="I98" s="228"/>
      <c r="J98" s="228"/>
      <c r="K98" s="228"/>
      <c r="L98" s="228"/>
      <c r="M98" s="228"/>
      <c r="N98" s="228"/>
      <c r="O98" s="228"/>
      <c r="P98" s="228"/>
      <c r="Q98" s="228"/>
      <c r="R98" s="228"/>
      <c r="S98" s="228"/>
      <c r="T98" s="228"/>
      <c r="U98" s="228"/>
      <c r="V98" s="228"/>
      <c r="W98" s="228"/>
      <c r="X98" s="228"/>
    </row>
    <row r="99" spans="1:24" ht="12.75" customHeight="1" x14ac:dyDescent="0.2">
      <c r="A99" s="216" t="s">
        <v>225</v>
      </c>
      <c r="B99" s="216"/>
      <c r="C99" s="217"/>
      <c r="D99" s="217"/>
      <c r="E99" s="217"/>
      <c r="F99" s="217"/>
      <c r="G99" s="217"/>
      <c r="H99" s="217"/>
      <c r="I99" s="217"/>
      <c r="J99" s="217"/>
      <c r="K99" s="217"/>
      <c r="L99" s="217"/>
      <c r="M99" s="217"/>
      <c r="N99" s="217"/>
      <c r="O99" s="217"/>
      <c r="P99" s="217"/>
      <c r="Q99" s="217"/>
      <c r="R99" s="217"/>
      <c r="S99" s="217"/>
      <c r="T99" s="217"/>
      <c r="U99" s="217"/>
      <c r="V99" s="217"/>
      <c r="W99" s="217"/>
      <c r="X99" s="217"/>
    </row>
    <row r="100" spans="1:24" ht="12.75" customHeight="1" x14ac:dyDescent="0.2">
      <c r="A100" s="216" t="s">
        <v>226</v>
      </c>
      <c r="B100" s="216"/>
      <c r="C100" s="217"/>
      <c r="D100" s="217"/>
      <c r="E100" s="217"/>
      <c r="F100" s="217"/>
      <c r="G100" s="217"/>
      <c r="H100" s="217"/>
      <c r="I100" s="217"/>
      <c r="J100" s="217"/>
      <c r="K100" s="217"/>
      <c r="L100" s="217"/>
      <c r="M100" s="217"/>
      <c r="N100" s="217"/>
      <c r="O100" s="217"/>
      <c r="P100" s="217"/>
      <c r="Q100" s="217"/>
      <c r="R100" s="217"/>
      <c r="S100" s="217"/>
      <c r="T100" s="217"/>
      <c r="U100" s="217"/>
      <c r="V100" s="217"/>
      <c r="W100" s="217"/>
      <c r="X100" s="217"/>
    </row>
    <row r="101" spans="1:24" x14ac:dyDescent="0.2">
      <c r="A101" s="216" t="s">
        <v>227</v>
      </c>
      <c r="B101" s="216"/>
      <c r="C101" s="217"/>
      <c r="D101" s="217"/>
      <c r="E101" s="217"/>
      <c r="F101" s="217"/>
      <c r="G101" s="217"/>
      <c r="H101" s="217"/>
      <c r="I101" s="217"/>
      <c r="J101" s="217"/>
      <c r="K101" s="217"/>
      <c r="L101" s="217"/>
      <c r="M101" s="217"/>
      <c r="N101" s="217"/>
      <c r="O101" s="217"/>
      <c r="P101" s="217"/>
      <c r="Q101" s="217"/>
      <c r="R101" s="217"/>
      <c r="S101" s="217"/>
      <c r="T101" s="217"/>
      <c r="U101" s="217"/>
      <c r="V101" s="217"/>
      <c r="W101" s="217"/>
      <c r="X101" s="217"/>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0.23130000000000001</v>
      </c>
    </row>
    <row r="109" spans="1:24" x14ac:dyDescent="0.2">
      <c r="A109"/>
      <c r="F109"/>
      <c r="G109" s="23"/>
      <c r="H109" s="23"/>
      <c r="L109" s="1" t="s">
        <v>133</v>
      </c>
      <c r="P109" s="23"/>
      <c r="S109" s="175">
        <f ca="1">U38</f>
        <v>0.12470000000000001</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5" t="str">
        <f>A28</f>
        <v>Nº OPERAÇÃO</v>
      </c>
      <c r="B220" s="207"/>
      <c r="C220" s="205" t="str">
        <f>C28</f>
        <v>GESTOR</v>
      </c>
      <c r="D220" s="206"/>
      <c r="E220" s="207"/>
      <c r="F220" s="205" t="str">
        <f>F28</f>
        <v>PROGRAMA</v>
      </c>
      <c r="G220" s="206"/>
      <c r="H220" s="206"/>
      <c r="I220" s="207"/>
      <c r="J220" s="205" t="str">
        <f>J28</f>
        <v>AÇÃO / MODALIDADE</v>
      </c>
      <c r="K220" s="206"/>
      <c r="L220" s="206"/>
      <c r="M220" s="206"/>
      <c r="N220" s="206"/>
      <c r="O220" s="207"/>
      <c r="P220" s="205" t="str">
        <f>P28</f>
        <v>OBJETO</v>
      </c>
      <c r="Q220" s="206"/>
      <c r="R220" s="206"/>
      <c r="S220" s="206"/>
      <c r="T220" s="206"/>
      <c r="U220" s="206"/>
      <c r="V220" s="206"/>
      <c r="W220" s="206"/>
      <c r="X220" s="207"/>
    </row>
    <row r="221" spans="1:24" ht="12.75" customHeight="1" x14ac:dyDescent="0.2">
      <c r="A221" s="202" t="str">
        <f>IF(A29="","",A29)</f>
        <v/>
      </c>
      <c r="B221" s="204"/>
      <c r="C221" s="202" t="str">
        <f>IF(C29="","",C29)</f>
        <v/>
      </c>
      <c r="D221" s="203"/>
      <c r="E221" s="204"/>
      <c r="F221" s="202" t="str">
        <f>IF(F29="","",F29)</f>
        <v/>
      </c>
      <c r="G221" s="203"/>
      <c r="H221" s="203"/>
      <c r="I221" s="204"/>
      <c r="J221" s="202" t="str">
        <f>IF(J29="","",J29)</f>
        <v/>
      </c>
      <c r="K221" s="203"/>
      <c r="L221" s="203" t="e">
        <f>IF(#REF!="","",#REF!)</f>
        <v>#REF!</v>
      </c>
      <c r="M221" s="203"/>
      <c r="N221" s="203" t="e">
        <f>IF(#REF!="","",#REF!)</f>
        <v>#REF!</v>
      </c>
      <c r="O221" s="204"/>
      <c r="P221" s="202" t="str">
        <f>IF(P29="","",P29)</f>
        <v>REFORMA DO PRÉDIO DO COMPLEXO HOSPITALAR - IMAGENOLOGIA 1ª ETAPA</v>
      </c>
      <c r="Q221" s="203"/>
      <c r="R221" s="203"/>
      <c r="S221" s="203"/>
      <c r="T221" s="203"/>
      <c r="U221" s="203"/>
      <c r="V221" s="203"/>
      <c r="W221" s="203"/>
      <c r="X221" s="204"/>
    </row>
    <row r="222" spans="1:24" ht="6" customHeight="1" x14ac:dyDescent="0.2">
      <c r="A222"/>
      <c r="B222"/>
      <c r="F222"/>
      <c r="G222"/>
      <c r="H222"/>
    </row>
    <row r="223" spans="1:24" x14ac:dyDescent="0.2">
      <c r="A223" s="205" t="str">
        <f>A31</f>
        <v>PROPONENTE / TOMADOR</v>
      </c>
      <c r="B223" s="206"/>
      <c r="C223" s="206"/>
      <c r="D223" s="206"/>
      <c r="E223" s="206"/>
      <c r="F223" s="206"/>
      <c r="G223" s="205" t="str">
        <f>G31</f>
        <v>MUNICÍPIO / UF</v>
      </c>
      <c r="H223" s="206"/>
      <c r="I223" s="206"/>
      <c r="J223" s="207"/>
      <c r="K223" s="205" t="str">
        <f>K31</f>
        <v>LOCALIDADE / ENDEREÇO</v>
      </c>
      <c r="L223" s="206"/>
      <c r="M223" s="206"/>
      <c r="N223" s="206"/>
      <c r="O223" s="206"/>
      <c r="P223" s="207"/>
      <c r="Q223" s="205" t="str">
        <f>Q31</f>
        <v>APELIDO DO EMPREENDIMENTO</v>
      </c>
      <c r="R223" s="206"/>
      <c r="S223" s="206"/>
      <c r="T223" s="206"/>
      <c r="U223" s="206"/>
      <c r="V223" s="206"/>
      <c r="W223" s="206"/>
      <c r="X223" s="207"/>
    </row>
    <row r="224" spans="1:24" ht="12.75" customHeight="1" x14ac:dyDescent="0.2">
      <c r="A224" s="236" t="str">
        <f>IF(A32="","",A32)</f>
        <v>MUNICÍPIO DE BENTO GONÇALVES</v>
      </c>
      <c r="B224" s="237"/>
      <c r="C224" s="237"/>
      <c r="D224" s="237"/>
      <c r="E224" s="237"/>
      <c r="F224" s="237"/>
      <c r="G224" s="202" t="str">
        <f>IF(G32="","",G32)</f>
        <v>BENTO GONÇALVES/RS</v>
      </c>
      <c r="H224" s="203" t="str">
        <f>IF(I32="","",I32)</f>
        <v/>
      </c>
      <c r="I224" s="203"/>
      <c r="J224" s="204" t="e">
        <f>IF(#REF!="","",#REF!)</f>
        <v>#REF!</v>
      </c>
      <c r="K224" s="202" t="str">
        <f>IF(K32="","",K32)</f>
        <v>RUA GOIÂNIA, 590, BAIRRO BOTAFOGO</v>
      </c>
      <c r="L224" s="203"/>
      <c r="M224" s="203"/>
      <c r="N224" s="203"/>
      <c r="O224" s="203"/>
      <c r="P224" s="204"/>
      <c r="Q224" s="202" t="str">
        <f>IF(Q32="","",Q32)</f>
        <v>REFORMA DO PRÉDIO DO COMPLEXO HOSPITALAR - IMAGENOLOGIA 1ª ETAPA</v>
      </c>
      <c r="R224" s="203"/>
      <c r="S224" s="203"/>
      <c r="T224" s="203"/>
      <c r="U224" s="203"/>
      <c r="V224" s="203"/>
      <c r="W224" s="203"/>
      <c r="X224" s="204"/>
    </row>
    <row r="225" spans="1:24" ht="6" hidden="1" customHeight="1" x14ac:dyDescent="0.2">
      <c r="A225"/>
      <c r="B225"/>
      <c r="F225"/>
      <c r="G225"/>
      <c r="H225"/>
    </row>
    <row r="226" spans="1:24" hidden="1" x14ac:dyDescent="0.2">
      <c r="A226" s="205" t="str">
        <f>A37</f>
        <v>DATA BASE</v>
      </c>
      <c r="B226" s="207"/>
      <c r="C226" s="78" t="str">
        <f>C37</f>
        <v>DESON.</v>
      </c>
      <c r="D226" s="205" t="str">
        <f>D37</f>
        <v>LOCALIDADE DO SINAPI</v>
      </c>
      <c r="E226" s="206"/>
      <c r="F226" s="207"/>
      <c r="G226" s="205" t="str">
        <f>G37</f>
        <v>DESCRIÇÃO DO LOTE</v>
      </c>
      <c r="H226" s="206"/>
      <c r="I226" s="206"/>
      <c r="J226" s="206"/>
      <c r="K226" s="206"/>
      <c r="L226" s="206"/>
      <c r="M226" s="206"/>
      <c r="N226" s="206"/>
      <c r="O226" s="206"/>
      <c r="P226" s="206"/>
      <c r="Q226" s="206"/>
      <c r="R226" s="206"/>
      <c r="S226" s="207"/>
      <c r="T226" s="79" t="str">
        <f>T37</f>
        <v>BDI 1</v>
      </c>
      <c r="U226" s="79" t="str">
        <f>U37</f>
        <v>BDI 2</v>
      </c>
      <c r="V226" s="79" t="str">
        <f>V37</f>
        <v>BDI 3</v>
      </c>
      <c r="W226" s="79" t="str">
        <f>W37</f>
        <v>BDI 4</v>
      </c>
      <c r="X226" s="79" t="str">
        <f>X37</f>
        <v>BDI 5</v>
      </c>
    </row>
    <row r="227" spans="1:24" ht="12.75" hidden="1" customHeight="1" x14ac:dyDescent="0.2">
      <c r="A227" s="242">
        <f>IF(A38="","",A38)</f>
        <v>46032</v>
      </c>
      <c r="B227" s="243"/>
      <c r="C227" s="115" t="str">
        <f t="shared" ref="C227:X227" si="0">IF(C38="","",C38)</f>
        <v>Não</v>
      </c>
      <c r="D227" s="229" t="str">
        <f t="shared" si="0"/>
        <v>Porto Alegre / RS</v>
      </c>
      <c r="E227" s="233" t="str">
        <f t="shared" si="0"/>
        <v/>
      </c>
      <c r="F227" s="230" t="str">
        <f t="shared" si="0"/>
        <v/>
      </c>
      <c r="G227" s="229" t="str">
        <f t="shared" si="0"/>
        <v>REFORMA DO PRÉDIO DO COMPLEXO HOSPITALAR - IMAGENOLOGIA 1ª ETAPA</v>
      </c>
      <c r="H227" s="233" t="str">
        <f t="shared" si="0"/>
        <v/>
      </c>
      <c r="I227" s="233" t="str">
        <f t="shared" si="0"/>
        <v/>
      </c>
      <c r="J227" s="233" t="str">
        <f t="shared" si="0"/>
        <v/>
      </c>
      <c r="K227" s="233" t="str">
        <f t="shared" si="0"/>
        <v/>
      </c>
      <c r="L227" s="233" t="str">
        <f t="shared" si="0"/>
        <v/>
      </c>
      <c r="M227" s="233" t="str">
        <f t="shared" si="0"/>
        <v/>
      </c>
      <c r="N227" s="233" t="str">
        <f t="shared" si="0"/>
        <v/>
      </c>
      <c r="O227" s="233" t="str">
        <f t="shared" si="0"/>
        <v/>
      </c>
      <c r="P227" s="233" t="str">
        <f t="shared" si="0"/>
        <v/>
      </c>
      <c r="Q227" s="233" t="str">
        <f t="shared" si="0"/>
        <v/>
      </c>
      <c r="R227" s="233" t="str">
        <f t="shared" si="0"/>
        <v/>
      </c>
      <c r="S227" s="230" t="str">
        <f t="shared" si="0"/>
        <v/>
      </c>
      <c r="T227" s="117">
        <f t="shared" ca="1" si="0"/>
        <v>0.23130000000000001</v>
      </c>
      <c r="U227" s="81">
        <f t="shared" ca="1" si="0"/>
        <v>0.12470000000000001</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5" t="s">
        <v>87</v>
      </c>
      <c r="B229" s="207"/>
      <c r="C229" s="205" t="s">
        <v>163</v>
      </c>
      <c r="D229" s="206"/>
      <c r="E229" s="206"/>
      <c r="F229" s="206"/>
      <c r="G229" s="206"/>
      <c r="H229" s="205" t="s">
        <v>16</v>
      </c>
      <c r="I229" s="206"/>
      <c r="J229" s="20" t="s">
        <v>91</v>
      </c>
      <c r="K229" s="205" t="s">
        <v>88</v>
      </c>
      <c r="L229" s="206"/>
      <c r="M229" s="207"/>
      <c r="N229" s="20" t="s">
        <v>92</v>
      </c>
      <c r="O229" s="205" t="s">
        <v>93</v>
      </c>
      <c r="P229" s="206"/>
      <c r="Q229" s="206"/>
      <c r="R229" s="206"/>
      <c r="S229" s="206"/>
      <c r="T229" s="207"/>
      <c r="U229" s="238" t="s">
        <v>89</v>
      </c>
      <c r="V229" s="239"/>
      <c r="W229" s="238" t="s">
        <v>90</v>
      </c>
      <c r="X229" s="239"/>
    </row>
    <row r="230" spans="1:24" ht="12.75" customHeight="1" x14ac:dyDescent="0.2">
      <c r="A230" s="229" t="str">
        <f>IF(A43="","",A43)</f>
        <v/>
      </c>
      <c r="B230" s="230"/>
      <c r="C230" s="229" t="str">
        <f>IF(C43="","",C43)</f>
        <v/>
      </c>
      <c r="D230" s="233"/>
      <c r="E230" s="233" t="str">
        <f>IF(E43="","",E43)</f>
        <v/>
      </c>
      <c r="F230" s="233"/>
      <c r="G230" s="233" t="str">
        <f>IF(G43="","",G43)</f>
        <v/>
      </c>
      <c r="H230" s="234" t="str">
        <f>IF(H43="","",H43)</f>
        <v/>
      </c>
      <c r="I230" s="235" t="str">
        <f>IF(I43="","",I43)</f>
        <v/>
      </c>
      <c r="J230" s="116" t="str">
        <f>IF(J43="","",J43)</f>
        <v/>
      </c>
      <c r="K230" s="221" t="str">
        <f>IF(K43="","",K43)</f>
        <v/>
      </c>
      <c r="L230" s="223"/>
      <c r="M230" s="224" t="str">
        <f>IF(M43="","",M43)</f>
        <v/>
      </c>
      <c r="N230" s="118" t="str">
        <f>IF(N43="","",N43)</f>
        <v/>
      </c>
      <c r="O230" s="221" t="str">
        <f>IF(O43="","",O43)</f>
        <v/>
      </c>
      <c r="P230" s="222"/>
      <c r="Q230" s="222" t="str">
        <f>IF(Q43="","",Q43)</f>
        <v/>
      </c>
      <c r="R230" s="223"/>
      <c r="S230" s="223" t="str">
        <f>IF(S43="","",S43)</f>
        <v/>
      </c>
      <c r="T230" s="224"/>
      <c r="U230" s="231" t="str">
        <f>IF(U43="","",U43)</f>
        <v/>
      </c>
      <c r="V230" s="232"/>
      <c r="W230" s="225" t="str">
        <f>IF(W43="","",W43)</f>
        <v/>
      </c>
      <c r="X230" s="226"/>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8" type="noConversion"/>
  <conditionalFormatting sqref="B54:E55 B56 B57:E57">
    <cfRule type="expression" dxfId="577" priority="42" stopIfTrue="1">
      <formula>$B54&lt;&gt;""</formula>
    </cfRule>
  </conditionalFormatting>
  <conditionalFormatting sqref="A48 H54:K54 H55:H56 H57:K57 A29:C29 J29 F29 A32 P29 G32 K32">
    <cfRule type="expression" dxfId="576" priority="48" stopIfTrue="1">
      <formula>A29&lt;&gt;""</formula>
    </cfRule>
  </conditionalFormatting>
  <conditionalFormatting sqref="G53:K54 G55:H56 G57:K57">
    <cfRule type="expression" dxfId="575" priority="43" stopIfTrue="1">
      <formula>$K$52&lt;&gt;"SIM"</formula>
    </cfRule>
  </conditionalFormatting>
  <conditionalFormatting sqref="A40:X43">
    <cfRule type="expression" dxfId="574" priority="56" stopIfTrue="1">
      <formula>OR(TipoOrçamento="BASE",TipoOrçamento="REPROGRAMADONPL")</formula>
    </cfRule>
    <cfRule type="expression" dxfId="573" priority="57" stopIfTrue="1">
      <formula>A40&lt;&gt;""</formula>
    </cfRule>
  </conditionalFormatting>
  <conditionalFormatting sqref="A35:X38">
    <cfRule type="expression" dxfId="572" priority="58" stopIfTrue="1">
      <formula>OR(TipoOrçamento="LICITADO",TipoOrçamento="REPROGRAMADOAC")</formula>
    </cfRule>
    <cfRule type="expression" dxfId="571" priority="59" stopIfTrue="1">
      <formula>A35&lt;&gt;""</formula>
    </cfRule>
  </conditionalFormatting>
  <conditionalFormatting sqref="Q32">
    <cfRule type="expression" dxfId="570"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0" zoomScale="70" zoomScaleNormal="70" zoomScaleSheetLayoutView="100" zoomScalePageLayoutView="70" workbookViewId="0">
      <selection activeCell="N25" sqref="N25"/>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07"/>
      <c r="K4" s="205" t="s">
        <v>173</v>
      </c>
      <c r="L4" s="206"/>
      <c r="M4" s="206"/>
      <c r="N4" s="206"/>
      <c r="O4" s="206"/>
      <c r="P4" s="206"/>
      <c r="Q4" s="206"/>
      <c r="R4" s="20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90">
        <f>DADOS!A29</f>
        <v>0</v>
      </c>
      <c r="J5" s="291"/>
      <c r="K5" s="292" t="str">
        <f>DADOS!A32</f>
        <v>MUNICÍPIO DE BENTO GONÇALVES</v>
      </c>
      <c r="L5" s="293"/>
      <c r="M5" s="293"/>
      <c r="N5" s="293"/>
      <c r="O5" s="293"/>
      <c r="P5" s="293"/>
      <c r="Q5" s="293"/>
      <c r="R5" s="291"/>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0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4" t="str">
        <f>DADOS!P29</f>
        <v>REFORMA DO PRÉDIO DO COMPLEXO HOSPITALAR - IMAGENOLOGIA 1ª ETAPA</v>
      </c>
      <c r="J8" s="294"/>
      <c r="K8" s="294"/>
      <c r="L8" s="294"/>
      <c r="M8" s="294"/>
      <c r="N8" s="294"/>
      <c r="O8" s="294"/>
      <c r="P8" s="294"/>
      <c r="Q8" s="294"/>
      <c r="R8" s="294"/>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0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5" t="s">
        <v>37</v>
      </c>
      <c r="J11" s="286"/>
      <c r="K11" s="286"/>
      <c r="L11" s="286"/>
      <c r="M11" s="286"/>
      <c r="N11" s="286"/>
      <c r="O11" s="286"/>
      <c r="P11" s="287"/>
      <c r="Q11" s="288" t="str">
        <f>DADOS!$C$38</f>
        <v>Não</v>
      </c>
      <c r="R11" s="289"/>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3" t="s">
        <v>36</v>
      </c>
      <c r="J13" s="283"/>
      <c r="K13" s="283"/>
      <c r="L13" s="283"/>
      <c r="M13" s="283"/>
      <c r="N13" s="283"/>
      <c r="O13" s="283"/>
      <c r="P13" s="283"/>
      <c r="Q13" s="280">
        <v>0.45</v>
      </c>
      <c r="R13" s="280"/>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1" t="s">
        <v>38</v>
      </c>
      <c r="J14" s="281"/>
      <c r="K14" s="281"/>
      <c r="L14" s="281"/>
      <c r="M14" s="281"/>
      <c r="N14" s="281"/>
      <c r="O14" s="281"/>
      <c r="P14" s="281"/>
      <c r="Q14" s="280">
        <v>0.03</v>
      </c>
      <c r="R14" s="280"/>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2" t="s">
        <v>39</v>
      </c>
      <c r="J16" s="282"/>
      <c r="K16" s="282"/>
      <c r="L16" s="282"/>
      <c r="M16" s="282" t="s">
        <v>40</v>
      </c>
      <c r="N16" s="284" t="s">
        <v>41</v>
      </c>
      <c r="O16" s="284" t="s">
        <v>42</v>
      </c>
      <c r="P16" s="282" t="s">
        <v>43</v>
      </c>
      <c r="Q16" s="282" t="s">
        <v>44</v>
      </c>
      <c r="R16" s="299" t="s">
        <v>45</v>
      </c>
      <c r="T16" s="295" t="str">
        <f>IF(V27,"Para BDI fora do intervalo estatístico, deve ser apresentado Relatório Técnico Circunstanciado justificando a adoção do percentual de cada parcela do BDI.","")</f>
        <v/>
      </c>
      <c r="U16" s="295"/>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2"/>
      <c r="J17" s="282"/>
      <c r="K17" s="282"/>
      <c r="L17" s="282"/>
      <c r="M17" s="282"/>
      <c r="N17" s="284"/>
      <c r="O17" s="284"/>
      <c r="P17" s="282"/>
      <c r="Q17" s="282"/>
      <c r="R17" s="299"/>
      <c r="T17" s="295"/>
      <c r="U17" s="295"/>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7" t="str">
        <f>IF($I$11=$A$59,"Encargos Sociais incidentes sobre a mão de obra","Administração Central")</f>
        <v>Administração Central</v>
      </c>
      <c r="J18" s="297"/>
      <c r="K18" s="297"/>
      <c r="L18" s="297"/>
      <c r="M18" s="50" t="str">
        <f>IF($I$11=$A$59,"K1","AC")</f>
        <v>AC</v>
      </c>
      <c r="N18" s="51">
        <v>4.7500000000000001E-2</v>
      </c>
      <c r="O18" s="52" t="s">
        <v>46</v>
      </c>
      <c r="P18" s="53">
        <f>VLOOKUP(CONCATENATE(I$11,"-",M18),$C$2:$G$49,3,FALSE)</f>
        <v>3.4300000000000004E-2</v>
      </c>
      <c r="Q18" s="53">
        <f>VLOOKUP(CONCATENATE(I$11,"-",M18),$C$2:$G$49,4,FALSE)</f>
        <v>4.9299999999999997E-2</v>
      </c>
      <c r="R18" s="53">
        <f>VLOOKUP(CONCATENATE(I$11,"-",M18),$C$2:$G$49,5,FALSE)</f>
        <v>6.7099999999999993E-2</v>
      </c>
      <c r="T18" s="295"/>
      <c r="U18" s="295"/>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7" t="str">
        <f>IF($I$11=$A$59,"Administração Central da empresa ou consultoria - overhead","Seguro e Garantia")</f>
        <v>Seguro e Garantia</v>
      </c>
      <c r="J19" s="297"/>
      <c r="K19" s="297"/>
      <c r="L19" s="297"/>
      <c r="M19" s="50" t="str">
        <f>IF($I$11=$A$59,"K2","SG")</f>
        <v>SG</v>
      </c>
      <c r="N19" s="51">
        <v>8.9999999999999993E-3</v>
      </c>
      <c r="O19" s="52" t="s">
        <v>46</v>
      </c>
      <c r="P19" s="53">
        <f>VLOOKUP(CONCATENATE(I$11,"-",M19),$C$2:$G$49,3,FALSE)</f>
        <v>2.8000000000000004E-3</v>
      </c>
      <c r="Q19" s="53">
        <f>VLOOKUP(CONCATENATE(I$11,"-",M19),$C$2:$G$49,4,FALSE)</f>
        <v>4.8999999999999998E-3</v>
      </c>
      <c r="R19" s="53">
        <f>VLOOKUP(CONCATENATE(I$11,"-",M19),$C$2:$G$49,5,FALSE)</f>
        <v>7.4999999999999997E-3</v>
      </c>
      <c r="T19" s="295"/>
      <c r="U19" s="295"/>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7" t="str">
        <f>IF($I$11=$A$59,"","Risco")</f>
        <v>Risco</v>
      </c>
      <c r="J20" s="297"/>
      <c r="K20" s="297"/>
      <c r="L20" s="297"/>
      <c r="M20" s="50" t="str">
        <f>IF($I$11=$A$59,"","R")</f>
        <v>R</v>
      </c>
      <c r="N20" s="51">
        <v>1.2699999999999999E-2</v>
      </c>
      <c r="O20" s="52" t="s">
        <v>46</v>
      </c>
      <c r="P20" s="53">
        <f>VLOOKUP(CONCATENATE(I$11,"-",M20),$C$2:$G$49,3,FALSE)</f>
        <v>0.01</v>
      </c>
      <c r="Q20" s="53">
        <f>VLOOKUP(CONCATENATE(I$11,"-",M20),$C$2:$G$49,4,FALSE)</f>
        <v>1.3899999999999999E-2</v>
      </c>
      <c r="R20" s="53">
        <f>VLOOKUP(CONCATENATE(I$11,"-",M20),$C$2:$G$49,5,FALSE)</f>
        <v>1.7399999999999999E-2</v>
      </c>
      <c r="T20" s="295"/>
      <c r="U20" s="295"/>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7" t="str">
        <f>IF($I$11=$A$59,"","Despesas Financeiras")</f>
        <v>Despesas Financeiras</v>
      </c>
      <c r="J21" s="297"/>
      <c r="K21" s="297"/>
      <c r="L21" s="297"/>
      <c r="M21" s="50" t="str">
        <f>IF($I$11=$A$59,"","DF")</f>
        <v>DF</v>
      </c>
      <c r="N21" s="51">
        <v>1.2999999999999999E-2</v>
      </c>
      <c r="O21" s="52" t="s">
        <v>46</v>
      </c>
      <c r="P21" s="53">
        <f>VLOOKUP(CONCATENATE(I$11,"-",M21),$C$2:$G$49,3,FALSE)</f>
        <v>9.3999999999999986E-3</v>
      </c>
      <c r="Q21" s="53">
        <f>VLOOKUP(CONCATENATE(I$11,"-",M21),$C$2:$G$49,4,FALSE)</f>
        <v>9.8999999999999991E-3</v>
      </c>
      <c r="R21" s="53">
        <f>VLOOKUP(CONCATENATE(I$11,"-",M21),$C$2:$G$49,5,FALSE)</f>
        <v>1.1699999999999999E-2</v>
      </c>
      <c r="T21" s="295"/>
      <c r="U21" s="295"/>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7" t="str">
        <f>IF($I$11=$A$59,"Margem bruta da empresa de consultoria","Lucro")</f>
        <v>Lucro</v>
      </c>
      <c r="J22" s="297"/>
      <c r="K22" s="297"/>
      <c r="L22" s="297"/>
      <c r="M22" s="50" t="str">
        <f>IF($I$11=$A$59,"K3","L")</f>
        <v>L</v>
      </c>
      <c r="N22" s="51">
        <v>0.08</v>
      </c>
      <c r="O22" s="52" t="s">
        <v>46</v>
      </c>
      <c r="P22" s="53">
        <f>VLOOKUP(CONCATENATE(I$11,"-",M22),$C$2:$G$49,3,FALSE)</f>
        <v>6.7400000000000002E-2</v>
      </c>
      <c r="Q22" s="53">
        <f>VLOOKUP(CONCATENATE(I$11,"-",M22),$C$2:$G$49,4,FALSE)</f>
        <v>8.0399999999999985E-2</v>
      </c>
      <c r="R22" s="53">
        <f>VLOOKUP(CONCATENATE(I$11,"-",M22),$C$2:$G$49,5,FALSE)</f>
        <v>9.4E-2</v>
      </c>
      <c r="T22" s="295"/>
      <c r="U22" s="295"/>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8" t="s">
        <v>48</v>
      </c>
      <c r="J23" s="298"/>
      <c r="K23" s="298"/>
      <c r="L23" s="298"/>
      <c r="M23" s="50" t="s">
        <v>49</v>
      </c>
      <c r="N23" s="51">
        <v>3.6499999999999998E-2</v>
      </c>
      <c r="O23" s="52" t="s">
        <v>46</v>
      </c>
      <c r="P23" s="53">
        <v>3.6499999999999998E-2</v>
      </c>
      <c r="Q23" s="53">
        <v>3.6499999999999998E-2</v>
      </c>
      <c r="R23" s="53">
        <v>3.6499999999999998E-2</v>
      </c>
      <c r="T23" s="295"/>
      <c r="U23" s="295"/>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7" t="s">
        <v>50</v>
      </c>
      <c r="J24" s="297"/>
      <c r="K24" s="297"/>
      <c r="L24" s="297"/>
      <c r="M24" s="50" t="s">
        <v>51</v>
      </c>
      <c r="N24" s="53">
        <f>IF($I$11&lt;&gt;$A$58,Q14*Q13,0)</f>
        <v>1.35E-2</v>
      </c>
      <c r="O24" s="52" t="s">
        <v>46</v>
      </c>
      <c r="P24" s="53">
        <v>0</v>
      </c>
      <c r="Q24" s="53">
        <v>2.5000000000000001E-2</v>
      </c>
      <c r="R24" s="53">
        <v>0.05</v>
      </c>
      <c r="T24" s="295"/>
      <c r="U24" s="295"/>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7" t="s">
        <v>116</v>
      </c>
      <c r="J25" s="297"/>
      <c r="K25" s="297"/>
      <c r="L25" s="297"/>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7" t="s">
        <v>53</v>
      </c>
      <c r="J26" s="297"/>
      <c r="K26" s="297"/>
      <c r="L26" s="297"/>
      <c r="M26" s="55" t="s">
        <v>33</v>
      </c>
      <c r="N26" s="53">
        <f>IF($I$11=$A$58,0,ROUND((((1+N18+N19+N20)*(1+N21)*(1+N22)/(1-(N23+N24)))-1),4))</f>
        <v>0.23130000000000001</v>
      </c>
      <c r="O26" s="91" t="str">
        <f>IF(OR($I$11=$A$59,$I$11=$A$58,AND(N26&gt;=P26, N26&lt;=R26)), "OK", "FORA DO INTERVALO")</f>
        <v>OK</v>
      </c>
      <c r="P26" s="53">
        <f>IF($I$11=$A$58,0,VLOOKUP(CONCATENATE($I$11,"-",$M26),$C$2:$G$49,3,FALSE))</f>
        <v>0.20760000000000001</v>
      </c>
      <c r="Q26" s="53">
        <f>IF($I$11=$A$58,0,VLOOKUP(CONCATENATE($I$11,"-",$M26),$C$2:$G$49,4,FALSE))</f>
        <v>0.24179999999999999</v>
      </c>
      <c r="R26" s="53">
        <f>IF($I$11=$A$58,0,VLOOKUP(CONCATENATE($I$11,"-",$M26),$C$2:$G$49,5,FALSE))</f>
        <v>0.26440000000000002</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8" t="s">
        <v>55</v>
      </c>
      <c r="J27" s="308"/>
      <c r="K27" s="308"/>
      <c r="L27" s="308"/>
      <c r="M27" s="56" t="s">
        <v>56</v>
      </c>
      <c r="N27" s="57">
        <f>IF($I$11=$A$58,0,ROUND((((1+N18+N19+N20)*(1+N21)*(1+N22)/(1-(N23+N24+N25)))-1),4))</f>
        <v>0.23130000000000001</v>
      </c>
      <c r="O27" s="95" t="str">
        <f>IF(Q11&lt;&gt;"Sim","",O26)</f>
        <v/>
      </c>
      <c r="P27" s="309"/>
      <c r="Q27" s="309"/>
      <c r="R27" s="309"/>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7" t="s">
        <v>117</v>
      </c>
      <c r="K29" s="307"/>
      <c r="L29" s="307"/>
      <c r="M29" s="307"/>
      <c r="N29" s="307"/>
      <c r="O29" s="307"/>
      <c r="P29" s="307"/>
      <c r="Q29" s="307"/>
      <c r="R29" s="307"/>
      <c r="V29" s="96" t="b">
        <v>0</v>
      </c>
      <c r="W29" s="42" t="s">
        <v>119</v>
      </c>
    </row>
    <row r="30" spans="1:31" ht="7.5" customHeight="1" x14ac:dyDescent="0.2">
      <c r="B30" s="44"/>
      <c r="E30" s="45"/>
      <c r="F30" s="45"/>
      <c r="G30" s="45"/>
      <c r="V30" s="96"/>
    </row>
    <row r="31" spans="1:31" ht="18.75" customHeight="1" x14ac:dyDescent="0.2">
      <c r="B31" s="44"/>
      <c r="E31" s="45"/>
      <c r="F31" s="45"/>
      <c r="G31" s="45"/>
      <c r="I31" s="310" t="s">
        <v>61</v>
      </c>
      <c r="J31" s="310"/>
      <c r="K31" s="310"/>
      <c r="L31" s="310"/>
      <c r="M31" s="310"/>
      <c r="N31" s="310"/>
      <c r="O31" s="310"/>
      <c r="P31" s="310"/>
      <c r="Q31" s="310"/>
      <c r="R31" s="310"/>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5" t="str">
        <f>IF(Q11="Sim","BDI.DES =","BDI.PAD =")</f>
        <v>BDI.PAD =</v>
      </c>
      <c r="M32" s="303" t="str">
        <f>IF($I$11=$A$59,"(1+K1+K2)*(1+K3)","(1+AC + S + R + G)*(1 + DF)*(1+L)")</f>
        <v>(1+AC + S + R + G)*(1 + DF)*(1+L)</v>
      </c>
      <c r="N32" s="303"/>
      <c r="O32" s="303"/>
      <c r="P32" s="301"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5"/>
      <c r="M33" s="304" t="str">
        <f>IF(Q11="Sim","(1-CP-ISS-CRPB)","(1-CP-ISS)")</f>
        <v>(1-CP-ISS)</v>
      </c>
      <c r="N33" s="304"/>
      <c r="O33" s="304"/>
      <c r="P33" s="302"/>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300"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Redes de Abastecimento de Água, Coleta de Esgoto, é de 45%, com a respectiva alíquota de 3%.</v>
      </c>
      <c r="J35" s="300"/>
      <c r="K35" s="300"/>
      <c r="L35" s="300"/>
      <c r="M35" s="300"/>
      <c r="N35" s="300"/>
      <c r="O35" s="300"/>
      <c r="P35" s="300"/>
      <c r="Q35" s="300"/>
      <c r="R35" s="300"/>
    </row>
    <row r="36" spans="1:18" ht="11.25" customHeight="1" x14ac:dyDescent="0.2">
      <c r="B36" s="49"/>
      <c r="E36" s="45"/>
      <c r="F36" s="45"/>
      <c r="G36" s="45"/>
    </row>
    <row r="37" spans="1:18" ht="52.5" customHeight="1" x14ac:dyDescent="0.2">
      <c r="B37" s="49"/>
      <c r="E37" s="45"/>
      <c r="F37" s="45"/>
      <c r="G37" s="45"/>
      <c r="I37" s="300"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0"/>
      <c r="K37" s="300"/>
      <c r="L37" s="300"/>
      <c r="M37" s="300"/>
      <c r="N37" s="300"/>
      <c r="O37" s="300"/>
      <c r="P37" s="300"/>
      <c r="Q37" s="300"/>
      <c r="R37" s="300"/>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2"/>
      <c r="J40" s="313"/>
      <c r="K40" s="313"/>
      <c r="L40" s="313"/>
      <c r="M40" s="313"/>
      <c r="N40" s="313"/>
      <c r="O40" s="313"/>
      <c r="P40" s="313"/>
      <c r="Q40" s="313"/>
      <c r="R40" s="314"/>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6" t="str">
        <f>PO!K433</f>
        <v>BENTO GONÇALVES/RS</v>
      </c>
      <c r="J42" s="296"/>
      <c r="K42" s="296"/>
      <c r="L42" s="296"/>
      <c r="O42" s="311">
        <f>PO!K436</f>
        <v>0</v>
      </c>
      <c r="P42" s="311"/>
      <c r="Q42" s="311"/>
      <c r="R42" s="311"/>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9" t="s">
        <v>120</v>
      </c>
      <c r="J43" s="279"/>
      <c r="K43" s="279"/>
      <c r="L43" s="279"/>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8"/>
      <c r="J45" s="278"/>
      <c r="K45" s="278"/>
      <c r="L45" s="278"/>
      <c r="M45" s="59"/>
      <c r="N45" s="59"/>
      <c r="O45" s="278"/>
      <c r="P45" s="278"/>
      <c r="Q45" s="278"/>
      <c r="R45" s="278"/>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5" t="s">
        <v>57</v>
      </c>
      <c r="J46" s="315"/>
      <c r="K46" s="315"/>
      <c r="L46" s="315"/>
      <c r="O46" s="315" t="s">
        <v>58</v>
      </c>
      <c r="P46" s="315"/>
      <c r="Q46" s="315"/>
      <c r="R46" s="315"/>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6">
        <f>DADOS!B54</f>
        <v>0</v>
      </c>
      <c r="K47" s="306"/>
      <c r="L47" s="306"/>
      <c r="M47" s="59"/>
      <c r="N47" s="59"/>
      <c r="O47" s="21" t="s">
        <v>140</v>
      </c>
      <c r="P47" s="277"/>
      <c r="Q47" s="277"/>
      <c r="R47" s="277"/>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6">
        <f>DADOS!B55</f>
        <v>0</v>
      </c>
      <c r="K48" s="306"/>
      <c r="L48" s="306"/>
      <c r="M48" s="59"/>
      <c r="N48" s="59"/>
      <c r="O48" s="21" t="s">
        <v>60</v>
      </c>
      <c r="P48" s="277"/>
      <c r="Q48" s="277"/>
      <c r="R48" s="277"/>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6">
        <f>DADOS!B56</f>
        <v>0</v>
      </c>
      <c r="K49" s="306"/>
      <c r="L49" s="306"/>
      <c r="M49" s="59"/>
      <c r="N49" s="59"/>
      <c r="O49" s="59"/>
      <c r="P49" s="59"/>
      <c r="Q49" s="59"/>
      <c r="R49" s="59"/>
    </row>
    <row r="50" spans="1:18" x14ac:dyDescent="0.2">
      <c r="I50" s="21" t="str">
        <f>DADOS!A57</f>
        <v>CNPJ:</v>
      </c>
      <c r="J50" s="306">
        <f>DADOS!B57</f>
        <v>0</v>
      </c>
      <c r="K50" s="306"/>
      <c r="L50" s="306"/>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6" type="noConversion"/>
  <conditionalFormatting sqref="O42">
    <cfRule type="expression" dxfId="569" priority="6" stopIfTrue="1">
      <formula>$O$42=""</formula>
    </cfRule>
  </conditionalFormatting>
  <conditionalFormatting sqref="O18:O27">
    <cfRule type="expression" dxfId="568" priority="11" stopIfTrue="1">
      <formula>AND(O18&lt;&gt;"OK",O18&lt;&gt;"-",O18&lt;&gt;"")</formula>
    </cfRule>
    <cfRule type="cellIs" dxfId="567" priority="12" stopIfTrue="1" operator="equal">
      <formula>"OK"</formula>
    </cfRule>
  </conditionalFormatting>
  <conditionalFormatting sqref="I26:N26">
    <cfRule type="expression" dxfId="566" priority="10" stopIfTrue="1">
      <formula>$Q$11="Não"</formula>
    </cfRule>
  </conditionalFormatting>
  <conditionalFormatting sqref="I27:N27">
    <cfRule type="expression" dxfId="565" priority="9" stopIfTrue="1">
      <formula>$Q$11="sim"</formula>
    </cfRule>
  </conditionalFormatting>
  <conditionalFormatting sqref="P27:R27">
    <cfRule type="expression" dxfId="564" priority="8" stopIfTrue="1">
      <formula>$Q$11="sim"</formula>
    </cfRule>
  </conditionalFormatting>
  <conditionalFormatting sqref="P47:R48">
    <cfRule type="expression" dxfId="563" priority="7" stopIfTrue="1">
      <formula>P47=""</formula>
    </cfRule>
  </conditionalFormatting>
  <conditionalFormatting sqref="I29:R29">
    <cfRule type="expression" dxfId="562" priority="3" stopIfTrue="1">
      <formula>AND(NOT($V$27),NOT($V$29))</formula>
    </cfRule>
  </conditionalFormatting>
  <conditionalFormatting sqref="P18:R26">
    <cfRule type="expression" dxfId="561"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0" zoomScale="70" zoomScaleNormal="70" zoomScaleSheetLayoutView="100" zoomScalePageLayoutView="70" workbookViewId="0">
      <selection activeCell="N24" sqref="N24"/>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07"/>
      <c r="K4" s="205" t="s">
        <v>173</v>
      </c>
      <c r="L4" s="206"/>
      <c r="M4" s="206"/>
      <c r="N4" s="206"/>
      <c r="O4" s="206"/>
      <c r="P4" s="206"/>
      <c r="Q4" s="206"/>
      <c r="R4" s="20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90">
        <f>DADOS!A29</f>
        <v>0</v>
      </c>
      <c r="J5" s="291"/>
      <c r="K5" s="292" t="str">
        <f>DADOS!A32</f>
        <v>MUNICÍPIO DE BENTO GONÇALVES</v>
      </c>
      <c r="L5" s="293"/>
      <c r="M5" s="293"/>
      <c r="N5" s="293"/>
      <c r="O5" s="293"/>
      <c r="P5" s="293"/>
      <c r="Q5" s="293"/>
      <c r="R5" s="291"/>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0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4" t="str">
        <f>DADOS!P29</f>
        <v>REFORMA DO PRÉDIO DO COMPLEXO HOSPITALAR - IMAGENOLOGIA 1ª ETAPA</v>
      </c>
      <c r="J8" s="294"/>
      <c r="K8" s="294"/>
      <c r="L8" s="294"/>
      <c r="M8" s="294"/>
      <c r="N8" s="294"/>
      <c r="O8" s="294"/>
      <c r="P8" s="294"/>
      <c r="Q8" s="294"/>
      <c r="R8" s="294"/>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0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5" t="s">
        <v>137</v>
      </c>
      <c r="J11" s="286"/>
      <c r="K11" s="286"/>
      <c r="L11" s="286"/>
      <c r="M11" s="286"/>
      <c r="N11" s="286"/>
      <c r="O11" s="286"/>
      <c r="P11" s="287"/>
      <c r="Q11" s="288" t="str">
        <f>DADOS!$C$38</f>
        <v>Não</v>
      </c>
      <c r="R11" s="289"/>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3" t="s">
        <v>36</v>
      </c>
      <c r="J13" s="283"/>
      <c r="K13" s="283"/>
      <c r="L13" s="283"/>
      <c r="M13" s="283"/>
      <c r="N13" s="283"/>
      <c r="O13" s="283"/>
      <c r="P13" s="283"/>
      <c r="Q13" s="280">
        <v>0.45</v>
      </c>
      <c r="R13" s="280"/>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1" t="s">
        <v>38</v>
      </c>
      <c r="J14" s="281"/>
      <c r="K14" s="281"/>
      <c r="L14" s="281"/>
      <c r="M14" s="281"/>
      <c r="N14" s="281"/>
      <c r="O14" s="281"/>
      <c r="P14" s="281"/>
      <c r="Q14" s="280">
        <v>0.03</v>
      </c>
      <c r="R14" s="280"/>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2" t="s">
        <v>39</v>
      </c>
      <c r="J16" s="282"/>
      <c r="K16" s="282"/>
      <c r="L16" s="282"/>
      <c r="M16" s="282" t="s">
        <v>40</v>
      </c>
      <c r="N16" s="284" t="s">
        <v>41</v>
      </c>
      <c r="O16" s="284" t="s">
        <v>42</v>
      </c>
      <c r="P16" s="282" t="s">
        <v>43</v>
      </c>
      <c r="Q16" s="282" t="s">
        <v>44</v>
      </c>
      <c r="R16" s="299" t="s">
        <v>45</v>
      </c>
      <c r="T16" s="295" t="str">
        <f>IF(V27,"Para BDI fora do intervalo estatístico, deve ser apresentado Relatório Técnico Circunstanciado justificando a adoção do percentual de cada parcela do BDI.","")</f>
        <v/>
      </c>
      <c r="U16" s="295"/>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2"/>
      <c r="J17" s="282"/>
      <c r="K17" s="282"/>
      <c r="L17" s="282"/>
      <c r="M17" s="282"/>
      <c r="N17" s="284"/>
      <c r="O17" s="284"/>
      <c r="P17" s="282"/>
      <c r="Q17" s="282"/>
      <c r="R17" s="299"/>
      <c r="T17" s="295"/>
      <c r="U17" s="295"/>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7" t="str">
        <f>IF($I$11=$A$59,"Encargos Sociais incidentes sobre a mão de obra","Administração Central")</f>
        <v>Administração Central</v>
      </c>
      <c r="J18" s="297"/>
      <c r="K18" s="297"/>
      <c r="L18" s="297"/>
      <c r="M18" s="50" t="str">
        <f>IF($I$11=$A$59,"K1","AC")</f>
        <v>AC</v>
      </c>
      <c r="N18" s="51">
        <v>1.4999999999999999E-2</v>
      </c>
      <c r="O18" s="52" t="s">
        <v>46</v>
      </c>
      <c r="P18" s="53">
        <f>VLOOKUP(CONCATENATE(I$11,"-",M18),$C$2:$G$49,3,FALSE)</f>
        <v>1.4999999999999999E-2</v>
      </c>
      <c r="Q18" s="53">
        <f>VLOOKUP(CONCATENATE(I$11,"-",M18),$C$2:$G$49,4,FALSE)</f>
        <v>3.4500000000000003E-2</v>
      </c>
      <c r="R18" s="53">
        <f>VLOOKUP(CONCATENATE(I$11,"-",M18),$C$2:$G$49,5,FALSE)</f>
        <v>4.4900000000000002E-2</v>
      </c>
      <c r="T18" s="295"/>
      <c r="U18" s="295"/>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7" t="str">
        <f>IF($I$11=$A$59,"Administração Central da empresa ou consultoria - overhead","Seguro e Garantia")</f>
        <v>Seguro e Garantia</v>
      </c>
      <c r="J19" s="297"/>
      <c r="K19" s="297"/>
      <c r="L19" s="297"/>
      <c r="M19" s="50" t="str">
        <f>IF($I$11=$A$59,"K2","SG")</f>
        <v>SG</v>
      </c>
      <c r="N19" s="51">
        <v>3.0000000000000001E-3</v>
      </c>
      <c r="O19" s="52" t="s">
        <v>46</v>
      </c>
      <c r="P19" s="53">
        <f>VLOOKUP(CONCATENATE(I$11,"-",M19),$C$2:$G$49,3,FALSE)</f>
        <v>3.0000000000000001E-3</v>
      </c>
      <c r="Q19" s="53">
        <f>VLOOKUP(CONCATENATE(I$11,"-",M19),$C$2:$G$49,4,FALSE)</f>
        <v>4.7999999999999996E-3</v>
      </c>
      <c r="R19" s="53">
        <f>VLOOKUP(CONCATENATE(I$11,"-",M19),$C$2:$G$49,5,FALSE)</f>
        <v>8.199999999999999E-3</v>
      </c>
      <c r="T19" s="295"/>
      <c r="U19" s="295"/>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7" t="str">
        <f>IF($I$11=$A$59,"","Risco")</f>
        <v>Risco</v>
      </c>
      <c r="J20" s="297"/>
      <c r="K20" s="297"/>
      <c r="L20" s="297"/>
      <c r="M20" s="50" t="str">
        <f>IF($I$11=$A$59,"","R")</f>
        <v>R</v>
      </c>
      <c r="N20" s="51">
        <v>5.5999999999999999E-3</v>
      </c>
      <c r="O20" s="52" t="s">
        <v>46</v>
      </c>
      <c r="P20" s="53">
        <f>VLOOKUP(CONCATENATE(I$11,"-",M20),$C$2:$G$49,3,FALSE)</f>
        <v>5.6000000000000008E-3</v>
      </c>
      <c r="Q20" s="53">
        <f>VLOOKUP(CONCATENATE(I$11,"-",M20),$C$2:$G$49,4,FALSE)</f>
        <v>8.5000000000000006E-3</v>
      </c>
      <c r="R20" s="53">
        <f>VLOOKUP(CONCATENATE(I$11,"-",M20),$C$2:$G$49,5,FALSE)</f>
        <v>8.8999999999999999E-3</v>
      </c>
      <c r="T20" s="295"/>
      <c r="U20" s="295"/>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7" t="str">
        <f>IF($I$11=$A$59,"","Despesas Financeiras")</f>
        <v>Despesas Financeiras</v>
      </c>
      <c r="J21" s="297"/>
      <c r="K21" s="297"/>
      <c r="L21" s="297"/>
      <c r="M21" s="50" t="str">
        <f>IF($I$11=$A$59,"","DF")</f>
        <v>DF</v>
      </c>
      <c r="N21" s="51">
        <v>8.5000000000000006E-3</v>
      </c>
      <c r="O21" s="52" t="s">
        <v>46</v>
      </c>
      <c r="P21" s="53">
        <f>VLOOKUP(CONCATENATE(I$11,"-",M21),$C$2:$G$49,3,FALSE)</f>
        <v>8.5000000000000006E-3</v>
      </c>
      <c r="Q21" s="53">
        <f>VLOOKUP(CONCATENATE(I$11,"-",M21),$C$2:$G$49,4,FALSE)</f>
        <v>8.5000000000000006E-3</v>
      </c>
      <c r="R21" s="53">
        <f>VLOOKUP(CONCATENATE(I$11,"-",M21),$C$2:$G$49,5,FALSE)</f>
        <v>1.11E-2</v>
      </c>
      <c r="T21" s="295"/>
      <c r="U21" s="295"/>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7" t="str">
        <f>IF($I$11=$A$59,"Margem bruta da empresa de consultoria","Lucro")</f>
        <v>Lucro</v>
      </c>
      <c r="J22" s="297"/>
      <c r="K22" s="297"/>
      <c r="L22" s="297"/>
      <c r="M22" s="50" t="str">
        <f>IF($I$11=$A$59,"K3","L")</f>
        <v>L</v>
      </c>
      <c r="N22" s="51">
        <v>3.5000000000000003E-2</v>
      </c>
      <c r="O22" s="52" t="s">
        <v>46</v>
      </c>
      <c r="P22" s="53">
        <f>VLOOKUP(CONCATENATE(I$11,"-",M22),$C$2:$G$49,3,FALSE)</f>
        <v>3.5000000000000003E-2</v>
      </c>
      <c r="Q22" s="53">
        <f>VLOOKUP(CONCATENATE(I$11,"-",M22),$C$2:$G$49,4,FALSE)</f>
        <v>5.1100000000000007E-2</v>
      </c>
      <c r="R22" s="53">
        <f>VLOOKUP(CONCATENATE(I$11,"-",M22),$C$2:$G$49,5,FALSE)</f>
        <v>6.2199999999999998E-2</v>
      </c>
      <c r="T22" s="295"/>
      <c r="U22" s="295"/>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8" t="s">
        <v>48</v>
      </c>
      <c r="J23" s="298"/>
      <c r="K23" s="298"/>
      <c r="L23" s="298"/>
      <c r="M23" s="50" t="s">
        <v>49</v>
      </c>
      <c r="N23" s="51">
        <v>3.6499999999999998E-2</v>
      </c>
      <c r="O23" s="52" t="s">
        <v>46</v>
      </c>
      <c r="P23" s="53">
        <v>3.6499999999999998E-2</v>
      </c>
      <c r="Q23" s="53">
        <v>3.6499999999999998E-2</v>
      </c>
      <c r="R23" s="53">
        <v>3.6499999999999998E-2</v>
      </c>
      <c r="T23" s="295"/>
      <c r="U23" s="295"/>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7" t="s">
        <v>50</v>
      </c>
      <c r="J24" s="297"/>
      <c r="K24" s="297"/>
      <c r="L24" s="297"/>
      <c r="M24" s="50" t="s">
        <v>51</v>
      </c>
      <c r="N24" s="53">
        <f>IF($I$11&lt;&gt;$A$58,Q14*Q13,0)</f>
        <v>1.35E-2</v>
      </c>
      <c r="O24" s="52" t="s">
        <v>46</v>
      </c>
      <c r="P24" s="53">
        <v>0</v>
      </c>
      <c r="Q24" s="53">
        <v>2.5000000000000001E-2</v>
      </c>
      <c r="R24" s="53">
        <v>0.05</v>
      </c>
      <c r="T24" s="295"/>
      <c r="U24" s="295"/>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7" t="s">
        <v>116</v>
      </c>
      <c r="J25" s="297"/>
      <c r="K25" s="297"/>
      <c r="L25" s="297"/>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7" t="s">
        <v>53</v>
      </c>
      <c r="J26" s="297"/>
      <c r="K26" s="297"/>
      <c r="L26" s="297"/>
      <c r="M26" s="55" t="s">
        <v>33</v>
      </c>
      <c r="N26" s="53">
        <f>IF($I$11=$A$58,0,ROUND((((1+N18+N19+N20)*(1+N21)*(1+N22)/(1-(N23+N24)))-1),4))</f>
        <v>0.12470000000000001</v>
      </c>
      <c r="O26" s="201" t="str">
        <f>IF(OR($I$11=$A$59,$I$11=$A$58,AND(N26&gt;=P26, N26&lt;=R26)), "OK", "FORA DO INTERVALO")</f>
        <v>OK</v>
      </c>
      <c r="P26" s="53">
        <f>IF($I$11=$A$58,0,VLOOKUP(CONCATENATE($I$11,"-",$M26),$C$2:$G$49,3,FALSE))</f>
        <v>0.111</v>
      </c>
      <c r="Q26" s="53">
        <f>IF($I$11=$A$58,0,VLOOKUP(CONCATENATE($I$11,"-",$M26),$C$2:$G$49,4,FALSE))</f>
        <v>0.14019999999999999</v>
      </c>
      <c r="R26" s="53">
        <f>IF($I$11=$A$58,0,VLOOKUP(CONCATENATE($I$11,"-",$M26),$C$2:$G$49,5,FALSE))</f>
        <v>0.16800000000000001</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8" t="s">
        <v>55</v>
      </c>
      <c r="J27" s="308"/>
      <c r="K27" s="308"/>
      <c r="L27" s="308"/>
      <c r="M27" s="56" t="s">
        <v>56</v>
      </c>
      <c r="N27" s="57">
        <f>IF($I$11=$A$58,0,ROUND((((1+N18+N19+N20)*(1+N21)*(1+N22)/(1-(N23+N24+N25)))-1),4))</f>
        <v>0.12470000000000001</v>
      </c>
      <c r="O27" s="95" t="str">
        <f>IF(Q11&lt;&gt;"Sim","",O26)</f>
        <v/>
      </c>
      <c r="P27" s="309"/>
      <c r="Q27" s="309"/>
      <c r="R27" s="309"/>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7" t="s">
        <v>117</v>
      </c>
      <c r="K29" s="307"/>
      <c r="L29" s="307"/>
      <c r="M29" s="307"/>
      <c r="N29" s="307"/>
      <c r="O29" s="307"/>
      <c r="P29" s="307"/>
      <c r="Q29" s="307"/>
      <c r="R29" s="307"/>
      <c r="V29" s="96" t="b">
        <v>0</v>
      </c>
      <c r="W29" s="42" t="s">
        <v>119</v>
      </c>
    </row>
    <row r="30" spans="1:31" ht="7.5" customHeight="1" x14ac:dyDescent="0.2">
      <c r="B30" s="44"/>
      <c r="E30" s="45"/>
      <c r="F30" s="45"/>
      <c r="G30" s="45"/>
      <c r="V30" s="96"/>
    </row>
    <row r="31" spans="1:31" ht="18.75" customHeight="1" x14ac:dyDescent="0.2">
      <c r="B31" s="44"/>
      <c r="E31" s="45"/>
      <c r="F31" s="45"/>
      <c r="G31" s="45"/>
      <c r="I31" s="310" t="s">
        <v>61</v>
      </c>
      <c r="J31" s="310"/>
      <c r="K31" s="310"/>
      <c r="L31" s="310"/>
      <c r="M31" s="310"/>
      <c r="N31" s="310"/>
      <c r="O31" s="310"/>
      <c r="P31" s="310"/>
      <c r="Q31" s="310"/>
      <c r="R31" s="310"/>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5" t="str">
        <f>IF(Q11="Sim","BDI.DES =","BDI.PAD =")</f>
        <v>BDI.PAD =</v>
      </c>
      <c r="M32" s="303" t="str">
        <f>IF($I$11=$A$59,"(1+K1+K2)*(1+K3)","(1+AC + S + R + G)*(1 + DF)*(1+L)")</f>
        <v>(1+AC + S + R + G)*(1 + DF)*(1+L)</v>
      </c>
      <c r="N32" s="303"/>
      <c r="O32" s="303"/>
      <c r="P32" s="301"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5"/>
      <c r="M33" s="304" t="str">
        <f>IF(Q11="Sim","(1-CP-ISS-CRPB)","(1-CP-ISS)")</f>
        <v>(1-CP-ISS)</v>
      </c>
      <c r="N33" s="304"/>
      <c r="O33" s="304"/>
      <c r="P33" s="302"/>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300"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45%, com a respectiva alíquota de 3%.</v>
      </c>
      <c r="J35" s="300"/>
      <c r="K35" s="300"/>
      <c r="L35" s="300"/>
      <c r="M35" s="300"/>
      <c r="N35" s="300"/>
      <c r="O35" s="300"/>
      <c r="P35" s="300"/>
      <c r="Q35" s="300"/>
      <c r="R35" s="300"/>
    </row>
    <row r="36" spans="1:18" ht="11.25" customHeight="1" x14ac:dyDescent="0.2">
      <c r="B36" s="49"/>
      <c r="E36" s="45"/>
      <c r="F36" s="45"/>
      <c r="G36" s="45"/>
    </row>
    <row r="37" spans="1:18" ht="52.5" customHeight="1" x14ac:dyDescent="0.2">
      <c r="B37" s="49"/>
      <c r="E37" s="45"/>
      <c r="F37" s="45"/>
      <c r="G37" s="45"/>
      <c r="I37" s="300"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0"/>
      <c r="K37" s="300"/>
      <c r="L37" s="300"/>
      <c r="M37" s="300"/>
      <c r="N37" s="300"/>
      <c r="O37" s="300"/>
      <c r="P37" s="300"/>
      <c r="Q37" s="300"/>
      <c r="R37" s="300"/>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2"/>
      <c r="J40" s="313"/>
      <c r="K40" s="313"/>
      <c r="L40" s="313"/>
      <c r="M40" s="313"/>
      <c r="N40" s="313"/>
      <c r="O40" s="313"/>
      <c r="P40" s="313"/>
      <c r="Q40" s="313"/>
      <c r="R40" s="314"/>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6" t="str">
        <f>PO!K433</f>
        <v>BENTO GONÇALVES/RS</v>
      </c>
      <c r="J42" s="296"/>
      <c r="K42" s="296"/>
      <c r="L42" s="296"/>
      <c r="O42" s="311">
        <f>PO!K436</f>
        <v>0</v>
      </c>
      <c r="P42" s="311"/>
      <c r="Q42" s="311"/>
      <c r="R42" s="311"/>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9" t="s">
        <v>120</v>
      </c>
      <c r="J43" s="279"/>
      <c r="K43" s="279"/>
      <c r="L43" s="279"/>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8"/>
      <c r="J45" s="278"/>
      <c r="K45" s="278"/>
      <c r="L45" s="278"/>
      <c r="M45" s="59"/>
      <c r="N45" s="59"/>
      <c r="O45" s="278"/>
      <c r="P45" s="278"/>
      <c r="Q45" s="278"/>
      <c r="R45" s="278"/>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5" t="s">
        <v>57</v>
      </c>
      <c r="J46" s="315"/>
      <c r="K46" s="315"/>
      <c r="L46" s="315"/>
      <c r="O46" s="315" t="s">
        <v>58</v>
      </c>
      <c r="P46" s="315"/>
      <c r="Q46" s="315"/>
      <c r="R46" s="315"/>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00" t="s">
        <v>140</v>
      </c>
      <c r="J47" s="306">
        <f>DADOS!B54</f>
        <v>0</v>
      </c>
      <c r="K47" s="306"/>
      <c r="L47" s="306"/>
      <c r="M47" s="59"/>
      <c r="N47" s="59"/>
      <c r="O47" s="200" t="s">
        <v>140</v>
      </c>
      <c r="P47" s="277"/>
      <c r="Q47" s="277"/>
      <c r="R47" s="277"/>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00" t="s">
        <v>17</v>
      </c>
      <c r="J48" s="306">
        <f>DADOS!B55</f>
        <v>0</v>
      </c>
      <c r="K48" s="306"/>
      <c r="L48" s="306"/>
      <c r="M48" s="59"/>
      <c r="N48" s="59"/>
      <c r="O48" s="200" t="s">
        <v>60</v>
      </c>
      <c r="P48" s="277"/>
      <c r="Q48" s="277"/>
      <c r="R48" s="277"/>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00" t="str">
        <f>DADOS!A56</f>
        <v>Empresa:</v>
      </c>
      <c r="J49" s="306">
        <f>DADOS!B56</f>
        <v>0</v>
      </c>
      <c r="K49" s="306"/>
      <c r="L49" s="306"/>
      <c r="M49" s="59"/>
      <c r="N49" s="59"/>
      <c r="O49" s="59"/>
      <c r="P49" s="59"/>
      <c r="Q49" s="59"/>
      <c r="R49" s="59"/>
    </row>
    <row r="50" spans="1:18" x14ac:dyDescent="0.2">
      <c r="I50" s="200" t="str">
        <f>DADOS!A57</f>
        <v>CNPJ:</v>
      </c>
      <c r="J50" s="306">
        <f>DADOS!B57</f>
        <v>0</v>
      </c>
      <c r="K50" s="306"/>
      <c r="L50" s="306"/>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I8:R8"/>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R16:R17"/>
    <mergeCell ref="T16:U24"/>
    <mergeCell ref="I18:L18"/>
    <mergeCell ref="I19:L19"/>
    <mergeCell ref="I20:L20"/>
    <mergeCell ref="I21:L21"/>
    <mergeCell ref="I22:L22"/>
    <mergeCell ref="I23:L23"/>
    <mergeCell ref="I24:L24"/>
    <mergeCell ref="I37:R37"/>
    <mergeCell ref="I25:L25"/>
    <mergeCell ref="I26:L26"/>
    <mergeCell ref="I27:L27"/>
    <mergeCell ref="P27:R27"/>
    <mergeCell ref="J29:R29"/>
    <mergeCell ref="I31:R31"/>
    <mergeCell ref="L32:L33"/>
    <mergeCell ref="M32:O32"/>
    <mergeCell ref="P32:P33"/>
    <mergeCell ref="M33:O33"/>
    <mergeCell ref="I35:R35"/>
    <mergeCell ref="I40:R40"/>
    <mergeCell ref="I42:L42"/>
    <mergeCell ref="O42:R42"/>
    <mergeCell ref="I43:L43"/>
    <mergeCell ref="I45:L45"/>
    <mergeCell ref="O45:R45"/>
    <mergeCell ref="J49:L49"/>
    <mergeCell ref="J50:L50"/>
    <mergeCell ref="I46:L46"/>
    <mergeCell ref="O46:R46"/>
    <mergeCell ref="J47:L47"/>
    <mergeCell ref="P47:R47"/>
    <mergeCell ref="J48:L48"/>
    <mergeCell ref="P48:R48"/>
  </mergeCells>
  <conditionalFormatting sqref="O42">
    <cfRule type="expression" dxfId="560" priority="3" stopIfTrue="1">
      <formula>$O$42=""</formula>
    </cfRule>
  </conditionalFormatting>
  <conditionalFormatting sqref="O18:O27">
    <cfRule type="expression" dxfId="559" priority="8" stopIfTrue="1">
      <formula>AND(O18&lt;&gt;"OK",O18&lt;&gt;"-",O18&lt;&gt;"")</formula>
    </cfRule>
    <cfRule type="cellIs" dxfId="558" priority="9" stopIfTrue="1" operator="equal">
      <formula>"OK"</formula>
    </cfRule>
  </conditionalFormatting>
  <conditionalFormatting sqref="I26:N26">
    <cfRule type="expression" dxfId="557" priority="7" stopIfTrue="1">
      <formula>$Q$11="Não"</formula>
    </cfRule>
  </conditionalFormatting>
  <conditionalFormatting sqref="I27:N27">
    <cfRule type="expression" dxfId="556" priority="6" stopIfTrue="1">
      <formula>$Q$11="sim"</formula>
    </cfRule>
  </conditionalFormatting>
  <conditionalFormatting sqref="P27:R27">
    <cfRule type="expression" dxfId="555" priority="5" stopIfTrue="1">
      <formula>$Q$11="sim"</formula>
    </cfRule>
  </conditionalFormatting>
  <conditionalFormatting sqref="P47:R48">
    <cfRule type="expression" dxfId="554" priority="4" stopIfTrue="1">
      <formula>P47=""</formula>
    </cfRule>
  </conditionalFormatting>
  <conditionalFormatting sqref="I29:R29">
    <cfRule type="expression" dxfId="553" priority="2" stopIfTrue="1">
      <formula>AND(NOT($V$27),NOT($V$29))</formula>
    </cfRule>
  </conditionalFormatting>
  <conditionalFormatting sqref="P18:R26">
    <cfRule type="expression" dxfId="552"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437"/>
  <sheetViews>
    <sheetView showGridLines="0" tabSelected="1" topLeftCell="J1" zoomScale="85" zoomScaleNormal="85" zoomScaleSheetLayoutView="80" workbookViewId="0">
      <pane ySplit="12" topLeftCell="A13" activePane="bottomLeft" state="frozen"/>
      <selection pane="bottomLeft" activeCell="N20" sqref="N20"/>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6" t="s">
        <v>181</v>
      </c>
      <c r="X2" s="316"/>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MAX($A$12:$A$422)</f>
        <v>4</v>
      </c>
      <c r="B5" s="1"/>
      <c r="F5" s="2"/>
      <c r="G5" s="1"/>
      <c r="H5" s="1"/>
      <c r="I5" s="1"/>
      <c r="J5" s="1"/>
      <c r="K5" s="1"/>
      <c r="L5" s="1"/>
      <c r="M5" s="1"/>
      <c r="N5" s="1"/>
      <c r="O5" s="1"/>
      <c r="P5" s="1"/>
      <c r="Q5" s="1"/>
      <c r="R5" s="1"/>
      <c r="S5" s="1"/>
      <c r="T5" s="1"/>
      <c r="U5" s="101" t="str">
        <f ca="1">IF(COUNTIF($U$12:OFFSET($U$422,-1,0),"DESCRIÇÃO")+COUNTIF($U$12:OFFSET($U$422,-1,0),"UNIDADE")+COUNTIF($U$12:OFFSET($U$422,-1,0),"SEM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IF(OR($A11="S",$A11=0),0,MATCH(0,OFFSET($B11,1,$A11,ROW($A$422)-ROW($A11)),0))</f>
        <v>0</v>
      </c>
      <c r="I11">
        <f ca="1">IF(OR($A11="S",$A11=0),0,MATCH(OFFSET($B11,0,$A11)+1,OFFSET($B11,1,$A11,ROW($A$422)-ROW($A11)),0))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0.23130000000000001</v>
      </c>
      <c r="AA11" s="1"/>
    </row>
    <row r="12" spans="1:27" x14ac:dyDescent="0.2">
      <c r="A12">
        <v>0</v>
      </c>
      <c r="B12">
        <f ca="1">COUNTA(OFFSET(B12,1,0):B$422)</f>
        <v>409</v>
      </c>
      <c r="J12" s="64" t="str">
        <f>IF(OR(TipoOrçamento="LICITADO",TipoOrçamento="REPROGRAMADOAC"),"CTEF","LOTE")</f>
        <v>CTEF</v>
      </c>
      <c r="K12" s="139">
        <v>0</v>
      </c>
      <c r="L12" s="6"/>
      <c r="M12" s="6"/>
      <c r="N12" s="73">
        <f>IF(TipoOrçamento="LICITADO",DADOS!O43,DADOS!G38)</f>
        <v>0</v>
      </c>
      <c r="O12" s="6"/>
      <c r="P12" s="7"/>
      <c r="Q12" s="7"/>
      <c r="R12" s="8"/>
      <c r="S12" s="7"/>
      <c r="T12" s="82">
        <f ca="1">SUMIF(OFFSET($J12,1,0,ROW(T422)-ROW(T12)-1),"Serviço",OFFSET(T12,1,0,ROW(T422)-ROW(T12)-1))</f>
        <v>0</v>
      </c>
      <c r="U12" s="9" t="str">
        <f>IF($N12=0,"DESCRIÇÃO","")</f>
        <v>DESCRIÇÃO</v>
      </c>
      <c r="V12" s="1">
        <v>0</v>
      </c>
      <c r="W12" s="1"/>
      <c r="X12" s="1"/>
      <c r="Y12" s="7"/>
      <c r="Z12" s="114"/>
      <c r="AA12" s="1"/>
    </row>
    <row r="13" spans="1:27" x14ac:dyDescent="0.2">
      <c r="A13">
        <f t="shared" ref="A13:A23" si="0">CHOOSE(1+LOG(1+2*(J13="Meta")+4*(J13="Nível 2")+8*(J13="Nível 3")+16*(J13="Nível 4")+32*(J13="Serviço"),2),0,1,2,3,4,"S")</f>
        <v>1</v>
      </c>
      <c r="B13">
        <f t="shared" ref="B13:B23" ca="1" si="1">IF(OR(A13="S",A13=0),0,IF(ISERROR(I13),H13,SMALL(H13:I13,1)))</f>
        <v>409</v>
      </c>
      <c r="C13">
        <f t="shared" ref="C13:C23" ca="1" si="2">IF($A13=1,OFFSET(C13,-1,0)+1,OFFSET(C13,-1,0))</f>
        <v>1</v>
      </c>
      <c r="D13">
        <f t="shared" ref="D13:D23" ca="1" si="3">IF($A13=1,0,IF($A13=2,OFFSET(D13,-1,0)+1,OFFSET(D13,-1,0)))</f>
        <v>0</v>
      </c>
      <c r="E13">
        <f t="shared" ref="E13:E23" ca="1" si="4">IF(AND($A13&lt;=2,$A13&lt;&gt;0),0,IF($A13=3,OFFSET(E13,-1,0)+1,OFFSET(E13,-1,0)))</f>
        <v>0</v>
      </c>
      <c r="F13">
        <f t="shared" ref="F13:F23" ca="1" si="5">IF(AND($A13&lt;=3,$A13&lt;&gt;0),0,IF($A13=4,OFFSET(F13,-1,0)+1,OFFSET(F13,-1,0)))</f>
        <v>0</v>
      </c>
      <c r="G13">
        <f t="shared" ref="G13:G23" ca="1" si="6">IF(AND($A13&lt;=4,$A13&lt;&gt;0),0,IF($A13="S",OFFSET(G13,-1,0)+1,OFFSET(G13,-1,0)))</f>
        <v>0</v>
      </c>
      <c r="H13">
        <f t="shared" ref="H13:H76" ca="1" si="7">IF(OR($A13="S",$A13=0),0,MATCH(0,OFFSET($B13,1,$A13,ROW($A$422)-ROW($A13)),0))</f>
        <v>409</v>
      </c>
      <c r="I13" t="e">
        <f t="shared" ref="I13:I76" ca="1" si="8">IF(OR($A13="S",$A13=0),0,MATCH(OFFSET($B13,0,$A13)+1,OFFSET($B13,1,$A13,ROW($A$422)-ROW($A13)),0))</f>
        <v>#N/A</v>
      </c>
      <c r="J13" s="354" t="s">
        <v>99</v>
      </c>
      <c r="K13" s="138" t="str">
        <f t="shared" ref="K13:K23" ca="1" si="9">IF($A13=0,"-",CONCATENATE(C13&amp;".",IF(AND($A$5&gt;=2,$A13&gt;=2),D13&amp;".",""),IF(AND($A$5&gt;=3,$A13&gt;=3),E13&amp;".",""),IF(AND($A$5&gt;=4,$A13&gt;=4),F13&amp;".",""),IF($A13="S",G13&amp;".","")))</f>
        <v>1.</v>
      </c>
      <c r="L13" s="356"/>
      <c r="M13" s="356"/>
      <c r="N13" s="360" t="s">
        <v>276</v>
      </c>
      <c r="O13" s="362"/>
      <c r="P13" s="363">
        <v>0</v>
      </c>
      <c r="Q13" s="195"/>
      <c r="R13" s="198" t="s">
        <v>7</v>
      </c>
      <c r="S13" s="103">
        <f>IF($A13="S",IF($Q$10="Preço Unitário (R$)",PO.CustoUnitario,ROUND(PO.CustoUnitario*(1+$Z13),15-13*$X$6)),0)</f>
        <v>0</v>
      </c>
      <c r="T13" s="83">
        <f ca="1">IF($A13="S",VTOTAL1,IF($A13=0,0,ROUND(SomaAgrup,15-13*$X$7)))</f>
        <v>0</v>
      </c>
      <c r="U13" s="9" t="str">
        <f t="shared" ref="U13:U23" ca="1" si="10">IF($J13="","",IF($N13="","DESCRIÇÃO",IF(AND($J13="Serviço",$O13=""),"UNIDADE",IF($T13&lt;=0,"SEM VALOR",IF(AND($Y13&lt;&gt;"",$Q13&gt;$Y13),"ACIMA REF.","")))))</f>
        <v>SEM VALOR</v>
      </c>
      <c r="V13" s="1">
        <f ca="1">IF(OR($A13=0,$A13="S",$A13&gt;CFF!$A$9),"",MAX(V$12:OFFSET(V13,-1,0))+1)</f>
        <v>1</v>
      </c>
      <c r="W13" s="4" t="b">
        <f t="shared" ref="W13:W23" si="11">IF(AND($J13="Serviço",$M13&lt;&gt;""),IF($L13="",$M13,CONCATENATE($L13,"-",$M13)))</f>
        <v>0</v>
      </c>
      <c r="X13" s="1" t="str">
        <f t="shared" ref="X13:X22" ca="1" si="12">IF(AND(Fonte&lt;&gt;"",Código&lt;&gt;""),MATCH(Fonte&amp;" "&amp;IF(Fonte="sinapi",SUBSTITUTE(SUBSTITUTE(Código,"/00","/"),"/0","/"),Código),INDIRECT("'[Referência "&amp;_xlnm.Database&amp;".xls]Banco'!$a:$a"),0),"X")</f>
        <v>X</v>
      </c>
      <c r="Y13" s="103">
        <v>0</v>
      </c>
      <c r="Z13" s="113">
        <f ca="1">ROUND(IF(ISNUMBER(R13),R13,IF(LEFT(R13,3)="BDI",HLOOKUP(R13,DADOS!$T$37:$X$38,2,FALSE),0)),15-11*$X$5)</f>
        <v>0.23130000000000001</v>
      </c>
      <c r="AA13" s="1"/>
    </row>
    <row r="14" spans="1:27" x14ac:dyDescent="0.2">
      <c r="A14">
        <f t="shared" si="0"/>
        <v>2</v>
      </c>
      <c r="B14">
        <f t="shared" ca="1" si="1"/>
        <v>13</v>
      </c>
      <c r="C14">
        <f t="shared" ca="1" si="2"/>
        <v>1</v>
      </c>
      <c r="D14">
        <f t="shared" ca="1" si="3"/>
        <v>1</v>
      </c>
      <c r="E14">
        <f t="shared" ca="1" si="4"/>
        <v>0</v>
      </c>
      <c r="F14">
        <f t="shared" ca="1" si="5"/>
        <v>0</v>
      </c>
      <c r="G14">
        <f t="shared" ca="1" si="6"/>
        <v>0</v>
      </c>
      <c r="H14">
        <f t="shared" ca="1" si="7"/>
        <v>408</v>
      </c>
      <c r="I14">
        <f t="shared" ca="1" si="8"/>
        <v>13</v>
      </c>
      <c r="J14" s="355" t="s">
        <v>100</v>
      </c>
      <c r="K14" s="138" t="str">
        <f t="shared" ca="1" si="9"/>
        <v>1.1.</v>
      </c>
      <c r="L14" s="356" t="s">
        <v>230</v>
      </c>
      <c r="M14" s="357" t="s">
        <v>239</v>
      </c>
      <c r="N14" s="360" t="s">
        <v>273</v>
      </c>
      <c r="O14" s="362" t="s">
        <v>940</v>
      </c>
      <c r="P14" s="363">
        <v>4.5</v>
      </c>
      <c r="Q14" s="195"/>
      <c r="R14" s="198" t="s">
        <v>7</v>
      </c>
      <c r="S14" s="103">
        <f t="shared" ref="S14" si="13">IF($A14="S",IF($Q$10="Preço Unitário (R$)",PO.CustoUnitario,ROUND(PO.CustoUnitario*(1+$Z14),15-13*$X$6)),0)</f>
        <v>0</v>
      </c>
      <c r="T14" s="83">
        <f t="shared" ref="T14" ca="1" si="14">IF($A14="S",VTOTAL1,IF($A14=0,0,ROUND(SomaAgrup,15-13*$X$7)))</f>
        <v>0</v>
      </c>
      <c r="U14" s="9" t="str">
        <f t="shared" ca="1" si="10"/>
        <v>SEM VALOR</v>
      </c>
      <c r="V14" s="1">
        <f ca="1">IF(OR($A14=0,$A14="S",$A14&gt;CFF!$A$9),"",MAX(V$12:OFFSET(V14,-1,0))+1)</f>
        <v>2</v>
      </c>
      <c r="W14" s="4" t="b">
        <f t="shared" si="11"/>
        <v>0</v>
      </c>
      <c r="X14" s="1">
        <f t="shared" ca="1" si="12"/>
        <v>14286</v>
      </c>
      <c r="Y14" s="103">
        <v>0</v>
      </c>
      <c r="Z14" s="113">
        <f ca="1">ROUND(IF(ISNUMBER(R14),R14,IF(LEFT(R14,3)="BDI",HLOOKUP(R14,DADOS!$T$37:$X$38,2,FALSE),0)),15-11*$X$5)</f>
        <v>0.23130000000000001</v>
      </c>
      <c r="AA14" s="1"/>
    </row>
    <row r="15" spans="1:27" x14ac:dyDescent="0.2">
      <c r="A15">
        <f>CHOOSE(1+LOG(1+2*(J15="Meta")+4*(J15="Nível 2")+8*(J15="Nível 3")+16*(J15="Nível 4")+32*(J15="Serviço"),2),0,1,2,3,4,"S")</f>
        <v>3</v>
      </c>
      <c r="B15">
        <f ca="1">IF(OR(A15="S",A15=0),0,IF(ISERROR(I15),H15,SMALL(H15:I15,1)))</f>
        <v>3</v>
      </c>
      <c r="C15">
        <f ca="1">IF($A15=1,OFFSET(C15,-1,0)+1,OFFSET(C15,-1,0))</f>
        <v>1</v>
      </c>
      <c r="D15">
        <f ca="1">IF($A15=1,0,IF($A15=2,OFFSET(D15,-1,0)+1,OFFSET(D15,-1,0)))</f>
        <v>1</v>
      </c>
      <c r="E15">
        <f ca="1">IF(AND($A15&lt;=2,$A15&lt;&gt;0),0,IF($A15=3,OFFSET(E15,-1,0)+1,OFFSET(E15,-1,0)))</f>
        <v>1</v>
      </c>
      <c r="F15">
        <f ca="1">IF(AND($A15&lt;=3,$A15&lt;&gt;0),0,IF($A15=4,OFFSET(F15,-1,0)+1,OFFSET(F15,-1,0)))</f>
        <v>0</v>
      </c>
      <c r="G15">
        <f ca="1">IF(AND($A15&lt;=4,$A15&lt;&gt;0),0,IF($A15="S",OFFSET(G15,-1,0)+1,OFFSET(G15,-1,0)))</f>
        <v>0</v>
      </c>
      <c r="H15">
        <f t="shared" ca="1" si="7"/>
        <v>12</v>
      </c>
      <c r="I15">
        <f t="shared" ca="1" si="8"/>
        <v>3</v>
      </c>
      <c r="J15" s="355" t="s">
        <v>101</v>
      </c>
      <c r="K15" s="138" t="str">
        <f ca="1">IF($A15=0,"-",CONCATENATE(C15&amp;".",IF(AND($A$5&gt;=2,$A15&gt;=2),D15&amp;".",""),IF(AND($A$5&gt;=3,$A15&gt;=3),E15&amp;".",""),IF(AND($A$5&gt;=4,$A15&gt;=4),F15&amp;".",""),IF($A15="S",G15&amp;".","")))</f>
        <v>1.1.1.</v>
      </c>
      <c r="L15" s="356" t="s">
        <v>230</v>
      </c>
      <c r="M15" s="358"/>
      <c r="N15" s="360" t="s">
        <v>274</v>
      </c>
      <c r="O15" s="362" t="s">
        <v>106</v>
      </c>
      <c r="P15" s="363">
        <v>4.5</v>
      </c>
      <c r="Q15" s="195"/>
      <c r="R15" s="198" t="s">
        <v>7</v>
      </c>
      <c r="S15" s="103">
        <f>IF($A15="S",IF($Q$10="Preço Unitário (R$)",PO.CustoUnitario,ROUND(PO.CustoUnitario*(1+$Z15),15-13*$X$6)),0)</f>
        <v>0</v>
      </c>
      <c r="T15" s="83">
        <f ca="1">IF($A15="S",VTOTAL1,IF($A15=0,0,ROUND(SomaAgrup,15-13*$X$7)))</f>
        <v>0</v>
      </c>
      <c r="U15" s="9" t="str">
        <f ca="1">IF($J15="","",IF($N15="","DESCRIÇÃO",IF(AND($J15="Serviço",$O15=""),"UNIDADE",IF($T15&lt;=0,"SEM VALOR",IF(AND($Y15&lt;&gt;"",$Q15&gt;$Y15),"ACIMA REF.","")))))</f>
        <v>SEM VALOR</v>
      </c>
      <c r="V15" s="1" t="str">
        <f ca="1">IF(OR($A15=0,$A15="S",$A15&gt;CFF!$A$9),"",MAX(V$12:OFFSET(V15,-1,0))+1)</f>
        <v/>
      </c>
      <c r="W15" s="4" t="b">
        <f>IF(AND($J15="Serviço",$M15&lt;&gt;""),IF($L15="",$M15,CONCATENATE($L15,"-",$M15)))</f>
        <v>0</v>
      </c>
      <c r="X15" s="1" t="str">
        <f ca="1">IF(AND(Fonte&lt;&gt;"",Código&lt;&gt;""),MATCH(Fonte&amp;" "&amp;IF(Fonte="sinapi",SUBSTITUTE(SUBSTITUTE(Código,"/00","/"),"/0","/"),Código),INDIRECT("'[Referência "&amp;_xlnm.Database&amp;".xls]Banco'!$a:$a"),0),"X")</f>
        <v>X</v>
      </c>
      <c r="Y15" s="103">
        <v>0</v>
      </c>
      <c r="Z15" s="113">
        <f ca="1">ROUND(IF(ISNUMBER(R15),R15,IF(LEFT(R15,3)="BDI",HLOOKUP(R15,DADOS!$T$37:$X$38,2,FALSE),0)),15-11*$X$5)</f>
        <v>0.23130000000000001</v>
      </c>
      <c r="AA15" s="1"/>
    </row>
    <row r="16" spans="1:27" x14ac:dyDescent="0.2">
      <c r="A16" t="str">
        <f t="shared" si="0"/>
        <v>S</v>
      </c>
      <c r="B16">
        <f t="shared" si="1"/>
        <v>0</v>
      </c>
      <c r="C16">
        <f t="shared" ca="1" si="2"/>
        <v>1</v>
      </c>
      <c r="D16">
        <f t="shared" ca="1" si="3"/>
        <v>1</v>
      </c>
      <c r="E16">
        <f t="shared" ca="1" si="4"/>
        <v>1</v>
      </c>
      <c r="F16">
        <f t="shared" ca="1" si="5"/>
        <v>0</v>
      </c>
      <c r="G16">
        <f t="shared" ca="1" si="6"/>
        <v>1</v>
      </c>
      <c r="H16">
        <f t="shared" ca="1" si="7"/>
        <v>0</v>
      </c>
      <c r="I16">
        <f t="shared" ca="1" si="8"/>
        <v>0</v>
      </c>
      <c r="J16" s="355" t="s">
        <v>103</v>
      </c>
      <c r="K16" s="138" t="str">
        <f t="shared" ca="1" si="9"/>
        <v>1.1.1.0.1.</v>
      </c>
      <c r="L16" s="356" t="s">
        <v>235</v>
      </c>
      <c r="M16" s="358" t="s">
        <v>265</v>
      </c>
      <c r="N16" s="360" t="s">
        <v>615</v>
      </c>
      <c r="O16" s="362" t="s">
        <v>941</v>
      </c>
      <c r="P16" s="363">
        <v>1</v>
      </c>
      <c r="Q16" s="195"/>
      <c r="R16" s="198" t="s">
        <v>7</v>
      </c>
      <c r="S16" s="103">
        <f t="shared" ref="S16:S20" si="15">IF($A16="S",IF($Q$10="Preço Unitário (R$)",PO.CustoUnitario,ROUND(PO.CustoUnitario*(1+$Z16),15-13*$X$6)),0)</f>
        <v>0</v>
      </c>
      <c r="T16" s="83">
        <f t="shared" ref="T16:T20" si="16">IF($A16="S",VTOTAL1,IF($A16=0,0,ROUND(SomaAgrup,15-13*$X$7)))</f>
        <v>0</v>
      </c>
      <c r="U16" s="9" t="str">
        <f t="shared" si="10"/>
        <v>SEM VALOR</v>
      </c>
      <c r="V16" s="1" t="str">
        <f ca="1">IF(OR($A16=0,$A16="S",$A16&gt;CFF!$A$9),"",MAX(V$12:OFFSET(V16,-1,0))+1)</f>
        <v/>
      </c>
      <c r="W16" s="4" t="str">
        <f t="shared" si="11"/>
        <v>PM BENTO-09</v>
      </c>
      <c r="X16" s="1">
        <f t="shared" ca="1" si="12"/>
        <v>15</v>
      </c>
      <c r="Y16" s="103">
        <v>9240.66</v>
      </c>
      <c r="Z16" s="113">
        <f ca="1">ROUND(IF(ISNUMBER(R16),R16,IF(LEFT(R16,3)="BDI",HLOOKUP(R16,DADOS!$T$37:$X$38,2,FALSE),0)),15-11*$X$5)</f>
        <v>0.23130000000000001</v>
      </c>
      <c r="AA16" s="1"/>
    </row>
    <row r="17" spans="1:27" ht="25.5" x14ac:dyDescent="0.2">
      <c r="A17" t="str">
        <f t="shared" si="0"/>
        <v>S</v>
      </c>
      <c r="B17">
        <f t="shared" si="1"/>
        <v>0</v>
      </c>
      <c r="C17">
        <f t="shared" ca="1" si="2"/>
        <v>1</v>
      </c>
      <c r="D17">
        <f t="shared" ca="1" si="3"/>
        <v>1</v>
      </c>
      <c r="E17">
        <f t="shared" ca="1" si="4"/>
        <v>1</v>
      </c>
      <c r="F17">
        <f t="shared" ca="1" si="5"/>
        <v>0</v>
      </c>
      <c r="G17">
        <f t="shared" ca="1" si="6"/>
        <v>2</v>
      </c>
      <c r="H17">
        <f t="shared" ca="1" si="7"/>
        <v>0</v>
      </c>
      <c r="I17">
        <f t="shared" ca="1" si="8"/>
        <v>0</v>
      </c>
      <c r="J17" s="355" t="s">
        <v>103</v>
      </c>
      <c r="K17" s="138" t="str">
        <f t="shared" ca="1" si="9"/>
        <v>1.1.1.0.2.</v>
      </c>
      <c r="L17" s="356" t="s">
        <v>235</v>
      </c>
      <c r="M17" s="357" t="s">
        <v>266</v>
      </c>
      <c r="N17" s="360" t="s">
        <v>616</v>
      </c>
      <c r="O17" s="362" t="s">
        <v>941</v>
      </c>
      <c r="P17" s="363">
        <v>1</v>
      </c>
      <c r="Q17" s="195"/>
      <c r="R17" s="198" t="s">
        <v>7</v>
      </c>
      <c r="S17" s="103">
        <f t="shared" si="15"/>
        <v>0</v>
      </c>
      <c r="T17" s="83">
        <f t="shared" si="16"/>
        <v>0</v>
      </c>
      <c r="U17" s="9" t="str">
        <f t="shared" si="10"/>
        <v>SEM VALOR</v>
      </c>
      <c r="V17" s="1" t="str">
        <f ca="1">IF(OR($A17=0,$A17="S",$A17&gt;CFF!$A$9),"",MAX(V$12:OFFSET(V17,-1,0))+1)</f>
        <v/>
      </c>
      <c r="W17" s="4" t="str">
        <f t="shared" si="11"/>
        <v>PM BENTO-10</v>
      </c>
      <c r="X17" s="1">
        <f t="shared" ca="1" si="12"/>
        <v>16</v>
      </c>
      <c r="Y17" s="103">
        <v>32614.67</v>
      </c>
      <c r="Z17" s="113">
        <f ca="1">ROUND(IF(ISNUMBER(R17),R17,IF(LEFT(R17,3)="BDI",HLOOKUP(R17,DADOS!$T$37:$X$38,2,FALSE),0)),15-11*$X$5)</f>
        <v>0.23130000000000001</v>
      </c>
      <c r="AA17" s="1"/>
    </row>
    <row r="18" spans="1:27" x14ac:dyDescent="0.2">
      <c r="A18">
        <f t="shared" si="0"/>
        <v>3</v>
      </c>
      <c r="B18">
        <f t="shared" ca="1" si="1"/>
        <v>9</v>
      </c>
      <c r="C18">
        <f t="shared" ca="1" si="2"/>
        <v>1</v>
      </c>
      <c r="D18">
        <f t="shared" ca="1" si="3"/>
        <v>1</v>
      </c>
      <c r="E18">
        <f t="shared" ca="1" si="4"/>
        <v>2</v>
      </c>
      <c r="F18">
        <f t="shared" ca="1" si="5"/>
        <v>0</v>
      </c>
      <c r="G18">
        <f t="shared" ca="1" si="6"/>
        <v>0</v>
      </c>
      <c r="H18">
        <f t="shared" ca="1" si="7"/>
        <v>9</v>
      </c>
      <c r="I18">
        <f t="shared" ca="1" si="8"/>
        <v>37</v>
      </c>
      <c r="J18" s="355" t="s">
        <v>101</v>
      </c>
      <c r="K18" s="138" t="str">
        <f t="shared" ca="1" si="9"/>
        <v>1.1.2.</v>
      </c>
      <c r="L18" s="356" t="s">
        <v>230</v>
      </c>
      <c r="M18" s="357"/>
      <c r="N18" s="360" t="s">
        <v>233</v>
      </c>
      <c r="O18" s="362" t="s">
        <v>106</v>
      </c>
      <c r="P18" s="363"/>
      <c r="Q18" s="195"/>
      <c r="R18" s="198" t="s">
        <v>7</v>
      </c>
      <c r="S18" s="103">
        <f t="shared" si="15"/>
        <v>0</v>
      </c>
      <c r="T18" s="83">
        <f t="shared" ca="1" si="16"/>
        <v>0</v>
      </c>
      <c r="U18" s="9" t="str">
        <f t="shared" ca="1" si="10"/>
        <v>SEM VALOR</v>
      </c>
      <c r="V18" s="1" t="str">
        <f ca="1">IF(OR($A18=0,$A18="S",$A18&gt;CFF!$A$9),"",MAX(V$12:OFFSET(V18,-1,0))+1)</f>
        <v/>
      </c>
      <c r="W18" s="4" t="b">
        <f t="shared" si="11"/>
        <v>0</v>
      </c>
      <c r="X18" s="1" t="str">
        <f t="shared" ca="1" si="12"/>
        <v>X</v>
      </c>
      <c r="Y18" s="103">
        <v>0</v>
      </c>
      <c r="Z18" s="113">
        <f ca="1">ROUND(IF(ISNUMBER(R18),R18,IF(LEFT(R18,3)="BDI",HLOOKUP(R18,DADOS!$T$37:$X$38,2,FALSE),0)),15-11*$X$5)</f>
        <v>0.23130000000000001</v>
      </c>
      <c r="AA18" s="1"/>
    </row>
    <row r="19" spans="1:27" x14ac:dyDescent="0.2">
      <c r="A19" t="str">
        <f t="shared" si="0"/>
        <v>S</v>
      </c>
      <c r="B19">
        <f t="shared" si="1"/>
        <v>0</v>
      </c>
      <c r="C19">
        <f t="shared" ca="1" si="2"/>
        <v>1</v>
      </c>
      <c r="D19">
        <f t="shared" ca="1" si="3"/>
        <v>1</v>
      </c>
      <c r="E19">
        <f t="shared" ca="1" si="4"/>
        <v>2</v>
      </c>
      <c r="F19">
        <f t="shared" ca="1" si="5"/>
        <v>0</v>
      </c>
      <c r="G19">
        <f t="shared" ca="1" si="6"/>
        <v>1</v>
      </c>
      <c r="H19">
        <f t="shared" ca="1" si="7"/>
        <v>0</v>
      </c>
      <c r="I19">
        <f t="shared" ca="1" si="8"/>
        <v>0</v>
      </c>
      <c r="J19" s="355" t="s">
        <v>103</v>
      </c>
      <c r="K19" s="138" t="str">
        <f t="shared" ca="1" si="9"/>
        <v>1.1.2.0.1.</v>
      </c>
      <c r="L19" s="356" t="s">
        <v>235</v>
      </c>
      <c r="M19" s="357" t="s">
        <v>267</v>
      </c>
      <c r="N19" s="360" t="s">
        <v>617</v>
      </c>
      <c r="O19" s="362" t="s">
        <v>942</v>
      </c>
      <c r="P19" s="363">
        <v>8</v>
      </c>
      <c r="Q19" s="195"/>
      <c r="R19" s="198" t="s">
        <v>7</v>
      </c>
      <c r="S19" s="103">
        <f t="shared" si="15"/>
        <v>0</v>
      </c>
      <c r="T19" s="83">
        <f t="shared" si="16"/>
        <v>0</v>
      </c>
      <c r="U19" s="9" t="str">
        <f t="shared" si="10"/>
        <v>SEM VALOR</v>
      </c>
      <c r="V19" s="1" t="str">
        <f ca="1">IF(OR($A19=0,$A19="S",$A19&gt;CFF!$A$9),"",MAX(V$12:OFFSET(V19,-1,0))+1)</f>
        <v/>
      </c>
      <c r="W19" s="4" t="str">
        <f t="shared" si="11"/>
        <v>PM BENTO-01</v>
      </c>
      <c r="X19" s="1">
        <f t="shared" ca="1" si="12"/>
        <v>7</v>
      </c>
      <c r="Y19" s="103">
        <v>19071.88</v>
      </c>
      <c r="Z19" s="113">
        <f ca="1">ROUND(IF(ISNUMBER(R19),R19,IF(LEFT(R19,3)="BDI",HLOOKUP(R19,DADOS!$T$37:$X$38,2,FALSE),0)),15-11*$X$5)</f>
        <v>0.23130000000000001</v>
      </c>
      <c r="AA19" s="1"/>
    </row>
    <row r="20" spans="1:27" ht="25.5" x14ac:dyDescent="0.2">
      <c r="A20" t="str">
        <f t="shared" si="0"/>
        <v>S</v>
      </c>
      <c r="B20">
        <f t="shared" si="1"/>
        <v>0</v>
      </c>
      <c r="C20">
        <f t="shared" ca="1" si="2"/>
        <v>1</v>
      </c>
      <c r="D20">
        <f t="shared" ca="1" si="3"/>
        <v>1</v>
      </c>
      <c r="E20">
        <f t="shared" ca="1" si="4"/>
        <v>2</v>
      </c>
      <c r="F20">
        <f t="shared" ca="1" si="5"/>
        <v>0</v>
      </c>
      <c r="G20">
        <f t="shared" ca="1" si="6"/>
        <v>2</v>
      </c>
      <c r="H20">
        <f t="shared" ca="1" si="7"/>
        <v>0</v>
      </c>
      <c r="I20">
        <f t="shared" ca="1" si="8"/>
        <v>0</v>
      </c>
      <c r="J20" s="355" t="s">
        <v>103</v>
      </c>
      <c r="K20" s="138" t="str">
        <f t="shared" ca="1" si="9"/>
        <v>1.1.2.0.2.</v>
      </c>
      <c r="L20" s="356" t="s">
        <v>230</v>
      </c>
      <c r="M20" s="357" t="s">
        <v>239</v>
      </c>
      <c r="N20" s="360" t="s">
        <v>618</v>
      </c>
      <c r="O20" s="362" t="s">
        <v>940</v>
      </c>
      <c r="P20" s="363">
        <v>4.5</v>
      </c>
      <c r="Q20" s="195"/>
      <c r="R20" s="198" t="s">
        <v>7</v>
      </c>
      <c r="S20" s="103">
        <f t="shared" si="15"/>
        <v>0</v>
      </c>
      <c r="T20" s="83">
        <f t="shared" si="16"/>
        <v>0</v>
      </c>
      <c r="U20" s="9" t="str">
        <f t="shared" si="10"/>
        <v>SEM VALOR</v>
      </c>
      <c r="V20" s="1" t="str">
        <f ca="1">IF(OR($A20=0,$A20="S",$A20&gt;CFF!$A$9),"",MAX(V$12:OFFSET(V20,-1,0))+1)</f>
        <v/>
      </c>
      <c r="W20" s="4" t="str">
        <f t="shared" si="11"/>
        <v>SINAPI-103689</v>
      </c>
      <c r="X20" s="1">
        <f t="shared" ca="1" si="12"/>
        <v>14286</v>
      </c>
      <c r="Y20" s="103">
        <v>570.04</v>
      </c>
      <c r="Z20" s="113">
        <f ca="1">ROUND(IF(ISNUMBER(R20),R20,IF(LEFT(R20,3)="BDI",HLOOKUP(R20,DADOS!$T$37:$X$38,2,FALSE),0)),15-11*$X$5)</f>
        <v>0.23130000000000001</v>
      </c>
      <c r="AA20" s="1"/>
    </row>
    <row r="21" spans="1:27" x14ac:dyDescent="0.2">
      <c r="A21" t="str">
        <f>CHOOSE(1+LOG(1+2*(J21="Meta")+4*(J21="Nível 2")+8*(J21="Nível 3")+16*(J21="Nível 4")+32*(J21="Serviço"),2),0,1,2,3,4,"S")</f>
        <v>S</v>
      </c>
      <c r="B21">
        <f>IF(OR(A21="S",A21=0),0,IF(ISERROR(I21),H21,SMALL(H21:I21,1)))</f>
        <v>0</v>
      </c>
      <c r="C21">
        <f ca="1">IF($A21=1,OFFSET(C21,-1,0)+1,OFFSET(C21,-1,0))</f>
        <v>1</v>
      </c>
      <c r="D21">
        <f ca="1">IF($A21=1,0,IF($A21=2,OFFSET(D21,-1,0)+1,OFFSET(D21,-1,0)))</f>
        <v>1</v>
      </c>
      <c r="E21">
        <f ca="1">IF(AND($A21&lt;=2,$A21&lt;&gt;0),0,IF($A21=3,OFFSET(E21,-1,0)+1,OFFSET(E21,-1,0)))</f>
        <v>2</v>
      </c>
      <c r="F21">
        <f ca="1">IF(AND($A21&lt;=3,$A21&lt;&gt;0),0,IF($A21=4,OFFSET(F21,-1,0)+1,OFFSET(F21,-1,0)))</f>
        <v>0</v>
      </c>
      <c r="G21">
        <f ca="1">IF(AND($A21&lt;=4,$A21&lt;&gt;0),0,IF($A21="S",OFFSET(G21,-1,0)+1,OFFSET(G21,-1,0)))</f>
        <v>3</v>
      </c>
      <c r="H21">
        <f t="shared" ca="1" si="7"/>
        <v>0</v>
      </c>
      <c r="I21">
        <f t="shared" ca="1" si="8"/>
        <v>0</v>
      </c>
      <c r="J21" s="355" t="s">
        <v>103</v>
      </c>
      <c r="K21" s="138" t="str">
        <f ca="1">IF($A21=0,"-",CONCATENATE(C21&amp;".",IF(AND($A$5&gt;=2,$A21&gt;=2),D21&amp;".",""),IF(AND($A$5&gt;=3,$A21&gt;=3),E21&amp;".",""),IF(AND($A$5&gt;=4,$A21&gt;=4),F21&amp;".",""),IF($A21="S",G21&amp;".","")))</f>
        <v>1.1.2.0.3.</v>
      </c>
      <c r="L21" s="356" t="s">
        <v>230</v>
      </c>
      <c r="M21" s="357" t="s">
        <v>268</v>
      </c>
      <c r="N21" s="360" t="s">
        <v>619</v>
      </c>
      <c r="O21" s="362" t="s">
        <v>940</v>
      </c>
      <c r="P21" s="363">
        <v>30</v>
      </c>
      <c r="Q21" s="195"/>
      <c r="R21" s="198" t="s">
        <v>7</v>
      </c>
      <c r="S21" s="103">
        <f>IF($A21="S",IF($Q$10="Preço Unitário (R$)",PO.CustoUnitario,ROUND(PO.CustoUnitario*(1+$Z21),15-13*$X$6)),0)</f>
        <v>0</v>
      </c>
      <c r="T21" s="83">
        <f>IF($A21="S",VTOTAL1,IF($A21=0,0,ROUND(SomaAgrup,15-13*$X$7)))</f>
        <v>0</v>
      </c>
      <c r="U21" s="9" t="str">
        <f>IF($J21="","",IF($N21="","DESCRIÇÃO",IF(AND($J21="Serviço",$O21=""),"UNIDADE",IF($T21&lt;=0,"SEM VALOR",IF(AND($Y21&lt;&gt;"",$Q21&gt;$Y21),"ACIMA REF.","")))))</f>
        <v>SEM VALOR</v>
      </c>
      <c r="V21" s="1" t="str">
        <f ca="1">IF(OR($A21=0,$A21="S",$A21&gt;CFF!$A$9),"",MAX(V$12:OFFSET(V21,-1,0))+1)</f>
        <v/>
      </c>
      <c r="W21" s="4" t="str">
        <f>IF(AND($J21="Serviço",$M21&lt;&gt;""),IF($L21="",$M21,CONCATENATE($L21,"-",$M21)))</f>
        <v>SINAPI-98458</v>
      </c>
      <c r="X21" s="1">
        <f ca="1">IF(AND(Fonte&lt;&gt;"",Código&lt;&gt;""),MATCH(Fonte&amp;" "&amp;IF(Fonte="sinapi",SUBSTITUTE(SUBSTITUTE(Código,"/00","/"),"/0","/"),Código),INDIRECT("'[Referência "&amp;_xlnm.Database&amp;".xls]Banco'!$a:$a"),0),"X")</f>
        <v>11886</v>
      </c>
      <c r="Y21" s="103">
        <v>126.18</v>
      </c>
      <c r="Z21" s="113">
        <f ca="1">ROUND(IF(ISNUMBER(R21),R21,IF(LEFT(R21,3)="BDI",HLOOKUP(R21,DADOS!$T$37:$X$38,2,FALSE),0)),15-11*$X$5)</f>
        <v>0.23130000000000001</v>
      </c>
      <c r="AA21" s="1"/>
    </row>
    <row r="22" spans="1:27" ht="25.5" x14ac:dyDescent="0.2">
      <c r="A22" t="str">
        <f t="shared" si="0"/>
        <v>S</v>
      </c>
      <c r="B22">
        <f t="shared" si="1"/>
        <v>0</v>
      </c>
      <c r="C22">
        <f t="shared" ca="1" si="2"/>
        <v>1</v>
      </c>
      <c r="D22">
        <f t="shared" ca="1" si="3"/>
        <v>1</v>
      </c>
      <c r="E22">
        <f t="shared" ca="1" si="4"/>
        <v>2</v>
      </c>
      <c r="F22">
        <f t="shared" ca="1" si="5"/>
        <v>0</v>
      </c>
      <c r="G22">
        <f t="shared" ca="1" si="6"/>
        <v>4</v>
      </c>
      <c r="H22">
        <f t="shared" ca="1" si="7"/>
        <v>0</v>
      </c>
      <c r="I22">
        <f t="shared" ca="1" si="8"/>
        <v>0</v>
      </c>
      <c r="J22" s="355" t="s">
        <v>103</v>
      </c>
      <c r="K22" s="138" t="str">
        <f t="shared" ca="1" si="9"/>
        <v>1.1.2.0.4.</v>
      </c>
      <c r="L22" s="356" t="s">
        <v>234</v>
      </c>
      <c r="M22" s="357" t="s">
        <v>237</v>
      </c>
      <c r="N22" s="360" t="s">
        <v>620</v>
      </c>
      <c r="O22" s="362" t="s">
        <v>943</v>
      </c>
      <c r="P22" s="363">
        <v>8</v>
      </c>
      <c r="Q22" s="195"/>
      <c r="R22" s="198" t="s">
        <v>7</v>
      </c>
      <c r="S22" s="103">
        <f>IF($A22="S",IF($Q$10="Preço Unitário (R$)",PO.CustoUnitario,ROUND(PO.CustoUnitario*(1+$Z22),15-13*$X$6)),0)</f>
        <v>0</v>
      </c>
      <c r="T22" s="83">
        <f>IF($A22="S",VTOTAL1,IF($A22=0,0,ROUND(SomaAgrup,15-13*$X$7)))</f>
        <v>0</v>
      </c>
      <c r="U22" s="9" t="str">
        <f t="shared" si="10"/>
        <v>SEM VALOR</v>
      </c>
      <c r="V22" s="1" t="str">
        <f ca="1">IF(OR($A22=0,$A22="S",$A22&gt;CFF!$A$9),"",MAX(V$12:OFFSET(V22,-1,0))+1)</f>
        <v/>
      </c>
      <c r="W22" s="4" t="str">
        <f t="shared" si="11"/>
        <v>SINAPI-I-10775</v>
      </c>
      <c r="X22" s="1">
        <f t="shared" ca="1" si="12"/>
        <v>2719</v>
      </c>
      <c r="Y22" s="103">
        <v>1354.43</v>
      </c>
      <c r="Z22" s="113">
        <f ca="1">ROUND(IF(ISNUMBER(R22),R22,IF(LEFT(R22,3)="BDI",HLOOKUP(R22,DADOS!$T$37:$X$38,2,FALSE),0)),15-11*$X$5)</f>
        <v>0.23130000000000001</v>
      </c>
      <c r="AA22" s="1"/>
    </row>
    <row r="23" spans="1:27" ht="25.5" x14ac:dyDescent="0.2">
      <c r="A23" t="str">
        <f t="shared" si="0"/>
        <v>S</v>
      </c>
      <c r="B23">
        <f t="shared" si="1"/>
        <v>0</v>
      </c>
      <c r="C23">
        <f t="shared" ca="1" si="2"/>
        <v>1</v>
      </c>
      <c r="D23">
        <f t="shared" ca="1" si="3"/>
        <v>1</v>
      </c>
      <c r="E23">
        <f t="shared" ca="1" si="4"/>
        <v>2</v>
      </c>
      <c r="F23">
        <f t="shared" ca="1" si="5"/>
        <v>0</v>
      </c>
      <c r="G23">
        <f t="shared" ca="1" si="6"/>
        <v>5</v>
      </c>
      <c r="H23">
        <f t="shared" ca="1" si="7"/>
        <v>0</v>
      </c>
      <c r="I23">
        <f t="shared" ca="1" si="8"/>
        <v>0</v>
      </c>
      <c r="J23" s="355" t="s">
        <v>103</v>
      </c>
      <c r="K23" s="138" t="str">
        <f t="shared" ca="1" si="9"/>
        <v>1.1.2.0.5.</v>
      </c>
      <c r="L23" s="356" t="s">
        <v>234</v>
      </c>
      <c r="M23" s="357" t="s">
        <v>243</v>
      </c>
      <c r="N23" s="360" t="s">
        <v>621</v>
      </c>
      <c r="O23" s="362" t="s">
        <v>943</v>
      </c>
      <c r="P23" s="363">
        <v>8</v>
      </c>
      <c r="Q23" s="195"/>
      <c r="R23" s="198" t="s">
        <v>7</v>
      </c>
      <c r="S23" s="103">
        <f t="shared" ref="S23:S27" si="17">IF($A23="S",IF($Q$10="Preço Unitário (R$)",PO.CustoUnitario,ROUND(PO.CustoUnitario*(1+$Z23),15-13*$X$6)),0)</f>
        <v>0</v>
      </c>
      <c r="T23" s="83">
        <f t="shared" ref="T23:T27" si="18">IF($A23="S",VTOTAL1,IF($A23=0,0,ROUND(SomaAgrup,15-13*$X$7)))</f>
        <v>0</v>
      </c>
      <c r="U23" s="9" t="str">
        <f t="shared" si="10"/>
        <v>SEM VALOR</v>
      </c>
      <c r="V23" s="1" t="str">
        <f ca="1">IF(OR($A23=0,$A23="S",$A23&gt;CFF!$A$9),"",MAX(V$12:OFFSET(V23,-1,0))+1)</f>
        <v/>
      </c>
      <c r="W23" s="4" t="str">
        <f t="shared" si="11"/>
        <v>SINAPI-I-10776</v>
      </c>
      <c r="X23" s="1">
        <f t="shared" ref="X23:X27" ca="1" si="19">IF(AND(Fonte&lt;&gt;"",Código&lt;&gt;""),MATCH(Fonte&amp;" "&amp;IF(Fonte="sinapi",SUBSTITUTE(SUBSTITUTE(Código,"/00","/"),"/0","/"),Código),INDIRECT("'[Referência "&amp;_xlnm.Database&amp;".xls]Banco'!$a:$a"),0),"X")</f>
        <v>2720</v>
      </c>
      <c r="Y23" s="103">
        <v>1058.1400000000001</v>
      </c>
      <c r="Z23" s="113">
        <f ca="1">ROUND(IF(ISNUMBER(R23),R23,IF(LEFT(R23,3)="BDI",HLOOKUP(R23,DADOS!$T$37:$X$38,2,FALSE),0)),15-11*$X$5)</f>
        <v>0.23130000000000001</v>
      </c>
      <c r="AA23" s="1"/>
    </row>
    <row r="24" spans="1:27" ht="25.5" x14ac:dyDescent="0.2">
      <c r="A24" t="str">
        <f t="shared" ref="A24:A27" si="20">CHOOSE(1+LOG(1+2*(J24="Meta")+4*(J24="Nível 2")+8*(J24="Nível 3")+16*(J24="Nível 4")+32*(J24="Serviço"),2),0,1,2,3,4,"S")</f>
        <v>S</v>
      </c>
      <c r="B24">
        <f t="shared" ref="B24:B27" si="21">IF(OR(A24="S",A24=0),0,IF(ISERROR(I24),H24,SMALL(H24:I24,1)))</f>
        <v>0</v>
      </c>
      <c r="C24">
        <f t="shared" ref="C24:C27" ca="1" si="22">IF($A24=1,OFFSET(C24,-1,0)+1,OFFSET(C24,-1,0))</f>
        <v>1</v>
      </c>
      <c r="D24">
        <f t="shared" ref="D24:D27" ca="1" si="23">IF($A24=1,0,IF($A24=2,OFFSET(D24,-1,0)+1,OFFSET(D24,-1,0)))</f>
        <v>1</v>
      </c>
      <c r="E24">
        <f t="shared" ref="E24:E27" ca="1" si="24">IF(AND($A24&lt;=2,$A24&lt;&gt;0),0,IF($A24=3,OFFSET(E24,-1,0)+1,OFFSET(E24,-1,0)))</f>
        <v>2</v>
      </c>
      <c r="F24">
        <f t="shared" ref="F24:F27" ca="1" si="25">IF(AND($A24&lt;=3,$A24&lt;&gt;0),0,IF($A24=4,OFFSET(F24,-1,0)+1,OFFSET(F24,-1,0)))</f>
        <v>0</v>
      </c>
      <c r="G24">
        <f t="shared" ref="G24:G27" ca="1" si="26">IF(AND($A24&lt;=4,$A24&lt;&gt;0),0,IF($A24="S",OFFSET(G24,-1,0)+1,OFFSET(G24,-1,0)))</f>
        <v>6</v>
      </c>
      <c r="H24">
        <f t="shared" ca="1" si="7"/>
        <v>0</v>
      </c>
      <c r="I24">
        <f t="shared" ca="1" si="8"/>
        <v>0</v>
      </c>
      <c r="J24" s="355" t="s">
        <v>103</v>
      </c>
      <c r="K24" s="138" t="str">
        <f t="shared" ref="K24:K27" ca="1" si="27">IF($A24=0,"-",CONCATENATE(C24&amp;".",IF(AND($A$5&gt;=2,$A24&gt;=2),D24&amp;".",""),IF(AND($A$5&gt;=3,$A24&gt;=3),E24&amp;".",""),IF(AND($A$5&gt;=4,$A24&gt;=4),F24&amp;".",""),IF($A24="S",G24&amp;".","")))</f>
        <v>1.1.2.0.6.</v>
      </c>
      <c r="L24" s="356" t="s">
        <v>230</v>
      </c>
      <c r="M24" s="357" t="s">
        <v>240</v>
      </c>
      <c r="N24" s="360" t="s">
        <v>622</v>
      </c>
      <c r="O24" s="362" t="s">
        <v>944</v>
      </c>
      <c r="P24" s="363">
        <v>2</v>
      </c>
      <c r="Q24" s="195"/>
      <c r="R24" s="198" t="s">
        <v>7</v>
      </c>
      <c r="S24" s="103">
        <f t="shared" si="17"/>
        <v>0</v>
      </c>
      <c r="T24" s="83">
        <f t="shared" si="18"/>
        <v>0</v>
      </c>
      <c r="U24" s="9" t="str">
        <f t="shared" ref="U24:U27" si="28">IF($J24="","",IF($N24="","DESCRIÇÃO",IF(AND($J24="Serviço",$O24=""),"UNIDADE",IF($T24&lt;=0,"SEM VALOR",IF(AND($Y24&lt;&gt;"",$Q24&gt;$Y24),"ACIMA REF.","")))))</f>
        <v>SEM VALOR</v>
      </c>
      <c r="V24" s="1" t="str">
        <f ca="1">IF(OR($A24=0,$A24="S",$A24&gt;CFF!$A$9),"",MAX(V$12:OFFSET(V24,-1,0))+1)</f>
        <v/>
      </c>
      <c r="W24" s="4" t="str">
        <f t="shared" ref="W24:W27" si="29">IF(AND($J24="Serviço",$M24&lt;&gt;""),IF($L24="",$M24,CONCATENATE($L24,"-",$M24)))</f>
        <v>SINAPI-105115</v>
      </c>
      <c r="X24" s="1">
        <f t="shared" ca="1" si="19"/>
        <v>11859</v>
      </c>
      <c r="Y24" s="103">
        <v>167.97</v>
      </c>
      <c r="Z24" s="113">
        <f ca="1">ROUND(IF(ISNUMBER(R24),R24,IF(LEFT(R24,3)="BDI",HLOOKUP(R24,DADOS!$T$37:$X$38,2,FALSE),0)),15-11*$X$5)</f>
        <v>0.23130000000000001</v>
      </c>
      <c r="AA24" s="1"/>
    </row>
    <row r="25" spans="1:27" ht="25.5" x14ac:dyDescent="0.2">
      <c r="A25" t="str">
        <f t="shared" si="20"/>
        <v>S</v>
      </c>
      <c r="B25">
        <f t="shared" si="21"/>
        <v>0</v>
      </c>
      <c r="C25">
        <f t="shared" ca="1" si="22"/>
        <v>1</v>
      </c>
      <c r="D25">
        <f t="shared" ca="1" si="23"/>
        <v>1</v>
      </c>
      <c r="E25">
        <f t="shared" ca="1" si="24"/>
        <v>2</v>
      </c>
      <c r="F25">
        <f t="shared" ca="1" si="25"/>
        <v>0</v>
      </c>
      <c r="G25">
        <f t="shared" ca="1" si="26"/>
        <v>7</v>
      </c>
      <c r="H25">
        <f t="shared" ca="1" si="7"/>
        <v>0</v>
      </c>
      <c r="I25">
        <f t="shared" ca="1" si="8"/>
        <v>0</v>
      </c>
      <c r="J25" s="355" t="s">
        <v>103</v>
      </c>
      <c r="K25" s="138" t="str">
        <f t="shared" ca="1" si="27"/>
        <v>1.1.2.0.7.</v>
      </c>
      <c r="L25" s="356" t="s">
        <v>230</v>
      </c>
      <c r="M25" s="357" t="s">
        <v>269</v>
      </c>
      <c r="N25" s="360" t="s">
        <v>623</v>
      </c>
      <c r="O25" s="362" t="s">
        <v>945</v>
      </c>
      <c r="P25" s="363">
        <v>221</v>
      </c>
      <c r="Q25" s="195"/>
      <c r="R25" s="198" t="s">
        <v>7</v>
      </c>
      <c r="S25" s="103">
        <f t="shared" si="17"/>
        <v>0</v>
      </c>
      <c r="T25" s="83">
        <f t="shared" si="18"/>
        <v>0</v>
      </c>
      <c r="U25" s="9" t="str">
        <f t="shared" si="28"/>
        <v>SEM VALOR</v>
      </c>
      <c r="V25" s="1" t="str">
        <f ca="1">IF(OR($A25=0,$A25="S",$A25&gt;CFF!$A$9),"",MAX(V$12:OFFSET(V25,-1,0))+1)</f>
        <v/>
      </c>
      <c r="W25" s="4" t="str">
        <f t="shared" si="29"/>
        <v>SINAPI-97064</v>
      </c>
      <c r="X25" s="1">
        <f t="shared" ca="1" si="19"/>
        <v>8198</v>
      </c>
      <c r="Y25" s="103">
        <v>38.32</v>
      </c>
      <c r="Z25" s="113">
        <f ca="1">ROUND(IF(ISNUMBER(R25),R25,IF(LEFT(R25,3)="BDI",HLOOKUP(R25,DADOS!$T$37:$X$38,2,FALSE),0)),15-11*$X$5)</f>
        <v>0.23130000000000001</v>
      </c>
      <c r="AA25" s="1"/>
    </row>
    <row r="26" spans="1:27" ht="38.25" x14ac:dyDescent="0.2">
      <c r="A26" t="str">
        <f t="shared" si="20"/>
        <v>S</v>
      </c>
      <c r="B26">
        <f t="shared" si="21"/>
        <v>0</v>
      </c>
      <c r="C26">
        <f t="shared" ca="1" si="22"/>
        <v>1</v>
      </c>
      <c r="D26">
        <f t="shared" ca="1" si="23"/>
        <v>1</v>
      </c>
      <c r="E26">
        <f t="shared" ca="1" si="24"/>
        <v>2</v>
      </c>
      <c r="F26">
        <f t="shared" ca="1" si="25"/>
        <v>0</v>
      </c>
      <c r="G26">
        <f t="shared" ca="1" si="26"/>
        <v>8</v>
      </c>
      <c r="H26">
        <f t="shared" ca="1" si="7"/>
        <v>0</v>
      </c>
      <c r="I26">
        <f t="shared" ca="1" si="8"/>
        <v>0</v>
      </c>
      <c r="J26" s="355" t="s">
        <v>103</v>
      </c>
      <c r="K26" s="138" t="str">
        <f t="shared" ca="1" si="27"/>
        <v>1.1.2.0.8.</v>
      </c>
      <c r="L26" s="356" t="s">
        <v>234</v>
      </c>
      <c r="M26" s="357" t="s">
        <v>270</v>
      </c>
      <c r="N26" s="360" t="s">
        <v>624</v>
      </c>
      <c r="O26" s="362" t="s">
        <v>946</v>
      </c>
      <c r="P26" s="363">
        <v>442</v>
      </c>
      <c r="Q26" s="195"/>
      <c r="R26" s="198" t="s">
        <v>7</v>
      </c>
      <c r="S26" s="103">
        <f t="shared" si="17"/>
        <v>0</v>
      </c>
      <c r="T26" s="83">
        <f t="shared" si="18"/>
        <v>0</v>
      </c>
      <c r="U26" s="9" t="str">
        <f t="shared" si="28"/>
        <v>SEM VALOR</v>
      </c>
      <c r="V26" s="1" t="str">
        <f ca="1">IF(OR($A26=0,$A26="S",$A26&gt;CFF!$A$9),"",MAX(V$12:OFFSET(V26,-1,0))+1)</f>
        <v/>
      </c>
      <c r="W26" s="4" t="str">
        <f t="shared" si="29"/>
        <v>SINAPI-I-10527</v>
      </c>
      <c r="X26" s="1">
        <f t="shared" ca="1" si="19"/>
        <v>2713</v>
      </c>
      <c r="Y26" s="103">
        <v>36.94</v>
      </c>
      <c r="Z26" s="113">
        <f ca="1">ROUND(IF(ISNUMBER(R26),R26,IF(LEFT(R26,3)="BDI",HLOOKUP(R26,DADOS!$T$37:$X$38,2,FALSE),0)),15-11*$X$5)</f>
        <v>0.23130000000000001</v>
      </c>
      <c r="AA26" s="1"/>
    </row>
    <row r="27" spans="1:27" x14ac:dyDescent="0.2">
      <c r="A27">
        <f t="shared" si="20"/>
        <v>2</v>
      </c>
      <c r="B27">
        <f t="shared" ca="1" si="21"/>
        <v>12</v>
      </c>
      <c r="C27">
        <f t="shared" ca="1" si="22"/>
        <v>1</v>
      </c>
      <c r="D27">
        <f t="shared" ca="1" si="23"/>
        <v>2</v>
      </c>
      <c r="E27">
        <f t="shared" ca="1" si="24"/>
        <v>0</v>
      </c>
      <c r="F27">
        <f t="shared" ca="1" si="25"/>
        <v>0</v>
      </c>
      <c r="G27">
        <f t="shared" ca="1" si="26"/>
        <v>0</v>
      </c>
      <c r="H27">
        <f t="shared" ca="1" si="7"/>
        <v>395</v>
      </c>
      <c r="I27">
        <f t="shared" ca="1" si="8"/>
        <v>12</v>
      </c>
      <c r="J27" s="355" t="s">
        <v>100</v>
      </c>
      <c r="K27" s="138" t="str">
        <f t="shared" ca="1" si="27"/>
        <v>1.2.</v>
      </c>
      <c r="L27" s="356" t="s">
        <v>230</v>
      </c>
      <c r="M27" s="357"/>
      <c r="N27" s="360" t="s">
        <v>264</v>
      </c>
      <c r="O27" s="362" t="s">
        <v>106</v>
      </c>
      <c r="P27" s="363">
        <v>5</v>
      </c>
      <c r="Q27" s="195"/>
      <c r="R27" s="198" t="s">
        <v>7</v>
      </c>
      <c r="S27" s="103">
        <f t="shared" si="17"/>
        <v>0</v>
      </c>
      <c r="T27" s="83">
        <f t="shared" ca="1" si="18"/>
        <v>0</v>
      </c>
      <c r="U27" s="9" t="str">
        <f t="shared" ca="1" si="28"/>
        <v>SEM VALOR</v>
      </c>
      <c r="V27" s="1">
        <f ca="1">IF(OR($A27=0,$A27="S",$A27&gt;CFF!$A$9),"",MAX(V$12:OFFSET(V27,-1,0))+1)</f>
        <v>3</v>
      </c>
      <c r="W27" s="4" t="b">
        <f t="shared" si="29"/>
        <v>0</v>
      </c>
      <c r="X27" s="1" t="str">
        <f t="shared" ca="1" si="19"/>
        <v>X</v>
      </c>
      <c r="Y27" s="103">
        <v>0</v>
      </c>
      <c r="Z27" s="113">
        <f ca="1">ROUND(IF(ISNUMBER(R27),R27,IF(LEFT(R27,3)="BDI",HLOOKUP(R27,DADOS!$T$37:$X$38,2,FALSE),0)),15-11*$X$5)</f>
        <v>0.23130000000000001</v>
      </c>
      <c r="AA27" s="1"/>
    </row>
    <row r="28" spans="1:27" x14ac:dyDescent="0.2">
      <c r="A28" t="str">
        <f>CHOOSE(1+LOG(1+2*(J28="Meta")+4*(J28="Nível 2")+8*(J28="Nível 3")+16*(J28="Nível 4")+32*(J28="Serviço"),2),0,1,2,3,4,"S")</f>
        <v>S</v>
      </c>
      <c r="B28">
        <f>IF(OR(A28="S",A28=0),0,IF(ISERROR(I28),H28,SMALL(H28:I28,1)))</f>
        <v>0</v>
      </c>
      <c r="C28">
        <f ca="1">IF($A28=1,OFFSET(C28,-1,0)+1,OFFSET(C28,-1,0))</f>
        <v>1</v>
      </c>
      <c r="D28">
        <f ca="1">IF($A28=1,0,IF($A28=2,OFFSET(D28,-1,0)+1,OFFSET(D28,-1,0)))</f>
        <v>2</v>
      </c>
      <c r="E28">
        <f ca="1">IF(AND($A28&lt;=2,$A28&lt;&gt;0),0,IF($A28=3,OFFSET(E28,-1,0)+1,OFFSET(E28,-1,0)))</f>
        <v>0</v>
      </c>
      <c r="F28">
        <f ca="1">IF(AND($A28&lt;=3,$A28&lt;&gt;0),0,IF($A28=4,OFFSET(F28,-1,0)+1,OFFSET(F28,-1,0)))</f>
        <v>0</v>
      </c>
      <c r="G28">
        <f ca="1">IF(AND($A28&lt;=4,$A28&lt;&gt;0),0,IF($A28="S",OFFSET(G28,-1,0)+1,OFFSET(G28,-1,0)))</f>
        <v>1</v>
      </c>
      <c r="H28">
        <f t="shared" ca="1" si="7"/>
        <v>0</v>
      </c>
      <c r="I28">
        <f t="shared" ca="1" si="8"/>
        <v>0</v>
      </c>
      <c r="J28" s="355" t="s">
        <v>103</v>
      </c>
      <c r="K28" s="138" t="str">
        <f ca="1">IF($A28=0,"-",CONCATENATE(C28&amp;".",IF(AND($A$5&gt;=2,$A28&gt;=2),D28&amp;".",""),IF(AND($A$5&gt;=3,$A28&gt;=3),E28&amp;".",""),IF(AND($A$5&gt;=4,$A28&gt;=4),F28&amp;".",""),IF($A28="S",G28&amp;".","")))</f>
        <v>1.2.0.0.1.</v>
      </c>
      <c r="L28" s="356" t="s">
        <v>235</v>
      </c>
      <c r="M28" s="357" t="s">
        <v>271</v>
      </c>
      <c r="N28" s="360" t="s">
        <v>625</v>
      </c>
      <c r="O28" s="362" t="s">
        <v>940</v>
      </c>
      <c r="P28" s="363">
        <v>139.5</v>
      </c>
      <c r="Q28" s="195"/>
      <c r="R28" s="198" t="s">
        <v>7</v>
      </c>
      <c r="S28" s="103">
        <f t="shared" ref="S28:S59" si="30">IF($A28="S",IF($Q$10="Preço Unitário (R$)",PO.CustoUnitario,ROUND(PO.CustoUnitario*(1+$Z28),15-13*$X$6)),0)</f>
        <v>0</v>
      </c>
      <c r="T28" s="83">
        <f t="shared" ref="T28:T59" si="31">IF($A28="S",VTOTAL1,IF($A28=0,0,ROUND(SomaAgrup,15-13*$X$7)))</f>
        <v>0</v>
      </c>
      <c r="U28" s="9" t="str">
        <f>IF($J28="","",IF($N28="","DESCRIÇÃO",IF(AND($J28="Serviço",$O28=""),"UNIDADE",IF($T28&lt;=0,"SEM VALOR",IF(AND($Y28&lt;&gt;"",$Q28&gt;$Y28),"ACIMA REF.","")))))</f>
        <v>SEM VALOR</v>
      </c>
      <c r="V28" s="1" t="str">
        <f ca="1">IF(OR($A28=0,$A28="S",$A28&gt;CFF!$A$9),"",MAX(V$12:OFFSET(V28,-1,0))+1)</f>
        <v/>
      </c>
      <c r="W28" s="4" t="str">
        <f>IF(AND($J28="Serviço",$M28&lt;&gt;""),IF($L28="",$M28,CONCATENATE($L28,"-",$M28)))</f>
        <v>PM BENTO-14</v>
      </c>
      <c r="X28" s="1">
        <f t="shared" ref="X28:X59" ca="1" si="32">IF(AND(Fonte&lt;&gt;"",Código&lt;&gt;""),MATCH(Fonte&amp;" "&amp;IF(Fonte="sinapi",SUBSTITUTE(SUBSTITUTE(Código,"/00","/"),"/0","/"),Código),INDIRECT("'[Referência "&amp;_xlnm.Database&amp;".xls]Banco'!$a:$a"),0),"X")</f>
        <v>20</v>
      </c>
      <c r="Y28" s="103">
        <v>31.18</v>
      </c>
      <c r="Z28" s="113">
        <f ca="1">ROUND(IF(ISNUMBER(R28),R28,IF(LEFT(R28,3)="BDI",HLOOKUP(R28,DADOS!$T$37:$X$38,2,FALSE),0)),15-11*$X$5)</f>
        <v>0.23130000000000001</v>
      </c>
      <c r="AA28" s="1"/>
    </row>
    <row r="29" spans="1:27" x14ac:dyDescent="0.2">
      <c r="A29" t="str">
        <f>CHOOSE(1+LOG(1+2*(J29="Meta")+4*(J29="Nível 2")+8*(J29="Nível 3")+16*(J29="Nível 4")+32*(J29="Serviço"),2),0,1,2,3,4,"S")</f>
        <v>S</v>
      </c>
      <c r="B29">
        <f>IF(OR(A29="S",A29=0),0,IF(ISERROR(I29),H29,SMALL(H29:I29,1)))</f>
        <v>0</v>
      </c>
      <c r="C29">
        <f ca="1">IF($A29=1,OFFSET(C29,-1,0)+1,OFFSET(C29,-1,0))</f>
        <v>1</v>
      </c>
      <c r="D29">
        <f ca="1">IF($A29=1,0,IF($A29=2,OFFSET(D29,-1,0)+1,OFFSET(D29,-1,0)))</f>
        <v>2</v>
      </c>
      <c r="E29">
        <f ca="1">IF(AND($A29&lt;=2,$A29&lt;&gt;0),0,IF($A29=3,OFFSET(E29,-1,0)+1,OFFSET(E29,-1,0)))</f>
        <v>0</v>
      </c>
      <c r="F29">
        <f ca="1">IF(AND($A29&lt;=3,$A29&lt;&gt;0),0,IF($A29=4,OFFSET(F29,-1,0)+1,OFFSET(F29,-1,0)))</f>
        <v>0</v>
      </c>
      <c r="G29">
        <f ca="1">IF(AND($A29&lt;=4,$A29&lt;&gt;0),0,IF($A29="S",OFFSET(G29,-1,0)+1,OFFSET(G29,-1,0)))</f>
        <v>2</v>
      </c>
      <c r="H29">
        <f t="shared" ca="1" si="7"/>
        <v>0</v>
      </c>
      <c r="I29">
        <f t="shared" ca="1" si="8"/>
        <v>0</v>
      </c>
      <c r="J29" s="355" t="s">
        <v>103</v>
      </c>
      <c r="K29" s="138" t="str">
        <f ca="1">IF($A29=0,"-",CONCATENATE(C29&amp;".",IF(AND($A$5&gt;=2,$A29&gt;=2),D29&amp;".",""),IF(AND($A$5&gt;=3,$A29&gt;=3),E29&amp;".",""),IF(AND($A$5&gt;=4,$A29&gt;=4),F29&amp;".",""),IF($A29="S",G29&amp;".","")))</f>
        <v>1.2.0.0.2.</v>
      </c>
      <c r="L29" s="356" t="s">
        <v>230</v>
      </c>
      <c r="M29" s="357" t="s">
        <v>272</v>
      </c>
      <c r="N29" s="360" t="s">
        <v>626</v>
      </c>
      <c r="O29" s="362" t="s">
        <v>940</v>
      </c>
      <c r="P29" s="363">
        <v>26.5</v>
      </c>
      <c r="Q29" s="195"/>
      <c r="R29" s="198" t="s">
        <v>7</v>
      </c>
      <c r="S29" s="103">
        <f t="shared" si="30"/>
        <v>0</v>
      </c>
      <c r="T29" s="83">
        <f t="shared" si="31"/>
        <v>0</v>
      </c>
      <c r="U29" s="9" t="str">
        <f>IF($J29="","",IF($N29="","DESCRIÇÃO",IF(AND($J29="Serviço",$O29=""),"UNIDADE",IF($T29&lt;=0,"SEM VALOR",IF(AND($Y29&lt;&gt;"",$Q29&gt;$Y29),"ACIMA REF.","")))))</f>
        <v>SEM VALOR</v>
      </c>
      <c r="V29" s="1" t="str">
        <f ca="1">IF(OR($A29=0,$A29="S",$A29&gt;CFF!$A$9),"",MAX(V$12:OFFSET(V29,-1,0))+1)</f>
        <v/>
      </c>
      <c r="W29" s="4" t="str">
        <f>IF(AND($J29="Serviço",$M29&lt;&gt;""),IF($L29="",$M29,CONCATENATE($L29,"-",$M29)))</f>
        <v>SINAPI-97633</v>
      </c>
      <c r="X29" s="1">
        <f t="shared" ca="1" si="32"/>
        <v>6914</v>
      </c>
      <c r="Y29" s="103">
        <v>32.08</v>
      </c>
      <c r="Z29" s="113">
        <f ca="1">ROUND(IF(ISNUMBER(R29),R29,IF(LEFT(R29,3)="BDI",HLOOKUP(R29,DADOS!$T$37:$X$38,2,FALSE),0)),15-11*$X$5)</f>
        <v>0.23130000000000001</v>
      </c>
      <c r="AA29" s="1"/>
    </row>
    <row r="30" spans="1:27" x14ac:dyDescent="0.2">
      <c r="A30" t="str">
        <f t="shared" ref="A30:A95" si="33">CHOOSE(1+LOG(1+2*(J30="Meta")+4*(J30="Nível 2")+8*(J30="Nível 3")+16*(J30="Nível 4")+32*(J30="Serviço"),2),0,1,2,3,4,"S")</f>
        <v>S</v>
      </c>
      <c r="B30">
        <f t="shared" ref="B30:B95" si="34">IF(OR(A30="S",A30=0),0,IF(ISERROR(I30),H30,SMALL(H30:I30,1)))</f>
        <v>0</v>
      </c>
      <c r="C30">
        <f t="shared" ref="C30:C95" ca="1" si="35">IF($A30=1,OFFSET(C30,-1,0)+1,OFFSET(C30,-1,0))</f>
        <v>1</v>
      </c>
      <c r="D30">
        <f t="shared" ref="D30:D95" ca="1" si="36">IF($A30=1,0,IF($A30=2,OFFSET(D30,-1,0)+1,OFFSET(D30,-1,0)))</f>
        <v>2</v>
      </c>
      <c r="E30">
        <f t="shared" ref="E30:E95" ca="1" si="37">IF(AND($A30&lt;=2,$A30&lt;&gt;0),0,IF($A30=3,OFFSET(E30,-1,0)+1,OFFSET(E30,-1,0)))</f>
        <v>0</v>
      </c>
      <c r="F30">
        <f t="shared" ref="F30:F95" ca="1" si="38">IF(AND($A30&lt;=3,$A30&lt;&gt;0),0,IF($A30=4,OFFSET(F30,-1,0)+1,OFFSET(F30,-1,0)))</f>
        <v>0</v>
      </c>
      <c r="G30">
        <f t="shared" ref="G30:G95" ca="1" si="39">IF(AND($A30&lt;=4,$A30&lt;&gt;0),0,IF($A30="S",OFFSET(G30,-1,0)+1,OFFSET(G30,-1,0)))</f>
        <v>3</v>
      </c>
      <c r="H30">
        <f t="shared" ca="1" si="7"/>
        <v>0</v>
      </c>
      <c r="I30">
        <f t="shared" ca="1" si="8"/>
        <v>0</v>
      </c>
      <c r="J30" s="355" t="s">
        <v>103</v>
      </c>
      <c r="K30" s="138" t="str">
        <f t="shared" ref="K30:K95" ca="1" si="40">IF($A30=0,"-",CONCATENATE(C30&amp;".",IF(AND($A$5&gt;=2,$A30&gt;=2),D30&amp;".",""),IF(AND($A$5&gt;=3,$A30&gt;=3),E30&amp;".",""),IF(AND($A$5&gt;=4,$A30&gt;=4),F30&amp;".",""),IF($A30="S",G30&amp;".","")))</f>
        <v>1.2.0.0.3.</v>
      </c>
      <c r="L30" s="356" t="s">
        <v>230</v>
      </c>
      <c r="M30" s="357" t="s">
        <v>272</v>
      </c>
      <c r="N30" s="360" t="s">
        <v>626</v>
      </c>
      <c r="O30" s="362" t="s">
        <v>940</v>
      </c>
      <c r="P30" s="363">
        <v>86.5</v>
      </c>
      <c r="Q30" s="195"/>
      <c r="R30" s="198" t="s">
        <v>7</v>
      </c>
      <c r="S30" s="103">
        <f t="shared" si="30"/>
        <v>0</v>
      </c>
      <c r="T30" s="83">
        <f t="shared" si="31"/>
        <v>0</v>
      </c>
      <c r="U30" s="9" t="str">
        <f t="shared" ref="U30:U95" si="41">IF($J30="","",IF($N30="","DESCRIÇÃO",IF(AND($J30="Serviço",$O30=""),"UNIDADE",IF($T30&lt;=0,"SEM VALOR",IF(AND($Y30&lt;&gt;"",$Q30&gt;$Y30),"ACIMA REF.","")))))</f>
        <v>SEM VALOR</v>
      </c>
      <c r="V30" s="1" t="str">
        <f ca="1">IF(OR($A30=0,$A30="S",$A30&gt;CFF!$A$9),"",MAX(V$12:OFFSET(V30,-1,0))+1)</f>
        <v/>
      </c>
      <c r="W30" s="4" t="str">
        <f t="shared" ref="W30:W95" si="42">IF(AND($J30="Serviço",$M30&lt;&gt;""),IF($L30="",$M30,CONCATENATE($L30,"-",$M30)))</f>
        <v>SINAPI-97633</v>
      </c>
      <c r="X30" s="1">
        <f t="shared" ca="1" si="32"/>
        <v>6914</v>
      </c>
      <c r="Y30" s="103">
        <v>32.08</v>
      </c>
      <c r="Z30" s="113">
        <f ca="1">ROUND(IF(ISNUMBER(R30),R30,IF(LEFT(R30,3)="BDI",HLOOKUP(R30,DADOS!$T$37:$X$38,2,FALSE),0)),15-11*$X$5)</f>
        <v>0.23130000000000001</v>
      </c>
      <c r="AA30" s="1"/>
    </row>
    <row r="31" spans="1:27" ht="25.5" x14ac:dyDescent="0.2">
      <c r="A31" t="str">
        <f t="shared" si="33"/>
        <v>S</v>
      </c>
      <c r="B31">
        <f t="shared" si="34"/>
        <v>0</v>
      </c>
      <c r="C31">
        <f t="shared" ca="1" si="35"/>
        <v>1</v>
      </c>
      <c r="D31">
        <f t="shared" ca="1" si="36"/>
        <v>2</v>
      </c>
      <c r="E31">
        <f t="shared" ca="1" si="37"/>
        <v>0</v>
      </c>
      <c r="F31">
        <f t="shared" ca="1" si="38"/>
        <v>0</v>
      </c>
      <c r="G31">
        <f t="shared" ca="1" si="39"/>
        <v>4</v>
      </c>
      <c r="H31">
        <f t="shared" ca="1" si="7"/>
        <v>0</v>
      </c>
      <c r="I31">
        <f t="shared" ca="1" si="8"/>
        <v>0</v>
      </c>
      <c r="J31" s="355" t="s">
        <v>103</v>
      </c>
      <c r="K31" s="138" t="str">
        <f t="shared" ca="1" si="40"/>
        <v>1.2.0.0.4.</v>
      </c>
      <c r="L31" s="356" t="s">
        <v>230</v>
      </c>
      <c r="M31" s="357" t="s">
        <v>278</v>
      </c>
      <c r="N31" s="360" t="s">
        <v>627</v>
      </c>
      <c r="O31" s="362" t="s">
        <v>947</v>
      </c>
      <c r="P31" s="363">
        <v>57.12</v>
      </c>
      <c r="Q31" s="195"/>
      <c r="R31" s="198" t="s">
        <v>7</v>
      </c>
      <c r="S31" s="103">
        <f t="shared" si="30"/>
        <v>0</v>
      </c>
      <c r="T31" s="83">
        <f t="shared" si="31"/>
        <v>0</v>
      </c>
      <c r="U31" s="9" t="str">
        <f t="shared" si="41"/>
        <v>SEM VALOR</v>
      </c>
      <c r="V31" s="1" t="str">
        <f ca="1">IF(OR($A31=0,$A31="S",$A31&gt;CFF!$A$9),"",MAX(V$12:OFFSET(V31,-1,0))+1)</f>
        <v/>
      </c>
      <c r="W31" s="4" t="str">
        <f t="shared" si="42"/>
        <v>SINAPI-97625</v>
      </c>
      <c r="X31" s="1">
        <f t="shared" ca="1" si="32"/>
        <v>6903</v>
      </c>
      <c r="Y31" s="103">
        <v>69.790000000000006</v>
      </c>
      <c r="Z31" s="113">
        <f ca="1">ROUND(IF(ISNUMBER(R31),R31,IF(LEFT(R31,3)="BDI",HLOOKUP(R31,DADOS!$T$37:$X$38,2,FALSE),0)),15-11*$X$5)</f>
        <v>0.23130000000000001</v>
      </c>
      <c r="AA31" s="1"/>
    </row>
    <row r="32" spans="1:27" ht="25.5" x14ac:dyDescent="0.2">
      <c r="A32" t="str">
        <f t="shared" si="33"/>
        <v>S</v>
      </c>
      <c r="B32">
        <f t="shared" si="34"/>
        <v>0</v>
      </c>
      <c r="C32">
        <f t="shared" ca="1" si="35"/>
        <v>1</v>
      </c>
      <c r="D32">
        <f t="shared" ca="1" si="36"/>
        <v>2</v>
      </c>
      <c r="E32">
        <f t="shared" ca="1" si="37"/>
        <v>0</v>
      </c>
      <c r="F32">
        <f t="shared" ca="1" si="38"/>
        <v>0</v>
      </c>
      <c r="G32">
        <f t="shared" ca="1" si="39"/>
        <v>5</v>
      </c>
      <c r="H32">
        <f t="shared" ca="1" si="7"/>
        <v>0</v>
      </c>
      <c r="I32">
        <f t="shared" ca="1" si="8"/>
        <v>0</v>
      </c>
      <c r="J32" s="355" t="s">
        <v>103</v>
      </c>
      <c r="K32" s="138" t="str">
        <f t="shared" ca="1" si="40"/>
        <v>1.2.0.0.5.</v>
      </c>
      <c r="L32" s="356" t="s">
        <v>230</v>
      </c>
      <c r="M32" s="357" t="s">
        <v>244</v>
      </c>
      <c r="N32" s="360" t="s">
        <v>628</v>
      </c>
      <c r="O32" s="362" t="s">
        <v>940</v>
      </c>
      <c r="P32" s="363">
        <v>100</v>
      </c>
      <c r="Q32" s="195"/>
      <c r="R32" s="198" t="s">
        <v>7</v>
      </c>
      <c r="S32" s="103">
        <f t="shared" si="30"/>
        <v>0</v>
      </c>
      <c r="T32" s="83">
        <f t="shared" si="31"/>
        <v>0</v>
      </c>
      <c r="U32" s="9" t="str">
        <f t="shared" si="41"/>
        <v>SEM VALOR</v>
      </c>
      <c r="V32" s="1" t="str">
        <f ca="1">IF(OR($A32=0,$A32="S",$A32&gt;CFF!$A$9),"",MAX(V$12:OFFSET(V32,-1,0))+1)</f>
        <v/>
      </c>
      <c r="W32" s="4" t="str">
        <f t="shared" si="42"/>
        <v>SINAPI-97635</v>
      </c>
      <c r="X32" s="1">
        <f t="shared" ca="1" si="32"/>
        <v>6936</v>
      </c>
      <c r="Y32" s="103">
        <v>22.03</v>
      </c>
      <c r="Z32" s="113">
        <f ca="1">ROUND(IF(ISNUMBER(R32),R32,IF(LEFT(R32,3)="BDI",HLOOKUP(R32,DADOS!$T$37:$X$38,2,FALSE),0)),15-11*$X$5)</f>
        <v>0.23130000000000001</v>
      </c>
      <c r="AA32" s="1"/>
    </row>
    <row r="33" spans="1:27" ht="25.5" x14ac:dyDescent="0.2">
      <c r="A33" t="str">
        <f t="shared" si="33"/>
        <v>S</v>
      </c>
      <c r="B33">
        <f t="shared" si="34"/>
        <v>0</v>
      </c>
      <c r="C33">
        <f t="shared" ca="1" si="35"/>
        <v>1</v>
      </c>
      <c r="D33">
        <f t="shared" ca="1" si="36"/>
        <v>2</v>
      </c>
      <c r="E33">
        <f t="shared" ca="1" si="37"/>
        <v>0</v>
      </c>
      <c r="F33">
        <f t="shared" ca="1" si="38"/>
        <v>0</v>
      </c>
      <c r="G33">
        <f t="shared" ca="1" si="39"/>
        <v>6</v>
      </c>
      <c r="H33">
        <f t="shared" ca="1" si="7"/>
        <v>0</v>
      </c>
      <c r="I33">
        <f t="shared" ca="1" si="8"/>
        <v>0</v>
      </c>
      <c r="J33" s="355" t="s">
        <v>103</v>
      </c>
      <c r="K33" s="138" t="str">
        <f t="shared" ca="1" si="40"/>
        <v>1.2.0.0.6.</v>
      </c>
      <c r="L33" s="356" t="s">
        <v>230</v>
      </c>
      <c r="M33" s="357" t="s">
        <v>279</v>
      </c>
      <c r="N33" s="360" t="s">
        <v>629</v>
      </c>
      <c r="O33" s="362" t="s">
        <v>947</v>
      </c>
      <c r="P33" s="363">
        <v>7.2</v>
      </c>
      <c r="Q33" s="195"/>
      <c r="R33" s="198" t="s">
        <v>7</v>
      </c>
      <c r="S33" s="103">
        <f t="shared" si="30"/>
        <v>0</v>
      </c>
      <c r="T33" s="83">
        <f t="shared" si="31"/>
        <v>0</v>
      </c>
      <c r="U33" s="9" t="str">
        <f t="shared" si="41"/>
        <v>SEM VALOR</v>
      </c>
      <c r="V33" s="1" t="str">
        <f ca="1">IF(OR($A33=0,$A33="S",$A33&gt;CFF!$A$9),"",MAX(V$12:OFFSET(V33,-1,0))+1)</f>
        <v/>
      </c>
      <c r="W33" s="4" t="str">
        <f t="shared" si="42"/>
        <v>SINAPI-104790</v>
      </c>
      <c r="X33" s="1">
        <f t="shared" ca="1" si="32"/>
        <v>6913</v>
      </c>
      <c r="Y33" s="103">
        <v>154.75</v>
      </c>
      <c r="Z33" s="113">
        <f ca="1">ROUND(IF(ISNUMBER(R33),R33,IF(LEFT(R33,3)="BDI",HLOOKUP(R33,DADOS!$T$37:$X$38,2,FALSE),0)),15-11*$X$5)</f>
        <v>0.23130000000000001</v>
      </c>
      <c r="AA33" s="1"/>
    </row>
    <row r="34" spans="1:27" x14ac:dyDescent="0.2">
      <c r="A34" t="str">
        <f t="shared" si="33"/>
        <v>S</v>
      </c>
      <c r="B34">
        <f t="shared" si="34"/>
        <v>0</v>
      </c>
      <c r="C34">
        <f t="shared" ca="1" si="35"/>
        <v>1</v>
      </c>
      <c r="D34">
        <f t="shared" ca="1" si="36"/>
        <v>2</v>
      </c>
      <c r="E34">
        <f t="shared" ca="1" si="37"/>
        <v>0</v>
      </c>
      <c r="F34">
        <f t="shared" ca="1" si="38"/>
        <v>0</v>
      </c>
      <c r="G34">
        <f t="shared" ca="1" si="39"/>
        <v>7</v>
      </c>
      <c r="H34">
        <f t="shared" ca="1" si="7"/>
        <v>0</v>
      </c>
      <c r="I34">
        <f t="shared" ca="1" si="8"/>
        <v>0</v>
      </c>
      <c r="J34" s="355" t="s">
        <v>103</v>
      </c>
      <c r="K34" s="138" t="str">
        <f t="shared" ca="1" si="40"/>
        <v>1.2.0.0.7.</v>
      </c>
      <c r="L34" s="356" t="s">
        <v>230</v>
      </c>
      <c r="M34" s="357" t="s">
        <v>245</v>
      </c>
      <c r="N34" s="360" t="s">
        <v>630</v>
      </c>
      <c r="O34" s="362" t="s">
        <v>947</v>
      </c>
      <c r="P34" s="363">
        <v>16</v>
      </c>
      <c r="Q34" s="195"/>
      <c r="R34" s="198" t="s">
        <v>7</v>
      </c>
      <c r="S34" s="103">
        <f t="shared" si="30"/>
        <v>0</v>
      </c>
      <c r="T34" s="83">
        <f t="shared" si="31"/>
        <v>0</v>
      </c>
      <c r="U34" s="9" t="str">
        <f t="shared" si="41"/>
        <v>SEM VALOR</v>
      </c>
      <c r="V34" s="1" t="str">
        <f ca="1">IF(OR($A34=0,$A34="S",$A34&gt;CFF!$A$9),"",MAX(V$12:OFFSET(V34,-1,0))+1)</f>
        <v/>
      </c>
      <c r="W34" s="4" t="str">
        <f t="shared" si="42"/>
        <v>SINAPI-93358</v>
      </c>
      <c r="X34" s="1">
        <f t="shared" ca="1" si="32"/>
        <v>8440</v>
      </c>
      <c r="Y34" s="103">
        <v>120.94</v>
      </c>
      <c r="Z34" s="113">
        <f ca="1">ROUND(IF(ISNUMBER(R34),R34,IF(LEFT(R34,3)="BDI",HLOOKUP(R34,DADOS!$T$37:$X$38,2,FALSE),0)),15-11*$X$5)</f>
        <v>0.23130000000000001</v>
      </c>
      <c r="AA34" s="1"/>
    </row>
    <row r="35" spans="1:27" ht="25.5" x14ac:dyDescent="0.2">
      <c r="A35" t="str">
        <f t="shared" si="33"/>
        <v>S</v>
      </c>
      <c r="B35">
        <f t="shared" si="34"/>
        <v>0</v>
      </c>
      <c r="C35">
        <f t="shared" ca="1" si="35"/>
        <v>1</v>
      </c>
      <c r="D35">
        <f t="shared" ca="1" si="36"/>
        <v>2</v>
      </c>
      <c r="E35">
        <f t="shared" ca="1" si="37"/>
        <v>0</v>
      </c>
      <c r="F35">
        <f t="shared" ca="1" si="38"/>
        <v>0</v>
      </c>
      <c r="G35">
        <f t="shared" ca="1" si="39"/>
        <v>8</v>
      </c>
      <c r="H35">
        <f t="shared" ca="1" si="7"/>
        <v>0</v>
      </c>
      <c r="I35">
        <f t="shared" ca="1" si="8"/>
        <v>0</v>
      </c>
      <c r="J35" s="355" t="s">
        <v>103</v>
      </c>
      <c r="K35" s="138" t="str">
        <f t="shared" ca="1" si="40"/>
        <v>1.2.0.0.8.</v>
      </c>
      <c r="L35" s="356" t="s">
        <v>230</v>
      </c>
      <c r="M35" s="357" t="s">
        <v>250</v>
      </c>
      <c r="N35" s="360" t="s">
        <v>631</v>
      </c>
      <c r="O35" s="362" t="s">
        <v>947</v>
      </c>
      <c r="P35" s="363">
        <v>200</v>
      </c>
      <c r="Q35" s="195"/>
      <c r="R35" s="198" t="s">
        <v>7</v>
      </c>
      <c r="S35" s="103">
        <f t="shared" si="30"/>
        <v>0</v>
      </c>
      <c r="T35" s="83">
        <f t="shared" si="31"/>
        <v>0</v>
      </c>
      <c r="U35" s="9" t="str">
        <f t="shared" si="41"/>
        <v>SEM VALOR</v>
      </c>
      <c r="V35" s="1" t="str">
        <f ca="1">IF(OR($A35=0,$A35="S",$A35&gt;CFF!$A$9),"",MAX(V$12:OFFSET(V35,-1,0))+1)</f>
        <v/>
      </c>
      <c r="W35" s="4" t="str">
        <f t="shared" si="42"/>
        <v>SINAPI-96525</v>
      </c>
      <c r="X35" s="1">
        <f t="shared" ca="1" si="32"/>
        <v>9188</v>
      </c>
      <c r="Y35" s="103">
        <v>71</v>
      </c>
      <c r="Z35" s="113">
        <f ca="1">ROUND(IF(ISNUMBER(R35),R35,IF(LEFT(R35,3)="BDI",HLOOKUP(R35,DADOS!$T$37:$X$38,2,FALSE),0)),15-11*$X$5)</f>
        <v>0.23130000000000001</v>
      </c>
      <c r="AA35" s="1"/>
    </row>
    <row r="36" spans="1:27" x14ac:dyDescent="0.2">
      <c r="A36" t="str">
        <f t="shared" si="33"/>
        <v>S</v>
      </c>
      <c r="B36">
        <f t="shared" si="34"/>
        <v>0</v>
      </c>
      <c r="C36">
        <f t="shared" ca="1" si="35"/>
        <v>1</v>
      </c>
      <c r="D36">
        <f t="shared" ca="1" si="36"/>
        <v>2</v>
      </c>
      <c r="E36">
        <f t="shared" ca="1" si="37"/>
        <v>0</v>
      </c>
      <c r="F36">
        <f t="shared" ca="1" si="38"/>
        <v>0</v>
      </c>
      <c r="G36">
        <f t="shared" ca="1" si="39"/>
        <v>9</v>
      </c>
      <c r="H36">
        <f t="shared" ca="1" si="7"/>
        <v>0</v>
      </c>
      <c r="I36">
        <f t="shared" ca="1" si="8"/>
        <v>0</v>
      </c>
      <c r="J36" s="355" t="s">
        <v>103</v>
      </c>
      <c r="K36" s="138" t="str">
        <f t="shared" ca="1" si="40"/>
        <v>1.2.0.0.9.</v>
      </c>
      <c r="L36" s="356" t="s">
        <v>230</v>
      </c>
      <c r="M36" s="359" t="s">
        <v>280</v>
      </c>
      <c r="N36" s="360" t="s">
        <v>632</v>
      </c>
      <c r="O36" s="362" t="s">
        <v>947</v>
      </c>
      <c r="P36" s="363">
        <v>216</v>
      </c>
      <c r="Q36" s="195"/>
      <c r="R36" s="198" t="s">
        <v>7</v>
      </c>
      <c r="S36" s="103">
        <f t="shared" si="30"/>
        <v>0</v>
      </c>
      <c r="T36" s="83">
        <f t="shared" si="31"/>
        <v>0</v>
      </c>
      <c r="U36" s="9" t="str">
        <f t="shared" si="41"/>
        <v>SEM VALOR</v>
      </c>
      <c r="V36" s="1" t="str">
        <f ca="1">IF(OR($A36=0,$A36="S",$A36&gt;CFF!$A$9),"",MAX(V$12:OFFSET(V36,-1,0))+1)</f>
        <v/>
      </c>
      <c r="W36" s="4" t="str">
        <f t="shared" si="42"/>
        <v>SINAPI-104741</v>
      </c>
      <c r="X36" s="1">
        <f t="shared" ca="1" si="32"/>
        <v>5742</v>
      </c>
      <c r="Y36" s="103">
        <v>31.79</v>
      </c>
      <c r="Z36" s="113">
        <f ca="1">ROUND(IF(ISNUMBER(R36),R36,IF(LEFT(R36,3)="BDI",HLOOKUP(R36,DADOS!$T$37:$X$38,2,FALSE),0)),15-11*$X$5)</f>
        <v>0.23130000000000001</v>
      </c>
      <c r="AA36" s="1"/>
    </row>
    <row r="37" spans="1:27" ht="25.5" x14ac:dyDescent="0.2">
      <c r="A37" t="str">
        <f t="shared" si="33"/>
        <v>S</v>
      </c>
      <c r="B37">
        <f t="shared" si="34"/>
        <v>0</v>
      </c>
      <c r="C37">
        <f t="shared" ca="1" si="35"/>
        <v>1</v>
      </c>
      <c r="D37">
        <f t="shared" ca="1" si="36"/>
        <v>2</v>
      </c>
      <c r="E37">
        <f t="shared" ca="1" si="37"/>
        <v>0</v>
      </c>
      <c r="F37">
        <f t="shared" ca="1" si="38"/>
        <v>0</v>
      </c>
      <c r="G37">
        <f t="shared" ca="1" si="39"/>
        <v>10</v>
      </c>
      <c r="H37">
        <f t="shared" ca="1" si="7"/>
        <v>0</v>
      </c>
      <c r="I37">
        <f t="shared" ca="1" si="8"/>
        <v>0</v>
      </c>
      <c r="J37" s="355" t="s">
        <v>103</v>
      </c>
      <c r="K37" s="138" t="str">
        <f t="shared" ca="1" si="40"/>
        <v>1.2.0.0.10.</v>
      </c>
      <c r="L37" s="356" t="s">
        <v>230</v>
      </c>
      <c r="M37" s="359" t="s">
        <v>262</v>
      </c>
      <c r="N37" s="360" t="s">
        <v>633</v>
      </c>
      <c r="O37" s="362" t="s">
        <v>947</v>
      </c>
      <c r="P37" s="363">
        <v>84.37</v>
      </c>
      <c r="Q37" s="195"/>
      <c r="R37" s="198" t="s">
        <v>7</v>
      </c>
      <c r="S37" s="103">
        <f t="shared" si="30"/>
        <v>0</v>
      </c>
      <c r="T37" s="83">
        <f t="shared" si="31"/>
        <v>0</v>
      </c>
      <c r="U37" s="9" t="str">
        <f t="shared" si="41"/>
        <v>SEM VALOR</v>
      </c>
      <c r="V37" s="1" t="str">
        <f ca="1">IF(OR($A37=0,$A37="S",$A37&gt;CFF!$A$9),"",MAX(V$12:OFFSET(V37,-1,0))+1)</f>
        <v/>
      </c>
      <c r="W37" s="4" t="str">
        <f t="shared" si="42"/>
        <v>SINAPI-100982</v>
      </c>
      <c r="X37" s="1">
        <f t="shared" ca="1" si="32"/>
        <v>14707</v>
      </c>
      <c r="Y37" s="103">
        <v>11.88</v>
      </c>
      <c r="Z37" s="113">
        <f ca="1">ROUND(IF(ISNUMBER(R37),R37,IF(LEFT(R37,3)="BDI",HLOOKUP(R37,DADOS!$T$37:$X$38,2,FALSE),0)),15-11*$X$5)</f>
        <v>0.23130000000000001</v>
      </c>
      <c r="AA37" s="1"/>
    </row>
    <row r="38" spans="1:27" ht="25.5" x14ac:dyDescent="0.2">
      <c r="A38" t="str">
        <f t="shared" si="33"/>
        <v>S</v>
      </c>
      <c r="B38">
        <f t="shared" si="34"/>
        <v>0</v>
      </c>
      <c r="C38">
        <f t="shared" ca="1" si="35"/>
        <v>1</v>
      </c>
      <c r="D38">
        <f t="shared" ca="1" si="36"/>
        <v>2</v>
      </c>
      <c r="E38">
        <f t="shared" ca="1" si="37"/>
        <v>0</v>
      </c>
      <c r="F38">
        <f t="shared" ca="1" si="38"/>
        <v>0</v>
      </c>
      <c r="G38">
        <f t="shared" ca="1" si="39"/>
        <v>11</v>
      </c>
      <c r="H38">
        <f t="shared" ca="1" si="7"/>
        <v>0</v>
      </c>
      <c r="I38">
        <f t="shared" ca="1" si="8"/>
        <v>0</v>
      </c>
      <c r="J38" s="355" t="s">
        <v>103</v>
      </c>
      <c r="K38" s="138" t="str">
        <f t="shared" ca="1" si="40"/>
        <v>1.2.0.0.11.</v>
      </c>
      <c r="L38" s="356" t="s">
        <v>230</v>
      </c>
      <c r="M38" s="359" t="s">
        <v>248</v>
      </c>
      <c r="N38" s="360" t="s">
        <v>634</v>
      </c>
      <c r="O38" s="362" t="s">
        <v>948</v>
      </c>
      <c r="P38" s="363">
        <v>843.73</v>
      </c>
      <c r="Q38" s="195"/>
      <c r="R38" s="198" t="s">
        <v>7</v>
      </c>
      <c r="S38" s="103">
        <f t="shared" si="30"/>
        <v>0</v>
      </c>
      <c r="T38" s="83">
        <f t="shared" si="31"/>
        <v>0</v>
      </c>
      <c r="U38" s="9" t="str">
        <f t="shared" si="41"/>
        <v>SEM VALOR</v>
      </c>
      <c r="V38" s="1" t="str">
        <f ca="1">IF(OR($A38=0,$A38="S",$A38&gt;CFF!$A$9),"",MAX(V$12:OFFSET(V38,-1,0))+1)</f>
        <v/>
      </c>
      <c r="W38" s="4" t="str">
        <f t="shared" si="42"/>
        <v>SINAPI-95875</v>
      </c>
      <c r="X38" s="1">
        <f t="shared" ca="1" si="32"/>
        <v>14777</v>
      </c>
      <c r="Y38" s="103">
        <v>3.31</v>
      </c>
      <c r="Z38" s="113">
        <f ca="1">ROUND(IF(ISNUMBER(R38),R38,IF(LEFT(R38,3)="BDI",HLOOKUP(R38,DADOS!$T$37:$X$38,2,FALSE),0)),15-11*$X$5)</f>
        <v>0.23130000000000001</v>
      </c>
      <c r="AA38" s="1"/>
    </row>
    <row r="39" spans="1:27" x14ac:dyDescent="0.2">
      <c r="A39">
        <f t="shared" si="33"/>
        <v>2</v>
      </c>
      <c r="B39">
        <f t="shared" ca="1" si="34"/>
        <v>44</v>
      </c>
      <c r="C39">
        <f t="shared" ca="1" si="35"/>
        <v>1</v>
      </c>
      <c r="D39">
        <f t="shared" ca="1" si="36"/>
        <v>3</v>
      </c>
      <c r="E39">
        <f t="shared" ca="1" si="37"/>
        <v>0</v>
      </c>
      <c r="F39">
        <f t="shared" ca="1" si="38"/>
        <v>0</v>
      </c>
      <c r="G39">
        <f t="shared" ca="1" si="39"/>
        <v>0</v>
      </c>
      <c r="H39">
        <f t="shared" ca="1" si="7"/>
        <v>383</v>
      </c>
      <c r="I39">
        <f t="shared" ca="1" si="8"/>
        <v>44</v>
      </c>
      <c r="J39" s="355" t="s">
        <v>100</v>
      </c>
      <c r="K39" s="138" t="str">
        <f t="shared" ca="1" si="40"/>
        <v>1.3.</v>
      </c>
      <c r="L39" s="356"/>
      <c r="M39" s="357"/>
      <c r="N39" s="360" t="s">
        <v>574</v>
      </c>
      <c r="O39" s="362" t="s">
        <v>106</v>
      </c>
      <c r="P39" s="363"/>
      <c r="Q39" s="195"/>
      <c r="R39" s="198" t="s">
        <v>7</v>
      </c>
      <c r="S39" s="103">
        <f t="shared" si="30"/>
        <v>0</v>
      </c>
      <c r="T39" s="83">
        <f t="shared" ca="1" si="31"/>
        <v>0</v>
      </c>
      <c r="U39" s="9" t="str">
        <f t="shared" ca="1" si="41"/>
        <v>SEM VALOR</v>
      </c>
      <c r="V39" s="1">
        <f ca="1">IF(OR($A39=0,$A39="S",$A39&gt;CFF!$A$9),"",MAX(V$12:OFFSET(V39,-1,0))+1)</f>
        <v>4</v>
      </c>
      <c r="W39" s="4" t="b">
        <f t="shared" si="42"/>
        <v>0</v>
      </c>
      <c r="X39" s="1" t="str">
        <f t="shared" ca="1" si="32"/>
        <v>X</v>
      </c>
      <c r="Y39" s="103">
        <v>0</v>
      </c>
      <c r="Z39" s="113">
        <f ca="1">ROUND(IF(ISNUMBER(R39),R39,IF(LEFT(R39,3)="BDI",HLOOKUP(R39,DADOS!$T$37:$X$38,2,FALSE),0)),15-11*$X$5)</f>
        <v>0.23130000000000001</v>
      </c>
      <c r="AA39" s="1"/>
    </row>
    <row r="40" spans="1:27" x14ac:dyDescent="0.2">
      <c r="A40">
        <f t="shared" si="33"/>
        <v>3</v>
      </c>
      <c r="B40">
        <f t="shared" ca="1" si="34"/>
        <v>6</v>
      </c>
      <c r="C40">
        <f t="shared" ca="1" si="35"/>
        <v>1</v>
      </c>
      <c r="D40">
        <f t="shared" ca="1" si="36"/>
        <v>3</v>
      </c>
      <c r="E40">
        <f t="shared" ca="1" si="37"/>
        <v>1</v>
      </c>
      <c r="F40">
        <f t="shared" ca="1" si="38"/>
        <v>0</v>
      </c>
      <c r="G40">
        <f t="shared" ca="1" si="39"/>
        <v>0</v>
      </c>
      <c r="H40">
        <f t="shared" ca="1" si="7"/>
        <v>43</v>
      </c>
      <c r="I40">
        <f t="shared" ca="1" si="8"/>
        <v>6</v>
      </c>
      <c r="J40" s="355" t="s">
        <v>101</v>
      </c>
      <c r="K40" s="138" t="str">
        <f t="shared" ca="1" si="40"/>
        <v>1.3.1.</v>
      </c>
      <c r="L40" s="356" t="s">
        <v>230</v>
      </c>
      <c r="M40" s="357" t="s">
        <v>281</v>
      </c>
      <c r="N40" s="361" t="s">
        <v>575</v>
      </c>
      <c r="O40" s="362" t="s">
        <v>940</v>
      </c>
      <c r="P40" s="363">
        <v>1</v>
      </c>
      <c r="Q40" s="195"/>
      <c r="R40" s="198" t="s">
        <v>7</v>
      </c>
      <c r="S40" s="103">
        <f t="shared" si="30"/>
        <v>0</v>
      </c>
      <c r="T40" s="83">
        <f t="shared" ca="1" si="31"/>
        <v>0</v>
      </c>
      <c r="U40" s="9" t="str">
        <f t="shared" ca="1" si="41"/>
        <v>SEM VALOR</v>
      </c>
      <c r="V40" s="1" t="str">
        <f ca="1">IF(OR($A40=0,$A40="S",$A40&gt;CFF!$A$9),"",MAX(V$12:OFFSET(V40,-1,0))+1)</f>
        <v/>
      </c>
      <c r="W40" s="4" t="b">
        <f t="shared" si="42"/>
        <v>0</v>
      </c>
      <c r="X40" s="1">
        <f t="shared" ca="1" si="32"/>
        <v>6930</v>
      </c>
      <c r="Y40" s="103">
        <v>0</v>
      </c>
      <c r="Z40" s="113">
        <f ca="1">ROUND(IF(ISNUMBER(R40),R40,IF(LEFT(R40,3)="BDI",HLOOKUP(R40,DADOS!$T$37:$X$38,2,FALSE),0)),15-11*$X$5)</f>
        <v>0.23130000000000001</v>
      </c>
      <c r="AA40" s="1"/>
    </row>
    <row r="41" spans="1:27" ht="25.5" x14ac:dyDescent="0.2">
      <c r="A41" t="str">
        <f t="shared" si="33"/>
        <v>S</v>
      </c>
      <c r="B41">
        <f t="shared" si="34"/>
        <v>0</v>
      </c>
      <c r="C41">
        <f t="shared" ca="1" si="35"/>
        <v>1</v>
      </c>
      <c r="D41">
        <f t="shared" ca="1" si="36"/>
        <v>3</v>
      </c>
      <c r="E41">
        <f t="shared" ca="1" si="37"/>
        <v>1</v>
      </c>
      <c r="F41">
        <f t="shared" ca="1" si="38"/>
        <v>0</v>
      </c>
      <c r="G41">
        <f t="shared" ca="1" si="39"/>
        <v>1</v>
      </c>
      <c r="H41">
        <f t="shared" ca="1" si="7"/>
        <v>0</v>
      </c>
      <c r="I41">
        <f t="shared" ca="1" si="8"/>
        <v>0</v>
      </c>
      <c r="J41" s="355" t="s">
        <v>103</v>
      </c>
      <c r="K41" s="138" t="str">
        <f t="shared" ca="1" si="40"/>
        <v>1.3.1.0.1.</v>
      </c>
      <c r="L41" s="356" t="s">
        <v>230</v>
      </c>
      <c r="M41" s="357" t="s">
        <v>249</v>
      </c>
      <c r="N41" s="360" t="s">
        <v>635</v>
      </c>
      <c r="O41" s="362" t="s">
        <v>945</v>
      </c>
      <c r="P41" s="363">
        <v>90</v>
      </c>
      <c r="Q41" s="195"/>
      <c r="R41" s="198" t="s">
        <v>7</v>
      </c>
      <c r="S41" s="103">
        <f t="shared" si="30"/>
        <v>0</v>
      </c>
      <c r="T41" s="83">
        <f t="shared" si="31"/>
        <v>0</v>
      </c>
      <c r="U41" s="9" t="str">
        <f t="shared" si="41"/>
        <v>SEM VALOR</v>
      </c>
      <c r="V41" s="1" t="str">
        <f ca="1">IF(OR($A41=0,$A41="S",$A41&gt;CFF!$A$9),"",MAX(V$12:OFFSET(V41,-1,0))+1)</f>
        <v/>
      </c>
      <c r="W41" s="4" t="str">
        <f t="shared" si="42"/>
        <v>SINAPI-99059</v>
      </c>
      <c r="X41" s="1">
        <f t="shared" ca="1" si="32"/>
        <v>12400</v>
      </c>
      <c r="Y41" s="103">
        <v>80.19</v>
      </c>
      <c r="Z41" s="113">
        <f ca="1">ROUND(IF(ISNUMBER(R41),R41,IF(LEFT(R41,3)="BDI",HLOOKUP(R41,DADOS!$T$37:$X$38,2,FALSE),0)),15-11*$X$5)</f>
        <v>0.23130000000000001</v>
      </c>
      <c r="AA41" s="1"/>
    </row>
    <row r="42" spans="1:27" ht="25.5" x14ac:dyDescent="0.2">
      <c r="A42" t="str">
        <f t="shared" si="33"/>
        <v>S</v>
      </c>
      <c r="B42">
        <f t="shared" si="34"/>
        <v>0</v>
      </c>
      <c r="C42">
        <f t="shared" ca="1" si="35"/>
        <v>1</v>
      </c>
      <c r="D42">
        <f t="shared" ca="1" si="36"/>
        <v>3</v>
      </c>
      <c r="E42">
        <f t="shared" ca="1" si="37"/>
        <v>1</v>
      </c>
      <c r="F42">
        <f t="shared" ca="1" si="38"/>
        <v>0</v>
      </c>
      <c r="G42">
        <f t="shared" ca="1" si="39"/>
        <v>2</v>
      </c>
      <c r="H42">
        <f t="shared" ca="1" si="7"/>
        <v>0</v>
      </c>
      <c r="I42">
        <f t="shared" ca="1" si="8"/>
        <v>0</v>
      </c>
      <c r="J42" s="355" t="s">
        <v>103</v>
      </c>
      <c r="K42" s="138" t="str">
        <f t="shared" ca="1" si="40"/>
        <v>1.3.1.0.2.</v>
      </c>
      <c r="L42" s="356" t="s">
        <v>230</v>
      </c>
      <c r="M42" s="359" t="s">
        <v>256</v>
      </c>
      <c r="N42" s="360" t="s">
        <v>636</v>
      </c>
      <c r="O42" s="362" t="s">
        <v>940</v>
      </c>
      <c r="P42" s="363">
        <v>100.57</v>
      </c>
      <c r="Q42" s="195"/>
      <c r="R42" s="198" t="s">
        <v>7</v>
      </c>
      <c r="S42" s="103">
        <f t="shared" si="30"/>
        <v>0</v>
      </c>
      <c r="T42" s="83">
        <f t="shared" si="31"/>
        <v>0</v>
      </c>
      <c r="U42" s="9" t="str">
        <f t="shared" si="41"/>
        <v>SEM VALOR</v>
      </c>
      <c r="V42" s="1" t="str">
        <f ca="1">IF(OR($A42=0,$A42="S",$A42&gt;CFF!$A$9),"",MAX(V$12:OFFSET(V42,-1,0))+1)</f>
        <v/>
      </c>
      <c r="W42" s="4" t="str">
        <f t="shared" si="42"/>
        <v>SINAPI-96535</v>
      </c>
      <c r="X42" s="1">
        <f t="shared" ca="1" si="32"/>
        <v>9204</v>
      </c>
      <c r="Y42" s="103">
        <v>168</v>
      </c>
      <c r="Z42" s="113">
        <f ca="1">ROUND(IF(ISNUMBER(R42),R42,IF(LEFT(R42,3)="BDI",HLOOKUP(R42,DADOS!$T$37:$X$38,2,FALSE),0)),15-11*$X$5)</f>
        <v>0.23130000000000001</v>
      </c>
      <c r="AA42" s="1"/>
    </row>
    <row r="43" spans="1:27" ht="25.5" x14ac:dyDescent="0.2">
      <c r="A43" t="str">
        <f t="shared" si="33"/>
        <v>S</v>
      </c>
      <c r="B43">
        <f t="shared" si="34"/>
        <v>0</v>
      </c>
      <c r="C43">
        <f t="shared" ca="1" si="35"/>
        <v>1</v>
      </c>
      <c r="D43">
        <f t="shared" ca="1" si="36"/>
        <v>3</v>
      </c>
      <c r="E43">
        <f t="shared" ca="1" si="37"/>
        <v>1</v>
      </c>
      <c r="F43">
        <f t="shared" ca="1" si="38"/>
        <v>0</v>
      </c>
      <c r="G43">
        <f t="shared" ca="1" si="39"/>
        <v>3</v>
      </c>
      <c r="H43">
        <f t="shared" ca="1" si="7"/>
        <v>0</v>
      </c>
      <c r="I43">
        <f t="shared" ca="1" si="8"/>
        <v>0</v>
      </c>
      <c r="J43" s="355" t="s">
        <v>103</v>
      </c>
      <c r="K43" s="138" t="str">
        <f t="shared" ca="1" si="40"/>
        <v>1.3.1.0.3.</v>
      </c>
      <c r="L43" s="356" t="s">
        <v>230</v>
      </c>
      <c r="M43" s="357" t="s">
        <v>253</v>
      </c>
      <c r="N43" s="360" t="s">
        <v>637</v>
      </c>
      <c r="O43" s="362" t="s">
        <v>949</v>
      </c>
      <c r="P43" s="363">
        <v>175.4</v>
      </c>
      <c r="Q43" s="195"/>
      <c r="R43" s="198" t="s">
        <v>7</v>
      </c>
      <c r="S43" s="103">
        <f t="shared" si="30"/>
        <v>0</v>
      </c>
      <c r="T43" s="83">
        <f t="shared" si="31"/>
        <v>0</v>
      </c>
      <c r="U43" s="9" t="str">
        <f t="shared" si="41"/>
        <v>SEM VALOR</v>
      </c>
      <c r="V43" s="1" t="str">
        <f ca="1">IF(OR($A43=0,$A43="S",$A43&gt;CFF!$A$9),"",MAX(V$12:OFFSET(V43,-1,0))+1)</f>
        <v/>
      </c>
      <c r="W43" s="4" t="str">
        <f t="shared" si="42"/>
        <v>SINAPI-104918</v>
      </c>
      <c r="X43" s="1">
        <f t="shared" ca="1" si="32"/>
        <v>9174</v>
      </c>
      <c r="Y43" s="103">
        <v>18.03</v>
      </c>
      <c r="Z43" s="113">
        <f ca="1">ROUND(IF(ISNUMBER(R43),R43,IF(LEFT(R43,3)="BDI",HLOOKUP(R43,DADOS!$T$37:$X$38,2,FALSE),0)),15-11*$X$5)</f>
        <v>0.23130000000000001</v>
      </c>
      <c r="AA43" s="1"/>
    </row>
    <row r="44" spans="1:27" ht="25.5" x14ac:dyDescent="0.2">
      <c r="A44" t="str">
        <f t="shared" si="33"/>
        <v>S</v>
      </c>
      <c r="B44">
        <f t="shared" si="34"/>
        <v>0</v>
      </c>
      <c r="C44">
        <f t="shared" ca="1" si="35"/>
        <v>1</v>
      </c>
      <c r="D44">
        <f t="shared" ca="1" si="36"/>
        <v>3</v>
      </c>
      <c r="E44">
        <f t="shared" ca="1" si="37"/>
        <v>1</v>
      </c>
      <c r="F44">
        <f t="shared" ca="1" si="38"/>
        <v>0</v>
      </c>
      <c r="G44">
        <f t="shared" ca="1" si="39"/>
        <v>4</v>
      </c>
      <c r="H44">
        <f t="shared" ca="1" si="7"/>
        <v>0</v>
      </c>
      <c r="I44">
        <f t="shared" ca="1" si="8"/>
        <v>0</v>
      </c>
      <c r="J44" s="355" t="s">
        <v>103</v>
      </c>
      <c r="K44" s="138" t="str">
        <f t="shared" ca="1" si="40"/>
        <v>1.3.1.0.4.</v>
      </c>
      <c r="L44" s="356" t="s">
        <v>230</v>
      </c>
      <c r="M44" s="357" t="s">
        <v>252</v>
      </c>
      <c r="N44" s="360" t="s">
        <v>638</v>
      </c>
      <c r="O44" s="362" t="s">
        <v>949</v>
      </c>
      <c r="P44" s="363">
        <v>337.5</v>
      </c>
      <c r="Q44" s="195"/>
      <c r="R44" s="198" t="s">
        <v>7</v>
      </c>
      <c r="S44" s="103">
        <f t="shared" si="30"/>
        <v>0</v>
      </c>
      <c r="T44" s="83">
        <f t="shared" si="31"/>
        <v>0</v>
      </c>
      <c r="U44" s="9" t="str">
        <f t="shared" si="41"/>
        <v>SEM VALOR</v>
      </c>
      <c r="V44" s="1" t="str">
        <f ca="1">IF(OR($A44=0,$A44="S",$A44&gt;CFF!$A$9),"",MAX(V$12:OFFSET(V44,-1,0))+1)</f>
        <v/>
      </c>
      <c r="W44" s="4" t="str">
        <f t="shared" si="42"/>
        <v>SINAPI-104919</v>
      </c>
      <c r="X44" s="1">
        <f t="shared" ca="1" si="32"/>
        <v>9172</v>
      </c>
      <c r="Y44" s="103">
        <v>15.99</v>
      </c>
      <c r="Z44" s="113">
        <f ca="1">ROUND(IF(ISNUMBER(R44),R44,IF(LEFT(R44,3)="BDI",HLOOKUP(R44,DADOS!$T$37:$X$38,2,FALSE),0)),15-11*$X$5)</f>
        <v>0.23130000000000001</v>
      </c>
      <c r="AA44" s="1"/>
    </row>
    <row r="45" spans="1:27" ht="25.5" x14ac:dyDescent="0.2">
      <c r="A45" t="str">
        <f t="shared" si="33"/>
        <v>S</v>
      </c>
      <c r="B45">
        <f t="shared" si="34"/>
        <v>0</v>
      </c>
      <c r="C45">
        <f t="shared" ca="1" si="35"/>
        <v>1</v>
      </c>
      <c r="D45">
        <f t="shared" ca="1" si="36"/>
        <v>3</v>
      </c>
      <c r="E45">
        <f t="shared" ca="1" si="37"/>
        <v>1</v>
      </c>
      <c r="F45">
        <f t="shared" ca="1" si="38"/>
        <v>0</v>
      </c>
      <c r="G45">
        <f t="shared" ca="1" si="39"/>
        <v>5</v>
      </c>
      <c r="H45">
        <f t="shared" ca="1" si="7"/>
        <v>0</v>
      </c>
      <c r="I45">
        <f t="shared" ca="1" si="8"/>
        <v>0</v>
      </c>
      <c r="J45" s="355" t="s">
        <v>103</v>
      </c>
      <c r="K45" s="138" t="str">
        <f t="shared" ca="1" si="40"/>
        <v>1.3.1.0.5.</v>
      </c>
      <c r="L45" s="356" t="s">
        <v>230</v>
      </c>
      <c r="M45" s="359" t="s">
        <v>257</v>
      </c>
      <c r="N45" s="360" t="s">
        <v>639</v>
      </c>
      <c r="O45" s="362" t="s">
        <v>947</v>
      </c>
      <c r="P45" s="363">
        <v>9.41</v>
      </c>
      <c r="Q45" s="195"/>
      <c r="R45" s="198" t="s">
        <v>7</v>
      </c>
      <c r="S45" s="103">
        <f t="shared" si="30"/>
        <v>0</v>
      </c>
      <c r="T45" s="83">
        <f t="shared" si="31"/>
        <v>0</v>
      </c>
      <c r="U45" s="9" t="str">
        <f t="shared" si="41"/>
        <v>SEM VALOR</v>
      </c>
      <c r="V45" s="1" t="str">
        <f ca="1">IF(OR($A45=0,$A45="S",$A45&gt;CFF!$A$9),"",MAX(V$12:OFFSET(V45,-1,0))+1)</f>
        <v/>
      </c>
      <c r="W45" s="4" t="str">
        <f t="shared" si="42"/>
        <v>SINAPI-96558</v>
      </c>
      <c r="X45" s="1">
        <f t="shared" ca="1" si="32"/>
        <v>9180</v>
      </c>
      <c r="Y45" s="103">
        <v>1010.76</v>
      </c>
      <c r="Z45" s="113">
        <f ca="1">ROUND(IF(ISNUMBER(R45),R45,IF(LEFT(R45,3)="BDI",HLOOKUP(R45,DADOS!$T$37:$X$38,2,FALSE),0)),15-11*$X$5)</f>
        <v>0.23130000000000001</v>
      </c>
      <c r="AA45" s="1"/>
    </row>
    <row r="46" spans="1:27" x14ac:dyDescent="0.2">
      <c r="A46">
        <f t="shared" si="33"/>
        <v>3</v>
      </c>
      <c r="B46">
        <f t="shared" ca="1" si="34"/>
        <v>9</v>
      </c>
      <c r="C46">
        <f t="shared" ca="1" si="35"/>
        <v>1</v>
      </c>
      <c r="D46">
        <f t="shared" ca="1" si="36"/>
        <v>3</v>
      </c>
      <c r="E46">
        <f t="shared" ca="1" si="37"/>
        <v>2</v>
      </c>
      <c r="F46">
        <f t="shared" ca="1" si="38"/>
        <v>0</v>
      </c>
      <c r="G46">
        <f t="shared" ca="1" si="39"/>
        <v>0</v>
      </c>
      <c r="H46">
        <f t="shared" ca="1" si="7"/>
        <v>37</v>
      </c>
      <c r="I46">
        <f t="shared" ca="1" si="8"/>
        <v>9</v>
      </c>
      <c r="J46" s="355" t="s">
        <v>101</v>
      </c>
      <c r="K46" s="138" t="str">
        <f t="shared" ca="1" si="40"/>
        <v>1.3.2.</v>
      </c>
      <c r="L46" s="356" t="s">
        <v>230</v>
      </c>
      <c r="M46" s="357"/>
      <c r="N46" s="360" t="s">
        <v>576</v>
      </c>
      <c r="O46" s="362" t="s">
        <v>106</v>
      </c>
      <c r="P46" s="363"/>
      <c r="Q46" s="195"/>
      <c r="R46" s="198" t="s">
        <v>7</v>
      </c>
      <c r="S46" s="103">
        <f t="shared" si="30"/>
        <v>0</v>
      </c>
      <c r="T46" s="83">
        <f t="shared" ca="1" si="31"/>
        <v>0</v>
      </c>
      <c r="U46" s="9" t="str">
        <f t="shared" ca="1" si="41"/>
        <v>SEM VALOR</v>
      </c>
      <c r="V46" s="1" t="str">
        <f ca="1">IF(OR($A46=0,$A46="S",$A46&gt;CFF!$A$9),"",MAX(V$12:OFFSET(V46,-1,0))+1)</f>
        <v/>
      </c>
      <c r="W46" s="4" t="b">
        <f t="shared" si="42"/>
        <v>0</v>
      </c>
      <c r="X46" s="1" t="str">
        <f t="shared" ca="1" si="32"/>
        <v>X</v>
      </c>
      <c r="Y46" s="103">
        <v>0</v>
      </c>
      <c r="Z46" s="113">
        <f ca="1">ROUND(IF(ISNUMBER(R46),R46,IF(LEFT(R46,3)="BDI",HLOOKUP(R46,DADOS!$T$37:$X$38,2,FALSE),0)),15-11*$X$5)</f>
        <v>0.23130000000000001</v>
      </c>
      <c r="AA46" s="1"/>
    </row>
    <row r="47" spans="1:27" ht="25.5" x14ac:dyDescent="0.2">
      <c r="A47" t="str">
        <f t="shared" si="33"/>
        <v>S</v>
      </c>
      <c r="B47">
        <f t="shared" si="34"/>
        <v>0</v>
      </c>
      <c r="C47">
        <f t="shared" ca="1" si="35"/>
        <v>1</v>
      </c>
      <c r="D47">
        <f t="shared" ca="1" si="36"/>
        <v>3</v>
      </c>
      <c r="E47">
        <f t="shared" ca="1" si="37"/>
        <v>2</v>
      </c>
      <c r="F47">
        <f t="shared" ca="1" si="38"/>
        <v>0</v>
      </c>
      <c r="G47">
        <f t="shared" ca="1" si="39"/>
        <v>1</v>
      </c>
      <c r="H47">
        <f t="shared" ca="1" si="7"/>
        <v>0</v>
      </c>
      <c r="I47">
        <f t="shared" ca="1" si="8"/>
        <v>0</v>
      </c>
      <c r="J47" s="355" t="s">
        <v>103</v>
      </c>
      <c r="K47" s="138" t="str">
        <f t="shared" ca="1" si="40"/>
        <v>1.3.2.0.1.</v>
      </c>
      <c r="L47" s="356" t="s">
        <v>230</v>
      </c>
      <c r="M47" s="357" t="s">
        <v>251</v>
      </c>
      <c r="N47" s="360" t="s">
        <v>640</v>
      </c>
      <c r="O47" s="362" t="s">
        <v>940</v>
      </c>
      <c r="P47" s="363">
        <v>103.84</v>
      </c>
      <c r="Q47" s="195"/>
      <c r="R47" s="198" t="s">
        <v>7</v>
      </c>
      <c r="S47" s="103">
        <f t="shared" si="30"/>
        <v>0</v>
      </c>
      <c r="T47" s="83">
        <f t="shared" si="31"/>
        <v>0</v>
      </c>
      <c r="U47" s="9" t="str">
        <f t="shared" si="41"/>
        <v>SEM VALOR</v>
      </c>
      <c r="V47" s="1" t="str">
        <f ca="1">IF(OR($A47=0,$A47="S",$A47&gt;CFF!$A$9),"",MAX(V$12:OFFSET(V47,-1,0))+1)</f>
        <v/>
      </c>
      <c r="W47" s="4" t="str">
        <f t="shared" si="42"/>
        <v>SINAPI-96536</v>
      </c>
      <c r="X47" s="1">
        <f t="shared" ca="1" si="32"/>
        <v>9209</v>
      </c>
      <c r="Y47" s="103">
        <v>82.63</v>
      </c>
      <c r="Z47" s="113">
        <f ca="1">ROUND(IF(ISNUMBER(R47),R47,IF(LEFT(R47,3)="BDI",HLOOKUP(R47,DADOS!$T$37:$X$38,2,FALSE),0)),15-11*$X$5)</f>
        <v>0.23130000000000001</v>
      </c>
      <c r="AA47" s="1"/>
    </row>
    <row r="48" spans="1:27" ht="25.5" x14ac:dyDescent="0.2">
      <c r="A48" t="str">
        <f t="shared" si="33"/>
        <v>S</v>
      </c>
      <c r="B48">
        <f t="shared" si="34"/>
        <v>0</v>
      </c>
      <c r="C48">
        <f t="shared" ca="1" si="35"/>
        <v>1</v>
      </c>
      <c r="D48">
        <f t="shared" ca="1" si="36"/>
        <v>3</v>
      </c>
      <c r="E48">
        <f t="shared" ca="1" si="37"/>
        <v>2</v>
      </c>
      <c r="F48">
        <f t="shared" ca="1" si="38"/>
        <v>0</v>
      </c>
      <c r="G48">
        <f t="shared" ca="1" si="39"/>
        <v>2</v>
      </c>
      <c r="H48">
        <f t="shared" ca="1" si="7"/>
        <v>0</v>
      </c>
      <c r="I48">
        <f t="shared" ca="1" si="8"/>
        <v>0</v>
      </c>
      <c r="J48" s="355" t="s">
        <v>103</v>
      </c>
      <c r="K48" s="138" t="str">
        <f t="shared" ca="1" si="40"/>
        <v>1.3.2.0.2.</v>
      </c>
      <c r="L48" s="356" t="s">
        <v>230</v>
      </c>
      <c r="M48" s="357" t="s">
        <v>282</v>
      </c>
      <c r="N48" s="360" t="s">
        <v>641</v>
      </c>
      <c r="O48" s="362" t="s">
        <v>949</v>
      </c>
      <c r="P48" s="363">
        <v>2.2999999999999998</v>
      </c>
      <c r="Q48" s="195"/>
      <c r="R48" s="198" t="s">
        <v>7</v>
      </c>
      <c r="S48" s="103">
        <f t="shared" si="30"/>
        <v>0</v>
      </c>
      <c r="T48" s="83">
        <f t="shared" si="31"/>
        <v>0</v>
      </c>
      <c r="U48" s="9" t="str">
        <f t="shared" si="41"/>
        <v>SEM VALOR</v>
      </c>
      <c r="V48" s="1" t="str">
        <f ca="1">IF(OR($A48=0,$A48="S",$A48&gt;CFF!$A$9),"",MAX(V$12:OFFSET(V48,-1,0))+1)</f>
        <v/>
      </c>
      <c r="W48" s="4" t="str">
        <f t="shared" si="42"/>
        <v>SINAPI-104917</v>
      </c>
      <c r="X48" s="1">
        <f t="shared" ca="1" si="32"/>
        <v>9173</v>
      </c>
      <c r="Y48" s="103">
        <v>19.59</v>
      </c>
      <c r="Z48" s="113">
        <f ca="1">ROUND(IF(ISNUMBER(R48),R48,IF(LEFT(R48,3)="BDI",HLOOKUP(R48,DADOS!$T$37:$X$38,2,FALSE),0)),15-11*$X$5)</f>
        <v>0.23130000000000001</v>
      </c>
      <c r="AA48" s="1"/>
    </row>
    <row r="49" spans="1:27" ht="25.5" x14ac:dyDescent="0.2">
      <c r="A49" t="str">
        <f t="shared" si="33"/>
        <v>S</v>
      </c>
      <c r="B49">
        <f t="shared" si="34"/>
        <v>0</v>
      </c>
      <c r="C49">
        <f t="shared" ca="1" si="35"/>
        <v>1</v>
      </c>
      <c r="D49">
        <f t="shared" ca="1" si="36"/>
        <v>3</v>
      </c>
      <c r="E49">
        <f t="shared" ca="1" si="37"/>
        <v>2</v>
      </c>
      <c r="F49">
        <f t="shared" ca="1" si="38"/>
        <v>0</v>
      </c>
      <c r="G49">
        <f t="shared" ca="1" si="39"/>
        <v>3</v>
      </c>
      <c r="H49">
        <f t="shared" ca="1" si="7"/>
        <v>0</v>
      </c>
      <c r="I49">
        <f t="shared" ca="1" si="8"/>
        <v>0</v>
      </c>
      <c r="J49" s="355" t="s">
        <v>103</v>
      </c>
      <c r="K49" s="138" t="str">
        <f t="shared" ca="1" si="40"/>
        <v>1.3.2.0.3.</v>
      </c>
      <c r="L49" s="356" t="s">
        <v>230</v>
      </c>
      <c r="M49" s="359" t="s">
        <v>253</v>
      </c>
      <c r="N49" s="360" t="s">
        <v>637</v>
      </c>
      <c r="O49" s="362" t="s">
        <v>949</v>
      </c>
      <c r="P49" s="363">
        <v>18.600000000000001</v>
      </c>
      <c r="Q49" s="195"/>
      <c r="R49" s="198" t="s">
        <v>7</v>
      </c>
      <c r="S49" s="103">
        <f t="shared" si="30"/>
        <v>0</v>
      </c>
      <c r="T49" s="83">
        <f t="shared" si="31"/>
        <v>0</v>
      </c>
      <c r="U49" s="9" t="str">
        <f t="shared" si="41"/>
        <v>SEM VALOR</v>
      </c>
      <c r="V49" s="1" t="str">
        <f ca="1">IF(OR($A49=0,$A49="S",$A49&gt;CFF!$A$9),"",MAX(V$12:OFFSET(V49,-1,0))+1)</f>
        <v/>
      </c>
      <c r="W49" s="4" t="str">
        <f t="shared" si="42"/>
        <v>SINAPI-104918</v>
      </c>
      <c r="X49" s="1">
        <f t="shared" ca="1" si="32"/>
        <v>9174</v>
      </c>
      <c r="Y49" s="103">
        <v>18.03</v>
      </c>
      <c r="Z49" s="113">
        <f ca="1">ROUND(IF(ISNUMBER(R49),R49,IF(LEFT(R49,3)="BDI",HLOOKUP(R49,DADOS!$T$37:$X$38,2,FALSE),0)),15-11*$X$5)</f>
        <v>0.23130000000000001</v>
      </c>
      <c r="AA49" s="1"/>
    </row>
    <row r="50" spans="1:27" ht="25.5" x14ac:dyDescent="0.2">
      <c r="A50" t="str">
        <f t="shared" si="33"/>
        <v>S</v>
      </c>
      <c r="B50">
        <f t="shared" si="34"/>
        <v>0</v>
      </c>
      <c r="C50">
        <f t="shared" ca="1" si="35"/>
        <v>1</v>
      </c>
      <c r="D50">
        <f t="shared" ca="1" si="36"/>
        <v>3</v>
      </c>
      <c r="E50">
        <f t="shared" ca="1" si="37"/>
        <v>2</v>
      </c>
      <c r="F50">
        <f t="shared" ca="1" si="38"/>
        <v>0</v>
      </c>
      <c r="G50">
        <f t="shared" ca="1" si="39"/>
        <v>4</v>
      </c>
      <c r="H50">
        <f t="shared" ca="1" si="7"/>
        <v>0</v>
      </c>
      <c r="I50">
        <f t="shared" ca="1" si="8"/>
        <v>0</v>
      </c>
      <c r="J50" s="355" t="s">
        <v>103</v>
      </c>
      <c r="K50" s="138" t="str">
        <f t="shared" ca="1" si="40"/>
        <v>1.3.2.0.4.</v>
      </c>
      <c r="L50" s="356" t="s">
        <v>230</v>
      </c>
      <c r="M50" s="359" t="s">
        <v>252</v>
      </c>
      <c r="N50" s="360" t="s">
        <v>638</v>
      </c>
      <c r="O50" s="362" t="s">
        <v>949</v>
      </c>
      <c r="P50" s="363">
        <v>276</v>
      </c>
      <c r="Q50" s="195"/>
      <c r="R50" s="198" t="s">
        <v>7</v>
      </c>
      <c r="S50" s="103">
        <f t="shared" si="30"/>
        <v>0</v>
      </c>
      <c r="T50" s="83">
        <f t="shared" si="31"/>
        <v>0</v>
      </c>
      <c r="U50" s="9" t="str">
        <f t="shared" si="41"/>
        <v>SEM VALOR</v>
      </c>
      <c r="V50" s="1" t="str">
        <f ca="1">IF(OR($A50=0,$A50="S",$A50&gt;CFF!$A$9),"",MAX(V$12:OFFSET(V50,-1,0))+1)</f>
        <v/>
      </c>
      <c r="W50" s="4" t="str">
        <f t="shared" si="42"/>
        <v>SINAPI-104919</v>
      </c>
      <c r="X50" s="1">
        <f t="shared" ca="1" si="32"/>
        <v>9172</v>
      </c>
      <c r="Y50" s="103">
        <v>15.99</v>
      </c>
      <c r="Z50" s="113">
        <f ca="1">ROUND(IF(ISNUMBER(R50),R50,IF(LEFT(R50,3)="BDI",HLOOKUP(R50,DADOS!$T$37:$X$38,2,FALSE),0)),15-11*$X$5)</f>
        <v>0.23130000000000001</v>
      </c>
      <c r="AA50" s="1"/>
    </row>
    <row r="51" spans="1:27" ht="25.5" x14ac:dyDescent="0.2">
      <c r="A51" t="str">
        <f t="shared" si="33"/>
        <v>S</v>
      </c>
      <c r="B51">
        <f t="shared" si="34"/>
        <v>0</v>
      </c>
      <c r="C51">
        <f t="shared" ca="1" si="35"/>
        <v>1</v>
      </c>
      <c r="D51">
        <f t="shared" ca="1" si="36"/>
        <v>3</v>
      </c>
      <c r="E51">
        <f t="shared" ca="1" si="37"/>
        <v>2</v>
      </c>
      <c r="F51">
        <f t="shared" ca="1" si="38"/>
        <v>0</v>
      </c>
      <c r="G51">
        <f t="shared" ca="1" si="39"/>
        <v>5</v>
      </c>
      <c r="H51">
        <f t="shared" ca="1" si="7"/>
        <v>0</v>
      </c>
      <c r="I51">
        <f t="shared" ca="1" si="8"/>
        <v>0</v>
      </c>
      <c r="J51" s="355" t="s">
        <v>103</v>
      </c>
      <c r="K51" s="138" t="str">
        <f t="shared" ca="1" si="40"/>
        <v>1.3.2.0.5.</v>
      </c>
      <c r="L51" s="356" t="s">
        <v>230</v>
      </c>
      <c r="M51" s="359" t="s">
        <v>283</v>
      </c>
      <c r="N51" s="360" t="s">
        <v>642</v>
      </c>
      <c r="O51" s="362" t="s">
        <v>949</v>
      </c>
      <c r="P51" s="363">
        <v>42</v>
      </c>
      <c r="Q51" s="195"/>
      <c r="R51" s="198" t="s">
        <v>7</v>
      </c>
      <c r="S51" s="103">
        <f t="shared" si="30"/>
        <v>0</v>
      </c>
      <c r="T51" s="83">
        <f t="shared" si="31"/>
        <v>0</v>
      </c>
      <c r="U51" s="9" t="str">
        <f t="shared" si="41"/>
        <v>SEM VALOR</v>
      </c>
      <c r="V51" s="1" t="str">
        <f ca="1">IF(OR($A51=0,$A51="S",$A51&gt;CFF!$A$9),"",MAX(V$12:OFFSET(V51,-1,0))+1)</f>
        <v/>
      </c>
      <c r="W51" s="4" t="str">
        <f t="shared" si="42"/>
        <v>SINAPI-104920</v>
      </c>
      <c r="X51" s="1">
        <f t="shared" ca="1" si="32"/>
        <v>9170</v>
      </c>
      <c r="Y51" s="103">
        <v>13.53</v>
      </c>
      <c r="Z51" s="113">
        <f ca="1">ROUND(IF(ISNUMBER(R51),R51,IF(LEFT(R51,3)="BDI",HLOOKUP(R51,DADOS!$T$37:$X$38,2,FALSE),0)),15-11*$X$5)</f>
        <v>0.23130000000000001</v>
      </c>
      <c r="AA51" s="1"/>
    </row>
    <row r="52" spans="1:27" ht="25.5" x14ac:dyDescent="0.2">
      <c r="A52" t="str">
        <f t="shared" si="33"/>
        <v>S</v>
      </c>
      <c r="B52">
        <f t="shared" si="34"/>
        <v>0</v>
      </c>
      <c r="C52">
        <f t="shared" ca="1" si="35"/>
        <v>1</v>
      </c>
      <c r="D52">
        <f t="shared" ca="1" si="36"/>
        <v>3</v>
      </c>
      <c r="E52">
        <f t="shared" ca="1" si="37"/>
        <v>2</v>
      </c>
      <c r="F52">
        <f t="shared" ca="1" si="38"/>
        <v>0</v>
      </c>
      <c r="G52">
        <f t="shared" ca="1" si="39"/>
        <v>6</v>
      </c>
      <c r="H52">
        <f t="shared" ca="1" si="7"/>
        <v>0</v>
      </c>
      <c r="I52">
        <f t="shared" ca="1" si="8"/>
        <v>0</v>
      </c>
      <c r="J52" s="355" t="s">
        <v>103</v>
      </c>
      <c r="K52" s="138" t="str">
        <f t="shared" ca="1" si="40"/>
        <v>1.3.2.0.6.</v>
      </c>
      <c r="L52" s="356" t="s">
        <v>230</v>
      </c>
      <c r="M52" s="359" t="s">
        <v>254</v>
      </c>
      <c r="N52" s="360" t="s">
        <v>643</v>
      </c>
      <c r="O52" s="362" t="s">
        <v>949</v>
      </c>
      <c r="P52" s="363">
        <v>112</v>
      </c>
      <c r="Q52" s="195"/>
      <c r="R52" s="198" t="s">
        <v>7</v>
      </c>
      <c r="S52" s="103">
        <f t="shared" si="30"/>
        <v>0</v>
      </c>
      <c r="T52" s="83">
        <f t="shared" si="31"/>
        <v>0</v>
      </c>
      <c r="U52" s="9" t="str">
        <f t="shared" si="41"/>
        <v>SEM VALOR</v>
      </c>
      <c r="V52" s="1" t="str">
        <f ca="1">IF(OR($A52=0,$A52="S",$A52&gt;CFF!$A$9),"",MAX(V$12:OFFSET(V52,-1,0))+1)</f>
        <v/>
      </c>
      <c r="W52" s="4" t="str">
        <f t="shared" si="42"/>
        <v>SINAPI-104916</v>
      </c>
      <c r="X52" s="1">
        <f t="shared" ca="1" si="32"/>
        <v>9175</v>
      </c>
      <c r="Y52" s="103">
        <v>21.33</v>
      </c>
      <c r="Z52" s="113">
        <f ca="1">ROUND(IF(ISNUMBER(R52),R52,IF(LEFT(R52,3)="BDI",HLOOKUP(R52,DADOS!$T$37:$X$38,2,FALSE),0)),15-11*$X$5)</f>
        <v>0.23130000000000001</v>
      </c>
      <c r="AA52" s="1"/>
    </row>
    <row r="53" spans="1:27" ht="25.5" x14ac:dyDescent="0.2">
      <c r="A53" t="str">
        <f t="shared" si="33"/>
        <v>S</v>
      </c>
      <c r="B53">
        <f t="shared" si="34"/>
        <v>0</v>
      </c>
      <c r="C53">
        <f t="shared" ca="1" si="35"/>
        <v>1</v>
      </c>
      <c r="D53">
        <f t="shared" ca="1" si="36"/>
        <v>3</v>
      </c>
      <c r="E53">
        <f t="shared" ca="1" si="37"/>
        <v>2</v>
      </c>
      <c r="F53">
        <f t="shared" ca="1" si="38"/>
        <v>0</v>
      </c>
      <c r="G53">
        <f t="shared" ca="1" si="39"/>
        <v>7</v>
      </c>
      <c r="H53">
        <f t="shared" ca="1" si="7"/>
        <v>0</v>
      </c>
      <c r="I53">
        <f t="shared" ca="1" si="8"/>
        <v>0</v>
      </c>
      <c r="J53" s="355" t="s">
        <v>103</v>
      </c>
      <c r="K53" s="138" t="str">
        <f t="shared" ca="1" si="40"/>
        <v>1.3.2.0.7.</v>
      </c>
      <c r="L53" s="356" t="s">
        <v>230</v>
      </c>
      <c r="M53" s="357" t="s">
        <v>255</v>
      </c>
      <c r="N53" s="360" t="s">
        <v>644</v>
      </c>
      <c r="O53" s="362" t="s">
        <v>947</v>
      </c>
      <c r="P53" s="363">
        <v>9.06</v>
      </c>
      <c r="Q53" s="195"/>
      <c r="R53" s="198" t="s">
        <v>7</v>
      </c>
      <c r="S53" s="103">
        <f t="shared" si="30"/>
        <v>0</v>
      </c>
      <c r="T53" s="83">
        <f t="shared" si="31"/>
        <v>0</v>
      </c>
      <c r="U53" s="9" t="str">
        <f t="shared" si="41"/>
        <v>SEM VALOR</v>
      </c>
      <c r="V53" s="1" t="str">
        <f ca="1">IF(OR($A53=0,$A53="S",$A53&gt;CFF!$A$9),"",MAX(V$12:OFFSET(V53,-1,0))+1)</f>
        <v/>
      </c>
      <c r="W53" s="4" t="str">
        <f t="shared" si="42"/>
        <v>SINAPI-96557</v>
      </c>
      <c r="X53" s="1">
        <f t="shared" ca="1" si="32"/>
        <v>9176</v>
      </c>
      <c r="Y53" s="103">
        <v>966.77</v>
      </c>
      <c r="Z53" s="113">
        <f ca="1">ROUND(IF(ISNUMBER(R53),R53,IF(LEFT(R53,3)="BDI",HLOOKUP(R53,DADOS!$T$37:$X$38,2,FALSE),0)),15-11*$X$5)</f>
        <v>0.23130000000000001</v>
      </c>
      <c r="AA53" s="1"/>
    </row>
    <row r="54" spans="1:27" x14ac:dyDescent="0.2">
      <c r="A54" t="str">
        <f t="shared" si="33"/>
        <v>S</v>
      </c>
      <c r="B54">
        <f t="shared" si="34"/>
        <v>0</v>
      </c>
      <c r="C54">
        <f t="shared" ca="1" si="35"/>
        <v>1</v>
      </c>
      <c r="D54">
        <f t="shared" ca="1" si="36"/>
        <v>3</v>
      </c>
      <c r="E54">
        <f t="shared" ca="1" si="37"/>
        <v>2</v>
      </c>
      <c r="F54">
        <f t="shared" ca="1" si="38"/>
        <v>0</v>
      </c>
      <c r="G54">
        <f t="shared" ca="1" si="39"/>
        <v>8</v>
      </c>
      <c r="H54">
        <f t="shared" ca="1" si="7"/>
        <v>0</v>
      </c>
      <c r="I54">
        <f t="shared" ca="1" si="8"/>
        <v>0</v>
      </c>
      <c r="J54" s="355" t="s">
        <v>103</v>
      </c>
      <c r="K54" s="138" t="str">
        <f t="shared" ca="1" si="40"/>
        <v>1.3.2.0.8.</v>
      </c>
      <c r="L54" s="356" t="s">
        <v>230</v>
      </c>
      <c r="M54" s="357" t="s">
        <v>284</v>
      </c>
      <c r="N54" s="360" t="s">
        <v>645</v>
      </c>
      <c r="O54" s="362" t="s">
        <v>940</v>
      </c>
      <c r="P54" s="363">
        <v>130.84</v>
      </c>
      <c r="Q54" s="195"/>
      <c r="R54" s="198" t="s">
        <v>7</v>
      </c>
      <c r="S54" s="103">
        <f t="shared" si="30"/>
        <v>0</v>
      </c>
      <c r="T54" s="83">
        <f t="shared" si="31"/>
        <v>0</v>
      </c>
      <c r="U54" s="9" t="str">
        <f t="shared" si="41"/>
        <v>SEM VALOR</v>
      </c>
      <c r="V54" s="1" t="str">
        <f ca="1">IF(OR($A54=0,$A54="S",$A54&gt;CFF!$A$9),"",MAX(V$12:OFFSET(V54,-1,0))+1)</f>
        <v/>
      </c>
      <c r="W54" s="4" t="str">
        <f t="shared" si="42"/>
        <v>SINAPI-98557</v>
      </c>
      <c r="X54" s="1">
        <f t="shared" ca="1" si="32"/>
        <v>9527</v>
      </c>
      <c r="Y54" s="103">
        <v>57.69</v>
      </c>
      <c r="Z54" s="113">
        <f ca="1">ROUND(IF(ISNUMBER(R54),R54,IF(LEFT(R54,3)="BDI",HLOOKUP(R54,DADOS!$T$37:$X$38,2,FALSE),0)),15-11*$X$5)</f>
        <v>0.23130000000000001</v>
      </c>
      <c r="AA54" s="1"/>
    </row>
    <row r="55" spans="1:27" x14ac:dyDescent="0.2">
      <c r="A55">
        <f t="shared" si="33"/>
        <v>3</v>
      </c>
      <c r="B55">
        <f t="shared" ca="1" si="34"/>
        <v>5</v>
      </c>
      <c r="C55">
        <f t="shared" ca="1" si="35"/>
        <v>1</v>
      </c>
      <c r="D55">
        <f t="shared" ca="1" si="36"/>
        <v>3</v>
      </c>
      <c r="E55">
        <f t="shared" ca="1" si="37"/>
        <v>3</v>
      </c>
      <c r="F55">
        <f t="shared" ca="1" si="38"/>
        <v>0</v>
      </c>
      <c r="G55">
        <f t="shared" ca="1" si="39"/>
        <v>0</v>
      </c>
      <c r="H55">
        <f t="shared" ca="1" si="7"/>
        <v>28</v>
      </c>
      <c r="I55">
        <f t="shared" ca="1" si="8"/>
        <v>5</v>
      </c>
      <c r="J55" s="355" t="s">
        <v>101</v>
      </c>
      <c r="K55" s="138" t="str">
        <f t="shared" ca="1" si="40"/>
        <v>1.3.3.</v>
      </c>
      <c r="L55" s="356" t="s">
        <v>230</v>
      </c>
      <c r="M55" s="357" t="s">
        <v>285</v>
      </c>
      <c r="N55" s="360" t="s">
        <v>577</v>
      </c>
      <c r="O55" s="362" t="s">
        <v>940</v>
      </c>
      <c r="P55" s="363"/>
      <c r="Q55" s="195"/>
      <c r="R55" s="198" t="s">
        <v>7</v>
      </c>
      <c r="S55" s="103">
        <f t="shared" si="30"/>
        <v>0</v>
      </c>
      <c r="T55" s="83">
        <f t="shared" ca="1" si="31"/>
        <v>0</v>
      </c>
      <c r="U55" s="9" t="str">
        <f t="shared" ca="1" si="41"/>
        <v>SEM VALOR</v>
      </c>
      <c r="V55" s="1" t="str">
        <f ca="1">IF(OR($A55=0,$A55="S",$A55&gt;CFF!$A$9),"",MAX(V$12:OFFSET(V55,-1,0))+1)</f>
        <v/>
      </c>
      <c r="W55" s="4" t="b">
        <f t="shared" si="42"/>
        <v>0</v>
      </c>
      <c r="X55" s="1">
        <f t="shared" ca="1" si="32"/>
        <v>13188</v>
      </c>
      <c r="Y55" s="103">
        <v>0</v>
      </c>
      <c r="Z55" s="113">
        <f ca="1">ROUND(IF(ISNUMBER(R55),R55,IF(LEFT(R55,3)="BDI",HLOOKUP(R55,DADOS!$T$37:$X$38,2,FALSE),0)),15-11*$X$5)</f>
        <v>0.23130000000000001</v>
      </c>
      <c r="AA55" s="1"/>
    </row>
    <row r="56" spans="1:27" ht="25.5" x14ac:dyDescent="0.2">
      <c r="A56" t="str">
        <f t="shared" si="33"/>
        <v>S</v>
      </c>
      <c r="B56">
        <f t="shared" si="34"/>
        <v>0</v>
      </c>
      <c r="C56">
        <f t="shared" ca="1" si="35"/>
        <v>1</v>
      </c>
      <c r="D56">
        <f t="shared" ca="1" si="36"/>
        <v>3</v>
      </c>
      <c r="E56">
        <f t="shared" ca="1" si="37"/>
        <v>3</v>
      </c>
      <c r="F56">
        <f t="shared" ca="1" si="38"/>
        <v>0</v>
      </c>
      <c r="G56">
        <f t="shared" ca="1" si="39"/>
        <v>1</v>
      </c>
      <c r="H56">
        <f t="shared" ca="1" si="7"/>
        <v>0</v>
      </c>
      <c r="I56">
        <f t="shared" ca="1" si="8"/>
        <v>0</v>
      </c>
      <c r="J56" s="355" t="s">
        <v>103</v>
      </c>
      <c r="K56" s="138" t="str">
        <f t="shared" ca="1" si="40"/>
        <v>1.3.3.0.1.</v>
      </c>
      <c r="L56" s="356" t="s">
        <v>230</v>
      </c>
      <c r="M56" s="357" t="s">
        <v>286</v>
      </c>
      <c r="N56" s="360" t="s">
        <v>646</v>
      </c>
      <c r="O56" s="362" t="s">
        <v>940</v>
      </c>
      <c r="P56" s="363">
        <v>70.459999999999994</v>
      </c>
      <c r="Q56" s="195"/>
      <c r="R56" s="198" t="s">
        <v>7</v>
      </c>
      <c r="S56" s="103">
        <f t="shared" si="30"/>
        <v>0</v>
      </c>
      <c r="T56" s="83">
        <f t="shared" si="31"/>
        <v>0</v>
      </c>
      <c r="U56" s="9" t="str">
        <f t="shared" si="41"/>
        <v>SEM VALOR</v>
      </c>
      <c r="V56" s="1" t="str">
        <f ca="1">IF(OR($A56=0,$A56="S",$A56&gt;CFF!$A$9),"",MAX(V$12:OFFSET(V56,-1,0))+1)</f>
        <v/>
      </c>
      <c r="W56" s="4" t="str">
        <f t="shared" si="42"/>
        <v>SINAPI-92269</v>
      </c>
      <c r="X56" s="1">
        <f t="shared" ca="1" si="32"/>
        <v>9224</v>
      </c>
      <c r="Y56" s="103">
        <v>148.72999999999999</v>
      </c>
      <c r="Z56" s="113">
        <f ca="1">ROUND(IF(ISNUMBER(R56),R56,IF(LEFT(R56,3)="BDI",HLOOKUP(R56,DADOS!$T$37:$X$38,2,FALSE),0)),15-11*$X$5)</f>
        <v>0.23130000000000001</v>
      </c>
      <c r="AA56" s="1"/>
    </row>
    <row r="57" spans="1:27" ht="25.5" x14ac:dyDescent="0.2">
      <c r="A57" t="str">
        <f t="shared" si="33"/>
        <v>S</v>
      </c>
      <c r="B57">
        <f t="shared" si="34"/>
        <v>0</v>
      </c>
      <c r="C57">
        <f t="shared" ca="1" si="35"/>
        <v>1</v>
      </c>
      <c r="D57">
        <f t="shared" ca="1" si="36"/>
        <v>3</v>
      </c>
      <c r="E57">
        <f t="shared" ca="1" si="37"/>
        <v>3</v>
      </c>
      <c r="F57">
        <f t="shared" ca="1" si="38"/>
        <v>0</v>
      </c>
      <c r="G57">
        <f t="shared" ca="1" si="39"/>
        <v>2</v>
      </c>
      <c r="H57">
        <f t="shared" ca="1" si="7"/>
        <v>0</v>
      </c>
      <c r="I57">
        <f t="shared" ca="1" si="8"/>
        <v>0</v>
      </c>
      <c r="J57" s="355" t="s">
        <v>103</v>
      </c>
      <c r="K57" s="138" t="str">
        <f t="shared" ca="1" si="40"/>
        <v>1.3.3.0.2.</v>
      </c>
      <c r="L57" s="356" t="s">
        <v>230</v>
      </c>
      <c r="M57" s="357" t="s">
        <v>287</v>
      </c>
      <c r="N57" s="360" t="s">
        <v>647</v>
      </c>
      <c r="O57" s="362" t="s">
        <v>949</v>
      </c>
      <c r="P57" s="363">
        <v>223.6</v>
      </c>
      <c r="Q57" s="195"/>
      <c r="R57" s="198" t="s">
        <v>7</v>
      </c>
      <c r="S57" s="103">
        <f t="shared" si="30"/>
        <v>0</v>
      </c>
      <c r="T57" s="83">
        <f t="shared" si="31"/>
        <v>0</v>
      </c>
      <c r="U57" s="9" t="str">
        <f t="shared" si="41"/>
        <v>SEM VALOR</v>
      </c>
      <c r="V57" s="1" t="str">
        <f ca="1">IF(OR($A57=0,$A57="S",$A57&gt;CFF!$A$9),"",MAX(V$12:OFFSET(V57,-1,0))+1)</f>
        <v/>
      </c>
      <c r="W57" s="4" t="str">
        <f t="shared" si="42"/>
        <v>SINAPI-92762</v>
      </c>
      <c r="X57" s="1">
        <f t="shared" ca="1" si="32"/>
        <v>5284</v>
      </c>
      <c r="Y57" s="103">
        <v>13.7</v>
      </c>
      <c r="Z57" s="113">
        <f ca="1">ROUND(IF(ISNUMBER(R57),R57,IF(LEFT(R57,3)="BDI",HLOOKUP(R57,DADOS!$T$37:$X$38,2,FALSE),0)),15-11*$X$5)</f>
        <v>0.23130000000000001</v>
      </c>
      <c r="AA57" s="1"/>
    </row>
    <row r="58" spans="1:27" ht="25.5" x14ac:dyDescent="0.2">
      <c r="A58" t="str">
        <f t="shared" si="33"/>
        <v>S</v>
      </c>
      <c r="B58">
        <f t="shared" si="34"/>
        <v>0</v>
      </c>
      <c r="C58">
        <f t="shared" ca="1" si="35"/>
        <v>1</v>
      </c>
      <c r="D58">
        <f t="shared" ca="1" si="36"/>
        <v>3</v>
      </c>
      <c r="E58">
        <f t="shared" ca="1" si="37"/>
        <v>3</v>
      </c>
      <c r="F58">
        <f t="shared" ca="1" si="38"/>
        <v>0</v>
      </c>
      <c r="G58">
        <f t="shared" ca="1" si="39"/>
        <v>3</v>
      </c>
      <c r="H58">
        <f t="shared" ca="1" si="7"/>
        <v>0</v>
      </c>
      <c r="I58">
        <f t="shared" ca="1" si="8"/>
        <v>0</v>
      </c>
      <c r="J58" s="355" t="s">
        <v>103</v>
      </c>
      <c r="K58" s="138" t="str">
        <f t="shared" ca="1" si="40"/>
        <v>1.3.3.0.3.</v>
      </c>
      <c r="L58" s="356" t="s">
        <v>230</v>
      </c>
      <c r="M58" s="357" t="s">
        <v>288</v>
      </c>
      <c r="N58" s="360" t="s">
        <v>648</v>
      </c>
      <c r="O58" s="362" t="s">
        <v>949</v>
      </c>
      <c r="P58" s="363">
        <v>115.5</v>
      </c>
      <c r="Q58" s="195"/>
      <c r="R58" s="198" t="s">
        <v>7</v>
      </c>
      <c r="S58" s="103">
        <f t="shared" si="30"/>
        <v>0</v>
      </c>
      <c r="T58" s="83">
        <f t="shared" si="31"/>
        <v>0</v>
      </c>
      <c r="U58" s="9" t="str">
        <f t="shared" si="41"/>
        <v>SEM VALOR</v>
      </c>
      <c r="V58" s="1" t="str">
        <f ca="1">IF(OR($A58=0,$A58="S",$A58&gt;CFF!$A$9),"",MAX(V$12:OFFSET(V58,-1,0))+1)</f>
        <v/>
      </c>
      <c r="W58" s="4" t="str">
        <f t="shared" si="42"/>
        <v>SINAPI-92759</v>
      </c>
      <c r="X58" s="1">
        <f t="shared" ca="1" si="32"/>
        <v>5292</v>
      </c>
      <c r="Y58" s="103">
        <v>17.73</v>
      </c>
      <c r="Z58" s="113">
        <f ca="1">ROUND(IF(ISNUMBER(R58),R58,IF(LEFT(R58,3)="BDI",HLOOKUP(R58,DADOS!$T$37:$X$38,2,FALSE),0)),15-11*$X$5)</f>
        <v>0.23130000000000001</v>
      </c>
      <c r="AA58" s="1"/>
    </row>
    <row r="59" spans="1:27" ht="25.5" x14ac:dyDescent="0.2">
      <c r="A59" t="str">
        <f t="shared" si="33"/>
        <v>S</v>
      </c>
      <c r="B59">
        <f t="shared" si="34"/>
        <v>0</v>
      </c>
      <c r="C59">
        <f t="shared" ca="1" si="35"/>
        <v>1</v>
      </c>
      <c r="D59">
        <f t="shared" ca="1" si="36"/>
        <v>3</v>
      </c>
      <c r="E59">
        <f t="shared" ca="1" si="37"/>
        <v>3</v>
      </c>
      <c r="F59">
        <f t="shared" ca="1" si="38"/>
        <v>0</v>
      </c>
      <c r="G59">
        <f t="shared" ca="1" si="39"/>
        <v>4</v>
      </c>
      <c r="H59">
        <f t="shared" ca="1" si="7"/>
        <v>0</v>
      </c>
      <c r="I59">
        <f t="shared" ca="1" si="8"/>
        <v>0</v>
      </c>
      <c r="J59" s="355" t="s">
        <v>103</v>
      </c>
      <c r="K59" s="138" t="str">
        <f t="shared" ca="1" si="40"/>
        <v>1.3.3.0.4.</v>
      </c>
      <c r="L59" s="356" t="s">
        <v>235</v>
      </c>
      <c r="M59" s="357" t="s">
        <v>289</v>
      </c>
      <c r="N59" s="360" t="s">
        <v>649</v>
      </c>
      <c r="O59" s="362" t="s">
        <v>947</v>
      </c>
      <c r="P59" s="363">
        <v>4.1500000000000004</v>
      </c>
      <c r="Q59" s="195"/>
      <c r="R59" s="198" t="s">
        <v>7</v>
      </c>
      <c r="S59" s="103">
        <f t="shared" si="30"/>
        <v>0</v>
      </c>
      <c r="T59" s="83">
        <f t="shared" si="31"/>
        <v>0</v>
      </c>
      <c r="U59" s="9" t="str">
        <f t="shared" si="41"/>
        <v>SEM VALOR</v>
      </c>
      <c r="V59" s="1" t="str">
        <f ca="1">IF(OR($A59=0,$A59="S",$A59&gt;CFF!$A$9),"",MAX(V$12:OFFSET(V59,-1,0))+1)</f>
        <v/>
      </c>
      <c r="W59" s="4" t="str">
        <f t="shared" si="42"/>
        <v>PM BENTO-15</v>
      </c>
      <c r="X59" s="1">
        <f t="shared" ca="1" si="32"/>
        <v>21</v>
      </c>
      <c r="Y59" s="103">
        <v>899.67</v>
      </c>
      <c r="Z59" s="113">
        <f ca="1">ROUND(IF(ISNUMBER(R59),R59,IF(LEFT(R59,3)="BDI",HLOOKUP(R59,DADOS!$T$37:$X$38,2,FALSE),0)),15-11*$X$5)</f>
        <v>0.23130000000000001</v>
      </c>
      <c r="AA59" s="1"/>
    </row>
    <row r="60" spans="1:27" x14ac:dyDescent="0.2">
      <c r="A60">
        <f t="shared" si="33"/>
        <v>3</v>
      </c>
      <c r="B60">
        <f t="shared" ca="1" si="34"/>
        <v>6</v>
      </c>
      <c r="C60">
        <f t="shared" ca="1" si="35"/>
        <v>1</v>
      </c>
      <c r="D60">
        <f t="shared" ca="1" si="36"/>
        <v>3</v>
      </c>
      <c r="E60">
        <f t="shared" ca="1" si="37"/>
        <v>4</v>
      </c>
      <c r="F60">
        <f t="shared" ca="1" si="38"/>
        <v>0</v>
      </c>
      <c r="G60">
        <f t="shared" ca="1" si="39"/>
        <v>0</v>
      </c>
      <c r="H60">
        <f t="shared" ca="1" si="7"/>
        <v>23</v>
      </c>
      <c r="I60">
        <f t="shared" ca="1" si="8"/>
        <v>6</v>
      </c>
      <c r="J60" s="355" t="s">
        <v>101</v>
      </c>
      <c r="K60" s="138" t="str">
        <f t="shared" ca="1" si="40"/>
        <v>1.3.4.</v>
      </c>
      <c r="L60" s="356" t="s">
        <v>230</v>
      </c>
      <c r="M60" s="357"/>
      <c r="N60" s="360" t="s">
        <v>578</v>
      </c>
      <c r="O60" s="362" t="s">
        <v>106</v>
      </c>
      <c r="P60" s="363"/>
      <c r="Q60" s="195"/>
      <c r="R60" s="198" t="s">
        <v>7</v>
      </c>
      <c r="S60" s="103">
        <f t="shared" ref="S60:S91" si="43">IF($A60="S",IF($Q$10="Preço Unitário (R$)",PO.CustoUnitario,ROUND(PO.CustoUnitario*(1+$Z60),15-13*$X$6)),0)</f>
        <v>0</v>
      </c>
      <c r="T60" s="83">
        <f t="shared" ref="T60:T91" ca="1" si="44">IF($A60="S",VTOTAL1,IF($A60=0,0,ROUND(SomaAgrup,15-13*$X$7)))</f>
        <v>0</v>
      </c>
      <c r="U60" s="9" t="str">
        <f t="shared" ca="1" si="41"/>
        <v>SEM VALOR</v>
      </c>
      <c r="V60" s="1" t="str">
        <f ca="1">IF(OR($A60=0,$A60="S",$A60&gt;CFF!$A$9),"",MAX(V$12:OFFSET(V60,-1,0))+1)</f>
        <v/>
      </c>
      <c r="W60" s="4" t="b">
        <f t="shared" si="42"/>
        <v>0</v>
      </c>
      <c r="X60" s="1" t="str">
        <f t="shared" ref="X60:X91" ca="1" si="45">IF(AND(Fonte&lt;&gt;"",Código&lt;&gt;""),MATCH(Fonte&amp;" "&amp;IF(Fonte="sinapi",SUBSTITUTE(SUBSTITUTE(Código,"/00","/"),"/0","/"),Código),INDIRECT("'[Referência "&amp;_xlnm.Database&amp;".xls]Banco'!$a:$a"),0),"X")</f>
        <v>X</v>
      </c>
      <c r="Y60" s="103">
        <v>0</v>
      </c>
      <c r="Z60" s="113">
        <f ca="1">ROUND(IF(ISNUMBER(R60),R60,IF(LEFT(R60,3)="BDI",HLOOKUP(R60,DADOS!$T$37:$X$38,2,FALSE),0)),15-11*$X$5)</f>
        <v>0.23130000000000001</v>
      </c>
      <c r="AA60" s="1"/>
    </row>
    <row r="61" spans="1:27" x14ac:dyDescent="0.2">
      <c r="A61" t="str">
        <f t="shared" si="33"/>
        <v>S</v>
      </c>
      <c r="B61">
        <f t="shared" si="34"/>
        <v>0</v>
      </c>
      <c r="C61">
        <f t="shared" ca="1" si="35"/>
        <v>1</v>
      </c>
      <c r="D61">
        <f t="shared" ca="1" si="36"/>
        <v>3</v>
      </c>
      <c r="E61">
        <f t="shared" ca="1" si="37"/>
        <v>4</v>
      </c>
      <c r="F61">
        <f t="shared" ca="1" si="38"/>
        <v>0</v>
      </c>
      <c r="G61">
        <f t="shared" ca="1" si="39"/>
        <v>1</v>
      </c>
      <c r="H61">
        <f t="shared" ca="1" si="7"/>
        <v>0</v>
      </c>
      <c r="I61">
        <f t="shared" ca="1" si="8"/>
        <v>0</v>
      </c>
      <c r="J61" s="355" t="s">
        <v>103</v>
      </c>
      <c r="K61" s="138" t="str">
        <f t="shared" ca="1" si="40"/>
        <v>1.3.4.0.1.</v>
      </c>
      <c r="L61" s="356" t="s">
        <v>230</v>
      </c>
      <c r="M61" s="357" t="s">
        <v>290</v>
      </c>
      <c r="N61" s="360" t="s">
        <v>650</v>
      </c>
      <c r="O61" s="362" t="s">
        <v>940</v>
      </c>
      <c r="P61" s="363">
        <v>82.12</v>
      </c>
      <c r="Q61" s="195"/>
      <c r="R61" s="198" t="s">
        <v>7</v>
      </c>
      <c r="S61" s="103">
        <f t="shared" si="43"/>
        <v>0</v>
      </c>
      <c r="T61" s="83">
        <f t="shared" si="44"/>
        <v>0</v>
      </c>
      <c r="U61" s="9" t="str">
        <f t="shared" si="41"/>
        <v>SEM VALOR</v>
      </c>
      <c r="V61" s="1" t="str">
        <f ca="1">IF(OR($A61=0,$A61="S",$A61&gt;CFF!$A$9),"",MAX(V$12:OFFSET(V61,-1,0))+1)</f>
        <v/>
      </c>
      <c r="W61" s="4" t="str">
        <f t="shared" si="42"/>
        <v>SINAPI-92270</v>
      </c>
      <c r="X61" s="1">
        <f t="shared" ca="1" si="45"/>
        <v>9225</v>
      </c>
      <c r="Y61" s="103">
        <v>204.27</v>
      </c>
      <c r="Z61" s="113">
        <f ca="1">ROUND(IF(ISNUMBER(R61),R61,IF(LEFT(R61,3)="BDI",HLOOKUP(R61,DADOS!$T$37:$X$38,2,FALSE),0)),15-11*$X$5)</f>
        <v>0.23130000000000001</v>
      </c>
      <c r="AA61" s="1"/>
    </row>
    <row r="62" spans="1:27" ht="25.5" x14ac:dyDescent="0.2">
      <c r="A62" t="str">
        <f t="shared" si="33"/>
        <v>S</v>
      </c>
      <c r="B62">
        <f t="shared" si="34"/>
        <v>0</v>
      </c>
      <c r="C62">
        <f t="shared" ca="1" si="35"/>
        <v>1</v>
      </c>
      <c r="D62">
        <f t="shared" ca="1" si="36"/>
        <v>3</v>
      </c>
      <c r="E62">
        <f t="shared" ca="1" si="37"/>
        <v>4</v>
      </c>
      <c r="F62">
        <f t="shared" ca="1" si="38"/>
        <v>0</v>
      </c>
      <c r="G62">
        <f t="shared" ca="1" si="39"/>
        <v>2</v>
      </c>
      <c r="H62">
        <f t="shared" ca="1" si="7"/>
        <v>0</v>
      </c>
      <c r="I62">
        <f t="shared" ca="1" si="8"/>
        <v>0</v>
      </c>
      <c r="J62" s="355" t="s">
        <v>103</v>
      </c>
      <c r="K62" s="138" t="str">
        <f t="shared" ca="1" si="40"/>
        <v>1.3.4.0.2.</v>
      </c>
      <c r="L62" s="356" t="s">
        <v>230</v>
      </c>
      <c r="M62" s="357" t="s">
        <v>291</v>
      </c>
      <c r="N62" s="360" t="s">
        <v>651</v>
      </c>
      <c r="O62" s="362" t="s">
        <v>949</v>
      </c>
      <c r="P62" s="363">
        <v>121.5</v>
      </c>
      <c r="Q62" s="195"/>
      <c r="R62" s="198" t="s">
        <v>7</v>
      </c>
      <c r="S62" s="103">
        <f t="shared" si="43"/>
        <v>0</v>
      </c>
      <c r="T62" s="83">
        <f t="shared" si="44"/>
        <v>0</v>
      </c>
      <c r="U62" s="9" t="str">
        <f t="shared" si="41"/>
        <v>SEM VALOR</v>
      </c>
      <c r="V62" s="1" t="str">
        <f ca="1">IF(OR($A62=0,$A62="S",$A62&gt;CFF!$A$9),"",MAX(V$12:OFFSET(V62,-1,0))+1)</f>
        <v/>
      </c>
      <c r="W62" s="4" t="str">
        <f t="shared" si="42"/>
        <v>SINAPI-92761</v>
      </c>
      <c r="X62" s="1">
        <f t="shared" ca="1" si="45"/>
        <v>5291</v>
      </c>
      <c r="Y62" s="103">
        <v>15.44</v>
      </c>
      <c r="Z62" s="113">
        <f ca="1">ROUND(IF(ISNUMBER(R62),R62,IF(LEFT(R62,3)="BDI",HLOOKUP(R62,DADOS!$T$37:$X$38,2,FALSE),0)),15-11*$X$5)</f>
        <v>0.23130000000000001</v>
      </c>
      <c r="AA62" s="1"/>
    </row>
    <row r="63" spans="1:27" ht="25.5" x14ac:dyDescent="0.2">
      <c r="A63" t="str">
        <f t="shared" si="33"/>
        <v>S</v>
      </c>
      <c r="B63">
        <f t="shared" si="34"/>
        <v>0</v>
      </c>
      <c r="C63">
        <f t="shared" ca="1" si="35"/>
        <v>1</v>
      </c>
      <c r="D63">
        <f t="shared" ca="1" si="36"/>
        <v>3</v>
      </c>
      <c r="E63">
        <f t="shared" ca="1" si="37"/>
        <v>4</v>
      </c>
      <c r="F63">
        <f t="shared" ca="1" si="38"/>
        <v>0</v>
      </c>
      <c r="G63">
        <f t="shared" ca="1" si="39"/>
        <v>3</v>
      </c>
      <c r="H63">
        <f t="shared" ca="1" si="7"/>
        <v>0</v>
      </c>
      <c r="I63">
        <f t="shared" ca="1" si="8"/>
        <v>0</v>
      </c>
      <c r="J63" s="355" t="s">
        <v>103</v>
      </c>
      <c r="K63" s="138" t="str">
        <f t="shared" ca="1" si="40"/>
        <v>1.3.4.0.3.</v>
      </c>
      <c r="L63" s="356" t="s">
        <v>230</v>
      </c>
      <c r="M63" s="357" t="s">
        <v>287</v>
      </c>
      <c r="N63" s="360" t="s">
        <v>647</v>
      </c>
      <c r="O63" s="362" t="s">
        <v>949</v>
      </c>
      <c r="P63" s="363">
        <v>51</v>
      </c>
      <c r="Q63" s="195"/>
      <c r="R63" s="198" t="s">
        <v>7</v>
      </c>
      <c r="S63" s="103">
        <f t="shared" si="43"/>
        <v>0</v>
      </c>
      <c r="T63" s="83">
        <f t="shared" si="44"/>
        <v>0</v>
      </c>
      <c r="U63" s="9" t="str">
        <f t="shared" si="41"/>
        <v>SEM VALOR</v>
      </c>
      <c r="V63" s="1" t="str">
        <f ca="1">IF(OR($A63=0,$A63="S",$A63&gt;CFF!$A$9),"",MAX(V$12:OFFSET(V63,-1,0))+1)</f>
        <v/>
      </c>
      <c r="W63" s="4" t="str">
        <f t="shared" si="42"/>
        <v>SINAPI-92762</v>
      </c>
      <c r="X63" s="1">
        <f t="shared" ca="1" si="45"/>
        <v>5284</v>
      </c>
      <c r="Y63" s="103">
        <v>13.7</v>
      </c>
      <c r="Z63" s="113">
        <f ca="1">ROUND(IF(ISNUMBER(R63),R63,IF(LEFT(R63,3)="BDI",HLOOKUP(R63,DADOS!$T$37:$X$38,2,FALSE),0)),15-11*$X$5)</f>
        <v>0.23130000000000001</v>
      </c>
      <c r="AA63" s="1"/>
    </row>
    <row r="64" spans="1:27" ht="25.5" x14ac:dyDescent="0.2">
      <c r="A64" t="str">
        <f t="shared" si="33"/>
        <v>S</v>
      </c>
      <c r="B64">
        <f t="shared" si="34"/>
        <v>0</v>
      </c>
      <c r="C64">
        <f t="shared" ca="1" si="35"/>
        <v>1</v>
      </c>
      <c r="D64">
        <f t="shared" ca="1" si="36"/>
        <v>3</v>
      </c>
      <c r="E64">
        <f t="shared" ca="1" si="37"/>
        <v>4</v>
      </c>
      <c r="F64">
        <f t="shared" ca="1" si="38"/>
        <v>0</v>
      </c>
      <c r="G64">
        <f t="shared" ca="1" si="39"/>
        <v>4</v>
      </c>
      <c r="H64">
        <f t="shared" ca="1" si="7"/>
        <v>0</v>
      </c>
      <c r="I64">
        <f t="shared" ca="1" si="8"/>
        <v>0</v>
      </c>
      <c r="J64" s="355" t="s">
        <v>103</v>
      </c>
      <c r="K64" s="138" t="str">
        <f t="shared" ca="1" si="40"/>
        <v>1.3.4.0.4.</v>
      </c>
      <c r="L64" s="356" t="s">
        <v>230</v>
      </c>
      <c r="M64" s="359" t="s">
        <v>288</v>
      </c>
      <c r="N64" s="360" t="s">
        <v>648</v>
      </c>
      <c r="O64" s="362" t="s">
        <v>949</v>
      </c>
      <c r="P64" s="363">
        <v>70.3</v>
      </c>
      <c r="Q64" s="195"/>
      <c r="R64" s="198" t="s">
        <v>7</v>
      </c>
      <c r="S64" s="103">
        <f t="shared" si="43"/>
        <v>0</v>
      </c>
      <c r="T64" s="83">
        <f t="shared" si="44"/>
        <v>0</v>
      </c>
      <c r="U64" s="9" t="str">
        <f t="shared" si="41"/>
        <v>SEM VALOR</v>
      </c>
      <c r="V64" s="1" t="str">
        <f ca="1">IF(OR($A64=0,$A64="S",$A64&gt;CFF!$A$9),"",MAX(V$12:OFFSET(V64,-1,0))+1)</f>
        <v/>
      </c>
      <c r="W64" s="4" t="str">
        <f t="shared" si="42"/>
        <v>SINAPI-92759</v>
      </c>
      <c r="X64" s="1">
        <f t="shared" ca="1" si="45"/>
        <v>5292</v>
      </c>
      <c r="Y64" s="103">
        <v>17.73</v>
      </c>
      <c r="Z64" s="113">
        <f ca="1">ROUND(IF(ISNUMBER(R64),R64,IF(LEFT(R64,3)="BDI",HLOOKUP(R64,DADOS!$T$37:$X$38,2,FALSE),0)),15-11*$X$5)</f>
        <v>0.23130000000000001</v>
      </c>
      <c r="AA64" s="1"/>
    </row>
    <row r="65" spans="1:27" ht="25.5" x14ac:dyDescent="0.2">
      <c r="A65" t="str">
        <f t="shared" si="33"/>
        <v>S</v>
      </c>
      <c r="B65">
        <f t="shared" si="34"/>
        <v>0</v>
      </c>
      <c r="C65">
        <f t="shared" ca="1" si="35"/>
        <v>1</v>
      </c>
      <c r="D65">
        <f t="shared" ca="1" si="36"/>
        <v>3</v>
      </c>
      <c r="E65">
        <f t="shared" ca="1" si="37"/>
        <v>4</v>
      </c>
      <c r="F65">
        <f t="shared" ca="1" si="38"/>
        <v>0</v>
      </c>
      <c r="G65">
        <f t="shared" ca="1" si="39"/>
        <v>5</v>
      </c>
      <c r="H65">
        <f t="shared" ca="1" si="7"/>
        <v>0</v>
      </c>
      <c r="I65">
        <f t="shared" ca="1" si="8"/>
        <v>0</v>
      </c>
      <c r="J65" s="355" t="s">
        <v>103</v>
      </c>
      <c r="K65" s="138" t="str">
        <f t="shared" ca="1" si="40"/>
        <v>1.3.4.0.5.</v>
      </c>
      <c r="L65" s="356" t="s">
        <v>235</v>
      </c>
      <c r="M65" s="359" t="s">
        <v>292</v>
      </c>
      <c r="N65" s="360" t="s">
        <v>652</v>
      </c>
      <c r="O65" s="362" t="s">
        <v>947</v>
      </c>
      <c r="P65" s="363">
        <v>5.51</v>
      </c>
      <c r="Q65" s="195"/>
      <c r="R65" s="198" t="s">
        <v>7</v>
      </c>
      <c r="S65" s="103">
        <f t="shared" si="43"/>
        <v>0</v>
      </c>
      <c r="T65" s="83">
        <f t="shared" si="44"/>
        <v>0</v>
      </c>
      <c r="U65" s="9" t="str">
        <f t="shared" si="41"/>
        <v>SEM VALOR</v>
      </c>
      <c r="V65" s="1" t="str">
        <f ca="1">IF(OR($A65=0,$A65="S",$A65&gt;CFF!$A$9),"",MAX(V$12:OFFSET(V65,-1,0))+1)</f>
        <v/>
      </c>
      <c r="W65" s="4" t="str">
        <f t="shared" si="42"/>
        <v>PM BENTO-16</v>
      </c>
      <c r="X65" s="1">
        <f t="shared" ca="1" si="45"/>
        <v>22</v>
      </c>
      <c r="Y65" s="103">
        <v>926.77</v>
      </c>
      <c r="Z65" s="113">
        <f ca="1">ROUND(IF(ISNUMBER(R65),R65,IF(LEFT(R65,3)="BDI",HLOOKUP(R65,DADOS!$T$37:$X$38,2,FALSE),0)),15-11*$X$5)</f>
        <v>0.23130000000000001</v>
      </c>
      <c r="AA65" s="1"/>
    </row>
    <row r="66" spans="1:27" x14ac:dyDescent="0.2">
      <c r="A66">
        <f t="shared" si="33"/>
        <v>3</v>
      </c>
      <c r="B66">
        <f t="shared" ca="1" si="34"/>
        <v>10</v>
      </c>
      <c r="C66">
        <f t="shared" ca="1" si="35"/>
        <v>1</v>
      </c>
      <c r="D66">
        <f t="shared" ca="1" si="36"/>
        <v>3</v>
      </c>
      <c r="E66">
        <f t="shared" ca="1" si="37"/>
        <v>5</v>
      </c>
      <c r="F66">
        <f t="shared" ca="1" si="38"/>
        <v>0</v>
      </c>
      <c r="G66">
        <f t="shared" ca="1" si="39"/>
        <v>0</v>
      </c>
      <c r="H66">
        <f t="shared" ca="1" si="7"/>
        <v>17</v>
      </c>
      <c r="I66">
        <f t="shared" ca="1" si="8"/>
        <v>10</v>
      </c>
      <c r="J66" s="355" t="s">
        <v>101</v>
      </c>
      <c r="K66" s="138" t="str">
        <f t="shared" ca="1" si="40"/>
        <v>1.3.5.</v>
      </c>
      <c r="L66" s="356" t="s">
        <v>230</v>
      </c>
      <c r="M66" s="359"/>
      <c r="N66" s="360" t="s">
        <v>579</v>
      </c>
      <c r="O66" s="362" t="s">
        <v>106</v>
      </c>
      <c r="P66" s="363"/>
      <c r="Q66" s="195"/>
      <c r="R66" s="198" t="s">
        <v>7</v>
      </c>
      <c r="S66" s="103">
        <f t="shared" si="43"/>
        <v>0</v>
      </c>
      <c r="T66" s="83">
        <f t="shared" ca="1" si="44"/>
        <v>0</v>
      </c>
      <c r="U66" s="9" t="str">
        <f t="shared" ca="1" si="41"/>
        <v>SEM VALOR</v>
      </c>
      <c r="V66" s="1" t="str">
        <f ca="1">IF(OR($A66=0,$A66="S",$A66&gt;CFF!$A$9),"",MAX(V$12:OFFSET(V66,-1,0))+1)</f>
        <v/>
      </c>
      <c r="W66" s="4" t="b">
        <f t="shared" si="42"/>
        <v>0</v>
      </c>
      <c r="X66" s="1" t="str">
        <f t="shared" ca="1" si="45"/>
        <v>X</v>
      </c>
      <c r="Y66" s="103">
        <v>0</v>
      </c>
      <c r="Z66" s="113">
        <f ca="1">ROUND(IF(ISNUMBER(R66),R66,IF(LEFT(R66,3)="BDI",HLOOKUP(R66,DADOS!$T$37:$X$38,2,FALSE),0)),15-11*$X$5)</f>
        <v>0.23130000000000001</v>
      </c>
      <c r="AA66" s="1"/>
    </row>
    <row r="67" spans="1:27" ht="25.5" x14ac:dyDescent="0.2">
      <c r="A67" t="str">
        <f t="shared" si="33"/>
        <v>S</v>
      </c>
      <c r="B67">
        <f t="shared" si="34"/>
        <v>0</v>
      </c>
      <c r="C67">
        <f t="shared" ca="1" si="35"/>
        <v>1</v>
      </c>
      <c r="D67">
        <f t="shared" ca="1" si="36"/>
        <v>3</v>
      </c>
      <c r="E67">
        <f t="shared" ca="1" si="37"/>
        <v>5</v>
      </c>
      <c r="F67">
        <f t="shared" ca="1" si="38"/>
        <v>0</v>
      </c>
      <c r="G67">
        <f t="shared" ca="1" si="39"/>
        <v>1</v>
      </c>
      <c r="H67">
        <f t="shared" ca="1" si="7"/>
        <v>0</v>
      </c>
      <c r="I67">
        <f t="shared" ca="1" si="8"/>
        <v>0</v>
      </c>
      <c r="J67" s="355" t="s">
        <v>103</v>
      </c>
      <c r="K67" s="138" t="str">
        <f t="shared" ca="1" si="40"/>
        <v>1.3.5.0.1.</v>
      </c>
      <c r="L67" s="356" t="s">
        <v>230</v>
      </c>
      <c r="M67" s="357" t="s">
        <v>286</v>
      </c>
      <c r="N67" s="360" t="s">
        <v>646</v>
      </c>
      <c r="O67" s="362" t="s">
        <v>940</v>
      </c>
      <c r="P67" s="363">
        <v>23.65</v>
      </c>
      <c r="Q67" s="195"/>
      <c r="R67" s="198" t="s">
        <v>7</v>
      </c>
      <c r="S67" s="103">
        <f t="shared" si="43"/>
        <v>0</v>
      </c>
      <c r="T67" s="83">
        <f t="shared" si="44"/>
        <v>0</v>
      </c>
      <c r="U67" s="9" t="str">
        <f t="shared" si="41"/>
        <v>SEM VALOR</v>
      </c>
      <c r="V67" s="1" t="str">
        <f ca="1">IF(OR($A67=0,$A67="S",$A67&gt;CFF!$A$9),"",MAX(V$12:OFFSET(V67,-1,0))+1)</f>
        <v/>
      </c>
      <c r="W67" s="4" t="str">
        <f t="shared" si="42"/>
        <v>SINAPI-92269</v>
      </c>
      <c r="X67" s="1">
        <f t="shared" ca="1" si="45"/>
        <v>9224</v>
      </c>
      <c r="Y67" s="103">
        <v>148.72999999999999</v>
      </c>
      <c r="Z67" s="113">
        <f ca="1">ROUND(IF(ISNUMBER(R67),R67,IF(LEFT(R67,3)="BDI",HLOOKUP(R67,DADOS!$T$37:$X$38,2,FALSE),0)),15-11*$X$5)</f>
        <v>0.23130000000000001</v>
      </c>
      <c r="AA67" s="1"/>
    </row>
    <row r="68" spans="1:27" ht="25.5" x14ac:dyDescent="0.2">
      <c r="A68" t="str">
        <f t="shared" si="33"/>
        <v>S</v>
      </c>
      <c r="B68">
        <f t="shared" si="34"/>
        <v>0</v>
      </c>
      <c r="C68">
        <f t="shared" ca="1" si="35"/>
        <v>1</v>
      </c>
      <c r="D68">
        <f t="shared" ca="1" si="36"/>
        <v>3</v>
      </c>
      <c r="E68">
        <f t="shared" ca="1" si="37"/>
        <v>5</v>
      </c>
      <c r="F68">
        <f t="shared" ca="1" si="38"/>
        <v>0</v>
      </c>
      <c r="G68">
        <f t="shared" ca="1" si="39"/>
        <v>2</v>
      </c>
      <c r="H68">
        <f t="shared" ca="1" si="7"/>
        <v>0</v>
      </c>
      <c r="I68">
        <f t="shared" ca="1" si="8"/>
        <v>0</v>
      </c>
      <c r="J68" s="355" t="s">
        <v>103</v>
      </c>
      <c r="K68" s="138" t="str">
        <f t="shared" ca="1" si="40"/>
        <v>1.3.5.0.2.</v>
      </c>
      <c r="L68" s="356" t="s">
        <v>230</v>
      </c>
      <c r="M68" s="359" t="s">
        <v>287</v>
      </c>
      <c r="N68" s="360" t="s">
        <v>647</v>
      </c>
      <c r="O68" s="362" t="s">
        <v>949</v>
      </c>
      <c r="P68" s="363">
        <v>86.33</v>
      </c>
      <c r="Q68" s="195"/>
      <c r="R68" s="198" t="s">
        <v>7</v>
      </c>
      <c r="S68" s="103">
        <f t="shared" si="43"/>
        <v>0</v>
      </c>
      <c r="T68" s="83">
        <f t="shared" si="44"/>
        <v>0</v>
      </c>
      <c r="U68" s="9" t="str">
        <f t="shared" si="41"/>
        <v>SEM VALOR</v>
      </c>
      <c r="V68" s="1" t="str">
        <f ca="1">IF(OR($A68=0,$A68="S",$A68&gt;CFF!$A$9),"",MAX(V$12:OFFSET(V68,-1,0))+1)</f>
        <v/>
      </c>
      <c r="W68" s="4" t="str">
        <f t="shared" si="42"/>
        <v>SINAPI-92762</v>
      </c>
      <c r="X68" s="1">
        <f t="shared" ca="1" si="45"/>
        <v>5284</v>
      </c>
      <c r="Y68" s="103">
        <v>13.7</v>
      </c>
      <c r="Z68" s="113">
        <f ca="1">ROUND(IF(ISNUMBER(R68),R68,IF(LEFT(R68,3)="BDI",HLOOKUP(R68,DADOS!$T$37:$X$38,2,FALSE),0)),15-11*$X$5)</f>
        <v>0.23130000000000001</v>
      </c>
      <c r="AA68" s="1"/>
    </row>
    <row r="69" spans="1:27" ht="25.5" x14ac:dyDescent="0.2">
      <c r="A69" t="str">
        <f t="shared" si="33"/>
        <v>S</v>
      </c>
      <c r="B69">
        <f t="shared" si="34"/>
        <v>0</v>
      </c>
      <c r="C69">
        <f t="shared" ca="1" si="35"/>
        <v>1</v>
      </c>
      <c r="D69">
        <f t="shared" ca="1" si="36"/>
        <v>3</v>
      </c>
      <c r="E69">
        <f t="shared" ca="1" si="37"/>
        <v>5</v>
      </c>
      <c r="F69">
        <f t="shared" ca="1" si="38"/>
        <v>0</v>
      </c>
      <c r="G69">
        <f t="shared" ca="1" si="39"/>
        <v>3</v>
      </c>
      <c r="H69">
        <f t="shared" ca="1" si="7"/>
        <v>0</v>
      </c>
      <c r="I69">
        <f t="shared" ca="1" si="8"/>
        <v>0</v>
      </c>
      <c r="J69" s="355" t="s">
        <v>103</v>
      </c>
      <c r="K69" s="138" t="str">
        <f t="shared" ca="1" si="40"/>
        <v>1.3.5.0.3.</v>
      </c>
      <c r="L69" s="356" t="s">
        <v>230</v>
      </c>
      <c r="M69" s="359" t="s">
        <v>288</v>
      </c>
      <c r="N69" s="360" t="s">
        <v>648</v>
      </c>
      <c r="O69" s="362" t="s">
        <v>949</v>
      </c>
      <c r="P69" s="363">
        <v>38.72</v>
      </c>
      <c r="Q69" s="195"/>
      <c r="R69" s="198" t="s">
        <v>7</v>
      </c>
      <c r="S69" s="103">
        <f t="shared" si="43"/>
        <v>0</v>
      </c>
      <c r="T69" s="83">
        <f t="shared" si="44"/>
        <v>0</v>
      </c>
      <c r="U69" s="9" t="str">
        <f t="shared" si="41"/>
        <v>SEM VALOR</v>
      </c>
      <c r="V69" s="1" t="str">
        <f ca="1">IF(OR($A69=0,$A69="S",$A69&gt;CFF!$A$9),"",MAX(V$12:OFFSET(V69,-1,0))+1)</f>
        <v/>
      </c>
      <c r="W69" s="4" t="str">
        <f t="shared" si="42"/>
        <v>SINAPI-92759</v>
      </c>
      <c r="X69" s="1">
        <f t="shared" ca="1" si="45"/>
        <v>5292</v>
      </c>
      <c r="Y69" s="103">
        <v>17.73</v>
      </c>
      <c r="Z69" s="113">
        <f ca="1">ROUND(IF(ISNUMBER(R69),R69,IF(LEFT(R69,3)="BDI",HLOOKUP(R69,DADOS!$T$37:$X$38,2,FALSE),0)),15-11*$X$5)</f>
        <v>0.23130000000000001</v>
      </c>
      <c r="AA69" s="1"/>
    </row>
    <row r="70" spans="1:27" ht="25.5" x14ac:dyDescent="0.2">
      <c r="A70" t="str">
        <f t="shared" si="33"/>
        <v>S</v>
      </c>
      <c r="B70">
        <f t="shared" si="34"/>
        <v>0</v>
      </c>
      <c r="C70">
        <f t="shared" ca="1" si="35"/>
        <v>1</v>
      </c>
      <c r="D70">
        <f t="shared" ca="1" si="36"/>
        <v>3</v>
      </c>
      <c r="E70">
        <f t="shared" ca="1" si="37"/>
        <v>5</v>
      </c>
      <c r="F70">
        <f t="shared" ca="1" si="38"/>
        <v>0</v>
      </c>
      <c r="G70">
        <f t="shared" ca="1" si="39"/>
        <v>4</v>
      </c>
      <c r="H70">
        <f t="shared" ca="1" si="7"/>
        <v>0</v>
      </c>
      <c r="I70">
        <f t="shared" ca="1" si="8"/>
        <v>0</v>
      </c>
      <c r="J70" s="355" t="s">
        <v>103</v>
      </c>
      <c r="K70" s="138" t="str">
        <f t="shared" ca="1" si="40"/>
        <v>1.3.5.0.4.</v>
      </c>
      <c r="L70" s="356" t="s">
        <v>235</v>
      </c>
      <c r="M70" s="359" t="s">
        <v>289</v>
      </c>
      <c r="N70" s="360" t="s">
        <v>649</v>
      </c>
      <c r="O70" s="362" t="s">
        <v>947</v>
      </c>
      <c r="P70" s="363">
        <v>1.29</v>
      </c>
      <c r="Q70" s="195"/>
      <c r="R70" s="198" t="s">
        <v>7</v>
      </c>
      <c r="S70" s="103">
        <f t="shared" si="43"/>
        <v>0</v>
      </c>
      <c r="T70" s="83">
        <f t="shared" si="44"/>
        <v>0</v>
      </c>
      <c r="U70" s="9" t="str">
        <f t="shared" si="41"/>
        <v>SEM VALOR</v>
      </c>
      <c r="V70" s="1" t="str">
        <f ca="1">IF(OR($A70=0,$A70="S",$A70&gt;CFF!$A$9),"",MAX(V$12:OFFSET(V70,-1,0))+1)</f>
        <v/>
      </c>
      <c r="W70" s="4" t="str">
        <f t="shared" si="42"/>
        <v>PM BENTO-15</v>
      </c>
      <c r="X70" s="1">
        <f t="shared" ca="1" si="45"/>
        <v>21</v>
      </c>
      <c r="Y70" s="103">
        <v>899.67</v>
      </c>
      <c r="Z70" s="113">
        <f ca="1">ROUND(IF(ISNUMBER(R70),R70,IF(LEFT(R70,3)="BDI",HLOOKUP(R70,DADOS!$T$37:$X$38,2,FALSE),0)),15-11*$X$5)</f>
        <v>0.23130000000000001</v>
      </c>
      <c r="AA70" s="1"/>
    </row>
    <row r="71" spans="1:27" x14ac:dyDescent="0.2">
      <c r="A71" t="str">
        <f t="shared" si="33"/>
        <v>S</v>
      </c>
      <c r="B71">
        <f t="shared" si="34"/>
        <v>0</v>
      </c>
      <c r="C71">
        <f t="shared" ca="1" si="35"/>
        <v>1</v>
      </c>
      <c r="D71">
        <f t="shared" ca="1" si="36"/>
        <v>3</v>
      </c>
      <c r="E71">
        <f t="shared" ca="1" si="37"/>
        <v>5</v>
      </c>
      <c r="F71">
        <f t="shared" ca="1" si="38"/>
        <v>0</v>
      </c>
      <c r="G71">
        <f t="shared" ca="1" si="39"/>
        <v>5</v>
      </c>
      <c r="H71">
        <f t="shared" ca="1" si="7"/>
        <v>0</v>
      </c>
      <c r="I71">
        <f t="shared" ca="1" si="8"/>
        <v>0</v>
      </c>
      <c r="J71" s="355" t="s">
        <v>103</v>
      </c>
      <c r="K71" s="138" t="str">
        <f t="shared" ca="1" si="40"/>
        <v>1.3.5.0.5.</v>
      </c>
      <c r="L71" s="356" t="s">
        <v>230</v>
      </c>
      <c r="M71" s="359" t="s">
        <v>290</v>
      </c>
      <c r="N71" s="360" t="s">
        <v>650</v>
      </c>
      <c r="O71" s="362" t="s">
        <v>940</v>
      </c>
      <c r="P71" s="363">
        <v>43.37</v>
      </c>
      <c r="Q71" s="195"/>
      <c r="R71" s="198" t="s">
        <v>7</v>
      </c>
      <c r="S71" s="103">
        <f t="shared" si="43"/>
        <v>0</v>
      </c>
      <c r="T71" s="83">
        <f t="shared" si="44"/>
        <v>0</v>
      </c>
      <c r="U71" s="9" t="str">
        <f t="shared" si="41"/>
        <v>SEM VALOR</v>
      </c>
      <c r="V71" s="1" t="str">
        <f ca="1">IF(OR($A71=0,$A71="S",$A71&gt;CFF!$A$9),"",MAX(V$12:OFFSET(V71,-1,0))+1)</f>
        <v/>
      </c>
      <c r="W71" s="4" t="str">
        <f t="shared" si="42"/>
        <v>SINAPI-92270</v>
      </c>
      <c r="X71" s="1">
        <f t="shared" ca="1" si="45"/>
        <v>9225</v>
      </c>
      <c r="Y71" s="103">
        <v>204.27</v>
      </c>
      <c r="Z71" s="113">
        <f ca="1">ROUND(IF(ISNUMBER(R71),R71,IF(LEFT(R71,3)="BDI",HLOOKUP(R71,DADOS!$T$37:$X$38,2,FALSE),0)),15-11*$X$5)</f>
        <v>0.23130000000000001</v>
      </c>
      <c r="AA71" s="1"/>
    </row>
    <row r="72" spans="1:27" ht="25.5" x14ac:dyDescent="0.2">
      <c r="A72" t="str">
        <f t="shared" si="33"/>
        <v>S</v>
      </c>
      <c r="B72">
        <f t="shared" si="34"/>
        <v>0</v>
      </c>
      <c r="C72">
        <f t="shared" ca="1" si="35"/>
        <v>1</v>
      </c>
      <c r="D72">
        <f t="shared" ca="1" si="36"/>
        <v>3</v>
      </c>
      <c r="E72">
        <f t="shared" ca="1" si="37"/>
        <v>5</v>
      </c>
      <c r="F72">
        <f t="shared" ca="1" si="38"/>
        <v>0</v>
      </c>
      <c r="G72">
        <f t="shared" ca="1" si="39"/>
        <v>6</v>
      </c>
      <c r="H72">
        <f t="shared" ca="1" si="7"/>
        <v>0</v>
      </c>
      <c r="I72">
        <f t="shared" ca="1" si="8"/>
        <v>0</v>
      </c>
      <c r="J72" s="355" t="s">
        <v>103</v>
      </c>
      <c r="K72" s="138" t="str">
        <f t="shared" ca="1" si="40"/>
        <v>1.3.5.0.6.</v>
      </c>
      <c r="L72" s="356" t="s">
        <v>230</v>
      </c>
      <c r="M72" s="357" t="s">
        <v>291</v>
      </c>
      <c r="N72" s="360" t="s">
        <v>651</v>
      </c>
      <c r="O72" s="362" t="s">
        <v>949</v>
      </c>
      <c r="P72" s="363">
        <v>41.32</v>
      </c>
      <c r="Q72" s="195"/>
      <c r="R72" s="198" t="s">
        <v>7</v>
      </c>
      <c r="S72" s="103">
        <f t="shared" si="43"/>
        <v>0</v>
      </c>
      <c r="T72" s="83">
        <f t="shared" si="44"/>
        <v>0</v>
      </c>
      <c r="U72" s="9" t="str">
        <f t="shared" si="41"/>
        <v>SEM VALOR</v>
      </c>
      <c r="V72" s="1" t="str">
        <f ca="1">IF(OR($A72=0,$A72="S",$A72&gt;CFF!$A$9),"",MAX(V$12:OFFSET(V72,-1,0))+1)</f>
        <v/>
      </c>
      <c r="W72" s="4" t="str">
        <f t="shared" si="42"/>
        <v>SINAPI-92761</v>
      </c>
      <c r="X72" s="1">
        <f t="shared" ca="1" si="45"/>
        <v>5291</v>
      </c>
      <c r="Y72" s="103">
        <v>15.44</v>
      </c>
      <c r="Z72" s="113">
        <f ca="1">ROUND(IF(ISNUMBER(R72),R72,IF(LEFT(R72,3)="BDI",HLOOKUP(R72,DADOS!$T$37:$X$38,2,FALSE),0)),15-11*$X$5)</f>
        <v>0.23130000000000001</v>
      </c>
      <c r="AA72" s="1"/>
    </row>
    <row r="73" spans="1:27" ht="25.5" x14ac:dyDescent="0.2">
      <c r="A73" t="str">
        <f t="shared" si="33"/>
        <v>S</v>
      </c>
      <c r="B73">
        <f t="shared" si="34"/>
        <v>0</v>
      </c>
      <c r="C73">
        <f t="shared" ca="1" si="35"/>
        <v>1</v>
      </c>
      <c r="D73">
        <f t="shared" ca="1" si="36"/>
        <v>3</v>
      </c>
      <c r="E73">
        <f t="shared" ca="1" si="37"/>
        <v>5</v>
      </c>
      <c r="F73">
        <f t="shared" ca="1" si="38"/>
        <v>0</v>
      </c>
      <c r="G73">
        <f t="shared" ca="1" si="39"/>
        <v>7</v>
      </c>
      <c r="H73">
        <f t="shared" ca="1" si="7"/>
        <v>0</v>
      </c>
      <c r="I73">
        <f t="shared" ca="1" si="8"/>
        <v>0</v>
      </c>
      <c r="J73" s="355" t="s">
        <v>103</v>
      </c>
      <c r="K73" s="138" t="str">
        <f t="shared" ca="1" si="40"/>
        <v>1.3.5.0.7.</v>
      </c>
      <c r="L73" s="356" t="s">
        <v>230</v>
      </c>
      <c r="M73" s="357" t="s">
        <v>287</v>
      </c>
      <c r="N73" s="360" t="s">
        <v>647</v>
      </c>
      <c r="O73" s="362" t="s">
        <v>949</v>
      </c>
      <c r="P73" s="363">
        <v>64.540000000000006</v>
      </c>
      <c r="Q73" s="195"/>
      <c r="R73" s="198" t="s">
        <v>7</v>
      </c>
      <c r="S73" s="103">
        <f t="shared" si="43"/>
        <v>0</v>
      </c>
      <c r="T73" s="83">
        <f t="shared" si="44"/>
        <v>0</v>
      </c>
      <c r="U73" s="9" t="str">
        <f t="shared" si="41"/>
        <v>SEM VALOR</v>
      </c>
      <c r="V73" s="1" t="str">
        <f ca="1">IF(OR($A73=0,$A73="S",$A73&gt;CFF!$A$9),"",MAX(V$12:OFFSET(V73,-1,0))+1)</f>
        <v/>
      </c>
      <c r="W73" s="4" t="str">
        <f t="shared" si="42"/>
        <v>SINAPI-92762</v>
      </c>
      <c r="X73" s="1">
        <f t="shared" ca="1" si="45"/>
        <v>5284</v>
      </c>
      <c r="Y73" s="103">
        <v>13.7</v>
      </c>
      <c r="Z73" s="113">
        <f ca="1">ROUND(IF(ISNUMBER(R73),R73,IF(LEFT(R73,3)="BDI",HLOOKUP(R73,DADOS!$T$37:$X$38,2,FALSE),0)),15-11*$X$5)</f>
        <v>0.23130000000000001</v>
      </c>
      <c r="AA73" s="1"/>
    </row>
    <row r="74" spans="1:27" ht="25.5" x14ac:dyDescent="0.2">
      <c r="A74" t="str">
        <f t="shared" si="33"/>
        <v>S</v>
      </c>
      <c r="B74">
        <f t="shared" si="34"/>
        <v>0</v>
      </c>
      <c r="C74">
        <f t="shared" ca="1" si="35"/>
        <v>1</v>
      </c>
      <c r="D74">
        <f t="shared" ca="1" si="36"/>
        <v>3</v>
      </c>
      <c r="E74">
        <f t="shared" ca="1" si="37"/>
        <v>5</v>
      </c>
      <c r="F74">
        <f t="shared" ca="1" si="38"/>
        <v>0</v>
      </c>
      <c r="G74">
        <f t="shared" ca="1" si="39"/>
        <v>8</v>
      </c>
      <c r="H74">
        <f t="shared" ca="1" si="7"/>
        <v>0</v>
      </c>
      <c r="I74">
        <f t="shared" ca="1" si="8"/>
        <v>0</v>
      </c>
      <c r="J74" s="355" t="s">
        <v>103</v>
      </c>
      <c r="K74" s="138" t="str">
        <f t="shared" ca="1" si="40"/>
        <v>1.3.5.0.8.</v>
      </c>
      <c r="L74" s="356" t="s">
        <v>230</v>
      </c>
      <c r="M74" s="359" t="s">
        <v>288</v>
      </c>
      <c r="N74" s="360" t="s">
        <v>648</v>
      </c>
      <c r="O74" s="362" t="s">
        <v>949</v>
      </c>
      <c r="P74" s="363">
        <v>38.83</v>
      </c>
      <c r="Q74" s="195"/>
      <c r="R74" s="198" t="s">
        <v>7</v>
      </c>
      <c r="S74" s="103">
        <f t="shared" si="43"/>
        <v>0</v>
      </c>
      <c r="T74" s="83">
        <f t="shared" si="44"/>
        <v>0</v>
      </c>
      <c r="U74" s="9" t="str">
        <f t="shared" si="41"/>
        <v>SEM VALOR</v>
      </c>
      <c r="V74" s="1" t="str">
        <f ca="1">IF(OR($A74=0,$A74="S",$A74&gt;CFF!$A$9),"",MAX(V$12:OFFSET(V74,-1,0))+1)</f>
        <v/>
      </c>
      <c r="W74" s="4" t="str">
        <f t="shared" si="42"/>
        <v>SINAPI-92759</v>
      </c>
      <c r="X74" s="1">
        <f t="shared" ca="1" si="45"/>
        <v>5292</v>
      </c>
      <c r="Y74" s="103">
        <v>17.73</v>
      </c>
      <c r="Z74" s="113">
        <f ca="1">ROUND(IF(ISNUMBER(R74),R74,IF(LEFT(R74,3)="BDI",HLOOKUP(R74,DADOS!$T$37:$X$38,2,FALSE),0)),15-11*$X$5)</f>
        <v>0.23130000000000001</v>
      </c>
      <c r="AA74" s="1"/>
    </row>
    <row r="75" spans="1:27" ht="25.5" x14ac:dyDescent="0.2">
      <c r="A75" t="str">
        <f t="shared" si="33"/>
        <v>S</v>
      </c>
      <c r="B75">
        <f t="shared" si="34"/>
        <v>0</v>
      </c>
      <c r="C75">
        <f t="shared" ca="1" si="35"/>
        <v>1</v>
      </c>
      <c r="D75">
        <f t="shared" ca="1" si="36"/>
        <v>3</v>
      </c>
      <c r="E75">
        <f t="shared" ca="1" si="37"/>
        <v>5</v>
      </c>
      <c r="F75">
        <f t="shared" ca="1" si="38"/>
        <v>0</v>
      </c>
      <c r="G75">
        <f t="shared" ca="1" si="39"/>
        <v>9</v>
      </c>
      <c r="H75">
        <f t="shared" ca="1" si="7"/>
        <v>0</v>
      </c>
      <c r="I75">
        <f t="shared" ca="1" si="8"/>
        <v>0</v>
      </c>
      <c r="J75" s="355" t="s">
        <v>103</v>
      </c>
      <c r="K75" s="138" t="str">
        <f t="shared" ca="1" si="40"/>
        <v>1.3.5.0.9.</v>
      </c>
      <c r="L75" s="356" t="s">
        <v>235</v>
      </c>
      <c r="M75" s="357" t="s">
        <v>292</v>
      </c>
      <c r="N75" s="360" t="s">
        <v>652</v>
      </c>
      <c r="O75" s="362" t="s">
        <v>947</v>
      </c>
      <c r="P75" s="363">
        <v>3.09</v>
      </c>
      <c r="Q75" s="195"/>
      <c r="R75" s="198" t="s">
        <v>7</v>
      </c>
      <c r="S75" s="103">
        <f t="shared" si="43"/>
        <v>0</v>
      </c>
      <c r="T75" s="83">
        <f t="shared" si="44"/>
        <v>0</v>
      </c>
      <c r="U75" s="9" t="str">
        <f t="shared" si="41"/>
        <v>SEM VALOR</v>
      </c>
      <c r="V75" s="1" t="str">
        <f ca="1">IF(OR($A75=0,$A75="S",$A75&gt;CFF!$A$9),"",MAX(V$12:OFFSET(V75,-1,0))+1)</f>
        <v/>
      </c>
      <c r="W75" s="4" t="str">
        <f t="shared" si="42"/>
        <v>PM BENTO-16</v>
      </c>
      <c r="X75" s="1">
        <f t="shared" ca="1" si="45"/>
        <v>22</v>
      </c>
      <c r="Y75" s="103">
        <v>926.77</v>
      </c>
      <c r="Z75" s="113">
        <f ca="1">ROUND(IF(ISNUMBER(R75),R75,IF(LEFT(R75,3)="BDI",HLOOKUP(R75,DADOS!$T$37:$X$38,2,FALSE),0)),15-11*$X$5)</f>
        <v>0.23130000000000001</v>
      </c>
      <c r="AA75" s="1"/>
    </row>
    <row r="76" spans="1:27" x14ac:dyDescent="0.2">
      <c r="A76">
        <f t="shared" si="33"/>
        <v>3</v>
      </c>
      <c r="B76">
        <f t="shared" ca="1" si="34"/>
        <v>7</v>
      </c>
      <c r="C76">
        <f t="shared" ca="1" si="35"/>
        <v>1</v>
      </c>
      <c r="D76">
        <f t="shared" ca="1" si="36"/>
        <v>3</v>
      </c>
      <c r="E76">
        <f t="shared" ca="1" si="37"/>
        <v>6</v>
      </c>
      <c r="F76">
        <f t="shared" ca="1" si="38"/>
        <v>0</v>
      </c>
      <c r="G76">
        <f t="shared" ca="1" si="39"/>
        <v>0</v>
      </c>
      <c r="H76">
        <f t="shared" ca="1" si="7"/>
        <v>7</v>
      </c>
      <c r="I76" t="e">
        <f t="shared" ca="1" si="8"/>
        <v>#N/A</v>
      </c>
      <c r="J76" s="355" t="s">
        <v>101</v>
      </c>
      <c r="K76" s="138" t="str">
        <f t="shared" ca="1" si="40"/>
        <v>1.3.6.</v>
      </c>
      <c r="L76" s="356" t="s">
        <v>230</v>
      </c>
      <c r="M76" s="359"/>
      <c r="N76" s="360" t="s">
        <v>580</v>
      </c>
      <c r="O76" s="362" t="s">
        <v>106</v>
      </c>
      <c r="P76" s="363"/>
      <c r="Q76" s="195"/>
      <c r="R76" s="198" t="s">
        <v>7</v>
      </c>
      <c r="S76" s="103">
        <f t="shared" si="43"/>
        <v>0</v>
      </c>
      <c r="T76" s="83">
        <f t="shared" ca="1" si="44"/>
        <v>0</v>
      </c>
      <c r="U76" s="9" t="str">
        <f t="shared" ca="1" si="41"/>
        <v>SEM VALOR</v>
      </c>
      <c r="V76" s="1" t="str">
        <f ca="1">IF(OR($A76=0,$A76="S",$A76&gt;CFF!$A$9),"",MAX(V$12:OFFSET(V76,-1,0))+1)</f>
        <v/>
      </c>
      <c r="W76" s="4" t="b">
        <f t="shared" si="42"/>
        <v>0</v>
      </c>
      <c r="X76" s="1" t="str">
        <f t="shared" ca="1" si="45"/>
        <v>X</v>
      </c>
      <c r="Y76" s="103">
        <v>0</v>
      </c>
      <c r="Z76" s="113">
        <f ca="1">ROUND(IF(ISNUMBER(R76),R76,IF(LEFT(R76,3)="BDI",HLOOKUP(R76,DADOS!$T$37:$X$38,2,FALSE),0)),15-11*$X$5)</f>
        <v>0.23130000000000001</v>
      </c>
      <c r="AA76" s="1"/>
    </row>
    <row r="77" spans="1:27" x14ac:dyDescent="0.2">
      <c r="A77">
        <f t="shared" si="33"/>
        <v>4</v>
      </c>
      <c r="B77">
        <f t="shared" ca="1" si="34"/>
        <v>2</v>
      </c>
      <c r="C77">
        <f t="shared" ca="1" si="35"/>
        <v>1</v>
      </c>
      <c r="D77">
        <f t="shared" ca="1" si="36"/>
        <v>3</v>
      </c>
      <c r="E77">
        <f t="shared" ca="1" si="37"/>
        <v>6</v>
      </c>
      <c r="F77">
        <f t="shared" ca="1" si="38"/>
        <v>1</v>
      </c>
      <c r="G77">
        <f t="shared" ca="1" si="39"/>
        <v>0</v>
      </c>
      <c r="H77">
        <f t="shared" ref="H77:H140" ca="1" si="46">IF(OR($A77="S",$A77=0),0,MATCH(0,OFFSET($B77,1,$A77,ROW($A$422)-ROW($A77)),0))</f>
        <v>6</v>
      </c>
      <c r="I77">
        <f t="shared" ref="I77:I140" ca="1" si="47">IF(OR($A77="S",$A77=0),0,MATCH(OFFSET($B77,0,$A77)+1,OFFSET($B77,1,$A77,ROW($A$422)-ROW($A77)),0))</f>
        <v>2</v>
      </c>
      <c r="J77" s="355" t="s">
        <v>102</v>
      </c>
      <c r="K77" s="138" t="str">
        <f t="shared" ca="1" si="40"/>
        <v>1.3.6.1.</v>
      </c>
      <c r="L77" s="356" t="s">
        <v>230</v>
      </c>
      <c r="M77" s="357"/>
      <c r="N77" s="360" t="s">
        <v>581</v>
      </c>
      <c r="O77" s="362" t="s">
        <v>106</v>
      </c>
      <c r="P77" s="363"/>
      <c r="Q77" s="195"/>
      <c r="R77" s="198" t="s">
        <v>7</v>
      </c>
      <c r="S77" s="103">
        <f t="shared" si="43"/>
        <v>0</v>
      </c>
      <c r="T77" s="83">
        <f t="shared" ca="1" si="44"/>
        <v>0</v>
      </c>
      <c r="U77" s="9" t="str">
        <f t="shared" ca="1" si="41"/>
        <v>SEM VALOR</v>
      </c>
      <c r="V77" s="1" t="str">
        <f ca="1">IF(OR($A77=0,$A77="S",$A77&gt;CFF!$A$9),"",MAX(V$12:OFFSET(V77,-1,0))+1)</f>
        <v/>
      </c>
      <c r="W77" s="4" t="b">
        <f t="shared" si="42"/>
        <v>0</v>
      </c>
      <c r="X77" s="1" t="str">
        <f t="shared" ca="1" si="45"/>
        <v>X</v>
      </c>
      <c r="Y77" s="103">
        <v>0</v>
      </c>
      <c r="Z77" s="113">
        <f ca="1">ROUND(IF(ISNUMBER(R77),R77,IF(LEFT(R77,3)="BDI",HLOOKUP(R77,DADOS!$T$37:$X$38,2,FALSE),0)),15-11*$X$5)</f>
        <v>0.23130000000000001</v>
      </c>
      <c r="AA77" s="1"/>
    </row>
    <row r="78" spans="1:27" ht="25.5" x14ac:dyDescent="0.2">
      <c r="A78" t="str">
        <f t="shared" si="33"/>
        <v>S</v>
      </c>
      <c r="B78">
        <f t="shared" si="34"/>
        <v>0</v>
      </c>
      <c r="C78">
        <f t="shared" ca="1" si="35"/>
        <v>1</v>
      </c>
      <c r="D78">
        <f t="shared" ca="1" si="36"/>
        <v>3</v>
      </c>
      <c r="E78">
        <f t="shared" ca="1" si="37"/>
        <v>6</v>
      </c>
      <c r="F78">
        <f t="shared" ca="1" si="38"/>
        <v>1</v>
      </c>
      <c r="G78">
        <f t="shared" ca="1" si="39"/>
        <v>1</v>
      </c>
      <c r="H78">
        <f t="shared" ca="1" si="46"/>
        <v>0</v>
      </c>
      <c r="I78">
        <f t="shared" ca="1" si="47"/>
        <v>0</v>
      </c>
      <c r="J78" s="355" t="s">
        <v>103</v>
      </c>
      <c r="K78" s="138" t="str">
        <f t="shared" ca="1" si="40"/>
        <v>1.3.6.1.1.</v>
      </c>
      <c r="L78" s="356" t="s">
        <v>230</v>
      </c>
      <c r="M78" s="357" t="s">
        <v>293</v>
      </c>
      <c r="N78" s="360" t="s">
        <v>653</v>
      </c>
      <c r="O78" s="362" t="s">
        <v>940</v>
      </c>
      <c r="P78" s="363">
        <v>108</v>
      </c>
      <c r="Q78" s="195"/>
      <c r="R78" s="198" t="s">
        <v>7</v>
      </c>
      <c r="S78" s="103">
        <f t="shared" si="43"/>
        <v>0</v>
      </c>
      <c r="T78" s="83">
        <f t="shared" si="44"/>
        <v>0</v>
      </c>
      <c r="U78" s="9" t="str">
        <f t="shared" si="41"/>
        <v>SEM VALOR</v>
      </c>
      <c r="V78" s="1" t="str">
        <f ca="1">IF(OR($A78=0,$A78="S",$A78&gt;CFF!$A$9),"",MAX(V$12:OFFSET(V78,-1,0))+1)</f>
        <v/>
      </c>
      <c r="W78" s="4" t="str">
        <f t="shared" si="42"/>
        <v>SINAPI-101963</v>
      </c>
      <c r="X78" s="1">
        <f t="shared" ca="1" si="45"/>
        <v>11922</v>
      </c>
      <c r="Y78" s="103">
        <v>235.06</v>
      </c>
      <c r="Z78" s="113">
        <f ca="1">ROUND(IF(ISNUMBER(R78),R78,IF(LEFT(R78,3)="BDI",HLOOKUP(R78,DADOS!$T$37:$X$38,2,FALSE),0)),15-11*$X$5)</f>
        <v>0.23130000000000001</v>
      </c>
      <c r="AA78" s="1"/>
    </row>
    <row r="79" spans="1:27" x14ac:dyDescent="0.2">
      <c r="A79">
        <f t="shared" si="33"/>
        <v>4</v>
      </c>
      <c r="B79">
        <f t="shared" ca="1" si="34"/>
        <v>2</v>
      </c>
      <c r="C79">
        <f t="shared" ca="1" si="35"/>
        <v>1</v>
      </c>
      <c r="D79">
        <f t="shared" ca="1" si="36"/>
        <v>3</v>
      </c>
      <c r="E79">
        <f t="shared" ca="1" si="37"/>
        <v>6</v>
      </c>
      <c r="F79">
        <f t="shared" ca="1" si="38"/>
        <v>2</v>
      </c>
      <c r="G79">
        <f t="shared" ca="1" si="39"/>
        <v>0</v>
      </c>
      <c r="H79">
        <f t="shared" ca="1" si="46"/>
        <v>4</v>
      </c>
      <c r="I79">
        <f t="shared" ca="1" si="47"/>
        <v>2</v>
      </c>
      <c r="J79" s="355" t="s">
        <v>102</v>
      </c>
      <c r="K79" s="138" t="str">
        <f t="shared" ca="1" si="40"/>
        <v>1.3.6.2.</v>
      </c>
      <c r="L79" s="356" t="s">
        <v>230</v>
      </c>
      <c r="M79" s="357"/>
      <c r="N79" s="360" t="s">
        <v>582</v>
      </c>
      <c r="O79" s="362" t="s">
        <v>106</v>
      </c>
      <c r="P79" s="363"/>
      <c r="Q79" s="195"/>
      <c r="R79" s="198" t="s">
        <v>7</v>
      </c>
      <c r="S79" s="103">
        <f t="shared" si="43"/>
        <v>0</v>
      </c>
      <c r="T79" s="83">
        <f t="shared" ca="1" si="44"/>
        <v>0</v>
      </c>
      <c r="U79" s="9" t="str">
        <f t="shared" ca="1" si="41"/>
        <v>SEM VALOR</v>
      </c>
      <c r="V79" s="1" t="str">
        <f ca="1">IF(OR($A79=0,$A79="S",$A79&gt;CFF!$A$9),"",MAX(V$12:OFFSET(V79,-1,0))+1)</f>
        <v/>
      </c>
      <c r="W79" s="4" t="b">
        <f t="shared" si="42"/>
        <v>0</v>
      </c>
      <c r="X79" s="1" t="str">
        <f t="shared" ca="1" si="45"/>
        <v>X</v>
      </c>
      <c r="Y79" s="103">
        <v>0</v>
      </c>
      <c r="Z79" s="113">
        <f ca="1">ROUND(IF(ISNUMBER(R79),R79,IF(LEFT(R79,3)="BDI",HLOOKUP(R79,DADOS!$T$37:$X$38,2,FALSE),0)),15-11*$X$5)</f>
        <v>0.23130000000000001</v>
      </c>
      <c r="AA79" s="1"/>
    </row>
    <row r="80" spans="1:27" ht="25.5" x14ac:dyDescent="0.2">
      <c r="A80" t="str">
        <f t="shared" si="33"/>
        <v>S</v>
      </c>
      <c r="B80">
        <f t="shared" si="34"/>
        <v>0</v>
      </c>
      <c r="C80">
        <f t="shared" ca="1" si="35"/>
        <v>1</v>
      </c>
      <c r="D80">
        <f t="shared" ca="1" si="36"/>
        <v>3</v>
      </c>
      <c r="E80">
        <f t="shared" ca="1" si="37"/>
        <v>6</v>
      </c>
      <c r="F80">
        <f t="shared" ca="1" si="38"/>
        <v>2</v>
      </c>
      <c r="G80">
        <f t="shared" ca="1" si="39"/>
        <v>1</v>
      </c>
      <c r="H80">
        <f t="shared" ca="1" si="46"/>
        <v>0</v>
      </c>
      <c r="I80">
        <f t="shared" ca="1" si="47"/>
        <v>0</v>
      </c>
      <c r="J80" s="355" t="s">
        <v>103</v>
      </c>
      <c r="K80" s="138" t="str">
        <f t="shared" ca="1" si="40"/>
        <v>1.3.6.2.1.</v>
      </c>
      <c r="L80" s="356" t="s">
        <v>230</v>
      </c>
      <c r="M80" s="359" t="s">
        <v>293</v>
      </c>
      <c r="N80" s="360" t="s">
        <v>653</v>
      </c>
      <c r="O80" s="362" t="s">
        <v>940</v>
      </c>
      <c r="P80" s="363">
        <v>108</v>
      </c>
      <c r="Q80" s="195"/>
      <c r="R80" s="198" t="s">
        <v>7</v>
      </c>
      <c r="S80" s="103">
        <f t="shared" si="43"/>
        <v>0</v>
      </c>
      <c r="T80" s="83">
        <f t="shared" si="44"/>
        <v>0</v>
      </c>
      <c r="U80" s="9" t="str">
        <f t="shared" si="41"/>
        <v>SEM VALOR</v>
      </c>
      <c r="V80" s="1" t="str">
        <f ca="1">IF(OR($A80=0,$A80="S",$A80&gt;CFF!$A$9),"",MAX(V$12:OFFSET(V80,-1,0))+1)</f>
        <v/>
      </c>
      <c r="W80" s="4" t="str">
        <f t="shared" si="42"/>
        <v>SINAPI-101963</v>
      </c>
      <c r="X80" s="1">
        <f t="shared" ca="1" si="45"/>
        <v>11922</v>
      </c>
      <c r="Y80" s="103">
        <v>235.06</v>
      </c>
      <c r="Z80" s="113">
        <f ca="1">ROUND(IF(ISNUMBER(R80),R80,IF(LEFT(R80,3)="BDI",HLOOKUP(R80,DADOS!$T$37:$X$38,2,FALSE),0)),15-11*$X$5)</f>
        <v>0.23130000000000001</v>
      </c>
      <c r="AA80" s="1"/>
    </row>
    <row r="81" spans="1:27" x14ac:dyDescent="0.2">
      <c r="A81">
        <f t="shared" si="33"/>
        <v>4</v>
      </c>
      <c r="B81">
        <f t="shared" ca="1" si="34"/>
        <v>2</v>
      </c>
      <c r="C81">
        <f t="shared" ca="1" si="35"/>
        <v>1</v>
      </c>
      <c r="D81">
        <f t="shared" ca="1" si="36"/>
        <v>3</v>
      </c>
      <c r="E81">
        <f t="shared" ca="1" si="37"/>
        <v>6</v>
      </c>
      <c r="F81">
        <f t="shared" ca="1" si="38"/>
        <v>3</v>
      </c>
      <c r="G81">
        <f t="shared" ca="1" si="39"/>
        <v>0</v>
      </c>
      <c r="H81">
        <f t="shared" ca="1" si="46"/>
        <v>2</v>
      </c>
      <c r="I81">
        <f t="shared" ca="1" si="47"/>
        <v>52</v>
      </c>
      <c r="J81" s="355" t="s">
        <v>102</v>
      </c>
      <c r="K81" s="138" t="str">
        <f t="shared" ca="1" si="40"/>
        <v>1.3.6.3.</v>
      </c>
      <c r="L81" s="356" t="s">
        <v>230</v>
      </c>
      <c r="M81" s="357"/>
      <c r="N81" s="361" t="s">
        <v>583</v>
      </c>
      <c r="O81" s="362" t="s">
        <v>106</v>
      </c>
      <c r="P81" s="363"/>
      <c r="Q81" s="195"/>
      <c r="R81" s="198" t="s">
        <v>7</v>
      </c>
      <c r="S81" s="103">
        <f t="shared" si="43"/>
        <v>0</v>
      </c>
      <c r="T81" s="83">
        <f t="shared" ca="1" si="44"/>
        <v>0</v>
      </c>
      <c r="U81" s="9" t="str">
        <f t="shared" ca="1" si="41"/>
        <v>SEM VALOR</v>
      </c>
      <c r="V81" s="1" t="str">
        <f ca="1">IF(OR($A81=0,$A81="S",$A81&gt;CFF!$A$9),"",MAX(V$12:OFFSET(V81,-1,0))+1)</f>
        <v/>
      </c>
      <c r="W81" s="4" t="b">
        <f t="shared" si="42"/>
        <v>0</v>
      </c>
      <c r="X81" s="1" t="str">
        <f t="shared" ca="1" si="45"/>
        <v>X</v>
      </c>
      <c r="Y81" s="103">
        <v>0</v>
      </c>
      <c r="Z81" s="113">
        <f ca="1">ROUND(IF(ISNUMBER(R81),R81,IF(LEFT(R81,3)="BDI",HLOOKUP(R81,DADOS!$T$37:$X$38,2,FALSE),0)),15-11*$X$5)</f>
        <v>0.23130000000000001</v>
      </c>
      <c r="AA81" s="1"/>
    </row>
    <row r="82" spans="1:27" ht="25.5" x14ac:dyDescent="0.2">
      <c r="A82" t="str">
        <f t="shared" si="33"/>
        <v>S</v>
      </c>
      <c r="B82">
        <f t="shared" si="34"/>
        <v>0</v>
      </c>
      <c r="C82">
        <f t="shared" ca="1" si="35"/>
        <v>1</v>
      </c>
      <c r="D82">
        <f t="shared" ca="1" si="36"/>
        <v>3</v>
      </c>
      <c r="E82">
        <f t="shared" ca="1" si="37"/>
        <v>6</v>
      </c>
      <c r="F82">
        <f t="shared" ca="1" si="38"/>
        <v>3</v>
      </c>
      <c r="G82">
        <f t="shared" ca="1" si="39"/>
        <v>1</v>
      </c>
      <c r="H82">
        <f t="shared" ca="1" si="46"/>
        <v>0</v>
      </c>
      <c r="I82">
        <f t="shared" ca="1" si="47"/>
        <v>0</v>
      </c>
      <c r="J82" s="355" t="s">
        <v>103</v>
      </c>
      <c r="K82" s="138" t="str">
        <f t="shared" ca="1" si="40"/>
        <v>1.3.6.3.1.</v>
      </c>
      <c r="L82" s="356" t="s">
        <v>230</v>
      </c>
      <c r="M82" s="357" t="s">
        <v>294</v>
      </c>
      <c r="N82" s="360" t="s">
        <v>654</v>
      </c>
      <c r="O82" s="362" t="s">
        <v>940</v>
      </c>
      <c r="P82" s="363">
        <v>56.13</v>
      </c>
      <c r="Q82" s="195"/>
      <c r="R82" s="198" t="s">
        <v>7</v>
      </c>
      <c r="S82" s="103">
        <f t="shared" si="43"/>
        <v>0</v>
      </c>
      <c r="T82" s="83">
        <f t="shared" si="44"/>
        <v>0</v>
      </c>
      <c r="U82" s="9" t="str">
        <f t="shared" si="41"/>
        <v>SEM VALOR</v>
      </c>
      <c r="V82" s="1" t="str">
        <f ca="1">IF(OR($A82=0,$A82="S",$A82&gt;CFF!$A$9),"",MAX(V$12:OFFSET(V82,-1,0))+1)</f>
        <v/>
      </c>
      <c r="W82" s="4" t="str">
        <f t="shared" si="42"/>
        <v>SINAPI-101964</v>
      </c>
      <c r="X82" s="1">
        <f t="shared" ca="1" si="45"/>
        <v>11919</v>
      </c>
      <c r="Y82" s="103">
        <v>212.09</v>
      </c>
      <c r="Z82" s="113">
        <f ca="1">ROUND(IF(ISNUMBER(R82),R82,IF(LEFT(R82,3)="BDI",HLOOKUP(R82,DADOS!$T$37:$X$38,2,FALSE),0)),15-11*$X$5)</f>
        <v>0.23130000000000001</v>
      </c>
      <c r="AA82" s="1"/>
    </row>
    <row r="83" spans="1:27" x14ac:dyDescent="0.2">
      <c r="A83">
        <f t="shared" si="33"/>
        <v>2</v>
      </c>
      <c r="B83">
        <f t="shared" ca="1" si="34"/>
        <v>24</v>
      </c>
      <c r="C83">
        <f t="shared" ca="1" si="35"/>
        <v>1</v>
      </c>
      <c r="D83">
        <f t="shared" ca="1" si="36"/>
        <v>4</v>
      </c>
      <c r="E83">
        <f t="shared" ca="1" si="37"/>
        <v>0</v>
      </c>
      <c r="F83">
        <f t="shared" ca="1" si="38"/>
        <v>0</v>
      </c>
      <c r="G83">
        <f t="shared" ca="1" si="39"/>
        <v>0</v>
      </c>
      <c r="H83">
        <f t="shared" ca="1" si="46"/>
        <v>339</v>
      </c>
      <c r="I83">
        <f t="shared" ca="1" si="47"/>
        <v>24</v>
      </c>
      <c r="J83" s="355" t="s">
        <v>100</v>
      </c>
      <c r="K83" s="138" t="str">
        <f t="shared" ca="1" si="40"/>
        <v>1.4.</v>
      </c>
      <c r="L83" s="356"/>
      <c r="M83" s="357"/>
      <c r="N83" s="360" t="s">
        <v>584</v>
      </c>
      <c r="O83" s="362" t="s">
        <v>106</v>
      </c>
      <c r="P83" s="363"/>
      <c r="Q83" s="195"/>
      <c r="R83" s="198" t="s">
        <v>7</v>
      </c>
      <c r="S83" s="103">
        <f t="shared" si="43"/>
        <v>0</v>
      </c>
      <c r="T83" s="83">
        <f t="shared" ca="1" si="44"/>
        <v>0</v>
      </c>
      <c r="U83" s="9" t="str">
        <f t="shared" ca="1" si="41"/>
        <v>SEM VALOR</v>
      </c>
      <c r="V83" s="1">
        <f ca="1">IF(OR($A83=0,$A83="S",$A83&gt;CFF!$A$9),"",MAX(V$12:OFFSET(V83,-1,0))+1)</f>
        <v>5</v>
      </c>
      <c r="W83" s="4" t="b">
        <f t="shared" si="42"/>
        <v>0</v>
      </c>
      <c r="X83" s="1" t="str">
        <f t="shared" ca="1" si="45"/>
        <v>X</v>
      </c>
      <c r="Y83" s="103">
        <v>0</v>
      </c>
      <c r="Z83" s="113">
        <f ca="1">ROUND(IF(ISNUMBER(R83),R83,IF(LEFT(R83,3)="BDI",HLOOKUP(R83,DADOS!$T$37:$X$38,2,FALSE),0)),15-11*$X$5)</f>
        <v>0.23130000000000001</v>
      </c>
      <c r="AA83" s="1"/>
    </row>
    <row r="84" spans="1:27" x14ac:dyDescent="0.2">
      <c r="A84">
        <f t="shared" si="33"/>
        <v>3</v>
      </c>
      <c r="B84">
        <f t="shared" ca="1" si="34"/>
        <v>23</v>
      </c>
      <c r="C84">
        <f t="shared" ca="1" si="35"/>
        <v>1</v>
      </c>
      <c r="D84">
        <f t="shared" ca="1" si="36"/>
        <v>4</v>
      </c>
      <c r="E84">
        <f t="shared" ca="1" si="37"/>
        <v>1</v>
      </c>
      <c r="F84">
        <f t="shared" ca="1" si="38"/>
        <v>0</v>
      </c>
      <c r="G84">
        <f t="shared" ca="1" si="39"/>
        <v>0</v>
      </c>
      <c r="H84">
        <f t="shared" ca="1" si="46"/>
        <v>23</v>
      </c>
      <c r="I84">
        <f t="shared" ca="1" si="47"/>
        <v>63</v>
      </c>
      <c r="J84" s="355" t="s">
        <v>101</v>
      </c>
      <c r="K84" s="138" t="str">
        <f t="shared" ca="1" si="40"/>
        <v>1.4.1.</v>
      </c>
      <c r="L84" s="356" t="s">
        <v>230</v>
      </c>
      <c r="M84" s="357"/>
      <c r="N84" s="361" t="s">
        <v>585</v>
      </c>
      <c r="O84" s="362" t="s">
        <v>106</v>
      </c>
      <c r="P84" s="363"/>
      <c r="Q84" s="195"/>
      <c r="R84" s="198" t="s">
        <v>7</v>
      </c>
      <c r="S84" s="103">
        <f t="shared" si="43"/>
        <v>0</v>
      </c>
      <c r="T84" s="83">
        <f t="shared" ca="1" si="44"/>
        <v>0</v>
      </c>
      <c r="U84" s="9" t="str">
        <f t="shared" ca="1" si="41"/>
        <v>SEM VALOR</v>
      </c>
      <c r="V84" s="1" t="str">
        <f ca="1">IF(OR($A84=0,$A84="S",$A84&gt;CFF!$A$9),"",MAX(V$12:OFFSET(V84,-1,0))+1)</f>
        <v/>
      </c>
      <c r="W84" s="4" t="b">
        <f t="shared" si="42"/>
        <v>0</v>
      </c>
      <c r="X84" s="1" t="str">
        <f t="shared" ca="1" si="45"/>
        <v>X</v>
      </c>
      <c r="Y84" s="103">
        <v>0</v>
      </c>
      <c r="Z84" s="113">
        <f ca="1">ROUND(IF(ISNUMBER(R84),R84,IF(LEFT(R84,3)="BDI",HLOOKUP(R84,DADOS!$T$37:$X$38,2,FALSE),0)),15-11*$X$5)</f>
        <v>0.23130000000000001</v>
      </c>
      <c r="AA84" s="1"/>
    </row>
    <row r="85" spans="1:27" ht="25.5" x14ac:dyDescent="0.2">
      <c r="A85" t="str">
        <f t="shared" si="33"/>
        <v>S</v>
      </c>
      <c r="B85">
        <f t="shared" si="34"/>
        <v>0</v>
      </c>
      <c r="C85">
        <f t="shared" ca="1" si="35"/>
        <v>1</v>
      </c>
      <c r="D85">
        <f t="shared" ca="1" si="36"/>
        <v>4</v>
      </c>
      <c r="E85">
        <f t="shared" ca="1" si="37"/>
        <v>1</v>
      </c>
      <c r="F85">
        <f t="shared" ca="1" si="38"/>
        <v>0</v>
      </c>
      <c r="G85">
        <f t="shared" ca="1" si="39"/>
        <v>1</v>
      </c>
      <c r="H85">
        <f t="shared" ca="1" si="46"/>
        <v>0</v>
      </c>
      <c r="I85">
        <f t="shared" ca="1" si="47"/>
        <v>0</v>
      </c>
      <c r="J85" s="355" t="s">
        <v>103</v>
      </c>
      <c r="K85" s="138" t="str">
        <f t="shared" ca="1" si="40"/>
        <v>1.4.1.0.1.</v>
      </c>
      <c r="L85" s="356" t="s">
        <v>230</v>
      </c>
      <c r="M85" s="357" t="s">
        <v>295</v>
      </c>
      <c r="N85" s="360" t="s">
        <v>655</v>
      </c>
      <c r="O85" s="362" t="s">
        <v>940</v>
      </c>
      <c r="P85" s="363">
        <v>138.26</v>
      </c>
      <c r="Q85" s="195"/>
      <c r="R85" s="198" t="s">
        <v>7</v>
      </c>
      <c r="S85" s="103">
        <f t="shared" si="43"/>
        <v>0</v>
      </c>
      <c r="T85" s="83">
        <f t="shared" si="44"/>
        <v>0</v>
      </c>
      <c r="U85" s="9" t="str">
        <f t="shared" si="41"/>
        <v>SEM VALOR</v>
      </c>
      <c r="V85" s="1" t="str">
        <f ca="1">IF(OR($A85=0,$A85="S",$A85&gt;CFF!$A$9),"",MAX(V$12:OFFSET(V85,-1,0))+1)</f>
        <v/>
      </c>
      <c r="W85" s="4" t="str">
        <f t="shared" si="42"/>
        <v>SINAPI-103362</v>
      </c>
      <c r="X85" s="1">
        <f t="shared" ca="1" si="45"/>
        <v>5036</v>
      </c>
      <c r="Y85" s="103">
        <v>128.83000000000001</v>
      </c>
      <c r="Z85" s="113">
        <f ca="1">ROUND(IF(ISNUMBER(R85),R85,IF(LEFT(R85,3)="BDI",HLOOKUP(R85,DADOS!$T$37:$X$38,2,FALSE),0)),15-11*$X$5)</f>
        <v>0.23130000000000001</v>
      </c>
      <c r="AA85" s="1"/>
    </row>
    <row r="86" spans="1:27" ht="25.5" x14ac:dyDescent="0.2">
      <c r="A86" t="str">
        <f t="shared" si="33"/>
        <v>S</v>
      </c>
      <c r="B86">
        <f t="shared" si="34"/>
        <v>0</v>
      </c>
      <c r="C86">
        <f t="shared" ca="1" si="35"/>
        <v>1</v>
      </c>
      <c r="D86">
        <f t="shared" ca="1" si="36"/>
        <v>4</v>
      </c>
      <c r="E86">
        <f t="shared" ca="1" si="37"/>
        <v>1</v>
      </c>
      <c r="F86">
        <f t="shared" ca="1" si="38"/>
        <v>0</v>
      </c>
      <c r="G86">
        <f t="shared" ca="1" si="39"/>
        <v>2</v>
      </c>
      <c r="H86">
        <f t="shared" ca="1" si="46"/>
        <v>0</v>
      </c>
      <c r="I86">
        <f t="shared" ca="1" si="47"/>
        <v>0</v>
      </c>
      <c r="J86" s="355" t="s">
        <v>103</v>
      </c>
      <c r="K86" s="138" t="str">
        <f t="shared" ca="1" si="40"/>
        <v>1.4.1.0.2.</v>
      </c>
      <c r="L86" s="356" t="s">
        <v>230</v>
      </c>
      <c r="M86" s="357" t="s">
        <v>296</v>
      </c>
      <c r="N86" s="360" t="s">
        <v>656</v>
      </c>
      <c r="O86" s="362" t="s">
        <v>940</v>
      </c>
      <c r="P86" s="363">
        <v>70.209999999999994</v>
      </c>
      <c r="Q86" s="195"/>
      <c r="R86" s="198" t="s">
        <v>7</v>
      </c>
      <c r="S86" s="103">
        <f t="shared" si="43"/>
        <v>0</v>
      </c>
      <c r="T86" s="83">
        <f t="shared" si="44"/>
        <v>0</v>
      </c>
      <c r="U86" s="9" t="str">
        <f t="shared" si="41"/>
        <v>SEM VALOR</v>
      </c>
      <c r="V86" s="1" t="str">
        <f ca="1">IF(OR($A86=0,$A86="S",$A86&gt;CFF!$A$9),"",MAX(V$12:OFFSET(V86,-1,0))+1)</f>
        <v/>
      </c>
      <c r="W86" s="4" t="str">
        <f t="shared" si="42"/>
        <v>SINAPI-103360</v>
      </c>
      <c r="X86" s="1">
        <f t="shared" ca="1" si="45"/>
        <v>5030</v>
      </c>
      <c r="Y86" s="103">
        <v>106.06</v>
      </c>
      <c r="Z86" s="113">
        <f ca="1">ROUND(IF(ISNUMBER(R86),R86,IF(LEFT(R86,3)="BDI",HLOOKUP(R86,DADOS!$T$37:$X$38,2,FALSE),0)),15-11*$X$5)</f>
        <v>0.23130000000000001</v>
      </c>
      <c r="AA86" s="1"/>
    </row>
    <row r="87" spans="1:27" ht="25.5" x14ac:dyDescent="0.2">
      <c r="A87" t="str">
        <f t="shared" si="33"/>
        <v>S</v>
      </c>
      <c r="B87">
        <f t="shared" si="34"/>
        <v>0</v>
      </c>
      <c r="C87">
        <f t="shared" ca="1" si="35"/>
        <v>1</v>
      </c>
      <c r="D87">
        <f t="shared" ca="1" si="36"/>
        <v>4</v>
      </c>
      <c r="E87">
        <f t="shared" ca="1" si="37"/>
        <v>1</v>
      </c>
      <c r="F87">
        <f t="shared" ca="1" si="38"/>
        <v>0</v>
      </c>
      <c r="G87">
        <f t="shared" ca="1" si="39"/>
        <v>3</v>
      </c>
      <c r="H87">
        <f t="shared" ca="1" si="46"/>
        <v>0</v>
      </c>
      <c r="I87">
        <f t="shared" ca="1" si="47"/>
        <v>0</v>
      </c>
      <c r="J87" s="355" t="s">
        <v>103</v>
      </c>
      <c r="K87" s="138" t="str">
        <f t="shared" ca="1" si="40"/>
        <v>1.4.1.0.3.</v>
      </c>
      <c r="L87" s="356" t="s">
        <v>230</v>
      </c>
      <c r="M87" s="357" t="s">
        <v>297</v>
      </c>
      <c r="N87" s="360" t="s">
        <v>657</v>
      </c>
      <c r="O87" s="362" t="s">
        <v>940</v>
      </c>
      <c r="P87" s="363">
        <v>91</v>
      </c>
      <c r="Q87" s="195"/>
      <c r="R87" s="198" t="s">
        <v>7</v>
      </c>
      <c r="S87" s="103">
        <f t="shared" si="43"/>
        <v>0</v>
      </c>
      <c r="T87" s="83">
        <f t="shared" si="44"/>
        <v>0</v>
      </c>
      <c r="U87" s="9" t="str">
        <f t="shared" si="41"/>
        <v>SEM VALOR</v>
      </c>
      <c r="V87" s="1" t="str">
        <f ca="1">IF(OR($A87=0,$A87="S",$A87&gt;CFF!$A$9),"",MAX(V$12:OFFSET(V87,-1,0))+1)</f>
        <v/>
      </c>
      <c r="W87" s="4" t="str">
        <f t="shared" si="42"/>
        <v>SINAPI-103358</v>
      </c>
      <c r="X87" s="1">
        <f t="shared" ca="1" si="45"/>
        <v>5026</v>
      </c>
      <c r="Y87" s="103">
        <v>90.7</v>
      </c>
      <c r="Z87" s="113">
        <f ca="1">ROUND(IF(ISNUMBER(R87),R87,IF(LEFT(R87,3)="BDI",HLOOKUP(R87,DADOS!$T$37:$X$38,2,FALSE),0)),15-11*$X$5)</f>
        <v>0.23130000000000001</v>
      </c>
      <c r="AA87" s="1"/>
    </row>
    <row r="88" spans="1:27" ht="38.25" x14ac:dyDescent="0.2">
      <c r="A88" t="str">
        <f t="shared" si="33"/>
        <v>S</v>
      </c>
      <c r="B88">
        <f t="shared" si="34"/>
        <v>0</v>
      </c>
      <c r="C88">
        <f t="shared" ca="1" si="35"/>
        <v>1</v>
      </c>
      <c r="D88">
        <f t="shared" ca="1" si="36"/>
        <v>4</v>
      </c>
      <c r="E88">
        <f t="shared" ca="1" si="37"/>
        <v>1</v>
      </c>
      <c r="F88">
        <f t="shared" ca="1" si="38"/>
        <v>0</v>
      </c>
      <c r="G88">
        <f t="shared" ca="1" si="39"/>
        <v>4</v>
      </c>
      <c r="H88">
        <f t="shared" ca="1" si="46"/>
        <v>0</v>
      </c>
      <c r="I88">
        <f t="shared" ca="1" si="47"/>
        <v>0</v>
      </c>
      <c r="J88" s="355" t="s">
        <v>103</v>
      </c>
      <c r="K88" s="138" t="str">
        <f t="shared" ca="1" si="40"/>
        <v>1.4.1.0.4.</v>
      </c>
      <c r="L88" s="356" t="s">
        <v>230</v>
      </c>
      <c r="M88" s="357" t="s">
        <v>298</v>
      </c>
      <c r="N88" s="360" t="s">
        <v>658</v>
      </c>
      <c r="O88" s="362" t="s">
        <v>940</v>
      </c>
      <c r="P88" s="363">
        <v>285.43</v>
      </c>
      <c r="Q88" s="195"/>
      <c r="R88" s="198" t="s">
        <v>7</v>
      </c>
      <c r="S88" s="103">
        <f t="shared" si="43"/>
        <v>0</v>
      </c>
      <c r="T88" s="83">
        <f t="shared" si="44"/>
        <v>0</v>
      </c>
      <c r="U88" s="9" t="str">
        <f t="shared" si="41"/>
        <v>SEM VALOR</v>
      </c>
      <c r="V88" s="1" t="str">
        <f ca="1">IF(OR($A88=0,$A88="S",$A88&gt;CFF!$A$9),"",MAX(V$12:OFFSET(V88,-1,0))+1)</f>
        <v/>
      </c>
      <c r="W88" s="4" t="str">
        <f t="shared" si="42"/>
        <v>SINAPI-96359</v>
      </c>
      <c r="X88" s="1">
        <f t="shared" ca="1" si="45"/>
        <v>12935</v>
      </c>
      <c r="Y88" s="103">
        <v>144.63</v>
      </c>
      <c r="Z88" s="113">
        <f ca="1">ROUND(IF(ISNUMBER(R88),R88,IF(LEFT(R88,3)="BDI",HLOOKUP(R88,DADOS!$T$37:$X$38,2,FALSE),0)),15-11*$X$5)</f>
        <v>0.23130000000000001</v>
      </c>
      <c r="AA88" s="1"/>
    </row>
    <row r="89" spans="1:27" x14ac:dyDescent="0.2">
      <c r="A89" t="str">
        <f t="shared" si="33"/>
        <v>S</v>
      </c>
      <c r="B89">
        <f t="shared" si="34"/>
        <v>0</v>
      </c>
      <c r="C89">
        <f t="shared" ca="1" si="35"/>
        <v>1</v>
      </c>
      <c r="D89">
        <f t="shared" ca="1" si="36"/>
        <v>4</v>
      </c>
      <c r="E89">
        <f t="shared" ca="1" si="37"/>
        <v>1</v>
      </c>
      <c r="F89">
        <f t="shared" ca="1" si="38"/>
        <v>0</v>
      </c>
      <c r="G89">
        <f t="shared" ca="1" si="39"/>
        <v>5</v>
      </c>
      <c r="H89">
        <f t="shared" ca="1" si="46"/>
        <v>0</v>
      </c>
      <c r="I89">
        <f t="shared" ca="1" si="47"/>
        <v>0</v>
      </c>
      <c r="J89" s="355" t="s">
        <v>103</v>
      </c>
      <c r="K89" s="138" t="str">
        <f t="shared" ca="1" si="40"/>
        <v>1.4.1.0.5.</v>
      </c>
      <c r="L89" s="356" t="s">
        <v>235</v>
      </c>
      <c r="M89" s="357" t="s">
        <v>299</v>
      </c>
      <c r="N89" s="360" t="s">
        <v>659</v>
      </c>
      <c r="O89" s="362" t="s">
        <v>940</v>
      </c>
      <c r="P89" s="363">
        <v>285.43</v>
      </c>
      <c r="Q89" s="195"/>
      <c r="R89" s="198" t="s">
        <v>7</v>
      </c>
      <c r="S89" s="103">
        <f t="shared" si="43"/>
        <v>0</v>
      </c>
      <c r="T89" s="83">
        <f t="shared" si="44"/>
        <v>0</v>
      </c>
      <c r="U89" s="9" t="str">
        <f t="shared" si="41"/>
        <v>SEM VALOR</v>
      </c>
      <c r="V89" s="1" t="str">
        <f ca="1">IF(OR($A89=0,$A89="S",$A89&gt;CFF!$A$9),"",MAX(V$12:OFFSET(V89,-1,0))+1)</f>
        <v/>
      </c>
      <c r="W89" s="4" t="str">
        <f t="shared" si="42"/>
        <v>PM BENTO-11</v>
      </c>
      <c r="X89" s="1">
        <f t="shared" ca="1" si="45"/>
        <v>17</v>
      </c>
      <c r="Y89" s="103">
        <v>26.9</v>
      </c>
      <c r="Z89" s="113">
        <f ca="1">ROUND(IF(ISNUMBER(R89),R89,IF(LEFT(R89,3)="BDI",HLOOKUP(R89,DADOS!$T$37:$X$38,2,FALSE),0)),15-11*$X$5)</f>
        <v>0.23130000000000001</v>
      </c>
      <c r="AA89" s="1"/>
    </row>
    <row r="90" spans="1:27" x14ac:dyDescent="0.2">
      <c r="A90" t="str">
        <f t="shared" si="33"/>
        <v>S</v>
      </c>
      <c r="B90">
        <f t="shared" si="34"/>
        <v>0</v>
      </c>
      <c r="C90">
        <f t="shared" ca="1" si="35"/>
        <v>1</v>
      </c>
      <c r="D90">
        <f t="shared" ca="1" si="36"/>
        <v>4</v>
      </c>
      <c r="E90">
        <f t="shared" ca="1" si="37"/>
        <v>1</v>
      </c>
      <c r="F90">
        <f t="shared" ca="1" si="38"/>
        <v>0</v>
      </c>
      <c r="G90">
        <f t="shared" ca="1" si="39"/>
        <v>6</v>
      </c>
      <c r="H90">
        <f t="shared" ca="1" si="46"/>
        <v>0</v>
      </c>
      <c r="I90">
        <f t="shared" ca="1" si="47"/>
        <v>0</v>
      </c>
      <c r="J90" s="355" t="s">
        <v>103</v>
      </c>
      <c r="K90" s="138" t="str">
        <f t="shared" ca="1" si="40"/>
        <v>1.4.1.0.6.</v>
      </c>
      <c r="L90" s="356" t="s">
        <v>230</v>
      </c>
      <c r="M90" s="359" t="s">
        <v>300</v>
      </c>
      <c r="N90" s="360" t="s">
        <v>660</v>
      </c>
      <c r="O90" s="362" t="s">
        <v>945</v>
      </c>
      <c r="P90" s="363">
        <v>51.95</v>
      </c>
      <c r="Q90" s="195"/>
      <c r="R90" s="198" t="s">
        <v>7</v>
      </c>
      <c r="S90" s="103">
        <f t="shared" si="43"/>
        <v>0</v>
      </c>
      <c r="T90" s="83">
        <f t="shared" si="44"/>
        <v>0</v>
      </c>
      <c r="U90" s="9" t="str">
        <f t="shared" si="41"/>
        <v>SEM VALOR</v>
      </c>
      <c r="V90" s="1" t="str">
        <f ca="1">IF(OR($A90=0,$A90="S",$A90&gt;CFF!$A$9),"",MAX(V$12:OFFSET(V90,-1,0))+1)</f>
        <v/>
      </c>
      <c r="W90" s="4" t="str">
        <f t="shared" si="42"/>
        <v>SINAPI-96374</v>
      </c>
      <c r="X90" s="1">
        <f t="shared" ca="1" si="45"/>
        <v>12923</v>
      </c>
      <c r="Y90" s="103">
        <v>35.28</v>
      </c>
      <c r="Z90" s="113">
        <f ca="1">ROUND(IF(ISNUMBER(R90),R90,IF(LEFT(R90,3)="BDI",HLOOKUP(R90,DADOS!$T$37:$X$38,2,FALSE),0)),15-11*$X$5)</f>
        <v>0.23130000000000001</v>
      </c>
      <c r="AA90" s="1"/>
    </row>
    <row r="91" spans="1:27" ht="38.25" x14ac:dyDescent="0.2">
      <c r="A91" t="str">
        <f t="shared" si="33"/>
        <v>S</v>
      </c>
      <c r="B91">
        <f t="shared" si="34"/>
        <v>0</v>
      </c>
      <c r="C91">
        <f t="shared" ca="1" si="35"/>
        <v>1</v>
      </c>
      <c r="D91">
        <f t="shared" ca="1" si="36"/>
        <v>4</v>
      </c>
      <c r="E91">
        <f t="shared" ca="1" si="37"/>
        <v>1</v>
      </c>
      <c r="F91">
        <f t="shared" ca="1" si="38"/>
        <v>0</v>
      </c>
      <c r="G91">
        <f t="shared" ca="1" si="39"/>
        <v>7</v>
      </c>
      <c r="H91">
        <f t="shared" ca="1" si="46"/>
        <v>0</v>
      </c>
      <c r="I91">
        <f t="shared" ca="1" si="47"/>
        <v>0</v>
      </c>
      <c r="J91" s="355" t="s">
        <v>103</v>
      </c>
      <c r="K91" s="138" t="str">
        <f t="shared" ca="1" si="40"/>
        <v>1.4.1.0.7.</v>
      </c>
      <c r="L91" s="356" t="s">
        <v>230</v>
      </c>
      <c r="M91" s="359" t="s">
        <v>301</v>
      </c>
      <c r="N91" s="360" t="s">
        <v>661</v>
      </c>
      <c r="O91" s="362" t="s">
        <v>940</v>
      </c>
      <c r="P91" s="363">
        <v>231.58</v>
      </c>
      <c r="Q91" s="195"/>
      <c r="R91" s="198" t="s">
        <v>7</v>
      </c>
      <c r="S91" s="103">
        <f t="shared" si="43"/>
        <v>0</v>
      </c>
      <c r="T91" s="83">
        <f t="shared" si="44"/>
        <v>0</v>
      </c>
      <c r="U91" s="9" t="str">
        <f t="shared" si="41"/>
        <v>SEM VALOR</v>
      </c>
      <c r="V91" s="1" t="str">
        <f ca="1">IF(OR($A91=0,$A91="S",$A91&gt;CFF!$A$9),"",MAX(V$12:OFFSET(V91,-1,0))+1)</f>
        <v/>
      </c>
      <c r="W91" s="4" t="str">
        <f t="shared" si="42"/>
        <v>SINAPI-87905</v>
      </c>
      <c r="X91" s="1">
        <f t="shared" ca="1" si="45"/>
        <v>6278</v>
      </c>
      <c r="Y91" s="103">
        <v>10.9</v>
      </c>
      <c r="Z91" s="113">
        <f ca="1">ROUND(IF(ISNUMBER(R91),R91,IF(LEFT(R91,3)="BDI",HLOOKUP(R91,DADOS!$T$37:$X$38,2,FALSE),0)),15-11*$X$5)</f>
        <v>0.23130000000000001</v>
      </c>
      <c r="AA91" s="1"/>
    </row>
    <row r="92" spans="1:27" ht="25.5" x14ac:dyDescent="0.2">
      <c r="A92" t="str">
        <f t="shared" si="33"/>
        <v>S</v>
      </c>
      <c r="B92">
        <f t="shared" si="34"/>
        <v>0</v>
      </c>
      <c r="C92">
        <f t="shared" ca="1" si="35"/>
        <v>1</v>
      </c>
      <c r="D92">
        <f t="shared" ca="1" si="36"/>
        <v>4</v>
      </c>
      <c r="E92">
        <f t="shared" ca="1" si="37"/>
        <v>1</v>
      </c>
      <c r="F92">
        <f t="shared" ca="1" si="38"/>
        <v>0</v>
      </c>
      <c r="G92">
        <f t="shared" ca="1" si="39"/>
        <v>8</v>
      </c>
      <c r="H92">
        <f t="shared" ca="1" si="46"/>
        <v>0</v>
      </c>
      <c r="I92">
        <f t="shared" ca="1" si="47"/>
        <v>0</v>
      </c>
      <c r="J92" s="355" t="s">
        <v>103</v>
      </c>
      <c r="K92" s="138" t="str">
        <f t="shared" ca="1" si="40"/>
        <v>1.4.1.0.8.</v>
      </c>
      <c r="L92" s="356" t="s">
        <v>230</v>
      </c>
      <c r="M92" s="359" t="s">
        <v>302</v>
      </c>
      <c r="N92" s="360" t="s">
        <v>662</v>
      </c>
      <c r="O92" s="362" t="s">
        <v>940</v>
      </c>
      <c r="P92" s="363">
        <v>370.09</v>
      </c>
      <c r="Q92" s="195"/>
      <c r="R92" s="198" t="s">
        <v>7</v>
      </c>
      <c r="S92" s="103">
        <f t="shared" ref="S92:S95" si="48">IF($A92="S",IF($Q$10="Preço Unitário (R$)",PO.CustoUnitario,ROUND(PO.CustoUnitario*(1+$Z92),15-13*$X$6)),0)</f>
        <v>0</v>
      </c>
      <c r="T92" s="83">
        <f t="shared" ref="T92:T95" si="49">IF($A92="S",VTOTAL1,IF($A92=0,0,ROUND(SomaAgrup,15-13*$X$7)))</f>
        <v>0</v>
      </c>
      <c r="U92" s="9" t="str">
        <f t="shared" si="41"/>
        <v>SEM VALOR</v>
      </c>
      <c r="V92" s="1" t="str">
        <f ca="1">IF(OR($A92=0,$A92="S",$A92&gt;CFF!$A$9),"",MAX(V$12:OFFSET(V92,-1,0))+1)</f>
        <v/>
      </c>
      <c r="W92" s="4" t="str">
        <f t="shared" si="42"/>
        <v>SINAPI-87879</v>
      </c>
      <c r="X92" s="1">
        <f t="shared" ref="X92:X95" ca="1" si="50">IF(AND(Fonte&lt;&gt;"",Código&lt;&gt;""),MATCH(Fonte&amp;" "&amp;IF(Fonte="sinapi",SUBSTITUTE(SUBSTITUTE(Código,"/00","/"),"/0","/"),Código),INDIRECT("'[Referência "&amp;_xlnm.Database&amp;".xls]Banco'!$a:$a"),0),"X")</f>
        <v>6296</v>
      </c>
      <c r="Y92" s="103">
        <v>6.08</v>
      </c>
      <c r="Z92" s="113">
        <f ca="1">ROUND(IF(ISNUMBER(R92),R92,IF(LEFT(R92,3)="BDI",HLOOKUP(R92,DADOS!$T$37:$X$38,2,FALSE),0)),15-11*$X$5)</f>
        <v>0.23130000000000001</v>
      </c>
      <c r="AA92" s="1"/>
    </row>
    <row r="93" spans="1:27" ht="25.5" x14ac:dyDescent="0.2">
      <c r="A93" t="str">
        <f t="shared" si="33"/>
        <v>S</v>
      </c>
      <c r="B93">
        <f t="shared" si="34"/>
        <v>0</v>
      </c>
      <c r="C93">
        <f t="shared" ca="1" si="35"/>
        <v>1</v>
      </c>
      <c r="D93">
        <f t="shared" ca="1" si="36"/>
        <v>4</v>
      </c>
      <c r="E93">
        <f t="shared" ca="1" si="37"/>
        <v>1</v>
      </c>
      <c r="F93">
        <f t="shared" ca="1" si="38"/>
        <v>0</v>
      </c>
      <c r="G93">
        <f t="shared" ca="1" si="39"/>
        <v>9</v>
      </c>
      <c r="H93">
        <f t="shared" ca="1" si="46"/>
        <v>0</v>
      </c>
      <c r="I93">
        <f t="shared" ca="1" si="47"/>
        <v>0</v>
      </c>
      <c r="J93" s="355" t="s">
        <v>103</v>
      </c>
      <c r="K93" s="138" t="str">
        <f t="shared" ca="1" si="40"/>
        <v>1.4.1.0.9.</v>
      </c>
      <c r="L93" s="356" t="s">
        <v>230</v>
      </c>
      <c r="M93" s="359" t="s">
        <v>303</v>
      </c>
      <c r="N93" s="360" t="s">
        <v>663</v>
      </c>
      <c r="O93" s="362" t="s">
        <v>940</v>
      </c>
      <c r="P93" s="363">
        <v>5.63</v>
      </c>
      <c r="Q93" s="195"/>
      <c r="R93" s="198" t="s">
        <v>7</v>
      </c>
      <c r="S93" s="103">
        <f t="shared" si="48"/>
        <v>0</v>
      </c>
      <c r="T93" s="83">
        <f t="shared" si="49"/>
        <v>0</v>
      </c>
      <c r="U93" s="9" t="str">
        <f t="shared" si="41"/>
        <v>SEM VALOR</v>
      </c>
      <c r="V93" s="1" t="str">
        <f ca="1">IF(OR($A93=0,$A93="S",$A93&gt;CFF!$A$9),"",MAX(V$12:OFFSET(V93,-1,0))+1)</f>
        <v/>
      </c>
      <c r="W93" s="4" t="str">
        <f t="shared" si="42"/>
        <v>SINAPI-87882</v>
      </c>
      <c r="X93" s="1">
        <f t="shared" ca="1" si="50"/>
        <v>6300</v>
      </c>
      <c r="Y93" s="103">
        <v>8.56</v>
      </c>
      <c r="Z93" s="113">
        <f ca="1">ROUND(IF(ISNUMBER(R93),R93,IF(LEFT(R93,3)="BDI",HLOOKUP(R93,DADOS!$T$37:$X$38,2,FALSE),0)),15-11*$X$5)</f>
        <v>0.23130000000000001</v>
      </c>
      <c r="AA93" s="1"/>
    </row>
    <row r="94" spans="1:27" ht="38.25" x14ac:dyDescent="0.2">
      <c r="A94" t="str">
        <f t="shared" si="33"/>
        <v>S</v>
      </c>
      <c r="B94">
        <f t="shared" si="34"/>
        <v>0</v>
      </c>
      <c r="C94">
        <f t="shared" ca="1" si="35"/>
        <v>1</v>
      </c>
      <c r="D94">
        <f t="shared" ca="1" si="36"/>
        <v>4</v>
      </c>
      <c r="E94">
        <f t="shared" ca="1" si="37"/>
        <v>1</v>
      </c>
      <c r="F94">
        <f t="shared" ca="1" si="38"/>
        <v>0</v>
      </c>
      <c r="G94">
        <f t="shared" ca="1" si="39"/>
        <v>10</v>
      </c>
      <c r="H94">
        <f t="shared" ca="1" si="46"/>
        <v>0</v>
      </c>
      <c r="I94">
        <f t="shared" ca="1" si="47"/>
        <v>0</v>
      </c>
      <c r="J94" s="355" t="s">
        <v>103</v>
      </c>
      <c r="K94" s="138" t="str">
        <f t="shared" ca="1" si="40"/>
        <v>1.4.1.0.10.</v>
      </c>
      <c r="L94" s="356" t="s">
        <v>230</v>
      </c>
      <c r="M94" s="359" t="s">
        <v>304</v>
      </c>
      <c r="N94" s="360" t="s">
        <v>664</v>
      </c>
      <c r="O94" s="362" t="s">
        <v>940</v>
      </c>
      <c r="P94" s="363">
        <v>231.58</v>
      </c>
      <c r="Q94" s="195"/>
      <c r="R94" s="198" t="s">
        <v>7</v>
      </c>
      <c r="S94" s="103">
        <f t="shared" si="48"/>
        <v>0</v>
      </c>
      <c r="T94" s="83">
        <f t="shared" si="49"/>
        <v>0</v>
      </c>
      <c r="U94" s="9" t="str">
        <f t="shared" si="41"/>
        <v>SEM VALOR</v>
      </c>
      <c r="V94" s="1" t="str">
        <f ca="1">IF(OR($A94=0,$A94="S",$A94&gt;CFF!$A$9),"",MAX(V$12:OFFSET(V94,-1,0))+1)</f>
        <v/>
      </c>
      <c r="W94" s="4" t="str">
        <f t="shared" si="42"/>
        <v>SINAPI-87779</v>
      </c>
      <c r="X94" s="1">
        <f t="shared" ca="1" si="50"/>
        <v>12629</v>
      </c>
      <c r="Y94" s="103">
        <v>94.58</v>
      </c>
      <c r="Z94" s="113">
        <f ca="1">ROUND(IF(ISNUMBER(R94),R94,IF(LEFT(R94,3)="BDI",HLOOKUP(R94,DADOS!$T$37:$X$38,2,FALSE),0)),15-11*$X$5)</f>
        <v>0.23130000000000001</v>
      </c>
      <c r="AA94" s="1"/>
    </row>
    <row r="95" spans="1:27" ht="25.5" x14ac:dyDescent="0.2">
      <c r="A95" t="str">
        <f t="shared" si="33"/>
        <v>S</v>
      </c>
      <c r="B95">
        <f t="shared" si="34"/>
        <v>0</v>
      </c>
      <c r="C95">
        <f t="shared" ca="1" si="35"/>
        <v>1</v>
      </c>
      <c r="D95">
        <f t="shared" ca="1" si="36"/>
        <v>4</v>
      </c>
      <c r="E95">
        <f t="shared" ca="1" si="37"/>
        <v>1</v>
      </c>
      <c r="F95">
        <f t="shared" ca="1" si="38"/>
        <v>0</v>
      </c>
      <c r="G95">
        <f t="shared" ca="1" si="39"/>
        <v>11</v>
      </c>
      <c r="H95">
        <f t="shared" ca="1" si="46"/>
        <v>0</v>
      </c>
      <c r="I95">
        <f t="shared" ca="1" si="47"/>
        <v>0</v>
      </c>
      <c r="J95" s="355" t="s">
        <v>103</v>
      </c>
      <c r="K95" s="138" t="str">
        <f t="shared" ca="1" si="40"/>
        <v>1.4.1.0.11.</v>
      </c>
      <c r="L95" s="356" t="s">
        <v>230</v>
      </c>
      <c r="M95" s="359" t="s">
        <v>305</v>
      </c>
      <c r="N95" s="360" t="s">
        <v>665</v>
      </c>
      <c r="O95" s="362" t="s">
        <v>940</v>
      </c>
      <c r="P95" s="363">
        <v>370.09</v>
      </c>
      <c r="Q95" s="195"/>
      <c r="R95" s="198" t="s">
        <v>7</v>
      </c>
      <c r="S95" s="103">
        <f t="shared" si="48"/>
        <v>0</v>
      </c>
      <c r="T95" s="83">
        <f t="shared" si="49"/>
        <v>0</v>
      </c>
      <c r="U95" s="9" t="str">
        <f t="shared" si="41"/>
        <v>SEM VALOR</v>
      </c>
      <c r="V95" s="1" t="str">
        <f ca="1">IF(OR($A95=0,$A95="S",$A95&gt;CFF!$A$9),"",MAX(V$12:OFFSET(V95,-1,0))+1)</f>
        <v/>
      </c>
      <c r="W95" s="4" t="str">
        <f t="shared" si="42"/>
        <v>SINAPI-104951</v>
      </c>
      <c r="X95" s="1">
        <f t="shared" ca="1" si="50"/>
        <v>12685</v>
      </c>
      <c r="Y95" s="103">
        <v>44.08</v>
      </c>
      <c r="Z95" s="113">
        <f ca="1">ROUND(IF(ISNUMBER(R95),R95,IF(LEFT(R95,3)="BDI",HLOOKUP(R95,DADOS!$T$37:$X$38,2,FALSE),0)),15-11*$X$5)</f>
        <v>0.23130000000000001</v>
      </c>
      <c r="AA95" s="1"/>
    </row>
    <row r="96" spans="1:27" ht="25.5" x14ac:dyDescent="0.2">
      <c r="A96" t="str">
        <f>CHOOSE(1+LOG(1+2*(J96="Meta")+4*(J96="Nível 2")+8*(J96="Nível 3")+16*(J96="Nível 4")+32*(J96="Serviço"),2),0,1,2,3,4,"S")</f>
        <v>S</v>
      </c>
      <c r="B96">
        <f>IF(OR(A96="S",A96=0),0,IF(ISERROR(I96),H96,SMALL(H96:I96,1)))</f>
        <v>0</v>
      </c>
      <c r="C96">
        <f ca="1">IF($A96=1,OFFSET(C96,-1,0)+1,OFFSET(C96,-1,0))</f>
        <v>1</v>
      </c>
      <c r="D96">
        <f ca="1">IF($A96=1,0,IF($A96=2,OFFSET(D96,-1,0)+1,OFFSET(D96,-1,0)))</f>
        <v>4</v>
      </c>
      <c r="E96">
        <f ca="1">IF(AND($A96&lt;=2,$A96&lt;&gt;0),0,IF($A96=3,OFFSET(E96,-1,0)+1,OFFSET(E96,-1,0)))</f>
        <v>1</v>
      </c>
      <c r="F96">
        <f ca="1">IF(AND($A96&lt;=3,$A96&lt;&gt;0),0,IF($A96=4,OFFSET(F96,-1,0)+1,OFFSET(F96,-1,0)))</f>
        <v>0</v>
      </c>
      <c r="G96">
        <f ca="1">IF(AND($A96&lt;=4,$A96&lt;&gt;0),0,IF($A96="S",OFFSET(G96,-1,0)+1,OFFSET(G96,-1,0)))</f>
        <v>12</v>
      </c>
      <c r="H96">
        <f t="shared" ca="1" si="46"/>
        <v>0</v>
      </c>
      <c r="I96">
        <f t="shared" ca="1" si="47"/>
        <v>0</v>
      </c>
      <c r="J96" s="355" t="s">
        <v>103</v>
      </c>
      <c r="K96" s="138" t="str">
        <f ca="1">IF($A96=0,"-",CONCATENATE(C96&amp;".",IF(AND($A$5&gt;=2,$A96&gt;=2),D96&amp;".",""),IF(AND($A$5&gt;=3,$A96&gt;=3),E96&amp;".",""),IF(AND($A$5&gt;=4,$A96&gt;=4),F96&amp;".",""),IF($A96="S",G96&amp;".","")))</f>
        <v>1.4.1.0.12.</v>
      </c>
      <c r="L96" s="356" t="s">
        <v>230</v>
      </c>
      <c r="M96" s="359" t="s">
        <v>306</v>
      </c>
      <c r="N96" s="360" t="s">
        <v>666</v>
      </c>
      <c r="O96" s="362" t="s">
        <v>940</v>
      </c>
      <c r="P96" s="363">
        <v>5.63</v>
      </c>
      <c r="Q96" s="195"/>
      <c r="R96" s="198" t="s">
        <v>7</v>
      </c>
      <c r="S96" s="103">
        <f t="shared" ref="S96:S159" si="51">IF($A96="S",IF($Q$10="Preço Unitário (R$)",PO.CustoUnitario,ROUND(PO.CustoUnitario*(1+$Z96),15-13*$X$6)),0)</f>
        <v>0</v>
      </c>
      <c r="T96" s="83">
        <f t="shared" ref="T96:T159" si="52">IF($A96="S",VTOTAL1,IF($A96=0,0,ROUND(SomaAgrup,15-13*$X$7)))</f>
        <v>0</v>
      </c>
      <c r="U96" s="9" t="str">
        <f>IF($J96="","",IF($N96="","DESCRIÇÃO",IF(AND($J96="Serviço",$O96=""),"UNIDADE",IF($T96&lt;=0,"SEM VALOR",IF(AND($Y96&lt;&gt;"",$Q96&gt;$Y96),"ACIMA REF.","")))))</f>
        <v>SEM VALOR</v>
      </c>
      <c r="V96" s="1" t="str">
        <f ca="1">IF(OR($A96=0,$A96="S",$A96&gt;CFF!$A$9),"",MAX(V$12:OFFSET(V96,-1,0))+1)</f>
        <v/>
      </c>
      <c r="W96" s="4" t="str">
        <f>IF(AND($J96="Serviço",$M96&lt;&gt;""),IF($L96="",$M96,CONCATENATE($L96,"-",$M96)))</f>
        <v>SINAPI-90406</v>
      </c>
      <c r="X96" s="1">
        <f t="shared" ref="X96:X159" ca="1" si="53">IF(AND(Fonte&lt;&gt;"",Código&lt;&gt;""),MATCH(Fonte&amp;" "&amp;IF(Fonte="sinapi",SUBSTITUTE(SUBSTITUTE(Código,"/00","/"),"/0","/"),Código),INDIRECT("'[Referência "&amp;_xlnm.Database&amp;".xls]Banco'!$a:$a"),0),"X")</f>
        <v>12689</v>
      </c>
      <c r="Y96" s="103">
        <v>57.45</v>
      </c>
      <c r="Z96" s="113">
        <f ca="1">ROUND(IF(ISNUMBER(R96),R96,IF(LEFT(R96,3)="BDI",HLOOKUP(R96,DADOS!$T$37:$X$38,2,FALSE),0)),15-11*$X$5)</f>
        <v>0.23130000000000001</v>
      </c>
      <c r="AA96" s="1"/>
    </row>
    <row r="97" spans="1:27" x14ac:dyDescent="0.2">
      <c r="A97" t="str">
        <f t="shared" ref="A97:A160" si="54">CHOOSE(1+LOG(1+2*(J97="Meta")+4*(J97="Nível 2")+8*(J97="Nível 3")+16*(J97="Nível 4")+32*(J97="Serviço"),2),0,1,2,3,4,"S")</f>
        <v>S</v>
      </c>
      <c r="B97">
        <f t="shared" ref="B97:B160" si="55">IF(OR(A97="S",A97=0),0,IF(ISERROR(I97),H97,SMALL(H97:I97,1)))</f>
        <v>0</v>
      </c>
      <c r="C97">
        <f t="shared" ref="C97:C160" ca="1" si="56">IF($A97=1,OFFSET(C97,-1,0)+1,OFFSET(C97,-1,0))</f>
        <v>1</v>
      </c>
      <c r="D97">
        <f t="shared" ref="D97:D160" ca="1" si="57">IF($A97=1,0,IF($A97=2,OFFSET(D97,-1,0)+1,OFFSET(D97,-1,0)))</f>
        <v>4</v>
      </c>
      <c r="E97">
        <f t="shared" ref="E97:E160" ca="1" si="58">IF(AND($A97&lt;=2,$A97&lt;&gt;0),0,IF($A97=3,OFFSET(E97,-1,0)+1,OFFSET(E97,-1,0)))</f>
        <v>1</v>
      </c>
      <c r="F97">
        <f t="shared" ref="F97:F160" ca="1" si="59">IF(AND($A97&lt;=3,$A97&lt;&gt;0),0,IF($A97=4,OFFSET(F97,-1,0)+1,OFFSET(F97,-1,0)))</f>
        <v>0</v>
      </c>
      <c r="G97">
        <f t="shared" ref="G97:G160" ca="1" si="60">IF(AND($A97&lt;=4,$A97&lt;&gt;0),0,IF($A97="S",OFFSET(G97,-1,0)+1,OFFSET(G97,-1,0)))</f>
        <v>13</v>
      </c>
      <c r="H97">
        <f t="shared" ca="1" si="46"/>
        <v>0</v>
      </c>
      <c r="I97">
        <f t="shared" ca="1" si="47"/>
        <v>0</v>
      </c>
      <c r="J97" s="355" t="s">
        <v>103</v>
      </c>
      <c r="K97" s="138" t="str">
        <f t="shared" ref="K97:K160" ca="1" si="61">IF($A97=0,"-",CONCATENATE(C97&amp;".",IF(AND($A$5&gt;=2,$A97&gt;=2),D97&amp;".",""),IF(AND($A$5&gt;=3,$A97&gt;=3),E97&amp;".",""),IF(AND($A$5&gt;=4,$A97&gt;=4),F97&amp;".",""),IF($A97="S",G97&amp;".","")))</f>
        <v>1.4.1.0.13.</v>
      </c>
      <c r="L97" s="356" t="s">
        <v>230</v>
      </c>
      <c r="M97" s="359" t="s">
        <v>307</v>
      </c>
      <c r="N97" s="360" t="s">
        <v>667</v>
      </c>
      <c r="O97" s="362" t="s">
        <v>940</v>
      </c>
      <c r="P97" s="363">
        <v>1065.99</v>
      </c>
      <c r="Q97" s="195"/>
      <c r="R97" s="198" t="s">
        <v>7</v>
      </c>
      <c r="S97" s="103">
        <f t="shared" si="51"/>
        <v>0</v>
      </c>
      <c r="T97" s="83">
        <f t="shared" si="52"/>
        <v>0</v>
      </c>
      <c r="U97" s="9" t="str">
        <f t="shared" ref="U97:U160" si="62">IF($J97="","",IF($N97="","DESCRIÇÃO",IF(AND($J97="Serviço",$O97=""),"UNIDADE",IF($T97&lt;=0,"SEM VALOR",IF(AND($Y97&lt;&gt;"",$Q97&gt;$Y97),"ACIMA REF.","")))))</f>
        <v>SEM VALOR</v>
      </c>
      <c r="V97" s="1" t="str">
        <f ca="1">IF(OR($A97=0,$A97="S",$A97&gt;CFF!$A$9),"",MAX(V$12:OFFSET(V97,-1,0))+1)</f>
        <v/>
      </c>
      <c r="W97" s="4" t="str">
        <f t="shared" ref="W97:W160" si="63">IF(AND($J97="Serviço",$M97&lt;&gt;""),IF($L97="",$M97,CONCATENATE($L97,"-",$M97)))</f>
        <v>SINAPI-88485</v>
      </c>
      <c r="X97" s="1">
        <f t="shared" ca="1" si="53"/>
        <v>13192</v>
      </c>
      <c r="Y97" s="103">
        <v>4.96</v>
      </c>
      <c r="Z97" s="113">
        <f ca="1">ROUND(IF(ISNUMBER(R97),R97,IF(LEFT(R97,3)="BDI",HLOOKUP(R97,DADOS!$T$37:$X$38,2,FALSE),0)),15-11*$X$5)</f>
        <v>0.23130000000000001</v>
      </c>
      <c r="AA97" s="1"/>
    </row>
    <row r="98" spans="1:27" x14ac:dyDescent="0.2">
      <c r="A98" t="str">
        <f t="shared" si="54"/>
        <v>S</v>
      </c>
      <c r="B98">
        <f t="shared" si="55"/>
        <v>0</v>
      </c>
      <c r="C98">
        <f t="shared" ca="1" si="56"/>
        <v>1</v>
      </c>
      <c r="D98">
        <f t="shared" ca="1" si="57"/>
        <v>4</v>
      </c>
      <c r="E98">
        <f t="shared" ca="1" si="58"/>
        <v>1</v>
      </c>
      <c r="F98">
        <f t="shared" ca="1" si="59"/>
        <v>0</v>
      </c>
      <c r="G98">
        <f t="shared" ca="1" si="60"/>
        <v>14</v>
      </c>
      <c r="H98">
        <f t="shared" ca="1" si="46"/>
        <v>0</v>
      </c>
      <c r="I98">
        <f t="shared" ca="1" si="47"/>
        <v>0</v>
      </c>
      <c r="J98" s="355" t="s">
        <v>103</v>
      </c>
      <c r="K98" s="138" t="str">
        <f t="shared" ca="1" si="61"/>
        <v>1.4.1.0.14.</v>
      </c>
      <c r="L98" s="356" t="s">
        <v>230</v>
      </c>
      <c r="M98" s="359" t="s">
        <v>308</v>
      </c>
      <c r="N98" s="360" t="s">
        <v>668</v>
      </c>
      <c r="O98" s="362" t="s">
        <v>940</v>
      </c>
      <c r="P98" s="363">
        <v>231.58</v>
      </c>
      <c r="Q98" s="195"/>
      <c r="R98" s="198" t="s">
        <v>7</v>
      </c>
      <c r="S98" s="103">
        <f t="shared" si="51"/>
        <v>0</v>
      </c>
      <c r="T98" s="83">
        <f t="shared" si="52"/>
        <v>0</v>
      </c>
      <c r="U98" s="9" t="str">
        <f t="shared" si="62"/>
        <v>SEM VALOR</v>
      </c>
      <c r="V98" s="1" t="str">
        <f ca="1">IF(OR($A98=0,$A98="S",$A98&gt;CFF!$A$9),"",MAX(V$12:OFFSET(V98,-1,0))+1)</f>
        <v/>
      </c>
      <c r="W98" s="4" t="str">
        <f t="shared" si="63"/>
        <v>SINAPI-88415</v>
      </c>
      <c r="X98" s="1">
        <f t="shared" ca="1" si="53"/>
        <v>13155</v>
      </c>
      <c r="Y98" s="103">
        <v>5.48</v>
      </c>
      <c r="Z98" s="113">
        <f ca="1">ROUND(IF(ISNUMBER(R98),R98,IF(LEFT(R98,3)="BDI",HLOOKUP(R98,DADOS!$T$37:$X$38,2,FALSE),0)),15-11*$X$5)</f>
        <v>0.23130000000000001</v>
      </c>
      <c r="AA98" s="1"/>
    </row>
    <row r="99" spans="1:27" x14ac:dyDescent="0.2">
      <c r="A99" t="str">
        <f t="shared" si="54"/>
        <v>S</v>
      </c>
      <c r="B99">
        <f t="shared" si="55"/>
        <v>0</v>
      </c>
      <c r="C99">
        <f t="shared" ca="1" si="56"/>
        <v>1</v>
      </c>
      <c r="D99">
        <f t="shared" ca="1" si="57"/>
        <v>4</v>
      </c>
      <c r="E99">
        <f t="shared" ca="1" si="58"/>
        <v>1</v>
      </c>
      <c r="F99">
        <f t="shared" ca="1" si="59"/>
        <v>0</v>
      </c>
      <c r="G99">
        <f t="shared" ca="1" si="60"/>
        <v>15</v>
      </c>
      <c r="H99">
        <f t="shared" ca="1" si="46"/>
        <v>0</v>
      </c>
      <c r="I99">
        <f t="shared" ca="1" si="47"/>
        <v>0</v>
      </c>
      <c r="J99" s="355" t="s">
        <v>103</v>
      </c>
      <c r="K99" s="138" t="str">
        <f t="shared" ca="1" si="61"/>
        <v>1.4.1.0.15.</v>
      </c>
      <c r="L99" s="356" t="s">
        <v>230</v>
      </c>
      <c r="M99" s="359" t="s">
        <v>309</v>
      </c>
      <c r="N99" s="360" t="s">
        <v>669</v>
      </c>
      <c r="O99" s="362" t="s">
        <v>940</v>
      </c>
      <c r="P99" s="363">
        <v>293.61</v>
      </c>
      <c r="Q99" s="195"/>
      <c r="R99" s="198" t="s">
        <v>7</v>
      </c>
      <c r="S99" s="103">
        <f t="shared" si="51"/>
        <v>0</v>
      </c>
      <c r="T99" s="83">
        <f t="shared" si="52"/>
        <v>0</v>
      </c>
      <c r="U99" s="9" t="str">
        <f t="shared" si="62"/>
        <v>SEM VALOR</v>
      </c>
      <c r="V99" s="1" t="str">
        <f ca="1">IF(OR($A99=0,$A99="S",$A99&gt;CFF!$A$9),"",MAX(V$12:OFFSET(V99,-1,0))+1)</f>
        <v/>
      </c>
      <c r="W99" s="4" t="str">
        <f t="shared" si="63"/>
        <v>SINAPI-88484</v>
      </c>
      <c r="X99" s="1">
        <f t="shared" ca="1" si="53"/>
        <v>13193</v>
      </c>
      <c r="Y99" s="103">
        <v>6.23</v>
      </c>
      <c r="Z99" s="113">
        <f ca="1">ROUND(IF(ISNUMBER(R99),R99,IF(LEFT(R99,3)="BDI",HLOOKUP(R99,DADOS!$T$37:$X$38,2,FALSE),0)),15-11*$X$5)</f>
        <v>0.23130000000000001</v>
      </c>
      <c r="AA99" s="1"/>
    </row>
    <row r="100" spans="1:27" ht="25.5" x14ac:dyDescent="0.2">
      <c r="A100" t="str">
        <f t="shared" si="54"/>
        <v>S</v>
      </c>
      <c r="B100">
        <f t="shared" si="55"/>
        <v>0</v>
      </c>
      <c r="C100">
        <f t="shared" ca="1" si="56"/>
        <v>1</v>
      </c>
      <c r="D100">
        <f t="shared" ca="1" si="57"/>
        <v>4</v>
      </c>
      <c r="E100">
        <f t="shared" ca="1" si="58"/>
        <v>1</v>
      </c>
      <c r="F100">
        <f t="shared" ca="1" si="59"/>
        <v>0</v>
      </c>
      <c r="G100">
        <f t="shared" ca="1" si="60"/>
        <v>16</v>
      </c>
      <c r="H100">
        <f t="shared" ca="1" si="46"/>
        <v>0</v>
      </c>
      <c r="I100">
        <f t="shared" ca="1" si="47"/>
        <v>0</v>
      </c>
      <c r="J100" s="355" t="s">
        <v>103</v>
      </c>
      <c r="K100" s="138" t="str">
        <f t="shared" ca="1" si="61"/>
        <v>1.4.1.0.16.</v>
      </c>
      <c r="L100" s="356" t="s">
        <v>230</v>
      </c>
      <c r="M100" s="357" t="s">
        <v>310</v>
      </c>
      <c r="N100" s="360" t="s">
        <v>670</v>
      </c>
      <c r="O100" s="362" t="s">
        <v>940</v>
      </c>
      <c r="P100" s="363">
        <v>1011.56</v>
      </c>
      <c r="Q100" s="195"/>
      <c r="R100" s="198" t="s">
        <v>7</v>
      </c>
      <c r="S100" s="103">
        <f t="shared" si="51"/>
        <v>0</v>
      </c>
      <c r="T100" s="83">
        <f t="shared" si="52"/>
        <v>0</v>
      </c>
      <c r="U100" s="9" t="str">
        <f t="shared" si="62"/>
        <v>SEM VALOR</v>
      </c>
      <c r="V100" s="1" t="str">
        <f ca="1">IF(OR($A100=0,$A100="S",$A100&gt;CFF!$A$9),"",MAX(V$12:OFFSET(V100,-1,0))+1)</f>
        <v/>
      </c>
      <c r="W100" s="4" t="str">
        <f t="shared" si="63"/>
        <v>SINAPI-88497</v>
      </c>
      <c r="X100" s="1">
        <f t="shared" ca="1" si="53"/>
        <v>13184</v>
      </c>
      <c r="Y100" s="103">
        <v>25.09</v>
      </c>
      <c r="Z100" s="113">
        <f ca="1">ROUND(IF(ISNUMBER(R100),R100,IF(LEFT(R100,3)="BDI",HLOOKUP(R100,DADOS!$T$37:$X$38,2,FALSE),0)),15-11*$X$5)</f>
        <v>0.23130000000000001</v>
      </c>
      <c r="AA100" s="1"/>
    </row>
    <row r="101" spans="1:27" x14ac:dyDescent="0.2">
      <c r="A101" t="str">
        <f t="shared" si="54"/>
        <v>S</v>
      </c>
      <c r="B101">
        <f t="shared" si="55"/>
        <v>0</v>
      </c>
      <c r="C101">
        <f t="shared" ca="1" si="56"/>
        <v>1</v>
      </c>
      <c r="D101">
        <f t="shared" ca="1" si="57"/>
        <v>4</v>
      </c>
      <c r="E101">
        <f t="shared" ca="1" si="58"/>
        <v>1</v>
      </c>
      <c r="F101">
        <f t="shared" ca="1" si="59"/>
        <v>0</v>
      </c>
      <c r="G101">
        <f t="shared" ca="1" si="60"/>
        <v>17</v>
      </c>
      <c r="H101">
        <f t="shared" ca="1" si="46"/>
        <v>0</v>
      </c>
      <c r="I101">
        <f t="shared" ca="1" si="47"/>
        <v>0</v>
      </c>
      <c r="J101" s="355" t="s">
        <v>103</v>
      </c>
      <c r="K101" s="138" t="str">
        <f t="shared" ca="1" si="61"/>
        <v>1.4.1.0.17.</v>
      </c>
      <c r="L101" s="356" t="s">
        <v>230</v>
      </c>
      <c r="M101" s="357" t="s">
        <v>285</v>
      </c>
      <c r="N101" s="360" t="s">
        <v>671</v>
      </c>
      <c r="O101" s="362" t="s">
        <v>940</v>
      </c>
      <c r="P101" s="363">
        <v>293.61</v>
      </c>
      <c r="Q101" s="195"/>
      <c r="R101" s="198" t="s">
        <v>7</v>
      </c>
      <c r="S101" s="103">
        <f t="shared" si="51"/>
        <v>0</v>
      </c>
      <c r="T101" s="83">
        <f t="shared" si="52"/>
        <v>0</v>
      </c>
      <c r="U101" s="9" t="str">
        <f t="shared" si="62"/>
        <v>SEM VALOR</v>
      </c>
      <c r="V101" s="1" t="str">
        <f ca="1">IF(OR($A101=0,$A101="S",$A101&gt;CFF!$A$9),"",MAX(V$12:OFFSET(V101,-1,0))+1)</f>
        <v/>
      </c>
      <c r="W101" s="4" t="str">
        <f t="shared" si="63"/>
        <v>SINAPI-88496</v>
      </c>
      <c r="X101" s="1">
        <f t="shared" ca="1" si="53"/>
        <v>13188</v>
      </c>
      <c r="Y101" s="103">
        <v>43.8</v>
      </c>
      <c r="Z101" s="113">
        <f ca="1">ROUND(IF(ISNUMBER(R101),R101,IF(LEFT(R101,3)="BDI",HLOOKUP(R101,DADOS!$T$37:$X$38,2,FALSE),0)),15-11*$X$5)</f>
        <v>0.23130000000000001</v>
      </c>
      <c r="AA101" s="1"/>
    </row>
    <row r="102" spans="1:27" x14ac:dyDescent="0.2">
      <c r="A102" t="str">
        <f t="shared" si="54"/>
        <v>S</v>
      </c>
      <c r="B102">
        <f t="shared" si="55"/>
        <v>0</v>
      </c>
      <c r="C102">
        <f t="shared" ca="1" si="56"/>
        <v>1</v>
      </c>
      <c r="D102">
        <f t="shared" ca="1" si="57"/>
        <v>4</v>
      </c>
      <c r="E102">
        <f t="shared" ca="1" si="58"/>
        <v>1</v>
      </c>
      <c r="F102">
        <f t="shared" ca="1" si="59"/>
        <v>0</v>
      </c>
      <c r="G102">
        <f t="shared" ca="1" si="60"/>
        <v>18</v>
      </c>
      <c r="H102">
        <f t="shared" ca="1" si="46"/>
        <v>0</v>
      </c>
      <c r="I102">
        <f t="shared" ca="1" si="47"/>
        <v>0</v>
      </c>
      <c r="J102" s="355" t="s">
        <v>103</v>
      </c>
      <c r="K102" s="138" t="str">
        <f t="shared" ca="1" si="61"/>
        <v>1.4.1.0.18.</v>
      </c>
      <c r="L102" s="356" t="s">
        <v>230</v>
      </c>
      <c r="M102" s="359" t="s">
        <v>311</v>
      </c>
      <c r="N102" s="360" t="s">
        <v>672</v>
      </c>
      <c r="O102" s="362" t="s">
        <v>940</v>
      </c>
      <c r="P102" s="363">
        <v>1065.99</v>
      </c>
      <c r="Q102" s="195"/>
      <c r="R102" s="198" t="s">
        <v>7</v>
      </c>
      <c r="S102" s="103">
        <f t="shared" si="51"/>
        <v>0</v>
      </c>
      <c r="T102" s="83">
        <f t="shared" si="52"/>
        <v>0</v>
      </c>
      <c r="U102" s="9" t="str">
        <f t="shared" si="62"/>
        <v>SEM VALOR</v>
      </c>
      <c r="V102" s="1" t="str">
        <f ca="1">IF(OR($A102=0,$A102="S",$A102&gt;CFF!$A$9),"",MAX(V$12:OFFSET(V102,-1,0))+1)</f>
        <v/>
      </c>
      <c r="W102" s="4" t="str">
        <f t="shared" si="63"/>
        <v>SINAPI-104642</v>
      </c>
      <c r="X102" s="1">
        <f t="shared" ca="1" si="53"/>
        <v>13202</v>
      </c>
      <c r="Y102" s="103">
        <v>14.39</v>
      </c>
      <c r="Z102" s="113">
        <f ca="1">ROUND(IF(ISNUMBER(R102),R102,IF(LEFT(R102,3)="BDI",HLOOKUP(R102,DADOS!$T$37:$X$38,2,FALSE),0)),15-11*$X$5)</f>
        <v>0.23130000000000001</v>
      </c>
      <c r="AA102" s="1"/>
    </row>
    <row r="103" spans="1:27" x14ac:dyDescent="0.2">
      <c r="A103" t="str">
        <f t="shared" si="54"/>
        <v>S</v>
      </c>
      <c r="B103">
        <f t="shared" si="55"/>
        <v>0</v>
      </c>
      <c r="C103">
        <f t="shared" ca="1" si="56"/>
        <v>1</v>
      </c>
      <c r="D103">
        <f t="shared" ca="1" si="57"/>
        <v>4</v>
      </c>
      <c r="E103">
        <f t="shared" ca="1" si="58"/>
        <v>1</v>
      </c>
      <c r="F103">
        <f t="shared" ca="1" si="59"/>
        <v>0</v>
      </c>
      <c r="G103">
        <f t="shared" ca="1" si="60"/>
        <v>19</v>
      </c>
      <c r="H103">
        <f t="shared" ca="1" si="46"/>
        <v>0</v>
      </c>
      <c r="I103">
        <f t="shared" ca="1" si="47"/>
        <v>0</v>
      </c>
      <c r="J103" s="355" t="s">
        <v>103</v>
      </c>
      <c r="K103" s="138" t="str">
        <f t="shared" ca="1" si="61"/>
        <v>1.4.1.0.19.</v>
      </c>
      <c r="L103" s="356" t="s">
        <v>230</v>
      </c>
      <c r="M103" s="359" t="s">
        <v>312</v>
      </c>
      <c r="N103" s="360" t="s">
        <v>673</v>
      </c>
      <c r="O103" s="362" t="s">
        <v>940</v>
      </c>
      <c r="P103" s="363">
        <v>231.58</v>
      </c>
      <c r="Q103" s="195"/>
      <c r="R103" s="198" t="s">
        <v>7</v>
      </c>
      <c r="S103" s="103">
        <f t="shared" si="51"/>
        <v>0</v>
      </c>
      <c r="T103" s="83">
        <f t="shared" si="52"/>
        <v>0</v>
      </c>
      <c r="U103" s="9" t="str">
        <f t="shared" si="62"/>
        <v>SEM VALOR</v>
      </c>
      <c r="V103" s="1" t="str">
        <f ca="1">IF(OR($A103=0,$A103="S",$A103&gt;CFF!$A$9),"",MAX(V$12:OFFSET(V103,-1,0))+1)</f>
        <v/>
      </c>
      <c r="W103" s="4" t="str">
        <f t="shared" si="63"/>
        <v>SINAPI-95626</v>
      </c>
      <c r="X103" s="1">
        <f t="shared" ca="1" si="53"/>
        <v>13181</v>
      </c>
      <c r="Y103" s="103">
        <v>21.08</v>
      </c>
      <c r="Z103" s="113">
        <f ca="1">ROUND(IF(ISNUMBER(R103),R103,IF(LEFT(R103,3)="BDI",HLOOKUP(R103,DADOS!$T$37:$X$38,2,FALSE),0)),15-11*$X$5)</f>
        <v>0.23130000000000001</v>
      </c>
      <c r="AA103" s="1"/>
    </row>
    <row r="104" spans="1:27" x14ac:dyDescent="0.2">
      <c r="A104" t="str">
        <f t="shared" si="54"/>
        <v>S</v>
      </c>
      <c r="B104">
        <f t="shared" si="55"/>
        <v>0</v>
      </c>
      <c r="C104">
        <f t="shared" ca="1" si="56"/>
        <v>1</v>
      </c>
      <c r="D104">
        <f t="shared" ca="1" si="57"/>
        <v>4</v>
      </c>
      <c r="E104">
        <f t="shared" ca="1" si="58"/>
        <v>1</v>
      </c>
      <c r="F104">
        <f t="shared" ca="1" si="59"/>
        <v>0</v>
      </c>
      <c r="G104">
        <f t="shared" ca="1" si="60"/>
        <v>20</v>
      </c>
      <c r="H104">
        <f t="shared" ca="1" si="46"/>
        <v>0</v>
      </c>
      <c r="I104">
        <f t="shared" ca="1" si="47"/>
        <v>0</v>
      </c>
      <c r="J104" s="355" t="s">
        <v>103</v>
      </c>
      <c r="K104" s="138" t="str">
        <f t="shared" ca="1" si="61"/>
        <v>1.4.1.0.20.</v>
      </c>
      <c r="L104" s="356" t="s">
        <v>230</v>
      </c>
      <c r="M104" s="357" t="s">
        <v>313</v>
      </c>
      <c r="N104" s="360" t="s">
        <v>674</v>
      </c>
      <c r="O104" s="362" t="s">
        <v>940</v>
      </c>
      <c r="P104" s="363">
        <v>293.61</v>
      </c>
      <c r="Q104" s="195"/>
      <c r="R104" s="198" t="s">
        <v>7</v>
      </c>
      <c r="S104" s="103">
        <f t="shared" si="51"/>
        <v>0</v>
      </c>
      <c r="T104" s="83">
        <f t="shared" si="52"/>
        <v>0</v>
      </c>
      <c r="U104" s="9" t="str">
        <f t="shared" si="62"/>
        <v>SEM VALOR</v>
      </c>
      <c r="V104" s="1" t="str">
        <f ca="1">IF(OR($A104=0,$A104="S",$A104&gt;CFF!$A$9),"",MAX(V$12:OFFSET(V104,-1,0))+1)</f>
        <v/>
      </c>
      <c r="W104" s="4" t="str">
        <f t="shared" si="63"/>
        <v>SINAPI-104640</v>
      </c>
      <c r="X104" s="1">
        <f t="shared" ca="1" si="53"/>
        <v>13203</v>
      </c>
      <c r="Y104" s="103">
        <v>17.52</v>
      </c>
      <c r="Z104" s="113">
        <f ca="1">ROUND(IF(ISNUMBER(R104),R104,IF(LEFT(R104,3)="BDI",HLOOKUP(R104,DADOS!$T$37:$X$38,2,FALSE),0)),15-11*$X$5)</f>
        <v>0.23130000000000001</v>
      </c>
      <c r="AA104" s="1"/>
    </row>
    <row r="105" spans="1:27" ht="25.5" x14ac:dyDescent="0.2">
      <c r="A105" t="str">
        <f t="shared" si="54"/>
        <v>S</v>
      </c>
      <c r="B105">
        <f t="shared" si="55"/>
        <v>0</v>
      </c>
      <c r="C105">
        <f t="shared" ca="1" si="56"/>
        <v>1</v>
      </c>
      <c r="D105">
        <f t="shared" ca="1" si="57"/>
        <v>4</v>
      </c>
      <c r="E105">
        <f t="shared" ca="1" si="58"/>
        <v>1</v>
      </c>
      <c r="F105">
        <f t="shared" ca="1" si="59"/>
        <v>0</v>
      </c>
      <c r="G105">
        <f t="shared" ca="1" si="60"/>
        <v>21</v>
      </c>
      <c r="H105">
        <f t="shared" ca="1" si="46"/>
        <v>0</v>
      </c>
      <c r="I105">
        <f t="shared" ca="1" si="47"/>
        <v>0</v>
      </c>
      <c r="J105" s="355" t="s">
        <v>103</v>
      </c>
      <c r="K105" s="138" t="str">
        <f t="shared" ca="1" si="61"/>
        <v>1.4.1.0.21.</v>
      </c>
      <c r="L105" s="356" t="s">
        <v>230</v>
      </c>
      <c r="M105" s="357" t="s">
        <v>314</v>
      </c>
      <c r="N105" s="360" t="s">
        <v>675</v>
      </c>
      <c r="O105" s="362" t="s">
        <v>940</v>
      </c>
      <c r="P105" s="363">
        <v>127.14</v>
      </c>
      <c r="Q105" s="195"/>
      <c r="R105" s="198" t="s">
        <v>7</v>
      </c>
      <c r="S105" s="103">
        <f t="shared" si="51"/>
        <v>0</v>
      </c>
      <c r="T105" s="83">
        <f t="shared" si="52"/>
        <v>0</v>
      </c>
      <c r="U105" s="9" t="str">
        <f t="shared" si="62"/>
        <v>SEM VALOR</v>
      </c>
      <c r="V105" s="1" t="str">
        <f ca="1">IF(OR($A105=0,$A105="S",$A105&gt;CFF!$A$9),"",MAX(V$12:OFFSET(V105,-1,0))+1)</f>
        <v/>
      </c>
      <c r="W105" s="4" t="str">
        <f t="shared" si="63"/>
        <v>SINAPI-87273</v>
      </c>
      <c r="X105" s="1">
        <f t="shared" ca="1" si="53"/>
        <v>14226</v>
      </c>
      <c r="Y105" s="103">
        <v>88.04</v>
      </c>
      <c r="Z105" s="113">
        <f ca="1">ROUND(IF(ISNUMBER(R105),R105,IF(LEFT(R105,3)="BDI",HLOOKUP(R105,DADOS!$T$37:$X$38,2,FALSE),0)),15-11*$X$5)</f>
        <v>0.23130000000000001</v>
      </c>
      <c r="AA105" s="1"/>
    </row>
    <row r="106" spans="1:27" ht="25.5" x14ac:dyDescent="0.2">
      <c r="A106" t="str">
        <f t="shared" si="54"/>
        <v>S</v>
      </c>
      <c r="B106">
        <f t="shared" si="55"/>
        <v>0</v>
      </c>
      <c r="C106">
        <f t="shared" ca="1" si="56"/>
        <v>1</v>
      </c>
      <c r="D106">
        <f t="shared" ca="1" si="57"/>
        <v>4</v>
      </c>
      <c r="E106">
        <f t="shared" ca="1" si="58"/>
        <v>1</v>
      </c>
      <c r="F106">
        <f t="shared" ca="1" si="59"/>
        <v>0</v>
      </c>
      <c r="G106">
        <f t="shared" ca="1" si="60"/>
        <v>22</v>
      </c>
      <c r="H106">
        <f t="shared" ca="1" si="46"/>
        <v>0</v>
      </c>
      <c r="I106">
        <f t="shared" ca="1" si="47"/>
        <v>0</v>
      </c>
      <c r="J106" s="355" t="s">
        <v>103</v>
      </c>
      <c r="K106" s="138" t="str">
        <f t="shared" ca="1" si="61"/>
        <v>1.4.1.0.22.</v>
      </c>
      <c r="L106" s="356" t="s">
        <v>230</v>
      </c>
      <c r="M106" s="357" t="s">
        <v>315</v>
      </c>
      <c r="N106" s="360" t="s">
        <v>676</v>
      </c>
      <c r="O106" s="362" t="s">
        <v>940</v>
      </c>
      <c r="P106" s="363">
        <v>50.5</v>
      </c>
      <c r="Q106" s="195"/>
      <c r="R106" s="198" t="s">
        <v>7</v>
      </c>
      <c r="S106" s="103">
        <f t="shared" si="51"/>
        <v>0</v>
      </c>
      <c r="T106" s="83">
        <f t="shared" si="52"/>
        <v>0</v>
      </c>
      <c r="U106" s="9" t="str">
        <f t="shared" si="62"/>
        <v>SEM VALOR</v>
      </c>
      <c r="V106" s="1" t="str">
        <f ca="1">IF(OR($A106=0,$A106="S",$A106&gt;CFF!$A$9),"",MAX(V$12:OFFSET(V106,-1,0))+1)</f>
        <v/>
      </c>
      <c r="W106" s="4" t="str">
        <f t="shared" si="63"/>
        <v>SINAPI-87244</v>
      </c>
      <c r="X106" s="1">
        <f t="shared" ca="1" si="53"/>
        <v>14214</v>
      </c>
      <c r="Y106" s="103">
        <v>376.95</v>
      </c>
      <c r="Z106" s="113">
        <f ca="1">ROUND(IF(ISNUMBER(R106),R106,IF(LEFT(R106,3)="BDI",HLOOKUP(R106,DADOS!$T$37:$X$38,2,FALSE),0)),15-11*$X$5)</f>
        <v>0.23130000000000001</v>
      </c>
      <c r="AA106" s="1"/>
    </row>
    <row r="107" spans="1:27" x14ac:dyDescent="0.2">
      <c r="A107">
        <f t="shared" si="54"/>
        <v>2</v>
      </c>
      <c r="B107">
        <f t="shared" ca="1" si="55"/>
        <v>10</v>
      </c>
      <c r="C107">
        <f t="shared" ca="1" si="56"/>
        <v>1</v>
      </c>
      <c r="D107">
        <f t="shared" ca="1" si="57"/>
        <v>5</v>
      </c>
      <c r="E107">
        <f t="shared" ca="1" si="58"/>
        <v>0</v>
      </c>
      <c r="F107">
        <f t="shared" ca="1" si="59"/>
        <v>0</v>
      </c>
      <c r="G107">
        <f t="shared" ca="1" si="60"/>
        <v>0</v>
      </c>
      <c r="H107">
        <f t="shared" ca="1" si="46"/>
        <v>315</v>
      </c>
      <c r="I107">
        <f t="shared" ca="1" si="47"/>
        <v>10</v>
      </c>
      <c r="J107" s="355" t="s">
        <v>100</v>
      </c>
      <c r="K107" s="138" t="str">
        <f t="shared" ca="1" si="61"/>
        <v>1.5.</v>
      </c>
      <c r="L107" s="356" t="s">
        <v>230</v>
      </c>
      <c r="M107" s="357"/>
      <c r="N107" s="360" t="s">
        <v>586</v>
      </c>
      <c r="O107" s="362" t="s">
        <v>106</v>
      </c>
      <c r="P107" s="363"/>
      <c r="Q107" s="195"/>
      <c r="R107" s="198" t="s">
        <v>7</v>
      </c>
      <c r="S107" s="103">
        <f t="shared" si="51"/>
        <v>0</v>
      </c>
      <c r="T107" s="83">
        <f t="shared" ca="1" si="52"/>
        <v>0</v>
      </c>
      <c r="U107" s="9" t="str">
        <f t="shared" ca="1" si="62"/>
        <v>SEM VALOR</v>
      </c>
      <c r="V107" s="1">
        <f ca="1">IF(OR($A107=0,$A107="S",$A107&gt;CFF!$A$9),"",MAX(V$12:OFFSET(V107,-1,0))+1)</f>
        <v>6</v>
      </c>
      <c r="W107" s="4" t="b">
        <f t="shared" si="63"/>
        <v>0</v>
      </c>
      <c r="X107" s="1" t="str">
        <f t="shared" ca="1" si="53"/>
        <v>X</v>
      </c>
      <c r="Y107" s="103">
        <v>0</v>
      </c>
      <c r="Z107" s="113">
        <f ca="1">ROUND(IF(ISNUMBER(R107),R107,IF(LEFT(R107,3)="BDI",HLOOKUP(R107,DADOS!$T$37:$X$38,2,FALSE),0)),15-11*$X$5)</f>
        <v>0.23130000000000001</v>
      </c>
      <c r="AA107" s="1"/>
    </row>
    <row r="108" spans="1:27" x14ac:dyDescent="0.2">
      <c r="A108">
        <f t="shared" si="54"/>
        <v>3</v>
      </c>
      <c r="B108">
        <f t="shared" ca="1" si="55"/>
        <v>9</v>
      </c>
      <c r="C108">
        <f t="shared" ca="1" si="56"/>
        <v>1</v>
      </c>
      <c r="D108">
        <f t="shared" ca="1" si="57"/>
        <v>5</v>
      </c>
      <c r="E108">
        <f t="shared" ca="1" si="58"/>
        <v>1</v>
      </c>
      <c r="F108">
        <f t="shared" ca="1" si="59"/>
        <v>0</v>
      </c>
      <c r="G108">
        <f t="shared" ca="1" si="60"/>
        <v>0</v>
      </c>
      <c r="H108">
        <f t="shared" ca="1" si="46"/>
        <v>9</v>
      </c>
      <c r="I108">
        <f t="shared" ca="1" si="47"/>
        <v>39</v>
      </c>
      <c r="J108" s="355" t="s">
        <v>101</v>
      </c>
      <c r="K108" s="138" t="str">
        <f t="shared" ca="1" si="61"/>
        <v>1.5.1.</v>
      </c>
      <c r="L108" s="356" t="s">
        <v>230</v>
      </c>
      <c r="M108" s="357"/>
      <c r="N108" s="360" t="s">
        <v>586</v>
      </c>
      <c r="O108" s="362" t="s">
        <v>106</v>
      </c>
      <c r="P108" s="363"/>
      <c r="Q108" s="195"/>
      <c r="R108" s="198" t="s">
        <v>7</v>
      </c>
      <c r="S108" s="103">
        <f t="shared" si="51"/>
        <v>0</v>
      </c>
      <c r="T108" s="83">
        <f t="shared" ca="1" si="52"/>
        <v>0</v>
      </c>
      <c r="U108" s="9" t="str">
        <f t="shared" ca="1" si="62"/>
        <v>SEM VALOR</v>
      </c>
      <c r="V108" s="1" t="str">
        <f ca="1">IF(OR($A108=0,$A108="S",$A108&gt;CFF!$A$9),"",MAX(V$12:OFFSET(V108,-1,0))+1)</f>
        <v/>
      </c>
      <c r="W108" s="4" t="b">
        <f t="shared" si="63"/>
        <v>0</v>
      </c>
      <c r="X108" s="1" t="str">
        <f t="shared" ca="1" si="53"/>
        <v>X</v>
      </c>
      <c r="Y108" s="103">
        <v>0</v>
      </c>
      <c r="Z108" s="113">
        <f ca="1">ROUND(IF(ISNUMBER(R108),R108,IF(LEFT(R108,3)="BDI",HLOOKUP(R108,DADOS!$T$37:$X$38,2,FALSE),0)),15-11*$X$5)</f>
        <v>0.23130000000000001</v>
      </c>
      <c r="AA108" s="1"/>
    </row>
    <row r="109" spans="1:27" ht="25.5" x14ac:dyDescent="0.2">
      <c r="A109" t="str">
        <f t="shared" si="54"/>
        <v>S</v>
      </c>
      <c r="B109">
        <f t="shared" si="55"/>
        <v>0</v>
      </c>
      <c r="C109">
        <f t="shared" ca="1" si="56"/>
        <v>1</v>
      </c>
      <c r="D109">
        <f t="shared" ca="1" si="57"/>
        <v>5</v>
      </c>
      <c r="E109">
        <f t="shared" ca="1" si="58"/>
        <v>1</v>
      </c>
      <c r="F109">
        <f t="shared" ca="1" si="59"/>
        <v>0</v>
      </c>
      <c r="G109">
        <f t="shared" ca="1" si="60"/>
        <v>1</v>
      </c>
      <c r="H109">
        <f t="shared" ca="1" si="46"/>
        <v>0</v>
      </c>
      <c r="I109">
        <f t="shared" ca="1" si="47"/>
        <v>0</v>
      </c>
      <c r="J109" s="355" t="s">
        <v>103</v>
      </c>
      <c r="K109" s="138" t="str">
        <f t="shared" ca="1" si="61"/>
        <v>1.5.1.0.1.</v>
      </c>
      <c r="L109" s="356" t="s">
        <v>230</v>
      </c>
      <c r="M109" s="356" t="s">
        <v>316</v>
      </c>
      <c r="N109" s="360" t="s">
        <v>677</v>
      </c>
      <c r="O109" s="362" t="s">
        <v>940</v>
      </c>
      <c r="P109" s="363">
        <v>262.19</v>
      </c>
      <c r="Q109" s="195"/>
      <c r="R109" s="198" t="s">
        <v>7</v>
      </c>
      <c r="S109" s="103">
        <f t="shared" si="51"/>
        <v>0</v>
      </c>
      <c r="T109" s="83">
        <f t="shared" si="52"/>
        <v>0</v>
      </c>
      <c r="U109" s="9" t="str">
        <f t="shared" si="62"/>
        <v>SEM VALOR</v>
      </c>
      <c r="V109" s="1" t="str">
        <f ca="1">IF(OR($A109=0,$A109="S",$A109&gt;CFF!$A$9),"",MAX(V$12:OFFSET(V109,-1,0))+1)</f>
        <v/>
      </c>
      <c r="W109" s="4" t="str">
        <f t="shared" si="63"/>
        <v>SINAPI-87642</v>
      </c>
      <c r="X109" s="1">
        <f t="shared" ca="1" si="53"/>
        <v>6450</v>
      </c>
      <c r="Y109" s="103">
        <v>71.58</v>
      </c>
      <c r="Z109" s="113">
        <f ca="1">ROUND(IF(ISNUMBER(R109),R109,IF(LEFT(R109,3)="BDI",HLOOKUP(R109,DADOS!$T$37:$X$38,2,FALSE),0)),15-11*$X$5)</f>
        <v>0.23130000000000001</v>
      </c>
      <c r="AA109" s="1"/>
    </row>
    <row r="110" spans="1:27" ht="25.5" x14ac:dyDescent="0.2">
      <c r="A110" t="str">
        <f t="shared" si="54"/>
        <v>S</v>
      </c>
      <c r="B110">
        <f t="shared" si="55"/>
        <v>0</v>
      </c>
      <c r="C110">
        <f t="shared" ca="1" si="56"/>
        <v>1</v>
      </c>
      <c r="D110">
        <f t="shared" ca="1" si="57"/>
        <v>5</v>
      </c>
      <c r="E110">
        <f t="shared" ca="1" si="58"/>
        <v>1</v>
      </c>
      <c r="F110">
        <f t="shared" ca="1" si="59"/>
        <v>0</v>
      </c>
      <c r="G110">
        <f t="shared" ca="1" si="60"/>
        <v>2</v>
      </c>
      <c r="H110">
        <f t="shared" ca="1" si="46"/>
        <v>0</v>
      </c>
      <c r="I110">
        <f t="shared" ca="1" si="47"/>
        <v>0</v>
      </c>
      <c r="J110" s="355" t="s">
        <v>103</v>
      </c>
      <c r="K110" s="138" t="str">
        <f t="shared" ca="1" si="61"/>
        <v>1.5.1.0.2.</v>
      </c>
      <c r="L110" s="356" t="s">
        <v>230</v>
      </c>
      <c r="M110" s="356" t="s">
        <v>317</v>
      </c>
      <c r="N110" s="360" t="s">
        <v>678</v>
      </c>
      <c r="O110" s="362" t="s">
        <v>940</v>
      </c>
      <c r="P110" s="363">
        <v>44.4</v>
      </c>
      <c r="Q110" s="195"/>
      <c r="R110" s="198" t="s">
        <v>7</v>
      </c>
      <c r="S110" s="103">
        <f t="shared" si="51"/>
        <v>0</v>
      </c>
      <c r="T110" s="83">
        <f t="shared" si="52"/>
        <v>0</v>
      </c>
      <c r="U110" s="9" t="str">
        <f t="shared" si="62"/>
        <v>SEM VALOR</v>
      </c>
      <c r="V110" s="1" t="str">
        <f ca="1">IF(OR($A110=0,$A110="S",$A110&gt;CFF!$A$9),"",MAX(V$12:OFFSET(V110,-1,0))+1)</f>
        <v/>
      </c>
      <c r="W110" s="4" t="str">
        <f t="shared" si="63"/>
        <v>SINAPI-87263</v>
      </c>
      <c r="X110" s="1">
        <f t="shared" ca="1" si="53"/>
        <v>14252</v>
      </c>
      <c r="Y110" s="103">
        <v>151.18</v>
      </c>
      <c r="Z110" s="113">
        <f ca="1">ROUND(IF(ISNUMBER(R110),R110,IF(LEFT(R110,3)="BDI",HLOOKUP(R110,DADOS!$T$37:$X$38,2,FALSE),0)),15-11*$X$5)</f>
        <v>0.23130000000000001</v>
      </c>
      <c r="AA110" s="1"/>
    </row>
    <row r="111" spans="1:27" ht="25.5" x14ac:dyDescent="0.2">
      <c r="A111" t="str">
        <f t="shared" si="54"/>
        <v>S</v>
      </c>
      <c r="B111">
        <f t="shared" si="55"/>
        <v>0</v>
      </c>
      <c r="C111">
        <f t="shared" ca="1" si="56"/>
        <v>1</v>
      </c>
      <c r="D111">
        <f t="shared" ca="1" si="57"/>
        <v>5</v>
      </c>
      <c r="E111">
        <f t="shared" ca="1" si="58"/>
        <v>1</v>
      </c>
      <c r="F111">
        <f t="shared" ca="1" si="59"/>
        <v>0</v>
      </c>
      <c r="G111">
        <f t="shared" ca="1" si="60"/>
        <v>3</v>
      </c>
      <c r="H111">
        <f t="shared" ca="1" si="46"/>
        <v>0</v>
      </c>
      <c r="I111">
        <f t="shared" ca="1" si="47"/>
        <v>0</v>
      </c>
      <c r="J111" s="355" t="s">
        <v>103</v>
      </c>
      <c r="K111" s="138" t="str">
        <f t="shared" ca="1" si="61"/>
        <v>1.5.1.0.3.</v>
      </c>
      <c r="L111" s="356" t="s">
        <v>235</v>
      </c>
      <c r="M111" s="356" t="s">
        <v>318</v>
      </c>
      <c r="N111" s="360" t="s">
        <v>679</v>
      </c>
      <c r="O111" s="362" t="s">
        <v>945</v>
      </c>
      <c r="P111" s="363">
        <v>18.45</v>
      </c>
      <c r="Q111" s="195"/>
      <c r="R111" s="198" t="s">
        <v>7</v>
      </c>
      <c r="S111" s="103">
        <f t="shared" si="51"/>
        <v>0</v>
      </c>
      <c r="T111" s="83">
        <f t="shared" si="52"/>
        <v>0</v>
      </c>
      <c r="U111" s="9" t="str">
        <f t="shared" si="62"/>
        <v>SEM VALOR</v>
      </c>
      <c r="V111" s="1" t="str">
        <f ca="1">IF(OR($A111=0,$A111="S",$A111&gt;CFF!$A$9),"",MAX(V$12:OFFSET(V111,-1,0))+1)</f>
        <v/>
      </c>
      <c r="W111" s="4" t="str">
        <f t="shared" si="63"/>
        <v>PM BENTO-17</v>
      </c>
      <c r="X111" s="1">
        <f t="shared" ca="1" si="53"/>
        <v>23</v>
      </c>
      <c r="Y111" s="103">
        <v>20.58</v>
      </c>
      <c r="Z111" s="113">
        <f ca="1">ROUND(IF(ISNUMBER(R111),R111,IF(LEFT(R111,3)="BDI",HLOOKUP(R111,DADOS!$T$37:$X$38,2,FALSE),0)),15-11*$X$5)</f>
        <v>0.23130000000000001</v>
      </c>
      <c r="AA111" s="1"/>
    </row>
    <row r="112" spans="1:27" ht="25.5" x14ac:dyDescent="0.2">
      <c r="A112" t="str">
        <f t="shared" si="54"/>
        <v>S</v>
      </c>
      <c r="B112">
        <f t="shared" si="55"/>
        <v>0</v>
      </c>
      <c r="C112">
        <f t="shared" ca="1" si="56"/>
        <v>1</v>
      </c>
      <c r="D112">
        <f t="shared" ca="1" si="57"/>
        <v>5</v>
      </c>
      <c r="E112">
        <f t="shared" ca="1" si="58"/>
        <v>1</v>
      </c>
      <c r="F112">
        <f t="shared" ca="1" si="59"/>
        <v>0</v>
      </c>
      <c r="G112">
        <f t="shared" ca="1" si="60"/>
        <v>4</v>
      </c>
      <c r="H112">
        <f t="shared" ca="1" si="46"/>
        <v>0</v>
      </c>
      <c r="I112">
        <f t="shared" ca="1" si="47"/>
        <v>0</v>
      </c>
      <c r="J112" s="355" t="s">
        <v>103</v>
      </c>
      <c r="K112" s="138" t="str">
        <f t="shared" ca="1" si="61"/>
        <v>1.5.1.0.4.</v>
      </c>
      <c r="L112" s="356" t="s">
        <v>235</v>
      </c>
      <c r="M112" s="356" t="s">
        <v>319</v>
      </c>
      <c r="N112" s="360" t="s">
        <v>680</v>
      </c>
      <c r="O112" s="362" t="s">
        <v>940</v>
      </c>
      <c r="P112" s="363">
        <v>217.79</v>
      </c>
      <c r="Q112" s="195"/>
      <c r="R112" s="198" t="s">
        <v>7</v>
      </c>
      <c r="S112" s="103">
        <f t="shared" si="51"/>
        <v>0</v>
      </c>
      <c r="T112" s="83">
        <f t="shared" si="52"/>
        <v>0</v>
      </c>
      <c r="U112" s="9" t="str">
        <f t="shared" si="62"/>
        <v>SEM VALOR</v>
      </c>
      <c r="V112" s="1" t="str">
        <f ca="1">IF(OR($A112=0,$A112="S",$A112&gt;CFF!$A$9),"",MAX(V$12:OFFSET(V112,-1,0))+1)</f>
        <v/>
      </c>
      <c r="W112" s="4" t="str">
        <f t="shared" si="63"/>
        <v>PM BENTO-12</v>
      </c>
      <c r="X112" s="1">
        <f t="shared" ca="1" si="53"/>
        <v>18</v>
      </c>
      <c r="Y112" s="103">
        <v>418.32</v>
      </c>
      <c r="Z112" s="113">
        <f ca="1">ROUND(IF(ISNUMBER(R112),R112,IF(LEFT(R112,3)="BDI",HLOOKUP(R112,DADOS!$T$37:$X$38,2,FALSE),0)),15-11*$X$5)</f>
        <v>0.23130000000000001</v>
      </c>
      <c r="AA112" s="1"/>
    </row>
    <row r="113" spans="1:27" x14ac:dyDescent="0.2">
      <c r="A113" t="str">
        <f t="shared" si="54"/>
        <v>S</v>
      </c>
      <c r="B113">
        <f t="shared" si="55"/>
        <v>0</v>
      </c>
      <c r="C113">
        <f t="shared" ca="1" si="56"/>
        <v>1</v>
      </c>
      <c r="D113">
        <f t="shared" ca="1" si="57"/>
        <v>5</v>
      </c>
      <c r="E113">
        <f t="shared" ca="1" si="58"/>
        <v>1</v>
      </c>
      <c r="F113">
        <f t="shared" ca="1" si="59"/>
        <v>0</v>
      </c>
      <c r="G113">
        <f t="shared" ca="1" si="60"/>
        <v>5</v>
      </c>
      <c r="H113">
        <f t="shared" ca="1" si="46"/>
        <v>0</v>
      </c>
      <c r="I113">
        <f t="shared" ca="1" si="47"/>
        <v>0</v>
      </c>
      <c r="J113" s="355" t="s">
        <v>103</v>
      </c>
      <c r="K113" s="138" t="str">
        <f t="shared" ca="1" si="61"/>
        <v>1.5.1.0.5.</v>
      </c>
      <c r="L113" s="356" t="s">
        <v>235</v>
      </c>
      <c r="M113" s="356" t="s">
        <v>320</v>
      </c>
      <c r="N113" s="360" t="s">
        <v>681</v>
      </c>
      <c r="O113" s="362" t="s">
        <v>945</v>
      </c>
      <c r="P113" s="363">
        <v>249.38</v>
      </c>
      <c r="Q113" s="195"/>
      <c r="R113" s="198" t="s">
        <v>7</v>
      </c>
      <c r="S113" s="103">
        <f t="shared" si="51"/>
        <v>0</v>
      </c>
      <c r="T113" s="83">
        <f t="shared" si="52"/>
        <v>0</v>
      </c>
      <c r="U113" s="9" t="str">
        <f t="shared" si="62"/>
        <v>SEM VALOR</v>
      </c>
      <c r="V113" s="1" t="str">
        <f ca="1">IF(OR($A113=0,$A113="S",$A113&gt;CFF!$A$9),"",MAX(V$12:OFFSET(V113,-1,0))+1)</f>
        <v/>
      </c>
      <c r="W113" s="4" t="str">
        <f t="shared" si="63"/>
        <v>PM BENTO-18</v>
      </c>
      <c r="X113" s="1">
        <f t="shared" ca="1" si="53"/>
        <v>24</v>
      </c>
      <c r="Y113" s="103">
        <v>181.3</v>
      </c>
      <c r="Z113" s="113">
        <f ca="1">ROUND(IF(ISNUMBER(R113),R113,IF(LEFT(R113,3)="BDI",HLOOKUP(R113,DADOS!$T$37:$X$38,2,FALSE),0)),15-11*$X$5)</f>
        <v>0.23130000000000001</v>
      </c>
      <c r="AA113" s="1"/>
    </row>
    <row r="114" spans="1:27" x14ac:dyDescent="0.2">
      <c r="A114" t="str">
        <f t="shared" si="54"/>
        <v>S</v>
      </c>
      <c r="B114">
        <f t="shared" si="55"/>
        <v>0</v>
      </c>
      <c r="C114">
        <f t="shared" ca="1" si="56"/>
        <v>1</v>
      </c>
      <c r="D114">
        <f t="shared" ca="1" si="57"/>
        <v>5</v>
      </c>
      <c r="E114">
        <f t="shared" ca="1" si="58"/>
        <v>1</v>
      </c>
      <c r="F114">
        <f t="shared" ca="1" si="59"/>
        <v>0</v>
      </c>
      <c r="G114">
        <f t="shared" ca="1" si="60"/>
        <v>6</v>
      </c>
      <c r="H114">
        <f t="shared" ca="1" si="46"/>
        <v>0</v>
      </c>
      <c r="I114">
        <f t="shared" ca="1" si="47"/>
        <v>0</v>
      </c>
      <c r="J114" s="355" t="s">
        <v>103</v>
      </c>
      <c r="K114" s="138" t="str">
        <f t="shared" ca="1" si="61"/>
        <v>1.5.1.0.6.</v>
      </c>
      <c r="L114" s="356" t="s">
        <v>230</v>
      </c>
      <c r="M114" s="356" t="s">
        <v>321</v>
      </c>
      <c r="N114" s="360" t="s">
        <v>682</v>
      </c>
      <c r="O114" s="362" t="s">
        <v>945</v>
      </c>
      <c r="P114" s="363">
        <v>8.0299999999999994</v>
      </c>
      <c r="Q114" s="195"/>
      <c r="R114" s="198" t="s">
        <v>7</v>
      </c>
      <c r="S114" s="103">
        <f t="shared" si="51"/>
        <v>0</v>
      </c>
      <c r="T114" s="83">
        <f t="shared" si="52"/>
        <v>0</v>
      </c>
      <c r="U114" s="9" t="str">
        <f t="shared" si="62"/>
        <v>SEM VALOR</v>
      </c>
      <c r="V114" s="1" t="str">
        <f ca="1">IF(OR($A114=0,$A114="S",$A114&gt;CFF!$A$9),"",MAX(V$12:OFFSET(V114,-1,0))+1)</f>
        <v/>
      </c>
      <c r="W114" s="4" t="str">
        <f t="shared" si="63"/>
        <v>SINAPI-98689</v>
      </c>
      <c r="X114" s="1">
        <f t="shared" ca="1" si="53"/>
        <v>13375</v>
      </c>
      <c r="Y114" s="103">
        <v>145.21</v>
      </c>
      <c r="Z114" s="113">
        <f ca="1">ROUND(IF(ISNUMBER(R114),R114,IF(LEFT(R114,3)="BDI",HLOOKUP(R114,DADOS!$T$37:$X$38,2,FALSE),0)),15-11*$X$5)</f>
        <v>0.23130000000000001</v>
      </c>
      <c r="AA114" s="1"/>
    </row>
    <row r="115" spans="1:27" ht="25.5" x14ac:dyDescent="0.2">
      <c r="A115" t="str">
        <f t="shared" si="54"/>
        <v>S</v>
      </c>
      <c r="B115">
        <f t="shared" si="55"/>
        <v>0</v>
      </c>
      <c r="C115">
        <f t="shared" ca="1" si="56"/>
        <v>1</v>
      </c>
      <c r="D115">
        <f t="shared" ca="1" si="57"/>
        <v>5</v>
      </c>
      <c r="E115">
        <f t="shared" ca="1" si="58"/>
        <v>1</v>
      </c>
      <c r="F115">
        <f t="shared" ca="1" si="59"/>
        <v>0</v>
      </c>
      <c r="G115">
        <f t="shared" ca="1" si="60"/>
        <v>7</v>
      </c>
      <c r="H115">
        <f t="shared" ca="1" si="46"/>
        <v>0</v>
      </c>
      <c r="I115">
        <f t="shared" ca="1" si="47"/>
        <v>0</v>
      </c>
      <c r="J115" s="355" t="s">
        <v>103</v>
      </c>
      <c r="K115" s="138" t="str">
        <f t="shared" ca="1" si="61"/>
        <v>1.5.1.0.7.</v>
      </c>
      <c r="L115" s="356" t="s">
        <v>230</v>
      </c>
      <c r="M115" s="356" t="s">
        <v>322</v>
      </c>
      <c r="N115" s="360" t="s">
        <v>683</v>
      </c>
      <c r="O115" s="362" t="s">
        <v>940</v>
      </c>
      <c r="P115" s="363">
        <v>50.59</v>
      </c>
      <c r="Q115" s="195"/>
      <c r="R115" s="198" t="s">
        <v>7</v>
      </c>
      <c r="S115" s="103">
        <f t="shared" si="51"/>
        <v>0</v>
      </c>
      <c r="T115" s="83">
        <f t="shared" si="52"/>
        <v>0</v>
      </c>
      <c r="U115" s="9" t="str">
        <f t="shared" si="62"/>
        <v>SEM VALOR</v>
      </c>
      <c r="V115" s="1" t="str">
        <f ca="1">IF(OR($A115=0,$A115="S",$A115&gt;CFF!$A$9),"",MAX(V$12:OFFSET(V115,-1,0))+1)</f>
        <v/>
      </c>
      <c r="W115" s="4" t="str">
        <f t="shared" si="63"/>
        <v>SINAPI-101749</v>
      </c>
      <c r="X115" s="1">
        <f t="shared" ca="1" si="53"/>
        <v>13332</v>
      </c>
      <c r="Y115" s="103">
        <v>76.11</v>
      </c>
      <c r="Z115" s="113">
        <f ca="1">ROUND(IF(ISNUMBER(R115),R115,IF(LEFT(R115,3)="BDI",HLOOKUP(R115,DADOS!$T$37:$X$38,2,FALSE),0)),15-11*$X$5)</f>
        <v>0.23130000000000001</v>
      </c>
      <c r="AA115" s="1"/>
    </row>
    <row r="116" spans="1:27" ht="25.5" x14ac:dyDescent="0.2">
      <c r="A116" t="str">
        <f t="shared" si="54"/>
        <v>S</v>
      </c>
      <c r="B116">
        <f t="shared" si="55"/>
        <v>0</v>
      </c>
      <c r="C116">
        <f t="shared" ca="1" si="56"/>
        <v>1</v>
      </c>
      <c r="D116">
        <f t="shared" ca="1" si="57"/>
        <v>5</v>
      </c>
      <c r="E116">
        <f t="shared" ca="1" si="58"/>
        <v>1</v>
      </c>
      <c r="F116">
        <f t="shared" ca="1" si="59"/>
        <v>0</v>
      </c>
      <c r="G116">
        <f t="shared" ca="1" si="60"/>
        <v>8</v>
      </c>
      <c r="H116">
        <f t="shared" ca="1" si="46"/>
        <v>0</v>
      </c>
      <c r="I116">
        <f t="shared" ca="1" si="47"/>
        <v>0</v>
      </c>
      <c r="J116" s="355" t="s">
        <v>103</v>
      </c>
      <c r="K116" s="138" t="str">
        <f t="shared" ca="1" si="61"/>
        <v>1.5.1.0.8.</v>
      </c>
      <c r="L116" s="356" t="s">
        <v>230</v>
      </c>
      <c r="M116" s="356" t="s">
        <v>258</v>
      </c>
      <c r="N116" s="360" t="s">
        <v>684</v>
      </c>
      <c r="O116" s="362" t="s">
        <v>940</v>
      </c>
      <c r="P116" s="363">
        <v>50.59</v>
      </c>
      <c r="Q116" s="195"/>
      <c r="R116" s="198" t="s">
        <v>7</v>
      </c>
      <c r="S116" s="103">
        <f t="shared" si="51"/>
        <v>0</v>
      </c>
      <c r="T116" s="83">
        <f t="shared" si="52"/>
        <v>0</v>
      </c>
      <c r="U116" s="9" t="str">
        <f t="shared" si="62"/>
        <v>SEM VALOR</v>
      </c>
      <c r="V116" s="1" t="str">
        <f ca="1">IF(OR($A116=0,$A116="S",$A116&gt;CFF!$A$9),"",MAX(V$12:OFFSET(V116,-1,0))+1)</f>
        <v/>
      </c>
      <c r="W116" s="4" t="str">
        <f t="shared" si="63"/>
        <v>SINAPI-102492</v>
      </c>
      <c r="X116" s="1">
        <f t="shared" ca="1" si="53"/>
        <v>13312</v>
      </c>
      <c r="Y116" s="103">
        <v>35.409999999999997</v>
      </c>
      <c r="Z116" s="113">
        <f ca="1">ROUND(IF(ISNUMBER(R116),R116,IF(LEFT(R116,3)="BDI",HLOOKUP(R116,DADOS!$T$37:$X$38,2,FALSE),0)),15-11*$X$5)</f>
        <v>0.23130000000000001</v>
      </c>
      <c r="AA116" s="1"/>
    </row>
    <row r="117" spans="1:27" x14ac:dyDescent="0.2">
      <c r="A117">
        <f t="shared" si="54"/>
        <v>2</v>
      </c>
      <c r="B117">
        <f t="shared" ca="1" si="55"/>
        <v>8</v>
      </c>
      <c r="C117">
        <f t="shared" ca="1" si="56"/>
        <v>1</v>
      </c>
      <c r="D117">
        <f t="shared" ca="1" si="57"/>
        <v>6</v>
      </c>
      <c r="E117">
        <f t="shared" ca="1" si="58"/>
        <v>0</v>
      </c>
      <c r="F117">
        <f t="shared" ca="1" si="59"/>
        <v>0</v>
      </c>
      <c r="G117">
        <f t="shared" ca="1" si="60"/>
        <v>0</v>
      </c>
      <c r="H117">
        <f t="shared" ca="1" si="46"/>
        <v>305</v>
      </c>
      <c r="I117">
        <f t="shared" ca="1" si="47"/>
        <v>8</v>
      </c>
      <c r="J117" s="355" t="s">
        <v>100</v>
      </c>
      <c r="K117" s="138" t="str">
        <f t="shared" ca="1" si="61"/>
        <v>1.6.</v>
      </c>
      <c r="L117" s="356" t="s">
        <v>230</v>
      </c>
      <c r="M117" s="356"/>
      <c r="N117" s="360" t="s">
        <v>587</v>
      </c>
      <c r="O117" s="362" t="s">
        <v>106</v>
      </c>
      <c r="P117" s="363"/>
      <c r="Q117" s="195"/>
      <c r="R117" s="198" t="s">
        <v>7</v>
      </c>
      <c r="S117" s="103">
        <f t="shared" si="51"/>
        <v>0</v>
      </c>
      <c r="T117" s="83">
        <f t="shared" ca="1" si="52"/>
        <v>0</v>
      </c>
      <c r="U117" s="9" t="str">
        <f t="shared" ca="1" si="62"/>
        <v>SEM VALOR</v>
      </c>
      <c r="V117" s="1">
        <f ca="1">IF(OR($A117=0,$A117="S",$A117&gt;CFF!$A$9),"",MAX(V$12:OFFSET(V117,-1,0))+1)</f>
        <v>7</v>
      </c>
      <c r="W117" s="4" t="b">
        <f t="shared" si="63"/>
        <v>0</v>
      </c>
      <c r="X117" s="1" t="str">
        <f t="shared" ca="1" si="53"/>
        <v>X</v>
      </c>
      <c r="Y117" s="103">
        <v>0</v>
      </c>
      <c r="Z117" s="113">
        <f ca="1">ROUND(IF(ISNUMBER(R117),R117,IF(LEFT(R117,3)="BDI",HLOOKUP(R117,DADOS!$T$37:$X$38,2,FALSE),0)),15-11*$X$5)</f>
        <v>0.23130000000000001</v>
      </c>
      <c r="AA117" s="1"/>
    </row>
    <row r="118" spans="1:27" x14ac:dyDescent="0.2">
      <c r="A118">
        <f t="shared" si="54"/>
        <v>3</v>
      </c>
      <c r="B118">
        <f t="shared" ca="1" si="55"/>
        <v>7</v>
      </c>
      <c r="C118">
        <f t="shared" ca="1" si="56"/>
        <v>1</v>
      </c>
      <c r="D118">
        <f t="shared" ca="1" si="57"/>
        <v>6</v>
      </c>
      <c r="E118">
        <f t="shared" ca="1" si="58"/>
        <v>1</v>
      </c>
      <c r="F118">
        <f t="shared" ca="1" si="59"/>
        <v>0</v>
      </c>
      <c r="G118">
        <f t="shared" ca="1" si="60"/>
        <v>0</v>
      </c>
      <c r="H118">
        <f t="shared" ca="1" si="46"/>
        <v>7</v>
      </c>
      <c r="I118">
        <f t="shared" ca="1" si="47"/>
        <v>29</v>
      </c>
      <c r="J118" s="355" t="s">
        <v>101</v>
      </c>
      <c r="K118" s="138" t="str">
        <f t="shared" ca="1" si="61"/>
        <v>1.6.1.</v>
      </c>
      <c r="L118" s="356" t="s">
        <v>230</v>
      </c>
      <c r="M118" s="356"/>
      <c r="N118" s="360" t="s">
        <v>587</v>
      </c>
      <c r="O118" s="362" t="s">
        <v>106</v>
      </c>
      <c r="P118" s="363"/>
      <c r="Q118" s="195"/>
      <c r="R118" s="198" t="s">
        <v>7</v>
      </c>
      <c r="S118" s="103">
        <f t="shared" si="51"/>
        <v>0</v>
      </c>
      <c r="T118" s="83">
        <f t="shared" ca="1" si="52"/>
        <v>0</v>
      </c>
      <c r="U118" s="9" t="str">
        <f t="shared" ca="1" si="62"/>
        <v>SEM VALOR</v>
      </c>
      <c r="V118" s="1" t="str">
        <f ca="1">IF(OR($A118=0,$A118="S",$A118&gt;CFF!$A$9),"",MAX(V$12:OFFSET(V118,-1,0))+1)</f>
        <v/>
      </c>
      <c r="W118" s="4" t="b">
        <f t="shared" si="63"/>
        <v>0</v>
      </c>
      <c r="X118" s="1" t="str">
        <f t="shared" ca="1" si="53"/>
        <v>X</v>
      </c>
      <c r="Y118" s="103">
        <v>0</v>
      </c>
      <c r="Z118" s="113">
        <f ca="1">ROUND(IF(ISNUMBER(R118),R118,IF(LEFT(R118,3)="BDI",HLOOKUP(R118,DADOS!$T$37:$X$38,2,FALSE),0)),15-11*$X$5)</f>
        <v>0.23130000000000001</v>
      </c>
      <c r="AA118" s="1"/>
    </row>
    <row r="119" spans="1:27" x14ac:dyDescent="0.2">
      <c r="A119" t="str">
        <f t="shared" si="54"/>
        <v>S</v>
      </c>
      <c r="B119">
        <f t="shared" si="55"/>
        <v>0</v>
      </c>
      <c r="C119">
        <f t="shared" ca="1" si="56"/>
        <v>1</v>
      </c>
      <c r="D119">
        <f t="shared" ca="1" si="57"/>
        <v>6</v>
      </c>
      <c r="E119">
        <f t="shared" ca="1" si="58"/>
        <v>1</v>
      </c>
      <c r="F119">
        <f t="shared" ca="1" si="59"/>
        <v>0</v>
      </c>
      <c r="G119">
        <f t="shared" ca="1" si="60"/>
        <v>1</v>
      </c>
      <c r="H119">
        <f t="shared" ca="1" si="46"/>
        <v>0</v>
      </c>
      <c r="I119">
        <f t="shared" ca="1" si="47"/>
        <v>0</v>
      </c>
      <c r="J119" s="355" t="s">
        <v>103</v>
      </c>
      <c r="K119" s="138" t="str">
        <f t="shared" ca="1" si="61"/>
        <v>1.6.1.0.1.</v>
      </c>
      <c r="L119" s="356" t="s">
        <v>230</v>
      </c>
      <c r="M119" s="356" t="s">
        <v>323</v>
      </c>
      <c r="N119" s="360" t="s">
        <v>685</v>
      </c>
      <c r="O119" s="362" t="s">
        <v>940</v>
      </c>
      <c r="P119" s="363">
        <v>275.70999999999998</v>
      </c>
      <c r="Q119" s="195"/>
      <c r="R119" s="198" t="s">
        <v>7</v>
      </c>
      <c r="S119" s="103">
        <f t="shared" si="51"/>
        <v>0</v>
      </c>
      <c r="T119" s="83">
        <f t="shared" si="52"/>
        <v>0</v>
      </c>
      <c r="U119" s="9" t="str">
        <f t="shared" si="62"/>
        <v>SEM VALOR</v>
      </c>
      <c r="V119" s="1" t="str">
        <f ca="1">IF(OR($A119=0,$A119="S",$A119&gt;CFF!$A$9),"",MAX(V$12:OFFSET(V119,-1,0))+1)</f>
        <v/>
      </c>
      <c r="W119" s="4" t="str">
        <f t="shared" si="63"/>
        <v>SINAPI-96113</v>
      </c>
      <c r="X119" s="1">
        <f t="shared" ca="1" si="53"/>
        <v>9108</v>
      </c>
      <c r="Y119" s="103">
        <v>63.88</v>
      </c>
      <c r="Z119" s="113">
        <f ca="1">ROUND(IF(ISNUMBER(R119),R119,IF(LEFT(R119,3)="BDI",HLOOKUP(R119,DADOS!$T$37:$X$38,2,FALSE),0)),15-11*$X$5)</f>
        <v>0.23130000000000001</v>
      </c>
      <c r="AA119" s="1"/>
    </row>
    <row r="120" spans="1:27" x14ac:dyDescent="0.2">
      <c r="A120" t="str">
        <f t="shared" si="54"/>
        <v>S</v>
      </c>
      <c r="B120">
        <f t="shared" si="55"/>
        <v>0</v>
      </c>
      <c r="C120">
        <f t="shared" ca="1" si="56"/>
        <v>1</v>
      </c>
      <c r="D120">
        <f t="shared" ca="1" si="57"/>
        <v>6</v>
      </c>
      <c r="E120">
        <f t="shared" ca="1" si="58"/>
        <v>1</v>
      </c>
      <c r="F120">
        <f t="shared" ca="1" si="59"/>
        <v>0</v>
      </c>
      <c r="G120">
        <f t="shared" ca="1" si="60"/>
        <v>2</v>
      </c>
      <c r="H120">
        <f t="shared" ca="1" si="46"/>
        <v>0</v>
      </c>
      <c r="I120">
        <f t="shared" ca="1" si="47"/>
        <v>0</v>
      </c>
      <c r="J120" s="355" t="s">
        <v>103</v>
      </c>
      <c r="K120" s="138" t="str">
        <f t="shared" ca="1" si="61"/>
        <v>1.6.1.0.2.</v>
      </c>
      <c r="L120" s="356" t="s">
        <v>230</v>
      </c>
      <c r="M120" s="356" t="s">
        <v>324</v>
      </c>
      <c r="N120" s="360" t="s">
        <v>686</v>
      </c>
      <c r="O120" s="362" t="s">
        <v>945</v>
      </c>
      <c r="P120" s="363">
        <v>358.03</v>
      </c>
      <c r="Q120" s="195"/>
      <c r="R120" s="198" t="s">
        <v>7</v>
      </c>
      <c r="S120" s="103">
        <f t="shared" si="51"/>
        <v>0</v>
      </c>
      <c r="T120" s="83">
        <f t="shared" si="52"/>
        <v>0</v>
      </c>
      <c r="U120" s="9" t="str">
        <f t="shared" si="62"/>
        <v>SEM VALOR</v>
      </c>
      <c r="V120" s="1" t="str">
        <f ca="1">IF(OR($A120=0,$A120="S",$A120&gt;CFF!$A$9),"",MAX(V$12:OFFSET(V120,-1,0))+1)</f>
        <v/>
      </c>
      <c r="W120" s="4" t="str">
        <f t="shared" si="63"/>
        <v>SINAPI-96120</v>
      </c>
      <c r="X120" s="1">
        <f t="shared" ca="1" si="53"/>
        <v>9098</v>
      </c>
      <c r="Y120" s="103">
        <v>4.16</v>
      </c>
      <c r="Z120" s="113">
        <f ca="1">ROUND(IF(ISNUMBER(R120),R120,IF(LEFT(R120,3)="BDI",HLOOKUP(R120,DADOS!$T$37:$X$38,2,FALSE),0)),15-11*$X$5)</f>
        <v>0.23130000000000001</v>
      </c>
      <c r="AA120" s="1"/>
    </row>
    <row r="121" spans="1:27" x14ac:dyDescent="0.2">
      <c r="A121" t="str">
        <f t="shared" si="54"/>
        <v>S</v>
      </c>
      <c r="B121">
        <f t="shared" si="55"/>
        <v>0</v>
      </c>
      <c r="C121">
        <f t="shared" ca="1" si="56"/>
        <v>1</v>
      </c>
      <c r="D121">
        <f t="shared" ca="1" si="57"/>
        <v>6</v>
      </c>
      <c r="E121">
        <f t="shared" ca="1" si="58"/>
        <v>1</v>
      </c>
      <c r="F121">
        <f t="shared" ca="1" si="59"/>
        <v>0</v>
      </c>
      <c r="G121">
        <f t="shared" ca="1" si="60"/>
        <v>3</v>
      </c>
      <c r="H121">
        <f t="shared" ca="1" si="46"/>
        <v>0</v>
      </c>
      <c r="I121">
        <f t="shared" ca="1" si="47"/>
        <v>0</v>
      </c>
      <c r="J121" s="355" t="s">
        <v>103</v>
      </c>
      <c r="K121" s="138" t="str">
        <f t="shared" ca="1" si="61"/>
        <v>1.6.1.0.3.</v>
      </c>
      <c r="L121" s="356" t="s">
        <v>230</v>
      </c>
      <c r="M121" s="356" t="s">
        <v>309</v>
      </c>
      <c r="N121" s="360" t="s">
        <v>669</v>
      </c>
      <c r="O121" s="362" t="s">
        <v>940</v>
      </c>
      <c r="P121" s="363">
        <v>293.61</v>
      </c>
      <c r="Q121" s="195"/>
      <c r="R121" s="198" t="s">
        <v>7</v>
      </c>
      <c r="S121" s="103">
        <f t="shared" si="51"/>
        <v>0</v>
      </c>
      <c r="T121" s="83">
        <f t="shared" si="52"/>
        <v>0</v>
      </c>
      <c r="U121" s="9" t="str">
        <f t="shared" si="62"/>
        <v>SEM VALOR</v>
      </c>
      <c r="V121" s="1" t="str">
        <f ca="1">IF(OR($A121=0,$A121="S",$A121&gt;CFF!$A$9),"",MAX(V$12:OFFSET(V121,-1,0))+1)</f>
        <v/>
      </c>
      <c r="W121" s="4" t="str">
        <f t="shared" si="63"/>
        <v>SINAPI-88484</v>
      </c>
      <c r="X121" s="1">
        <f t="shared" ca="1" si="53"/>
        <v>13193</v>
      </c>
      <c r="Y121" s="103">
        <v>6.23</v>
      </c>
      <c r="Z121" s="113">
        <f ca="1">ROUND(IF(ISNUMBER(R121),R121,IF(LEFT(R121,3)="BDI",HLOOKUP(R121,DADOS!$T$37:$X$38,2,FALSE),0)),15-11*$X$5)</f>
        <v>0.23130000000000001</v>
      </c>
      <c r="AA121" s="1"/>
    </row>
    <row r="122" spans="1:27" x14ac:dyDescent="0.2">
      <c r="A122" t="str">
        <f t="shared" si="54"/>
        <v>S</v>
      </c>
      <c r="B122">
        <f t="shared" si="55"/>
        <v>0</v>
      </c>
      <c r="C122">
        <f t="shared" ca="1" si="56"/>
        <v>1</v>
      </c>
      <c r="D122">
        <f t="shared" ca="1" si="57"/>
        <v>6</v>
      </c>
      <c r="E122">
        <f t="shared" ca="1" si="58"/>
        <v>1</v>
      </c>
      <c r="F122">
        <f t="shared" ca="1" si="59"/>
        <v>0</v>
      </c>
      <c r="G122">
        <f t="shared" ca="1" si="60"/>
        <v>4</v>
      </c>
      <c r="H122">
        <f t="shared" ca="1" si="46"/>
        <v>0</v>
      </c>
      <c r="I122">
        <f t="shared" ca="1" si="47"/>
        <v>0</v>
      </c>
      <c r="J122" s="355" t="s">
        <v>103</v>
      </c>
      <c r="K122" s="138" t="str">
        <f t="shared" ca="1" si="61"/>
        <v>1.6.1.0.4.</v>
      </c>
      <c r="L122" s="356" t="s">
        <v>230</v>
      </c>
      <c r="M122" s="356" t="s">
        <v>285</v>
      </c>
      <c r="N122" s="360" t="s">
        <v>671</v>
      </c>
      <c r="O122" s="362" t="s">
        <v>940</v>
      </c>
      <c r="P122" s="363">
        <v>293.61</v>
      </c>
      <c r="Q122" s="195"/>
      <c r="R122" s="198" t="s">
        <v>7</v>
      </c>
      <c r="S122" s="103">
        <f t="shared" si="51"/>
        <v>0</v>
      </c>
      <c r="T122" s="83">
        <f t="shared" si="52"/>
        <v>0</v>
      </c>
      <c r="U122" s="9" t="str">
        <f t="shared" si="62"/>
        <v>SEM VALOR</v>
      </c>
      <c r="V122" s="1" t="str">
        <f ca="1">IF(OR($A122=0,$A122="S",$A122&gt;CFF!$A$9),"",MAX(V$12:OFFSET(V122,-1,0))+1)</f>
        <v/>
      </c>
      <c r="W122" s="4" t="str">
        <f t="shared" si="63"/>
        <v>SINAPI-88496</v>
      </c>
      <c r="X122" s="1">
        <f t="shared" ca="1" si="53"/>
        <v>13188</v>
      </c>
      <c r="Y122" s="103">
        <v>43.8</v>
      </c>
      <c r="Z122" s="113">
        <f ca="1">ROUND(IF(ISNUMBER(R122),R122,IF(LEFT(R122,3)="BDI",HLOOKUP(R122,DADOS!$T$37:$X$38,2,FALSE),0)),15-11*$X$5)</f>
        <v>0.23130000000000001</v>
      </c>
      <c r="AA122" s="1"/>
    </row>
    <row r="123" spans="1:27" x14ac:dyDescent="0.2">
      <c r="A123" t="str">
        <f t="shared" si="54"/>
        <v>S</v>
      </c>
      <c r="B123">
        <f t="shared" si="55"/>
        <v>0</v>
      </c>
      <c r="C123">
        <f t="shared" ca="1" si="56"/>
        <v>1</v>
      </c>
      <c r="D123">
        <f t="shared" ca="1" si="57"/>
        <v>6</v>
      </c>
      <c r="E123">
        <f t="shared" ca="1" si="58"/>
        <v>1</v>
      </c>
      <c r="F123">
        <f t="shared" ca="1" si="59"/>
        <v>0</v>
      </c>
      <c r="G123">
        <f t="shared" ca="1" si="60"/>
        <v>5</v>
      </c>
      <c r="H123">
        <f t="shared" ca="1" si="46"/>
        <v>0</v>
      </c>
      <c r="I123">
        <f t="shared" ca="1" si="47"/>
        <v>0</v>
      </c>
      <c r="J123" s="355" t="s">
        <v>103</v>
      </c>
      <c r="K123" s="138" t="str">
        <f t="shared" ca="1" si="61"/>
        <v>1.6.1.0.5.</v>
      </c>
      <c r="L123" s="356" t="s">
        <v>230</v>
      </c>
      <c r="M123" s="356" t="s">
        <v>313</v>
      </c>
      <c r="N123" s="360" t="s">
        <v>674</v>
      </c>
      <c r="O123" s="362" t="s">
        <v>940</v>
      </c>
      <c r="P123" s="363">
        <v>293.61</v>
      </c>
      <c r="Q123" s="195"/>
      <c r="R123" s="198" t="s">
        <v>7</v>
      </c>
      <c r="S123" s="103">
        <f t="shared" si="51"/>
        <v>0</v>
      </c>
      <c r="T123" s="83">
        <f t="shared" si="52"/>
        <v>0</v>
      </c>
      <c r="U123" s="9" t="str">
        <f t="shared" si="62"/>
        <v>SEM VALOR</v>
      </c>
      <c r="V123" s="1" t="str">
        <f ca="1">IF(OR($A123=0,$A123="S",$A123&gt;CFF!$A$9),"",MAX(V$12:OFFSET(V123,-1,0))+1)</f>
        <v/>
      </c>
      <c r="W123" s="4" t="str">
        <f t="shared" si="63"/>
        <v>SINAPI-104640</v>
      </c>
      <c r="X123" s="1">
        <f t="shared" ca="1" si="53"/>
        <v>13203</v>
      </c>
      <c r="Y123" s="103">
        <v>17.52</v>
      </c>
      <c r="Z123" s="113">
        <f ca="1">ROUND(IF(ISNUMBER(R123),R123,IF(LEFT(R123,3)="BDI",HLOOKUP(R123,DADOS!$T$37:$X$38,2,FALSE),0)),15-11*$X$5)</f>
        <v>0.23130000000000001</v>
      </c>
      <c r="AA123" s="1"/>
    </row>
    <row r="124" spans="1:27" x14ac:dyDescent="0.2">
      <c r="A124" t="str">
        <f t="shared" si="54"/>
        <v>S</v>
      </c>
      <c r="B124">
        <f t="shared" si="55"/>
        <v>0</v>
      </c>
      <c r="C124">
        <f t="shared" ca="1" si="56"/>
        <v>1</v>
      </c>
      <c r="D124">
        <f t="shared" ca="1" si="57"/>
        <v>6</v>
      </c>
      <c r="E124">
        <f t="shared" ca="1" si="58"/>
        <v>1</v>
      </c>
      <c r="F124">
        <f t="shared" ca="1" si="59"/>
        <v>0</v>
      </c>
      <c r="G124">
        <f t="shared" ca="1" si="60"/>
        <v>6</v>
      </c>
      <c r="H124">
        <f t="shared" ca="1" si="46"/>
        <v>0</v>
      </c>
      <c r="I124">
        <f t="shared" ca="1" si="47"/>
        <v>0</v>
      </c>
      <c r="J124" s="355" t="s">
        <v>103</v>
      </c>
      <c r="K124" s="138" t="str">
        <f t="shared" ca="1" si="61"/>
        <v>1.6.1.0.6.</v>
      </c>
      <c r="L124" s="356" t="s">
        <v>230</v>
      </c>
      <c r="M124" s="356" t="s">
        <v>325</v>
      </c>
      <c r="N124" s="360" t="s">
        <v>687</v>
      </c>
      <c r="O124" s="362" t="s">
        <v>940</v>
      </c>
      <c r="P124" s="363">
        <v>293.61</v>
      </c>
      <c r="Q124" s="195"/>
      <c r="R124" s="198" t="s">
        <v>7</v>
      </c>
      <c r="S124" s="103">
        <f t="shared" si="51"/>
        <v>0</v>
      </c>
      <c r="T124" s="83">
        <f t="shared" si="52"/>
        <v>0</v>
      </c>
      <c r="U124" s="9" t="str">
        <f t="shared" si="62"/>
        <v>SEM VALOR</v>
      </c>
      <c r="V124" s="1" t="str">
        <f ca="1">IF(OR($A124=0,$A124="S",$A124&gt;CFF!$A$9),"",MAX(V$12:OFFSET(V124,-1,0))+1)</f>
        <v/>
      </c>
      <c r="W124" s="4" t="str">
        <f t="shared" si="63"/>
        <v>SINAPI-88488</v>
      </c>
      <c r="X124" s="1">
        <f t="shared" ca="1" si="53"/>
        <v>13201</v>
      </c>
      <c r="Y124" s="103">
        <v>20.56</v>
      </c>
      <c r="Z124" s="113">
        <f ca="1">ROUND(IF(ISNUMBER(R124),R124,IF(LEFT(R124,3)="BDI",HLOOKUP(R124,DADOS!$T$37:$X$38,2,FALSE),0)),15-11*$X$5)</f>
        <v>0.23130000000000001</v>
      </c>
      <c r="AA124" s="1"/>
    </row>
    <row r="125" spans="1:27" x14ac:dyDescent="0.2">
      <c r="A125">
        <f t="shared" si="54"/>
        <v>2</v>
      </c>
      <c r="B125">
        <f t="shared" ca="1" si="55"/>
        <v>37</v>
      </c>
      <c r="C125">
        <f t="shared" ca="1" si="56"/>
        <v>1</v>
      </c>
      <c r="D125">
        <f t="shared" ca="1" si="57"/>
        <v>7</v>
      </c>
      <c r="E125">
        <f t="shared" ca="1" si="58"/>
        <v>0</v>
      </c>
      <c r="F125">
        <f t="shared" ca="1" si="59"/>
        <v>0</v>
      </c>
      <c r="G125">
        <f t="shared" ca="1" si="60"/>
        <v>0</v>
      </c>
      <c r="H125">
        <f t="shared" ca="1" si="46"/>
        <v>297</v>
      </c>
      <c r="I125">
        <f t="shared" ca="1" si="47"/>
        <v>37</v>
      </c>
      <c r="J125" s="355" t="s">
        <v>100</v>
      </c>
      <c r="K125" s="138" t="str">
        <f t="shared" ca="1" si="61"/>
        <v>1.7.</v>
      </c>
      <c r="L125" s="356" t="s">
        <v>230</v>
      </c>
      <c r="M125" s="356"/>
      <c r="N125" s="360" t="s">
        <v>588</v>
      </c>
      <c r="O125" s="362" t="s">
        <v>106</v>
      </c>
      <c r="P125" s="363"/>
      <c r="Q125" s="195"/>
      <c r="R125" s="198" t="s">
        <v>7</v>
      </c>
      <c r="S125" s="103">
        <f t="shared" si="51"/>
        <v>0</v>
      </c>
      <c r="T125" s="83">
        <f t="shared" ca="1" si="52"/>
        <v>0</v>
      </c>
      <c r="U125" s="9" t="str">
        <f t="shared" ca="1" si="62"/>
        <v>SEM VALOR</v>
      </c>
      <c r="V125" s="1">
        <f ca="1">IF(OR($A125=0,$A125="S",$A125&gt;CFF!$A$9),"",MAX(V$12:OFFSET(V125,-1,0))+1)</f>
        <v>8</v>
      </c>
      <c r="W125" s="4" t="b">
        <f t="shared" si="63"/>
        <v>0</v>
      </c>
      <c r="X125" s="1" t="str">
        <f t="shared" ca="1" si="53"/>
        <v>X</v>
      </c>
      <c r="Y125" s="103">
        <v>0</v>
      </c>
      <c r="Z125" s="113">
        <f ca="1">ROUND(IF(ISNUMBER(R125),R125,IF(LEFT(R125,3)="BDI",HLOOKUP(R125,DADOS!$T$37:$X$38,2,FALSE),0)),15-11*$X$5)</f>
        <v>0.23130000000000001</v>
      </c>
      <c r="AA125" s="1"/>
    </row>
    <row r="126" spans="1:27" x14ac:dyDescent="0.2">
      <c r="A126">
        <f t="shared" si="54"/>
        <v>3</v>
      </c>
      <c r="B126">
        <f t="shared" ca="1" si="55"/>
        <v>21</v>
      </c>
      <c r="C126">
        <f t="shared" ca="1" si="56"/>
        <v>1</v>
      </c>
      <c r="D126">
        <f t="shared" ca="1" si="57"/>
        <v>7</v>
      </c>
      <c r="E126">
        <f t="shared" ca="1" si="58"/>
        <v>1</v>
      </c>
      <c r="F126">
        <f t="shared" ca="1" si="59"/>
        <v>0</v>
      </c>
      <c r="G126">
        <f t="shared" ca="1" si="60"/>
        <v>0</v>
      </c>
      <c r="H126">
        <f t="shared" ca="1" si="46"/>
        <v>36</v>
      </c>
      <c r="I126">
        <f t="shared" ca="1" si="47"/>
        <v>21</v>
      </c>
      <c r="J126" s="355" t="s">
        <v>101</v>
      </c>
      <c r="K126" s="138" t="str">
        <f t="shared" ca="1" si="61"/>
        <v>1.7.1.</v>
      </c>
      <c r="L126" s="356" t="s">
        <v>230</v>
      </c>
      <c r="M126" s="356" t="s">
        <v>326</v>
      </c>
      <c r="N126" s="360" t="s">
        <v>589</v>
      </c>
      <c r="O126" s="362" t="s">
        <v>944</v>
      </c>
      <c r="P126" s="363"/>
      <c r="Q126" s="195"/>
      <c r="R126" s="198" t="s">
        <v>7</v>
      </c>
      <c r="S126" s="103">
        <f t="shared" si="51"/>
        <v>0</v>
      </c>
      <c r="T126" s="83">
        <f t="shared" ca="1" si="52"/>
        <v>0</v>
      </c>
      <c r="U126" s="9" t="str">
        <f t="shared" ca="1" si="62"/>
        <v>SEM VALOR</v>
      </c>
      <c r="V126" s="1" t="str">
        <f ca="1">IF(OR($A126=0,$A126="S",$A126&gt;CFF!$A$9),"",MAX(V$12:OFFSET(V126,-1,0))+1)</f>
        <v/>
      </c>
      <c r="W126" s="4" t="b">
        <f t="shared" si="63"/>
        <v>0</v>
      </c>
      <c r="X126" s="1">
        <f t="shared" ca="1" si="53"/>
        <v>9668</v>
      </c>
      <c r="Y126" s="103">
        <v>0</v>
      </c>
      <c r="Z126" s="113">
        <f ca="1">ROUND(IF(ISNUMBER(R126),R126,IF(LEFT(R126,3)="BDI",HLOOKUP(R126,DADOS!$T$37:$X$38,2,FALSE),0)),15-11*$X$5)</f>
        <v>0.23130000000000001</v>
      </c>
      <c r="AA126" s="1"/>
    </row>
    <row r="127" spans="1:27" x14ac:dyDescent="0.2">
      <c r="A127">
        <f t="shared" si="54"/>
        <v>4</v>
      </c>
      <c r="B127">
        <f t="shared" ca="1" si="55"/>
        <v>2</v>
      </c>
      <c r="C127">
        <f t="shared" ca="1" si="56"/>
        <v>1</v>
      </c>
      <c r="D127">
        <f t="shared" ca="1" si="57"/>
        <v>7</v>
      </c>
      <c r="E127">
        <f t="shared" ca="1" si="58"/>
        <v>1</v>
      </c>
      <c r="F127">
        <f t="shared" ca="1" si="59"/>
        <v>1</v>
      </c>
      <c r="G127">
        <f t="shared" ca="1" si="60"/>
        <v>0</v>
      </c>
      <c r="H127">
        <f t="shared" ca="1" si="46"/>
        <v>20</v>
      </c>
      <c r="I127">
        <f t="shared" ca="1" si="47"/>
        <v>2</v>
      </c>
      <c r="J127" s="355" t="s">
        <v>102</v>
      </c>
      <c r="K127" s="138" t="str">
        <f t="shared" ca="1" si="61"/>
        <v>1.7.1.1.</v>
      </c>
      <c r="L127" s="356" t="s">
        <v>230</v>
      </c>
      <c r="M127" s="356"/>
      <c r="N127" s="360" t="s">
        <v>590</v>
      </c>
      <c r="O127" s="362" t="s">
        <v>106</v>
      </c>
      <c r="P127" s="363"/>
      <c r="Q127" s="195"/>
      <c r="R127" s="198" t="s">
        <v>7</v>
      </c>
      <c r="S127" s="103">
        <f t="shared" si="51"/>
        <v>0</v>
      </c>
      <c r="T127" s="83">
        <f t="shared" ca="1" si="52"/>
        <v>0</v>
      </c>
      <c r="U127" s="9" t="str">
        <f t="shared" ca="1" si="62"/>
        <v>SEM VALOR</v>
      </c>
      <c r="V127" s="1" t="str">
        <f ca="1">IF(OR($A127=0,$A127="S",$A127&gt;CFF!$A$9),"",MAX(V$12:OFFSET(V127,-1,0))+1)</f>
        <v/>
      </c>
      <c r="W127" s="4" t="b">
        <f t="shared" si="63"/>
        <v>0</v>
      </c>
      <c r="X127" s="1" t="str">
        <f t="shared" ca="1" si="53"/>
        <v>X</v>
      </c>
      <c r="Y127" s="103">
        <v>0</v>
      </c>
      <c r="Z127" s="113">
        <f ca="1">ROUND(IF(ISNUMBER(R127),R127,IF(LEFT(R127,3)="BDI",HLOOKUP(R127,DADOS!$T$37:$X$38,2,FALSE),0)),15-11*$X$5)</f>
        <v>0.23130000000000001</v>
      </c>
      <c r="AA127" s="1"/>
    </row>
    <row r="128" spans="1:27" ht="51" x14ac:dyDescent="0.2">
      <c r="A128" t="str">
        <f t="shared" si="54"/>
        <v>S</v>
      </c>
      <c r="B128">
        <f t="shared" si="55"/>
        <v>0</v>
      </c>
      <c r="C128">
        <f t="shared" ca="1" si="56"/>
        <v>1</v>
      </c>
      <c r="D128">
        <f t="shared" ca="1" si="57"/>
        <v>7</v>
      </c>
      <c r="E128">
        <f t="shared" ca="1" si="58"/>
        <v>1</v>
      </c>
      <c r="F128">
        <f t="shared" ca="1" si="59"/>
        <v>1</v>
      </c>
      <c r="G128">
        <f t="shared" ca="1" si="60"/>
        <v>1</v>
      </c>
      <c r="H128">
        <f t="shared" ca="1" si="46"/>
        <v>0</v>
      </c>
      <c r="I128">
        <f t="shared" ca="1" si="47"/>
        <v>0</v>
      </c>
      <c r="J128" s="355" t="s">
        <v>103</v>
      </c>
      <c r="K128" s="138" t="str">
        <f t="shared" ca="1" si="61"/>
        <v>1.7.1.1.1.</v>
      </c>
      <c r="L128" s="356" t="s">
        <v>230</v>
      </c>
      <c r="M128" s="356" t="s">
        <v>327</v>
      </c>
      <c r="N128" s="360" t="s">
        <v>688</v>
      </c>
      <c r="O128" s="362" t="s">
        <v>940</v>
      </c>
      <c r="P128" s="363">
        <v>4.8</v>
      </c>
      <c r="Q128" s="195"/>
      <c r="R128" s="198" t="s">
        <v>7</v>
      </c>
      <c r="S128" s="103">
        <f t="shared" si="51"/>
        <v>0</v>
      </c>
      <c r="T128" s="83">
        <f t="shared" si="52"/>
        <v>0</v>
      </c>
      <c r="U128" s="9" t="str">
        <f t="shared" si="62"/>
        <v>SEM VALOR</v>
      </c>
      <c r="V128" s="1" t="str">
        <f ca="1">IF(OR($A128=0,$A128="S",$A128&gt;CFF!$A$9),"",MAX(V$12:OFFSET(V128,-1,0))+1)</f>
        <v/>
      </c>
      <c r="W128" s="4" t="str">
        <f t="shared" si="63"/>
        <v>SINAPI-94570</v>
      </c>
      <c r="X128" s="1">
        <f t="shared" ca="1" si="53"/>
        <v>8603</v>
      </c>
      <c r="Y128" s="103">
        <v>515.32000000000005</v>
      </c>
      <c r="Z128" s="113">
        <f ca="1">ROUND(IF(ISNUMBER(R128),R128,IF(LEFT(R128,3)="BDI",HLOOKUP(R128,DADOS!$T$37:$X$38,2,FALSE),0)),15-11*$X$5)</f>
        <v>0.23130000000000001</v>
      </c>
      <c r="AA128" s="1"/>
    </row>
    <row r="129" spans="1:27" x14ac:dyDescent="0.2">
      <c r="A129">
        <f t="shared" si="54"/>
        <v>4</v>
      </c>
      <c r="B129">
        <f t="shared" ca="1" si="55"/>
        <v>2</v>
      </c>
      <c r="C129">
        <f t="shared" ca="1" si="56"/>
        <v>1</v>
      </c>
      <c r="D129">
        <f t="shared" ca="1" si="57"/>
        <v>7</v>
      </c>
      <c r="E129">
        <f t="shared" ca="1" si="58"/>
        <v>1</v>
      </c>
      <c r="F129">
        <f t="shared" ca="1" si="59"/>
        <v>2</v>
      </c>
      <c r="G129">
        <f t="shared" ca="1" si="60"/>
        <v>0</v>
      </c>
      <c r="H129">
        <f t="shared" ca="1" si="46"/>
        <v>18</v>
      </c>
      <c r="I129">
        <f t="shared" ca="1" si="47"/>
        <v>2</v>
      </c>
      <c r="J129" s="355" t="s">
        <v>102</v>
      </c>
      <c r="K129" s="138" t="str">
        <f t="shared" ca="1" si="61"/>
        <v>1.7.1.2.</v>
      </c>
      <c r="L129" s="356" t="s">
        <v>230</v>
      </c>
      <c r="M129" s="356"/>
      <c r="N129" s="360" t="s">
        <v>591</v>
      </c>
      <c r="O129" s="362" t="s">
        <v>106</v>
      </c>
      <c r="P129" s="363"/>
      <c r="Q129" s="195"/>
      <c r="R129" s="198" t="s">
        <v>7</v>
      </c>
      <c r="S129" s="103">
        <f t="shared" si="51"/>
        <v>0</v>
      </c>
      <c r="T129" s="83">
        <f t="shared" ca="1" si="52"/>
        <v>0</v>
      </c>
      <c r="U129" s="9" t="str">
        <f t="shared" ca="1" si="62"/>
        <v>SEM VALOR</v>
      </c>
      <c r="V129" s="1" t="str">
        <f ca="1">IF(OR($A129=0,$A129="S",$A129&gt;CFF!$A$9),"",MAX(V$12:OFFSET(V129,-1,0))+1)</f>
        <v/>
      </c>
      <c r="W129" s="4" t="b">
        <f t="shared" si="63"/>
        <v>0</v>
      </c>
      <c r="X129" s="1" t="str">
        <f t="shared" ca="1" si="53"/>
        <v>X</v>
      </c>
      <c r="Y129" s="103">
        <v>0</v>
      </c>
      <c r="Z129" s="113">
        <f ca="1">ROUND(IF(ISNUMBER(R129),R129,IF(LEFT(R129,3)="BDI",HLOOKUP(R129,DADOS!$T$37:$X$38,2,FALSE),0)),15-11*$X$5)</f>
        <v>0.23130000000000001</v>
      </c>
      <c r="AA129" s="1"/>
    </row>
    <row r="130" spans="1:27" ht="51" x14ac:dyDescent="0.2">
      <c r="A130" t="str">
        <f t="shared" si="54"/>
        <v>S</v>
      </c>
      <c r="B130">
        <f t="shared" si="55"/>
        <v>0</v>
      </c>
      <c r="C130">
        <f t="shared" ca="1" si="56"/>
        <v>1</v>
      </c>
      <c r="D130">
        <f t="shared" ca="1" si="57"/>
        <v>7</v>
      </c>
      <c r="E130">
        <f t="shared" ca="1" si="58"/>
        <v>1</v>
      </c>
      <c r="F130">
        <f t="shared" ca="1" si="59"/>
        <v>2</v>
      </c>
      <c r="G130">
        <f t="shared" ca="1" si="60"/>
        <v>1</v>
      </c>
      <c r="H130">
        <f t="shared" ca="1" si="46"/>
        <v>0</v>
      </c>
      <c r="I130">
        <f t="shared" ca="1" si="47"/>
        <v>0</v>
      </c>
      <c r="J130" s="355" t="s">
        <v>103</v>
      </c>
      <c r="K130" s="138" t="str">
        <f t="shared" ca="1" si="61"/>
        <v>1.7.1.2.1.</v>
      </c>
      <c r="L130" s="356" t="s">
        <v>230</v>
      </c>
      <c r="M130" s="356" t="s">
        <v>328</v>
      </c>
      <c r="N130" s="360" t="s">
        <v>689</v>
      </c>
      <c r="O130" s="362" t="s">
        <v>940</v>
      </c>
      <c r="P130" s="363">
        <v>10.58</v>
      </c>
      <c r="Q130" s="195"/>
      <c r="R130" s="198" t="s">
        <v>7</v>
      </c>
      <c r="S130" s="103">
        <f t="shared" si="51"/>
        <v>0</v>
      </c>
      <c r="T130" s="83">
        <f t="shared" si="52"/>
        <v>0</v>
      </c>
      <c r="U130" s="9" t="str">
        <f t="shared" si="62"/>
        <v>SEM VALOR</v>
      </c>
      <c r="V130" s="1" t="str">
        <f ca="1">IF(OR($A130=0,$A130="S",$A130&gt;CFF!$A$9),"",MAX(V$12:OFFSET(V130,-1,0))+1)</f>
        <v/>
      </c>
      <c r="W130" s="4" t="str">
        <f t="shared" si="63"/>
        <v>SINAPI-94573</v>
      </c>
      <c r="X130" s="1">
        <f t="shared" ca="1" si="53"/>
        <v>8606</v>
      </c>
      <c r="Y130" s="103">
        <v>575.45000000000005</v>
      </c>
      <c r="Z130" s="113">
        <f ca="1">ROUND(IF(ISNUMBER(R130),R130,IF(LEFT(R130,3)="BDI",HLOOKUP(R130,DADOS!$T$37:$X$38,2,FALSE),0)),15-11*$X$5)</f>
        <v>0.23130000000000001</v>
      </c>
      <c r="AA130" s="1"/>
    </row>
    <row r="131" spans="1:27" x14ac:dyDescent="0.2">
      <c r="A131">
        <f t="shared" si="54"/>
        <v>4</v>
      </c>
      <c r="B131">
        <f t="shared" ca="1" si="55"/>
        <v>2</v>
      </c>
      <c r="C131">
        <f t="shared" ca="1" si="56"/>
        <v>1</v>
      </c>
      <c r="D131">
        <f t="shared" ca="1" si="57"/>
        <v>7</v>
      </c>
      <c r="E131">
        <f t="shared" ca="1" si="58"/>
        <v>1</v>
      </c>
      <c r="F131">
        <f t="shared" ca="1" si="59"/>
        <v>3</v>
      </c>
      <c r="G131">
        <f t="shared" ca="1" si="60"/>
        <v>0</v>
      </c>
      <c r="H131">
        <f t="shared" ca="1" si="46"/>
        <v>16</v>
      </c>
      <c r="I131">
        <f t="shared" ca="1" si="47"/>
        <v>2</v>
      </c>
      <c r="J131" s="355" t="s">
        <v>102</v>
      </c>
      <c r="K131" s="138" t="str">
        <f t="shared" ca="1" si="61"/>
        <v>1.7.1.3.</v>
      </c>
      <c r="L131" s="356" t="s">
        <v>230</v>
      </c>
      <c r="M131" s="356"/>
      <c r="N131" s="360" t="s">
        <v>592</v>
      </c>
      <c r="O131" s="362" t="s">
        <v>106</v>
      </c>
      <c r="P131" s="363"/>
      <c r="Q131" s="195"/>
      <c r="R131" s="198" t="s">
        <v>7</v>
      </c>
      <c r="S131" s="103">
        <f t="shared" si="51"/>
        <v>0</v>
      </c>
      <c r="T131" s="83">
        <f t="shared" ca="1" si="52"/>
        <v>0</v>
      </c>
      <c r="U131" s="9" t="str">
        <f t="shared" ca="1" si="62"/>
        <v>SEM VALOR</v>
      </c>
      <c r="V131" s="1" t="str">
        <f ca="1">IF(OR($A131=0,$A131="S",$A131&gt;CFF!$A$9),"",MAX(V$12:OFFSET(V131,-1,0))+1)</f>
        <v/>
      </c>
      <c r="W131" s="4" t="b">
        <f t="shared" si="63"/>
        <v>0</v>
      </c>
      <c r="X131" s="1" t="str">
        <f t="shared" ca="1" si="53"/>
        <v>X</v>
      </c>
      <c r="Y131" s="103">
        <v>0</v>
      </c>
      <c r="Z131" s="113">
        <f ca="1">ROUND(IF(ISNUMBER(R131),R131,IF(LEFT(R131,3)="BDI",HLOOKUP(R131,DADOS!$T$37:$X$38,2,FALSE),0)),15-11*$X$5)</f>
        <v>0.23130000000000001</v>
      </c>
      <c r="AA131" s="1"/>
    </row>
    <row r="132" spans="1:27" ht="38.25" x14ac:dyDescent="0.2">
      <c r="A132" t="str">
        <f t="shared" si="54"/>
        <v>S</v>
      </c>
      <c r="B132">
        <f t="shared" si="55"/>
        <v>0</v>
      </c>
      <c r="C132">
        <f t="shared" ca="1" si="56"/>
        <v>1</v>
      </c>
      <c r="D132">
        <f t="shared" ca="1" si="57"/>
        <v>7</v>
      </c>
      <c r="E132">
        <f t="shared" ca="1" si="58"/>
        <v>1</v>
      </c>
      <c r="F132">
        <f t="shared" ca="1" si="59"/>
        <v>3</v>
      </c>
      <c r="G132">
        <f t="shared" ca="1" si="60"/>
        <v>1</v>
      </c>
      <c r="H132">
        <f t="shared" ca="1" si="46"/>
        <v>0</v>
      </c>
      <c r="I132">
        <f t="shared" ca="1" si="47"/>
        <v>0</v>
      </c>
      <c r="J132" s="355" t="s">
        <v>103</v>
      </c>
      <c r="K132" s="138" t="str">
        <f t="shared" ca="1" si="61"/>
        <v>1.7.1.3.1.</v>
      </c>
      <c r="L132" s="356" t="s">
        <v>230</v>
      </c>
      <c r="M132" s="356" t="s">
        <v>329</v>
      </c>
      <c r="N132" s="360" t="s">
        <v>690</v>
      </c>
      <c r="O132" s="362" t="s">
        <v>940</v>
      </c>
      <c r="P132" s="363">
        <v>1.35</v>
      </c>
      <c r="Q132" s="195"/>
      <c r="R132" s="198" t="s">
        <v>7</v>
      </c>
      <c r="S132" s="103">
        <f t="shared" si="51"/>
        <v>0</v>
      </c>
      <c r="T132" s="83">
        <f t="shared" si="52"/>
        <v>0</v>
      </c>
      <c r="U132" s="9" t="str">
        <f t="shared" si="62"/>
        <v>SEM VALOR</v>
      </c>
      <c r="V132" s="1" t="str">
        <f ca="1">IF(OR($A132=0,$A132="S",$A132&gt;CFF!$A$9),"",MAX(V$12:OFFSET(V132,-1,0))+1)</f>
        <v/>
      </c>
      <c r="W132" s="4" t="str">
        <f t="shared" si="63"/>
        <v>SINAPI-94569</v>
      </c>
      <c r="X132" s="1">
        <f t="shared" ca="1" si="53"/>
        <v>8608</v>
      </c>
      <c r="Y132" s="103">
        <v>971.37</v>
      </c>
      <c r="Z132" s="113">
        <f ca="1">ROUND(IF(ISNUMBER(R132),R132,IF(LEFT(R132,3)="BDI",HLOOKUP(R132,DADOS!$T$37:$X$38,2,FALSE),0)),15-11*$X$5)</f>
        <v>0.23130000000000001</v>
      </c>
      <c r="AA132" s="1"/>
    </row>
    <row r="133" spans="1:27" x14ac:dyDescent="0.2">
      <c r="A133">
        <f t="shared" si="54"/>
        <v>4</v>
      </c>
      <c r="B133">
        <f t="shared" ca="1" si="55"/>
        <v>2</v>
      </c>
      <c r="C133">
        <f t="shared" ca="1" si="56"/>
        <v>1</v>
      </c>
      <c r="D133">
        <f t="shared" ca="1" si="57"/>
        <v>7</v>
      </c>
      <c r="E133">
        <f t="shared" ca="1" si="58"/>
        <v>1</v>
      </c>
      <c r="F133">
        <f t="shared" ca="1" si="59"/>
        <v>4</v>
      </c>
      <c r="G133">
        <f t="shared" ca="1" si="60"/>
        <v>0</v>
      </c>
      <c r="H133">
        <f t="shared" ca="1" si="46"/>
        <v>14</v>
      </c>
      <c r="I133">
        <f t="shared" ca="1" si="47"/>
        <v>2</v>
      </c>
      <c r="J133" s="355" t="s">
        <v>102</v>
      </c>
      <c r="K133" s="138" t="str">
        <f t="shared" ca="1" si="61"/>
        <v>1.7.1.4.</v>
      </c>
      <c r="L133" s="356" t="s">
        <v>230</v>
      </c>
      <c r="M133" s="356"/>
      <c r="N133" s="360" t="s">
        <v>593</v>
      </c>
      <c r="O133" s="362" t="s">
        <v>106</v>
      </c>
      <c r="P133" s="363"/>
      <c r="Q133" s="195"/>
      <c r="R133" s="198" t="s">
        <v>7</v>
      </c>
      <c r="S133" s="103">
        <f t="shared" si="51"/>
        <v>0</v>
      </c>
      <c r="T133" s="83">
        <f t="shared" ca="1" si="52"/>
        <v>0</v>
      </c>
      <c r="U133" s="9" t="str">
        <f t="shared" ca="1" si="62"/>
        <v>SEM VALOR</v>
      </c>
      <c r="V133" s="1" t="str">
        <f ca="1">IF(OR($A133=0,$A133="S",$A133&gt;CFF!$A$9),"",MAX(V$12:OFFSET(V133,-1,0))+1)</f>
        <v/>
      </c>
      <c r="W133" s="4" t="b">
        <f t="shared" si="63"/>
        <v>0</v>
      </c>
      <c r="X133" s="1" t="str">
        <f t="shared" ca="1" si="53"/>
        <v>X</v>
      </c>
      <c r="Y133" s="103">
        <v>0</v>
      </c>
      <c r="Z133" s="113">
        <f ca="1">ROUND(IF(ISNUMBER(R133),R133,IF(LEFT(R133,3)="BDI",HLOOKUP(R133,DADOS!$T$37:$X$38,2,FALSE),0)),15-11*$X$5)</f>
        <v>0.23130000000000001</v>
      </c>
      <c r="AA133" s="1"/>
    </row>
    <row r="134" spans="1:27" ht="25.5" x14ac:dyDescent="0.2">
      <c r="A134" t="str">
        <f t="shared" si="54"/>
        <v>S</v>
      </c>
      <c r="B134">
        <f t="shared" si="55"/>
        <v>0</v>
      </c>
      <c r="C134">
        <f t="shared" ca="1" si="56"/>
        <v>1</v>
      </c>
      <c r="D134">
        <f t="shared" ca="1" si="57"/>
        <v>7</v>
      </c>
      <c r="E134">
        <f t="shared" ca="1" si="58"/>
        <v>1</v>
      </c>
      <c r="F134">
        <f t="shared" ca="1" si="59"/>
        <v>4</v>
      </c>
      <c r="G134">
        <f t="shared" ca="1" si="60"/>
        <v>1</v>
      </c>
      <c r="H134">
        <f t="shared" ca="1" si="46"/>
        <v>0</v>
      </c>
      <c r="I134">
        <f t="shared" ca="1" si="47"/>
        <v>0</v>
      </c>
      <c r="J134" s="355" t="s">
        <v>103</v>
      </c>
      <c r="K134" s="138" t="str">
        <f t="shared" ca="1" si="61"/>
        <v>1.7.1.4.1.</v>
      </c>
      <c r="L134" s="356" t="s">
        <v>235</v>
      </c>
      <c r="M134" s="356" t="s">
        <v>330</v>
      </c>
      <c r="N134" s="360" t="s">
        <v>691</v>
      </c>
      <c r="O134" s="362" t="s">
        <v>940</v>
      </c>
      <c r="P134" s="363">
        <v>3.6</v>
      </c>
      <c r="Q134" s="195"/>
      <c r="R134" s="198" t="s">
        <v>7</v>
      </c>
      <c r="S134" s="103">
        <f t="shared" si="51"/>
        <v>0</v>
      </c>
      <c r="T134" s="83">
        <f t="shared" si="52"/>
        <v>0</v>
      </c>
      <c r="U134" s="9" t="str">
        <f t="shared" si="62"/>
        <v>SEM VALOR</v>
      </c>
      <c r="V134" s="1" t="str">
        <f ca="1">IF(OR($A134=0,$A134="S",$A134&gt;CFF!$A$9),"",MAX(V$12:OFFSET(V134,-1,0))+1)</f>
        <v/>
      </c>
      <c r="W134" s="4" t="str">
        <f t="shared" si="63"/>
        <v>PM BENTO-28</v>
      </c>
      <c r="X134" s="1">
        <f t="shared" ca="1" si="53"/>
        <v>34</v>
      </c>
      <c r="Y134" s="103">
        <v>1096.5999999999999</v>
      </c>
      <c r="Z134" s="113">
        <f ca="1">ROUND(IF(ISNUMBER(R134),R134,IF(LEFT(R134,3)="BDI",HLOOKUP(R134,DADOS!$T$37:$X$38,2,FALSE),0)),15-11*$X$5)</f>
        <v>0.23130000000000001</v>
      </c>
      <c r="AA134" s="1"/>
    </row>
    <row r="135" spans="1:27" x14ac:dyDescent="0.2">
      <c r="A135">
        <f t="shared" si="54"/>
        <v>4</v>
      </c>
      <c r="B135">
        <f t="shared" ca="1" si="55"/>
        <v>3</v>
      </c>
      <c r="C135">
        <f t="shared" ca="1" si="56"/>
        <v>1</v>
      </c>
      <c r="D135">
        <f t="shared" ca="1" si="57"/>
        <v>7</v>
      </c>
      <c r="E135">
        <f t="shared" ca="1" si="58"/>
        <v>1</v>
      </c>
      <c r="F135">
        <f t="shared" ca="1" si="59"/>
        <v>5</v>
      </c>
      <c r="G135">
        <f t="shared" ca="1" si="60"/>
        <v>0</v>
      </c>
      <c r="H135">
        <f t="shared" ca="1" si="46"/>
        <v>12</v>
      </c>
      <c r="I135">
        <f t="shared" ca="1" si="47"/>
        <v>3</v>
      </c>
      <c r="J135" s="355" t="s">
        <v>102</v>
      </c>
      <c r="K135" s="138" t="str">
        <f t="shared" ca="1" si="61"/>
        <v>1.7.1.5.</v>
      </c>
      <c r="L135" s="356" t="s">
        <v>230</v>
      </c>
      <c r="M135" s="356"/>
      <c r="N135" s="360" t="s">
        <v>594</v>
      </c>
      <c r="O135" s="362" t="s">
        <v>106</v>
      </c>
      <c r="P135" s="363"/>
      <c r="Q135" s="195"/>
      <c r="R135" s="198" t="s">
        <v>7</v>
      </c>
      <c r="S135" s="103">
        <f t="shared" si="51"/>
        <v>0</v>
      </c>
      <c r="T135" s="83">
        <f t="shared" ca="1" si="52"/>
        <v>0</v>
      </c>
      <c r="U135" s="9" t="str">
        <f t="shared" ca="1" si="62"/>
        <v>SEM VALOR</v>
      </c>
      <c r="V135" s="1" t="str">
        <f ca="1">IF(OR($A135=0,$A135="S",$A135&gt;CFF!$A$9),"",MAX(V$12:OFFSET(V135,-1,0))+1)</f>
        <v/>
      </c>
      <c r="W135" s="4" t="b">
        <f t="shared" si="63"/>
        <v>0</v>
      </c>
      <c r="X135" s="1" t="str">
        <f t="shared" ca="1" si="53"/>
        <v>X</v>
      </c>
      <c r="Y135" s="103">
        <v>0</v>
      </c>
      <c r="Z135" s="113">
        <f ca="1">ROUND(IF(ISNUMBER(R135),R135,IF(LEFT(R135,3)="BDI",HLOOKUP(R135,DADOS!$T$37:$X$38,2,FALSE),0)),15-11*$X$5)</f>
        <v>0.23130000000000001</v>
      </c>
      <c r="AA135" s="1"/>
    </row>
    <row r="136" spans="1:27" ht="25.5" x14ac:dyDescent="0.2">
      <c r="A136" t="str">
        <f t="shared" si="54"/>
        <v>S</v>
      </c>
      <c r="B136">
        <f t="shared" si="55"/>
        <v>0</v>
      </c>
      <c r="C136">
        <f t="shared" ca="1" si="56"/>
        <v>1</v>
      </c>
      <c r="D136">
        <f t="shared" ca="1" si="57"/>
        <v>7</v>
      </c>
      <c r="E136">
        <f t="shared" ca="1" si="58"/>
        <v>1</v>
      </c>
      <c r="F136">
        <f t="shared" ca="1" si="59"/>
        <v>5</v>
      </c>
      <c r="G136">
        <f t="shared" ca="1" si="60"/>
        <v>1</v>
      </c>
      <c r="H136">
        <f t="shared" ca="1" si="46"/>
        <v>0</v>
      </c>
      <c r="I136">
        <f t="shared" ca="1" si="47"/>
        <v>0</v>
      </c>
      <c r="J136" s="355" t="s">
        <v>103</v>
      </c>
      <c r="K136" s="138" t="str">
        <f t="shared" ca="1" si="61"/>
        <v>1.7.1.5.1.</v>
      </c>
      <c r="L136" s="356" t="s">
        <v>230</v>
      </c>
      <c r="M136" s="356" t="s">
        <v>331</v>
      </c>
      <c r="N136" s="360" t="s">
        <v>692</v>
      </c>
      <c r="O136" s="362" t="s">
        <v>940</v>
      </c>
      <c r="P136" s="363">
        <v>3.24</v>
      </c>
      <c r="Q136" s="195"/>
      <c r="R136" s="198" t="s">
        <v>7</v>
      </c>
      <c r="S136" s="103">
        <f t="shared" si="51"/>
        <v>0</v>
      </c>
      <c r="T136" s="83">
        <f t="shared" si="52"/>
        <v>0</v>
      </c>
      <c r="U136" s="9" t="str">
        <f t="shared" si="62"/>
        <v>SEM VALOR</v>
      </c>
      <c r="V136" s="1" t="str">
        <f ca="1">IF(OR($A136=0,$A136="S",$A136&gt;CFF!$A$9),"",MAX(V$12:OFFSET(V136,-1,0))+1)</f>
        <v/>
      </c>
      <c r="W136" s="4" t="str">
        <f t="shared" si="63"/>
        <v>SINAPI-91341</v>
      </c>
      <c r="X136" s="1">
        <f t="shared" ca="1" si="53"/>
        <v>8744</v>
      </c>
      <c r="Y136" s="103">
        <v>1101.8800000000001</v>
      </c>
      <c r="Z136" s="113">
        <f ca="1">ROUND(IF(ISNUMBER(R136),R136,IF(LEFT(R136,3)="BDI",HLOOKUP(R136,DADOS!$T$37:$X$38,2,FALSE),0)),15-11*$X$5)</f>
        <v>0.23130000000000001</v>
      </c>
      <c r="AA136" s="1"/>
    </row>
    <row r="137" spans="1:27" ht="25.5" x14ac:dyDescent="0.2">
      <c r="A137" t="str">
        <f t="shared" si="54"/>
        <v>S</v>
      </c>
      <c r="B137">
        <f t="shared" si="55"/>
        <v>0</v>
      </c>
      <c r="C137">
        <f t="shared" ca="1" si="56"/>
        <v>1</v>
      </c>
      <c r="D137">
        <f t="shared" ca="1" si="57"/>
        <v>7</v>
      </c>
      <c r="E137">
        <f t="shared" ca="1" si="58"/>
        <v>1</v>
      </c>
      <c r="F137">
        <f t="shared" ca="1" si="59"/>
        <v>5</v>
      </c>
      <c r="G137">
        <f t="shared" ca="1" si="60"/>
        <v>2</v>
      </c>
      <c r="H137">
        <f t="shared" ca="1" si="46"/>
        <v>0</v>
      </c>
      <c r="I137">
        <f t="shared" ca="1" si="47"/>
        <v>0</v>
      </c>
      <c r="J137" s="355" t="s">
        <v>103</v>
      </c>
      <c r="K137" s="138" t="str">
        <f t="shared" ca="1" si="61"/>
        <v>1.7.1.5.2.</v>
      </c>
      <c r="L137" s="356" t="s">
        <v>230</v>
      </c>
      <c r="M137" s="356" t="s">
        <v>332</v>
      </c>
      <c r="N137" s="360" t="s">
        <v>693</v>
      </c>
      <c r="O137" s="362" t="s">
        <v>944</v>
      </c>
      <c r="P137" s="363">
        <v>2</v>
      </c>
      <c r="Q137" s="195"/>
      <c r="R137" s="198" t="s">
        <v>7</v>
      </c>
      <c r="S137" s="103">
        <f t="shared" si="51"/>
        <v>0</v>
      </c>
      <c r="T137" s="83">
        <f t="shared" si="52"/>
        <v>0</v>
      </c>
      <c r="U137" s="9" t="str">
        <f t="shared" si="62"/>
        <v>SEM VALOR</v>
      </c>
      <c r="V137" s="1" t="str">
        <f ca="1">IF(OR($A137=0,$A137="S",$A137&gt;CFF!$A$9),"",MAX(V$12:OFFSET(V137,-1,0))+1)</f>
        <v/>
      </c>
      <c r="W137" s="4" t="str">
        <f t="shared" si="63"/>
        <v>SINAPI-90830</v>
      </c>
      <c r="X137" s="1">
        <f t="shared" ca="1" si="53"/>
        <v>8638</v>
      </c>
      <c r="Y137" s="103">
        <v>274.83</v>
      </c>
      <c r="Z137" s="113">
        <f ca="1">ROUND(IF(ISNUMBER(R137),R137,IF(LEFT(R137,3)="BDI",HLOOKUP(R137,DADOS!$T$37:$X$38,2,FALSE),0)),15-11*$X$5)</f>
        <v>0.23130000000000001</v>
      </c>
      <c r="AA137" s="1"/>
    </row>
    <row r="138" spans="1:27" x14ac:dyDescent="0.2">
      <c r="A138">
        <f t="shared" si="54"/>
        <v>4</v>
      </c>
      <c r="B138">
        <f t="shared" ca="1" si="55"/>
        <v>5</v>
      </c>
      <c r="C138">
        <f t="shared" ca="1" si="56"/>
        <v>1</v>
      </c>
      <c r="D138">
        <f t="shared" ca="1" si="57"/>
        <v>7</v>
      </c>
      <c r="E138">
        <f t="shared" ca="1" si="58"/>
        <v>1</v>
      </c>
      <c r="F138">
        <f t="shared" ca="1" si="59"/>
        <v>6</v>
      </c>
      <c r="G138">
        <f t="shared" ca="1" si="60"/>
        <v>0</v>
      </c>
      <c r="H138">
        <f t="shared" ca="1" si="46"/>
        <v>9</v>
      </c>
      <c r="I138">
        <f t="shared" ca="1" si="47"/>
        <v>5</v>
      </c>
      <c r="J138" s="355" t="s">
        <v>102</v>
      </c>
      <c r="K138" s="138" t="str">
        <f t="shared" ca="1" si="61"/>
        <v>1.7.1.6.</v>
      </c>
      <c r="L138" s="356" t="s">
        <v>230</v>
      </c>
      <c r="M138" s="356"/>
      <c r="N138" s="360" t="s">
        <v>595</v>
      </c>
      <c r="O138" s="362" t="s">
        <v>106</v>
      </c>
      <c r="P138" s="363"/>
      <c r="Q138" s="195"/>
      <c r="R138" s="198" t="s">
        <v>7</v>
      </c>
      <c r="S138" s="103">
        <f t="shared" si="51"/>
        <v>0</v>
      </c>
      <c r="T138" s="83">
        <f t="shared" ca="1" si="52"/>
        <v>0</v>
      </c>
      <c r="U138" s="9" t="str">
        <f t="shared" ca="1" si="62"/>
        <v>SEM VALOR</v>
      </c>
      <c r="V138" s="1" t="str">
        <f ca="1">IF(OR($A138=0,$A138="S",$A138&gt;CFF!$A$9),"",MAX(V$12:OFFSET(V138,-1,0))+1)</f>
        <v/>
      </c>
      <c r="W138" s="4" t="b">
        <f t="shared" si="63"/>
        <v>0</v>
      </c>
      <c r="X138" s="1" t="str">
        <f t="shared" ca="1" si="53"/>
        <v>X</v>
      </c>
      <c r="Y138" s="103">
        <v>0</v>
      </c>
      <c r="Z138" s="113">
        <f ca="1">ROUND(IF(ISNUMBER(R138),R138,IF(LEFT(R138,3)="BDI",HLOOKUP(R138,DADOS!$T$37:$X$38,2,FALSE),0)),15-11*$X$5)</f>
        <v>0.23130000000000001</v>
      </c>
      <c r="AA138" s="1"/>
    </row>
    <row r="139" spans="1:27" ht="38.25" x14ac:dyDescent="0.2">
      <c r="A139" t="str">
        <f t="shared" si="54"/>
        <v>S</v>
      </c>
      <c r="B139">
        <f t="shared" si="55"/>
        <v>0</v>
      </c>
      <c r="C139">
        <f t="shared" ca="1" si="56"/>
        <v>1</v>
      </c>
      <c r="D139">
        <f t="shared" ca="1" si="57"/>
        <v>7</v>
      </c>
      <c r="E139">
        <f t="shared" ca="1" si="58"/>
        <v>1</v>
      </c>
      <c r="F139">
        <f t="shared" ca="1" si="59"/>
        <v>6</v>
      </c>
      <c r="G139">
        <f t="shared" ca="1" si="60"/>
        <v>1</v>
      </c>
      <c r="H139">
        <f t="shared" ca="1" si="46"/>
        <v>0</v>
      </c>
      <c r="I139">
        <f t="shared" ca="1" si="47"/>
        <v>0</v>
      </c>
      <c r="J139" s="355" t="s">
        <v>103</v>
      </c>
      <c r="K139" s="138" t="str">
        <f t="shared" ca="1" si="61"/>
        <v>1.7.1.6.1.</v>
      </c>
      <c r="L139" s="356" t="s">
        <v>235</v>
      </c>
      <c r="M139" s="356" t="s">
        <v>333</v>
      </c>
      <c r="N139" s="360" t="s">
        <v>694</v>
      </c>
      <c r="O139" s="362" t="s">
        <v>940</v>
      </c>
      <c r="P139" s="363">
        <v>1.6</v>
      </c>
      <c r="Q139" s="195"/>
      <c r="R139" s="198" t="s">
        <v>7</v>
      </c>
      <c r="S139" s="103">
        <f t="shared" si="51"/>
        <v>0</v>
      </c>
      <c r="T139" s="83">
        <f t="shared" si="52"/>
        <v>0</v>
      </c>
      <c r="U139" s="9" t="str">
        <f t="shared" si="62"/>
        <v>SEM VALOR</v>
      </c>
      <c r="V139" s="1" t="str">
        <f ca="1">IF(OR($A139=0,$A139="S",$A139&gt;CFF!$A$9),"",MAX(V$12:OFFSET(V139,-1,0))+1)</f>
        <v/>
      </c>
      <c r="W139" s="4" t="str">
        <f t="shared" si="63"/>
        <v>PM BENTO-29</v>
      </c>
      <c r="X139" s="1">
        <f t="shared" ca="1" si="53"/>
        <v>35</v>
      </c>
      <c r="Y139" s="103">
        <v>1318.19</v>
      </c>
      <c r="Z139" s="113">
        <f ca="1">ROUND(IF(ISNUMBER(R139),R139,IF(LEFT(R139,3)="BDI",HLOOKUP(R139,DADOS!$T$37:$X$38,2,FALSE),0)),15-11*$X$5)</f>
        <v>0.23130000000000001</v>
      </c>
      <c r="AA139" s="1"/>
    </row>
    <row r="140" spans="1:27" ht="51" x14ac:dyDescent="0.2">
      <c r="A140" t="str">
        <f t="shared" si="54"/>
        <v>S</v>
      </c>
      <c r="B140">
        <f t="shared" si="55"/>
        <v>0</v>
      </c>
      <c r="C140">
        <f t="shared" ca="1" si="56"/>
        <v>1</v>
      </c>
      <c r="D140">
        <f t="shared" ca="1" si="57"/>
        <v>7</v>
      </c>
      <c r="E140">
        <f t="shared" ca="1" si="58"/>
        <v>1</v>
      </c>
      <c r="F140">
        <f t="shared" ca="1" si="59"/>
        <v>6</v>
      </c>
      <c r="G140">
        <f t="shared" ca="1" si="60"/>
        <v>2</v>
      </c>
      <c r="H140">
        <f t="shared" ca="1" si="46"/>
        <v>0</v>
      </c>
      <c r="I140">
        <f t="shared" ca="1" si="47"/>
        <v>0</v>
      </c>
      <c r="J140" s="355" t="s">
        <v>103</v>
      </c>
      <c r="K140" s="138" t="str">
        <f t="shared" ca="1" si="61"/>
        <v>1.7.1.6.2.</v>
      </c>
      <c r="L140" s="356" t="s">
        <v>235</v>
      </c>
      <c r="M140" s="356" t="s">
        <v>334</v>
      </c>
      <c r="N140" s="360" t="s">
        <v>695</v>
      </c>
      <c r="O140" s="362" t="s">
        <v>940</v>
      </c>
      <c r="P140" s="363">
        <v>1.2</v>
      </c>
      <c r="Q140" s="195"/>
      <c r="R140" s="198" t="s">
        <v>7</v>
      </c>
      <c r="S140" s="103">
        <f t="shared" si="51"/>
        <v>0</v>
      </c>
      <c r="T140" s="83">
        <f t="shared" si="52"/>
        <v>0</v>
      </c>
      <c r="U140" s="9" t="str">
        <f t="shared" si="62"/>
        <v>SEM VALOR</v>
      </c>
      <c r="V140" s="1" t="str">
        <f ca="1">IF(OR($A140=0,$A140="S",$A140&gt;CFF!$A$9),"",MAX(V$12:OFFSET(V140,-1,0))+1)</f>
        <v/>
      </c>
      <c r="W140" s="4" t="str">
        <f t="shared" si="63"/>
        <v>PM BENTO-30</v>
      </c>
      <c r="X140" s="1">
        <f t="shared" ca="1" si="53"/>
        <v>36</v>
      </c>
      <c r="Y140" s="103">
        <v>1235.3900000000001</v>
      </c>
      <c r="Z140" s="113">
        <f ca="1">ROUND(IF(ISNUMBER(R140),R140,IF(LEFT(R140,3)="BDI",HLOOKUP(R140,DADOS!$T$37:$X$38,2,FALSE),0)),15-11*$X$5)</f>
        <v>0.23130000000000001</v>
      </c>
      <c r="AA140" s="1"/>
    </row>
    <row r="141" spans="1:27" ht="25.5" x14ac:dyDescent="0.2">
      <c r="A141" t="str">
        <f t="shared" si="54"/>
        <v>S</v>
      </c>
      <c r="B141">
        <f t="shared" si="55"/>
        <v>0</v>
      </c>
      <c r="C141">
        <f t="shared" ca="1" si="56"/>
        <v>1</v>
      </c>
      <c r="D141">
        <f t="shared" ca="1" si="57"/>
        <v>7</v>
      </c>
      <c r="E141">
        <f t="shared" ca="1" si="58"/>
        <v>1</v>
      </c>
      <c r="F141">
        <f t="shared" ca="1" si="59"/>
        <v>6</v>
      </c>
      <c r="G141">
        <f t="shared" ca="1" si="60"/>
        <v>3</v>
      </c>
      <c r="H141">
        <f t="shared" ref="H141:H204" ca="1" si="64">IF(OR($A141="S",$A141=0),0,MATCH(0,OFFSET($B141,1,$A141,ROW($A$422)-ROW($A141)),0))</f>
        <v>0</v>
      </c>
      <c r="I141">
        <f t="shared" ref="I141:I204" ca="1" si="65">IF(OR($A141="S",$A141=0),0,MATCH(OFFSET($B141,0,$A141)+1,OFFSET($B141,1,$A141,ROW($A$422)-ROW($A141)),0))</f>
        <v>0</v>
      </c>
      <c r="J141" s="355" t="s">
        <v>103</v>
      </c>
      <c r="K141" s="138" t="str">
        <f t="shared" ca="1" si="61"/>
        <v>1.7.1.6.3.</v>
      </c>
      <c r="L141" s="356" t="s">
        <v>235</v>
      </c>
      <c r="M141" s="356" t="s">
        <v>335</v>
      </c>
      <c r="N141" s="360" t="s">
        <v>696</v>
      </c>
      <c r="O141" s="362" t="s">
        <v>945</v>
      </c>
      <c r="P141" s="363">
        <v>1.4</v>
      </c>
      <c r="Q141" s="195"/>
      <c r="R141" s="198" t="s">
        <v>7</v>
      </c>
      <c r="S141" s="103">
        <f t="shared" si="51"/>
        <v>0</v>
      </c>
      <c r="T141" s="83">
        <f t="shared" si="52"/>
        <v>0</v>
      </c>
      <c r="U141" s="9" t="str">
        <f t="shared" si="62"/>
        <v>SEM VALOR</v>
      </c>
      <c r="V141" s="1" t="str">
        <f ca="1">IF(OR($A141=0,$A141="S",$A141&gt;CFF!$A$9),"",MAX(V$12:OFFSET(V141,-1,0))+1)</f>
        <v/>
      </c>
      <c r="W141" s="4" t="str">
        <f t="shared" si="63"/>
        <v>PM BENTO-31</v>
      </c>
      <c r="X141" s="1">
        <f t="shared" ca="1" si="53"/>
        <v>37</v>
      </c>
      <c r="Y141" s="103">
        <v>261.45</v>
      </c>
      <c r="Z141" s="113">
        <f ca="1">ROUND(IF(ISNUMBER(R141),R141,IF(LEFT(R141,3)="BDI",HLOOKUP(R141,DADOS!$T$37:$X$38,2,FALSE),0)),15-11*$X$5)</f>
        <v>0.23130000000000001</v>
      </c>
      <c r="AA141" s="1"/>
    </row>
    <row r="142" spans="1:27" x14ac:dyDescent="0.2">
      <c r="A142" t="str">
        <f t="shared" si="54"/>
        <v>S</v>
      </c>
      <c r="B142">
        <f t="shared" si="55"/>
        <v>0</v>
      </c>
      <c r="C142">
        <f t="shared" ca="1" si="56"/>
        <v>1</v>
      </c>
      <c r="D142">
        <f t="shared" ca="1" si="57"/>
        <v>7</v>
      </c>
      <c r="E142">
        <f t="shared" ca="1" si="58"/>
        <v>1</v>
      </c>
      <c r="F142">
        <f t="shared" ca="1" si="59"/>
        <v>6</v>
      </c>
      <c r="G142">
        <f t="shared" ca="1" si="60"/>
        <v>4</v>
      </c>
      <c r="H142">
        <f t="shared" ca="1" si="64"/>
        <v>0</v>
      </c>
      <c r="I142">
        <f t="shared" ca="1" si="65"/>
        <v>0</v>
      </c>
      <c r="J142" s="355" t="s">
        <v>103</v>
      </c>
      <c r="K142" s="138" t="str">
        <f t="shared" ca="1" si="61"/>
        <v>1.7.1.6.4.</v>
      </c>
      <c r="L142" s="356" t="s">
        <v>235</v>
      </c>
      <c r="M142" s="356" t="s">
        <v>336</v>
      </c>
      <c r="N142" s="360" t="s">
        <v>697</v>
      </c>
      <c r="O142" s="362" t="s">
        <v>940</v>
      </c>
      <c r="P142" s="363">
        <v>0.95</v>
      </c>
      <c r="Q142" s="195"/>
      <c r="R142" s="198" t="s">
        <v>7</v>
      </c>
      <c r="S142" s="103">
        <f t="shared" si="51"/>
        <v>0</v>
      </c>
      <c r="T142" s="83">
        <f t="shared" si="52"/>
        <v>0</v>
      </c>
      <c r="U142" s="9" t="str">
        <f t="shared" si="62"/>
        <v>SEM VALOR</v>
      </c>
      <c r="V142" s="1" t="str">
        <f ca="1">IF(OR($A142=0,$A142="S",$A142&gt;CFF!$A$9),"",MAX(V$12:OFFSET(V142,-1,0))+1)</f>
        <v/>
      </c>
      <c r="W142" s="4" t="str">
        <f t="shared" si="63"/>
        <v>PM BENTO-46</v>
      </c>
      <c r="X142" s="1">
        <f t="shared" ca="1" si="53"/>
        <v>52</v>
      </c>
      <c r="Y142" s="103">
        <v>2424.77</v>
      </c>
      <c r="Z142" s="113">
        <f ca="1">ROUND(IF(ISNUMBER(R142),R142,IF(LEFT(R142,3)="BDI",HLOOKUP(R142,DADOS!$T$37:$X$38,2,FALSE),0)),15-11*$X$5)</f>
        <v>0.23130000000000001</v>
      </c>
      <c r="AA142" s="1"/>
    </row>
    <row r="143" spans="1:27" x14ac:dyDescent="0.2">
      <c r="A143">
        <f t="shared" si="54"/>
        <v>4</v>
      </c>
      <c r="B143">
        <f t="shared" ca="1" si="55"/>
        <v>4</v>
      </c>
      <c r="C143">
        <f t="shared" ca="1" si="56"/>
        <v>1</v>
      </c>
      <c r="D143">
        <f t="shared" ca="1" si="57"/>
        <v>7</v>
      </c>
      <c r="E143">
        <f t="shared" ca="1" si="58"/>
        <v>1</v>
      </c>
      <c r="F143">
        <f t="shared" ca="1" si="59"/>
        <v>7</v>
      </c>
      <c r="G143">
        <f t="shared" ca="1" si="60"/>
        <v>0</v>
      </c>
      <c r="H143">
        <f t="shared" ca="1" si="64"/>
        <v>4</v>
      </c>
      <c r="I143" t="e">
        <f t="shared" ca="1" si="65"/>
        <v>#N/A</v>
      </c>
      <c r="J143" s="355" t="s">
        <v>102</v>
      </c>
      <c r="K143" s="138" t="str">
        <f t="shared" ca="1" si="61"/>
        <v>1.7.1.7.</v>
      </c>
      <c r="L143" s="356" t="s">
        <v>230</v>
      </c>
      <c r="M143" s="356"/>
      <c r="N143" s="360" t="s">
        <v>596</v>
      </c>
      <c r="O143" s="362" t="s">
        <v>106</v>
      </c>
      <c r="P143" s="363"/>
      <c r="Q143" s="195"/>
      <c r="R143" s="198" t="s">
        <v>7</v>
      </c>
      <c r="S143" s="103">
        <f t="shared" si="51"/>
        <v>0</v>
      </c>
      <c r="T143" s="83">
        <f t="shared" ca="1" si="52"/>
        <v>0</v>
      </c>
      <c r="U143" s="9" t="str">
        <f t="shared" ca="1" si="62"/>
        <v>SEM VALOR</v>
      </c>
      <c r="V143" s="1" t="str">
        <f ca="1">IF(OR($A143=0,$A143="S",$A143&gt;CFF!$A$9),"",MAX(V$12:OFFSET(V143,-1,0))+1)</f>
        <v/>
      </c>
      <c r="W143" s="4" t="b">
        <f t="shared" si="63"/>
        <v>0</v>
      </c>
      <c r="X143" s="1" t="str">
        <f t="shared" ca="1" si="53"/>
        <v>X</v>
      </c>
      <c r="Y143" s="103">
        <v>0</v>
      </c>
      <c r="Z143" s="113">
        <f ca="1">ROUND(IF(ISNUMBER(R143),R143,IF(LEFT(R143,3)="BDI",HLOOKUP(R143,DADOS!$T$37:$X$38,2,FALSE),0)),15-11*$X$5)</f>
        <v>0.23130000000000001</v>
      </c>
      <c r="AA143" s="1"/>
    </row>
    <row r="144" spans="1:27" x14ac:dyDescent="0.2">
      <c r="A144" t="str">
        <f t="shared" si="54"/>
        <v>S</v>
      </c>
      <c r="B144">
        <f t="shared" si="55"/>
        <v>0</v>
      </c>
      <c r="C144">
        <f t="shared" ca="1" si="56"/>
        <v>1</v>
      </c>
      <c r="D144">
        <f t="shared" ca="1" si="57"/>
        <v>7</v>
      </c>
      <c r="E144">
        <f t="shared" ca="1" si="58"/>
        <v>1</v>
      </c>
      <c r="F144">
        <f t="shared" ca="1" si="59"/>
        <v>7</v>
      </c>
      <c r="G144">
        <f t="shared" ca="1" si="60"/>
        <v>1</v>
      </c>
      <c r="H144">
        <f t="shared" ca="1" si="64"/>
        <v>0</v>
      </c>
      <c r="I144">
        <f t="shared" ca="1" si="65"/>
        <v>0</v>
      </c>
      <c r="J144" s="355" t="s">
        <v>103</v>
      </c>
      <c r="K144" s="138" t="str">
        <f t="shared" ca="1" si="61"/>
        <v>1.7.1.7.1.</v>
      </c>
      <c r="L144" s="356" t="s">
        <v>230</v>
      </c>
      <c r="M144" s="356" t="s">
        <v>337</v>
      </c>
      <c r="N144" s="360" t="s">
        <v>698</v>
      </c>
      <c r="O144" s="362" t="s">
        <v>945</v>
      </c>
      <c r="P144" s="363">
        <v>59.12</v>
      </c>
      <c r="Q144" s="195"/>
      <c r="R144" s="198" t="s">
        <v>7</v>
      </c>
      <c r="S144" s="103">
        <f t="shared" si="51"/>
        <v>0</v>
      </c>
      <c r="T144" s="83">
        <f t="shared" si="52"/>
        <v>0</v>
      </c>
      <c r="U144" s="9" t="str">
        <f t="shared" si="62"/>
        <v>SEM VALOR</v>
      </c>
      <c r="V144" s="1" t="str">
        <f ca="1">IF(OR($A144=0,$A144="S",$A144&gt;CFF!$A$9),"",MAX(V$12:OFFSET(V144,-1,0))+1)</f>
        <v/>
      </c>
      <c r="W144" s="4" t="str">
        <f t="shared" si="63"/>
        <v>SINAPI-94590</v>
      </c>
      <c r="X144" s="1">
        <f t="shared" ca="1" si="53"/>
        <v>8598</v>
      </c>
      <c r="Y144" s="103">
        <v>38.1</v>
      </c>
      <c r="Z144" s="113">
        <f ca="1">ROUND(IF(ISNUMBER(R144),R144,IF(LEFT(R144,3)="BDI",HLOOKUP(R144,DADOS!$T$37:$X$38,2,FALSE),0)),15-11*$X$5)</f>
        <v>0.23130000000000001</v>
      </c>
      <c r="AA144" s="1"/>
    </row>
    <row r="145" spans="1:27" x14ac:dyDescent="0.2">
      <c r="A145" t="str">
        <f t="shared" si="54"/>
        <v>S</v>
      </c>
      <c r="B145">
        <f t="shared" si="55"/>
        <v>0</v>
      </c>
      <c r="C145">
        <f t="shared" ca="1" si="56"/>
        <v>1</v>
      </c>
      <c r="D145">
        <f t="shared" ca="1" si="57"/>
        <v>7</v>
      </c>
      <c r="E145">
        <f t="shared" ca="1" si="58"/>
        <v>1</v>
      </c>
      <c r="F145">
        <f t="shared" ca="1" si="59"/>
        <v>7</v>
      </c>
      <c r="G145">
        <f t="shared" ca="1" si="60"/>
        <v>2</v>
      </c>
      <c r="H145">
        <f t="shared" ca="1" si="64"/>
        <v>0</v>
      </c>
      <c r="I145">
        <f t="shared" ca="1" si="65"/>
        <v>0</v>
      </c>
      <c r="J145" s="355" t="s">
        <v>103</v>
      </c>
      <c r="K145" s="138" t="str">
        <f t="shared" ca="1" si="61"/>
        <v>1.7.1.7.2.</v>
      </c>
      <c r="L145" s="356" t="s">
        <v>230</v>
      </c>
      <c r="M145" s="356" t="s">
        <v>338</v>
      </c>
      <c r="N145" s="360" t="s">
        <v>699</v>
      </c>
      <c r="O145" s="362" t="s">
        <v>945</v>
      </c>
      <c r="P145" s="363">
        <v>56.32</v>
      </c>
      <c r="Q145" s="195"/>
      <c r="R145" s="198" t="s">
        <v>7</v>
      </c>
      <c r="S145" s="103">
        <f t="shared" si="51"/>
        <v>0</v>
      </c>
      <c r="T145" s="83">
        <f t="shared" si="52"/>
        <v>0</v>
      </c>
      <c r="U145" s="9" t="str">
        <f t="shared" si="62"/>
        <v>SEM VALOR</v>
      </c>
      <c r="V145" s="1" t="str">
        <f ca="1">IF(OR($A145=0,$A145="S",$A145&gt;CFF!$A$9),"",MAX(V$12:OFFSET(V145,-1,0))+1)</f>
        <v/>
      </c>
      <c r="W145" s="4" t="str">
        <f t="shared" si="63"/>
        <v>SINAPI-105812</v>
      </c>
      <c r="X145" s="1">
        <f t="shared" ca="1" si="53"/>
        <v>8601</v>
      </c>
      <c r="Y145" s="103">
        <v>45.47</v>
      </c>
      <c r="Z145" s="113">
        <f ca="1">ROUND(IF(ISNUMBER(R145),R145,IF(LEFT(R145,3)="BDI",HLOOKUP(R145,DADOS!$T$37:$X$38,2,FALSE),0)),15-11*$X$5)</f>
        <v>0.23130000000000001</v>
      </c>
      <c r="AA145" s="1"/>
    </row>
    <row r="146" spans="1:27" ht="25.5" x14ac:dyDescent="0.2">
      <c r="A146" t="str">
        <f t="shared" si="54"/>
        <v>S</v>
      </c>
      <c r="B146">
        <f t="shared" si="55"/>
        <v>0</v>
      </c>
      <c r="C146">
        <f t="shared" ca="1" si="56"/>
        <v>1</v>
      </c>
      <c r="D146">
        <f t="shared" ca="1" si="57"/>
        <v>7</v>
      </c>
      <c r="E146">
        <f t="shared" ca="1" si="58"/>
        <v>1</v>
      </c>
      <c r="F146">
        <f t="shared" ca="1" si="59"/>
        <v>7</v>
      </c>
      <c r="G146">
        <f t="shared" ca="1" si="60"/>
        <v>3</v>
      </c>
      <c r="H146">
        <f t="shared" ca="1" si="64"/>
        <v>0</v>
      </c>
      <c r="I146">
        <f t="shared" ca="1" si="65"/>
        <v>0</v>
      </c>
      <c r="J146" s="355" t="s">
        <v>103</v>
      </c>
      <c r="K146" s="138" t="str">
        <f t="shared" ca="1" si="61"/>
        <v>1.7.1.7.3.</v>
      </c>
      <c r="L146" s="356" t="s">
        <v>230</v>
      </c>
      <c r="M146" s="356" t="s">
        <v>339</v>
      </c>
      <c r="N146" s="360" t="s">
        <v>700</v>
      </c>
      <c r="O146" s="362" t="s">
        <v>945</v>
      </c>
      <c r="P146" s="363">
        <v>18.75</v>
      </c>
      <c r="Q146" s="195"/>
      <c r="R146" s="198" t="s">
        <v>7</v>
      </c>
      <c r="S146" s="103">
        <f t="shared" si="51"/>
        <v>0</v>
      </c>
      <c r="T146" s="83">
        <f t="shared" si="52"/>
        <v>0</v>
      </c>
      <c r="U146" s="9" t="str">
        <f t="shared" si="62"/>
        <v>SEM VALOR</v>
      </c>
      <c r="V146" s="1" t="str">
        <f ca="1">IF(OR($A146=0,$A146="S",$A146&gt;CFF!$A$9),"",MAX(V$12:OFFSET(V146,-1,0))+1)</f>
        <v/>
      </c>
      <c r="W146" s="4" t="str">
        <f t="shared" si="63"/>
        <v>SINAPI-101965</v>
      </c>
      <c r="X146" s="1">
        <f t="shared" ca="1" si="53"/>
        <v>13078</v>
      </c>
      <c r="Y146" s="103">
        <v>226.84</v>
      </c>
      <c r="Z146" s="113">
        <f ca="1">ROUND(IF(ISNUMBER(R146),R146,IF(LEFT(R146,3)="BDI",HLOOKUP(R146,DADOS!$T$37:$X$38,2,FALSE),0)),15-11*$X$5)</f>
        <v>0.23130000000000001</v>
      </c>
      <c r="AA146" s="1"/>
    </row>
    <row r="147" spans="1:27" x14ac:dyDescent="0.2">
      <c r="A147">
        <f t="shared" si="54"/>
        <v>3</v>
      </c>
      <c r="B147">
        <f t="shared" ca="1" si="55"/>
        <v>4</v>
      </c>
      <c r="C147">
        <f t="shared" ca="1" si="56"/>
        <v>1</v>
      </c>
      <c r="D147">
        <f t="shared" ca="1" si="57"/>
        <v>7</v>
      </c>
      <c r="E147">
        <f t="shared" ca="1" si="58"/>
        <v>2</v>
      </c>
      <c r="F147">
        <f t="shared" ca="1" si="59"/>
        <v>0</v>
      </c>
      <c r="G147">
        <f t="shared" ca="1" si="60"/>
        <v>0</v>
      </c>
      <c r="H147">
        <f t="shared" ca="1" si="64"/>
        <v>15</v>
      </c>
      <c r="I147">
        <f t="shared" ca="1" si="65"/>
        <v>4</v>
      </c>
      <c r="J147" s="355" t="s">
        <v>101</v>
      </c>
      <c r="K147" s="138" t="str">
        <f t="shared" ca="1" si="61"/>
        <v>1.7.2.</v>
      </c>
      <c r="L147" s="356" t="s">
        <v>230</v>
      </c>
      <c r="M147" s="356"/>
      <c r="N147" s="360" t="s">
        <v>597</v>
      </c>
      <c r="O147" s="362" t="s">
        <v>106</v>
      </c>
      <c r="P147" s="363"/>
      <c r="Q147" s="195"/>
      <c r="R147" s="198" t="s">
        <v>7</v>
      </c>
      <c r="S147" s="103">
        <f t="shared" si="51"/>
        <v>0</v>
      </c>
      <c r="T147" s="83">
        <f t="shared" ca="1" si="52"/>
        <v>0</v>
      </c>
      <c r="U147" s="9" t="str">
        <f t="shared" ca="1" si="62"/>
        <v>SEM VALOR</v>
      </c>
      <c r="V147" s="1" t="str">
        <f ca="1">IF(OR($A147=0,$A147="S",$A147&gt;CFF!$A$9),"",MAX(V$12:OFFSET(V147,-1,0))+1)</f>
        <v/>
      </c>
      <c r="W147" s="4" t="b">
        <f t="shared" si="63"/>
        <v>0</v>
      </c>
      <c r="X147" s="1" t="str">
        <f t="shared" ca="1" si="53"/>
        <v>X</v>
      </c>
      <c r="Y147" s="103">
        <v>0</v>
      </c>
      <c r="Z147" s="113">
        <f ca="1">ROUND(IF(ISNUMBER(R147),R147,IF(LEFT(R147,3)="BDI",HLOOKUP(R147,DADOS!$T$37:$X$38,2,FALSE),0)),15-11*$X$5)</f>
        <v>0.23130000000000001</v>
      </c>
      <c r="AA147" s="1"/>
    </row>
    <row r="148" spans="1:27" ht="25.5" x14ac:dyDescent="0.2">
      <c r="A148" t="str">
        <f t="shared" si="54"/>
        <v>S</v>
      </c>
      <c r="B148">
        <f t="shared" si="55"/>
        <v>0</v>
      </c>
      <c r="C148">
        <f t="shared" ca="1" si="56"/>
        <v>1</v>
      </c>
      <c r="D148">
        <f t="shared" ca="1" si="57"/>
        <v>7</v>
      </c>
      <c r="E148">
        <f t="shared" ca="1" si="58"/>
        <v>2</v>
      </c>
      <c r="F148">
        <f t="shared" ca="1" si="59"/>
        <v>0</v>
      </c>
      <c r="G148">
        <f t="shared" ca="1" si="60"/>
        <v>1</v>
      </c>
      <c r="H148">
        <f t="shared" ca="1" si="64"/>
        <v>0</v>
      </c>
      <c r="I148">
        <f t="shared" ca="1" si="65"/>
        <v>0</v>
      </c>
      <c r="J148" s="355" t="s">
        <v>103</v>
      </c>
      <c r="K148" s="138" t="str">
        <f t="shared" ca="1" si="61"/>
        <v>1.7.2.0.1.</v>
      </c>
      <c r="L148" s="356" t="s">
        <v>230</v>
      </c>
      <c r="M148" s="356" t="s">
        <v>331</v>
      </c>
      <c r="N148" s="360" t="s">
        <v>692</v>
      </c>
      <c r="O148" s="362" t="s">
        <v>940</v>
      </c>
      <c r="P148" s="363">
        <v>3.24</v>
      </c>
      <c r="Q148" s="195"/>
      <c r="R148" s="198" t="s">
        <v>7</v>
      </c>
      <c r="S148" s="103">
        <f t="shared" si="51"/>
        <v>0</v>
      </c>
      <c r="T148" s="83">
        <f t="shared" si="52"/>
        <v>0</v>
      </c>
      <c r="U148" s="9" t="str">
        <f t="shared" si="62"/>
        <v>SEM VALOR</v>
      </c>
      <c r="V148" s="1" t="str">
        <f ca="1">IF(OR($A148=0,$A148="S",$A148&gt;CFF!$A$9),"",MAX(V$12:OFFSET(V148,-1,0))+1)</f>
        <v/>
      </c>
      <c r="W148" s="4" t="str">
        <f t="shared" si="63"/>
        <v>SINAPI-91341</v>
      </c>
      <c r="X148" s="1">
        <f t="shared" ca="1" si="53"/>
        <v>8744</v>
      </c>
      <c r="Y148" s="103">
        <v>1101.8800000000001</v>
      </c>
      <c r="Z148" s="113">
        <f ca="1">ROUND(IF(ISNUMBER(R148),R148,IF(LEFT(R148,3)="BDI",HLOOKUP(R148,DADOS!$T$37:$X$38,2,FALSE),0)),15-11*$X$5)</f>
        <v>0.23130000000000001</v>
      </c>
      <c r="AA148" s="1"/>
    </row>
    <row r="149" spans="1:27" ht="25.5" x14ac:dyDescent="0.2">
      <c r="A149" t="str">
        <f t="shared" si="54"/>
        <v>S</v>
      </c>
      <c r="B149">
        <f t="shared" si="55"/>
        <v>0</v>
      </c>
      <c r="C149">
        <f t="shared" ca="1" si="56"/>
        <v>1</v>
      </c>
      <c r="D149">
        <f t="shared" ca="1" si="57"/>
        <v>7</v>
      </c>
      <c r="E149">
        <f t="shared" ca="1" si="58"/>
        <v>2</v>
      </c>
      <c r="F149">
        <f t="shared" ca="1" si="59"/>
        <v>0</v>
      </c>
      <c r="G149">
        <f t="shared" ca="1" si="60"/>
        <v>2</v>
      </c>
      <c r="H149">
        <f t="shared" ca="1" si="64"/>
        <v>0</v>
      </c>
      <c r="I149">
        <f t="shared" ca="1" si="65"/>
        <v>0</v>
      </c>
      <c r="J149" s="355" t="s">
        <v>103</v>
      </c>
      <c r="K149" s="138" t="str">
        <f t="shared" ca="1" si="61"/>
        <v>1.7.2.0.2.</v>
      </c>
      <c r="L149" s="356" t="s">
        <v>230</v>
      </c>
      <c r="M149" s="356" t="s">
        <v>340</v>
      </c>
      <c r="N149" s="360" t="s">
        <v>701</v>
      </c>
      <c r="O149" s="362" t="s">
        <v>944</v>
      </c>
      <c r="P149" s="363">
        <v>3</v>
      </c>
      <c r="Q149" s="195"/>
      <c r="R149" s="198" t="s">
        <v>7</v>
      </c>
      <c r="S149" s="103">
        <f t="shared" si="51"/>
        <v>0</v>
      </c>
      <c r="T149" s="83">
        <f t="shared" si="52"/>
        <v>0</v>
      </c>
      <c r="U149" s="9" t="str">
        <f t="shared" si="62"/>
        <v>SEM VALOR</v>
      </c>
      <c r="V149" s="1" t="str">
        <f ca="1">IF(OR($A149=0,$A149="S",$A149&gt;CFF!$A$9),"",MAX(V$12:OFFSET(V149,-1,0))+1)</f>
        <v/>
      </c>
      <c r="W149" s="4" t="str">
        <f t="shared" si="63"/>
        <v>SINAPI-91305</v>
      </c>
      <c r="X149" s="1">
        <f t="shared" ca="1" si="53"/>
        <v>8641</v>
      </c>
      <c r="Y149" s="103">
        <v>168.02</v>
      </c>
      <c r="Z149" s="113">
        <f ca="1">ROUND(IF(ISNUMBER(R149),R149,IF(LEFT(R149,3)="BDI",HLOOKUP(R149,DADOS!$T$37:$X$38,2,FALSE),0)),15-11*$X$5)</f>
        <v>0.23130000000000001</v>
      </c>
      <c r="AA149" s="1"/>
    </row>
    <row r="150" spans="1:27" ht="25.5" x14ac:dyDescent="0.2">
      <c r="A150" t="str">
        <f t="shared" si="54"/>
        <v>S</v>
      </c>
      <c r="B150">
        <f t="shared" si="55"/>
        <v>0</v>
      </c>
      <c r="C150">
        <f t="shared" ca="1" si="56"/>
        <v>1</v>
      </c>
      <c r="D150">
        <f t="shared" ca="1" si="57"/>
        <v>7</v>
      </c>
      <c r="E150">
        <f t="shared" ca="1" si="58"/>
        <v>2</v>
      </c>
      <c r="F150">
        <f t="shared" ca="1" si="59"/>
        <v>0</v>
      </c>
      <c r="G150">
        <f t="shared" ca="1" si="60"/>
        <v>3</v>
      </c>
      <c r="H150">
        <f t="shared" ca="1" si="64"/>
        <v>0</v>
      </c>
      <c r="I150">
        <f t="shared" ca="1" si="65"/>
        <v>0</v>
      </c>
      <c r="J150" s="355" t="s">
        <v>103</v>
      </c>
      <c r="K150" s="138" t="str">
        <f t="shared" ca="1" si="61"/>
        <v>1.7.2.0.3.</v>
      </c>
      <c r="L150" s="356" t="s">
        <v>230</v>
      </c>
      <c r="M150" s="356" t="s">
        <v>341</v>
      </c>
      <c r="N150" s="360" t="s">
        <v>702</v>
      </c>
      <c r="O150" s="362" t="s">
        <v>940</v>
      </c>
      <c r="P150" s="363">
        <v>9.1199999999999992</v>
      </c>
      <c r="Q150" s="195"/>
      <c r="R150" s="198" t="s">
        <v>7</v>
      </c>
      <c r="S150" s="103">
        <f t="shared" si="51"/>
        <v>0</v>
      </c>
      <c r="T150" s="83">
        <f t="shared" si="52"/>
        <v>0</v>
      </c>
      <c r="U150" s="9" t="str">
        <f t="shared" si="62"/>
        <v>SEM VALOR</v>
      </c>
      <c r="V150" s="1" t="str">
        <f ca="1">IF(OR($A150=0,$A150="S",$A150&gt;CFF!$A$9),"",MAX(V$12:OFFSET(V150,-1,0))+1)</f>
        <v/>
      </c>
      <c r="W150" s="4" t="str">
        <f t="shared" si="63"/>
        <v>SINAPI-102253</v>
      </c>
      <c r="X150" s="1">
        <f t="shared" ca="1" si="53"/>
        <v>11147</v>
      </c>
      <c r="Y150" s="103">
        <v>1156.1199999999999</v>
      </c>
      <c r="Z150" s="113">
        <f ca="1">ROUND(IF(ISNUMBER(R150),R150,IF(LEFT(R150,3)="BDI",HLOOKUP(R150,DADOS!$T$37:$X$38,2,FALSE),0)),15-11*$X$5)</f>
        <v>0.23130000000000001</v>
      </c>
      <c r="AA150" s="1"/>
    </row>
    <row r="151" spans="1:27" x14ac:dyDescent="0.2">
      <c r="A151">
        <f t="shared" si="54"/>
        <v>3</v>
      </c>
      <c r="B151">
        <f t="shared" ca="1" si="55"/>
        <v>11</v>
      </c>
      <c r="C151">
        <f t="shared" ca="1" si="56"/>
        <v>1</v>
      </c>
      <c r="D151">
        <f t="shared" ca="1" si="57"/>
        <v>7</v>
      </c>
      <c r="E151">
        <f t="shared" ca="1" si="58"/>
        <v>3</v>
      </c>
      <c r="F151">
        <f t="shared" ca="1" si="59"/>
        <v>0</v>
      </c>
      <c r="G151">
        <f t="shared" ca="1" si="60"/>
        <v>0</v>
      </c>
      <c r="H151">
        <f t="shared" ca="1" si="64"/>
        <v>11</v>
      </c>
      <c r="I151" t="e">
        <f t="shared" ca="1" si="65"/>
        <v>#N/A</v>
      </c>
      <c r="J151" s="355" t="s">
        <v>101</v>
      </c>
      <c r="K151" s="138" t="str">
        <f t="shared" ca="1" si="61"/>
        <v>1.7.3.</v>
      </c>
      <c r="L151" s="356"/>
      <c r="M151" s="356"/>
      <c r="N151" s="360" t="s">
        <v>598</v>
      </c>
      <c r="O151" s="362" t="s">
        <v>106</v>
      </c>
      <c r="P151" s="363"/>
      <c r="Q151" s="195"/>
      <c r="R151" s="198" t="s">
        <v>7</v>
      </c>
      <c r="S151" s="103">
        <f t="shared" si="51"/>
        <v>0</v>
      </c>
      <c r="T151" s="83">
        <f t="shared" ca="1" si="52"/>
        <v>0</v>
      </c>
      <c r="U151" s="9" t="str">
        <f t="shared" ca="1" si="62"/>
        <v>SEM VALOR</v>
      </c>
      <c r="V151" s="1" t="str">
        <f ca="1">IF(OR($A151=0,$A151="S",$A151&gt;CFF!$A$9),"",MAX(V$12:OFFSET(V151,-1,0))+1)</f>
        <v/>
      </c>
      <c r="W151" s="4" t="b">
        <f t="shared" si="63"/>
        <v>0</v>
      </c>
      <c r="X151" s="1" t="str">
        <f t="shared" ca="1" si="53"/>
        <v>X</v>
      </c>
      <c r="Y151" s="103">
        <v>0</v>
      </c>
      <c r="Z151" s="113">
        <f ca="1">ROUND(IF(ISNUMBER(R151),R151,IF(LEFT(R151,3)="BDI",HLOOKUP(R151,DADOS!$T$37:$X$38,2,FALSE),0)),15-11*$X$5)</f>
        <v>0.23130000000000001</v>
      </c>
      <c r="AA151" s="1"/>
    </row>
    <row r="152" spans="1:27" ht="38.25" x14ac:dyDescent="0.2">
      <c r="A152" t="str">
        <f t="shared" si="54"/>
        <v>S</v>
      </c>
      <c r="B152">
        <f t="shared" si="55"/>
        <v>0</v>
      </c>
      <c r="C152">
        <f t="shared" ca="1" si="56"/>
        <v>1</v>
      </c>
      <c r="D152">
        <f t="shared" ca="1" si="57"/>
        <v>7</v>
      </c>
      <c r="E152">
        <f t="shared" ca="1" si="58"/>
        <v>3</v>
      </c>
      <c r="F152">
        <f t="shared" ca="1" si="59"/>
        <v>0</v>
      </c>
      <c r="G152">
        <f t="shared" ca="1" si="60"/>
        <v>1</v>
      </c>
      <c r="H152">
        <f t="shared" ca="1" si="64"/>
        <v>0</v>
      </c>
      <c r="I152">
        <f t="shared" ca="1" si="65"/>
        <v>0</v>
      </c>
      <c r="J152" s="355" t="s">
        <v>103</v>
      </c>
      <c r="K152" s="138" t="str">
        <f t="shared" ca="1" si="61"/>
        <v>1.7.3.0.1.</v>
      </c>
      <c r="L152" s="356" t="s">
        <v>230</v>
      </c>
      <c r="M152" s="356" t="s">
        <v>342</v>
      </c>
      <c r="N152" s="360" t="s">
        <v>703</v>
      </c>
      <c r="O152" s="362" t="s">
        <v>944</v>
      </c>
      <c r="P152" s="363">
        <v>13</v>
      </c>
      <c r="Q152" s="195"/>
      <c r="R152" s="198" t="s">
        <v>7</v>
      </c>
      <c r="S152" s="103">
        <f t="shared" si="51"/>
        <v>0</v>
      </c>
      <c r="T152" s="83">
        <f t="shared" si="52"/>
        <v>0</v>
      </c>
      <c r="U152" s="9" t="str">
        <f t="shared" si="62"/>
        <v>SEM VALOR</v>
      </c>
      <c r="V152" s="1" t="str">
        <f ca="1">IF(OR($A152=0,$A152="S",$A152&gt;CFF!$A$9),"",MAX(V$12:OFFSET(V152,-1,0))+1)</f>
        <v/>
      </c>
      <c r="W152" s="4" t="str">
        <f t="shared" si="63"/>
        <v>SINAPI-90790</v>
      </c>
      <c r="X152" s="1">
        <f t="shared" ca="1" si="53"/>
        <v>8708</v>
      </c>
      <c r="Y152" s="103">
        <v>1331.05</v>
      </c>
      <c r="Z152" s="113">
        <f ca="1">ROUND(IF(ISNUMBER(R152),R152,IF(LEFT(R152,3)="BDI",HLOOKUP(R152,DADOS!$T$37:$X$38,2,FALSE),0)),15-11*$X$5)</f>
        <v>0.23130000000000001</v>
      </c>
      <c r="AA152" s="1"/>
    </row>
    <row r="153" spans="1:27" ht="38.25" x14ac:dyDescent="0.2">
      <c r="A153" t="str">
        <f t="shared" si="54"/>
        <v>S</v>
      </c>
      <c r="B153">
        <f t="shared" si="55"/>
        <v>0</v>
      </c>
      <c r="C153">
        <f t="shared" ca="1" si="56"/>
        <v>1</v>
      </c>
      <c r="D153">
        <f t="shared" ca="1" si="57"/>
        <v>7</v>
      </c>
      <c r="E153">
        <f t="shared" ca="1" si="58"/>
        <v>3</v>
      </c>
      <c r="F153">
        <f t="shared" ca="1" si="59"/>
        <v>0</v>
      </c>
      <c r="G153">
        <f t="shared" ca="1" si="60"/>
        <v>2</v>
      </c>
      <c r="H153">
        <f t="shared" ca="1" si="64"/>
        <v>0</v>
      </c>
      <c r="I153">
        <f t="shared" ca="1" si="65"/>
        <v>0</v>
      </c>
      <c r="J153" s="355" t="s">
        <v>103</v>
      </c>
      <c r="K153" s="138" t="str">
        <f t="shared" ca="1" si="61"/>
        <v>1.7.3.0.2.</v>
      </c>
      <c r="L153" s="356" t="s">
        <v>235</v>
      </c>
      <c r="M153" s="356" t="s">
        <v>343</v>
      </c>
      <c r="N153" s="360" t="s">
        <v>704</v>
      </c>
      <c r="O153" s="362" t="s">
        <v>941</v>
      </c>
      <c r="P153" s="363">
        <v>7</v>
      </c>
      <c r="Q153" s="195"/>
      <c r="R153" s="198" t="s">
        <v>7</v>
      </c>
      <c r="S153" s="103">
        <f t="shared" si="51"/>
        <v>0</v>
      </c>
      <c r="T153" s="83">
        <f t="shared" si="52"/>
        <v>0</v>
      </c>
      <c r="U153" s="9" t="str">
        <f t="shared" si="62"/>
        <v>SEM VALOR</v>
      </c>
      <c r="V153" s="1" t="str">
        <f ca="1">IF(OR($A153=0,$A153="S",$A153&gt;CFF!$A$9),"",MAX(V$12:OFFSET(V153,-1,0))+1)</f>
        <v/>
      </c>
      <c r="W153" s="4" t="str">
        <f t="shared" si="63"/>
        <v>PM BENTO-19</v>
      </c>
      <c r="X153" s="1">
        <f t="shared" ca="1" si="53"/>
        <v>25</v>
      </c>
      <c r="Y153" s="103">
        <v>1638.06</v>
      </c>
      <c r="Z153" s="113">
        <f ca="1">ROUND(IF(ISNUMBER(R153),R153,IF(LEFT(R153,3)="BDI",HLOOKUP(R153,DADOS!$T$37:$X$38,2,FALSE),0)),15-11*$X$5)</f>
        <v>0.23130000000000001</v>
      </c>
      <c r="AA153" s="1"/>
    </row>
    <row r="154" spans="1:27" ht="51" x14ac:dyDescent="0.2">
      <c r="A154" t="str">
        <f t="shared" si="54"/>
        <v>S</v>
      </c>
      <c r="B154">
        <f t="shared" si="55"/>
        <v>0</v>
      </c>
      <c r="C154">
        <f t="shared" ca="1" si="56"/>
        <v>1</v>
      </c>
      <c r="D154">
        <f t="shared" ca="1" si="57"/>
        <v>7</v>
      </c>
      <c r="E154">
        <f t="shared" ca="1" si="58"/>
        <v>3</v>
      </c>
      <c r="F154">
        <f t="shared" ca="1" si="59"/>
        <v>0</v>
      </c>
      <c r="G154">
        <f t="shared" ca="1" si="60"/>
        <v>3</v>
      </c>
      <c r="H154">
        <f t="shared" ca="1" si="64"/>
        <v>0</v>
      </c>
      <c r="I154">
        <f t="shared" ca="1" si="65"/>
        <v>0</v>
      </c>
      <c r="J154" s="355" t="s">
        <v>103</v>
      </c>
      <c r="K154" s="138" t="str">
        <f t="shared" ca="1" si="61"/>
        <v>1.7.3.0.3.</v>
      </c>
      <c r="L154" s="356" t="s">
        <v>235</v>
      </c>
      <c r="M154" s="356" t="s">
        <v>344</v>
      </c>
      <c r="N154" s="360" t="s">
        <v>705</v>
      </c>
      <c r="O154" s="362" t="s">
        <v>941</v>
      </c>
      <c r="P154" s="363">
        <v>2</v>
      </c>
      <c r="Q154" s="195"/>
      <c r="R154" s="198" t="s">
        <v>7</v>
      </c>
      <c r="S154" s="103">
        <f t="shared" si="51"/>
        <v>0</v>
      </c>
      <c r="T154" s="83">
        <f t="shared" si="52"/>
        <v>0</v>
      </c>
      <c r="U154" s="9" t="str">
        <f t="shared" si="62"/>
        <v>SEM VALOR</v>
      </c>
      <c r="V154" s="1" t="str">
        <f ca="1">IF(OR($A154=0,$A154="S",$A154&gt;CFF!$A$9),"",MAX(V$12:OFFSET(V154,-1,0))+1)</f>
        <v/>
      </c>
      <c r="W154" s="4" t="str">
        <f t="shared" si="63"/>
        <v>PM BENTO-20</v>
      </c>
      <c r="X154" s="1">
        <f t="shared" ca="1" si="53"/>
        <v>26</v>
      </c>
      <c r="Y154" s="103">
        <v>2245.3200000000002</v>
      </c>
      <c r="Z154" s="113">
        <f ca="1">ROUND(IF(ISNUMBER(R154),R154,IF(LEFT(R154,3)="BDI",HLOOKUP(R154,DADOS!$T$37:$X$38,2,FALSE),0)),15-11*$X$5)</f>
        <v>0.23130000000000001</v>
      </c>
      <c r="AA154" s="1"/>
    </row>
    <row r="155" spans="1:27" ht="38.25" x14ac:dyDescent="0.2">
      <c r="A155" t="str">
        <f t="shared" si="54"/>
        <v>S</v>
      </c>
      <c r="B155">
        <f t="shared" si="55"/>
        <v>0</v>
      </c>
      <c r="C155">
        <f t="shared" ca="1" si="56"/>
        <v>1</v>
      </c>
      <c r="D155">
        <f t="shared" ca="1" si="57"/>
        <v>7</v>
      </c>
      <c r="E155">
        <f t="shared" ca="1" si="58"/>
        <v>3</v>
      </c>
      <c r="F155">
        <f t="shared" ca="1" si="59"/>
        <v>0</v>
      </c>
      <c r="G155">
        <f t="shared" ca="1" si="60"/>
        <v>4</v>
      </c>
      <c r="H155">
        <f t="shared" ca="1" si="64"/>
        <v>0</v>
      </c>
      <c r="I155">
        <f t="shared" ca="1" si="65"/>
        <v>0</v>
      </c>
      <c r="J155" s="355" t="s">
        <v>103</v>
      </c>
      <c r="K155" s="138" t="str">
        <f t="shared" ca="1" si="61"/>
        <v>1.7.3.0.4.</v>
      </c>
      <c r="L155" s="356" t="s">
        <v>235</v>
      </c>
      <c r="M155" s="356" t="s">
        <v>345</v>
      </c>
      <c r="N155" s="360" t="s">
        <v>706</v>
      </c>
      <c r="O155" s="362" t="s">
        <v>941</v>
      </c>
      <c r="P155" s="363">
        <v>1</v>
      </c>
      <c r="Q155" s="195"/>
      <c r="R155" s="198" t="s">
        <v>7</v>
      </c>
      <c r="S155" s="103">
        <f t="shared" si="51"/>
        <v>0</v>
      </c>
      <c r="T155" s="83">
        <f t="shared" si="52"/>
        <v>0</v>
      </c>
      <c r="U155" s="9" t="str">
        <f t="shared" si="62"/>
        <v>SEM VALOR</v>
      </c>
      <c r="V155" s="1" t="str">
        <f ca="1">IF(OR($A155=0,$A155="S",$A155&gt;CFF!$A$9),"",MAX(V$12:OFFSET(V155,-1,0))+1)</f>
        <v/>
      </c>
      <c r="W155" s="4" t="str">
        <f t="shared" si="63"/>
        <v>PM BENTO-21</v>
      </c>
      <c r="X155" s="1">
        <f t="shared" ca="1" si="53"/>
        <v>27</v>
      </c>
      <c r="Y155" s="103">
        <v>1936.81</v>
      </c>
      <c r="Z155" s="113">
        <f ca="1">ROUND(IF(ISNUMBER(R155),R155,IF(LEFT(R155,3)="BDI",HLOOKUP(R155,DADOS!$T$37:$X$38,2,FALSE),0)),15-11*$X$5)</f>
        <v>0.23130000000000001</v>
      </c>
      <c r="AA155" s="1"/>
    </row>
    <row r="156" spans="1:27" ht="38.25" x14ac:dyDescent="0.2">
      <c r="A156" t="str">
        <f t="shared" si="54"/>
        <v>S</v>
      </c>
      <c r="B156">
        <f t="shared" si="55"/>
        <v>0</v>
      </c>
      <c r="C156">
        <f t="shared" ca="1" si="56"/>
        <v>1</v>
      </c>
      <c r="D156">
        <f t="shared" ca="1" si="57"/>
        <v>7</v>
      </c>
      <c r="E156">
        <f t="shared" ca="1" si="58"/>
        <v>3</v>
      </c>
      <c r="F156">
        <f t="shared" ca="1" si="59"/>
        <v>0</v>
      </c>
      <c r="G156">
        <f t="shared" ca="1" si="60"/>
        <v>5</v>
      </c>
      <c r="H156">
        <f t="shared" ca="1" si="64"/>
        <v>0</v>
      </c>
      <c r="I156">
        <f t="shared" ca="1" si="65"/>
        <v>0</v>
      </c>
      <c r="J156" s="355" t="s">
        <v>103</v>
      </c>
      <c r="K156" s="138" t="str">
        <f t="shared" ca="1" si="61"/>
        <v>1.7.3.0.5.</v>
      </c>
      <c r="L156" s="356" t="s">
        <v>235</v>
      </c>
      <c r="M156" s="356" t="s">
        <v>346</v>
      </c>
      <c r="N156" s="360" t="s">
        <v>707</v>
      </c>
      <c r="O156" s="362" t="s">
        <v>941</v>
      </c>
      <c r="P156" s="363">
        <v>1</v>
      </c>
      <c r="Q156" s="195"/>
      <c r="R156" s="198" t="s">
        <v>7</v>
      </c>
      <c r="S156" s="103">
        <f t="shared" si="51"/>
        <v>0</v>
      </c>
      <c r="T156" s="83">
        <f t="shared" si="52"/>
        <v>0</v>
      </c>
      <c r="U156" s="9" t="str">
        <f t="shared" si="62"/>
        <v>SEM VALOR</v>
      </c>
      <c r="V156" s="1" t="str">
        <f ca="1">IF(OR($A156=0,$A156="S",$A156&gt;CFF!$A$9),"",MAX(V$12:OFFSET(V156,-1,0))+1)</f>
        <v/>
      </c>
      <c r="W156" s="4" t="str">
        <f t="shared" si="63"/>
        <v>PM BENTO-22</v>
      </c>
      <c r="X156" s="1">
        <f t="shared" ca="1" si="53"/>
        <v>28</v>
      </c>
      <c r="Y156" s="103">
        <v>1614</v>
      </c>
      <c r="Z156" s="113">
        <f ca="1">ROUND(IF(ISNUMBER(R156),R156,IF(LEFT(R156,3)="BDI",HLOOKUP(R156,DADOS!$T$37:$X$38,2,FALSE),0)),15-11*$X$5)</f>
        <v>0.23130000000000001</v>
      </c>
      <c r="AA156" s="1"/>
    </row>
    <row r="157" spans="1:27" ht="38.25" x14ac:dyDescent="0.2">
      <c r="A157" t="str">
        <f t="shared" si="54"/>
        <v>S</v>
      </c>
      <c r="B157">
        <f t="shared" si="55"/>
        <v>0</v>
      </c>
      <c r="C157">
        <f t="shared" ca="1" si="56"/>
        <v>1</v>
      </c>
      <c r="D157">
        <f t="shared" ca="1" si="57"/>
        <v>7</v>
      </c>
      <c r="E157">
        <f t="shared" ca="1" si="58"/>
        <v>3</v>
      </c>
      <c r="F157">
        <f t="shared" ca="1" si="59"/>
        <v>0</v>
      </c>
      <c r="G157">
        <f t="shared" ca="1" si="60"/>
        <v>6</v>
      </c>
      <c r="H157">
        <f t="shared" ca="1" si="64"/>
        <v>0</v>
      </c>
      <c r="I157">
        <f t="shared" ca="1" si="65"/>
        <v>0</v>
      </c>
      <c r="J157" s="355" t="s">
        <v>103</v>
      </c>
      <c r="K157" s="138" t="str">
        <f t="shared" ca="1" si="61"/>
        <v>1.7.3.0.6.</v>
      </c>
      <c r="L157" s="356" t="s">
        <v>235</v>
      </c>
      <c r="M157" s="356" t="s">
        <v>347</v>
      </c>
      <c r="N157" s="360" t="s">
        <v>708</v>
      </c>
      <c r="O157" s="362" t="s">
        <v>941</v>
      </c>
      <c r="P157" s="363">
        <v>2</v>
      </c>
      <c r="Q157" s="195"/>
      <c r="R157" s="198" t="s">
        <v>7</v>
      </c>
      <c r="S157" s="103">
        <f t="shared" si="51"/>
        <v>0</v>
      </c>
      <c r="T157" s="83">
        <f t="shared" si="52"/>
        <v>0</v>
      </c>
      <c r="U157" s="9" t="str">
        <f t="shared" si="62"/>
        <v>SEM VALOR</v>
      </c>
      <c r="V157" s="1" t="str">
        <f ca="1">IF(OR($A157=0,$A157="S",$A157&gt;CFF!$A$9),"",MAX(V$12:OFFSET(V157,-1,0))+1)</f>
        <v/>
      </c>
      <c r="W157" s="4" t="str">
        <f t="shared" si="63"/>
        <v>PM BENTO-23</v>
      </c>
      <c r="X157" s="1">
        <f t="shared" ca="1" si="53"/>
        <v>29</v>
      </c>
      <c r="Y157" s="103">
        <v>1950.54</v>
      </c>
      <c r="Z157" s="113">
        <f ca="1">ROUND(IF(ISNUMBER(R157),R157,IF(LEFT(R157,3)="BDI",HLOOKUP(R157,DADOS!$T$37:$X$38,2,FALSE),0)),15-11*$X$5)</f>
        <v>0.23130000000000001</v>
      </c>
      <c r="AA157" s="1"/>
    </row>
    <row r="158" spans="1:27" ht="38.25" x14ac:dyDescent="0.2">
      <c r="A158" t="str">
        <f t="shared" si="54"/>
        <v>S</v>
      </c>
      <c r="B158">
        <f t="shared" si="55"/>
        <v>0</v>
      </c>
      <c r="C158">
        <f t="shared" ca="1" si="56"/>
        <v>1</v>
      </c>
      <c r="D158">
        <f t="shared" ca="1" si="57"/>
        <v>7</v>
      </c>
      <c r="E158">
        <f t="shared" ca="1" si="58"/>
        <v>3</v>
      </c>
      <c r="F158">
        <f t="shared" ca="1" si="59"/>
        <v>0</v>
      </c>
      <c r="G158">
        <f t="shared" ca="1" si="60"/>
        <v>7</v>
      </c>
      <c r="H158">
        <f t="shared" ca="1" si="64"/>
        <v>0</v>
      </c>
      <c r="I158">
        <f t="shared" ca="1" si="65"/>
        <v>0</v>
      </c>
      <c r="J158" s="355" t="s">
        <v>103</v>
      </c>
      <c r="K158" s="138" t="str">
        <f t="shared" ca="1" si="61"/>
        <v>1.7.3.0.7.</v>
      </c>
      <c r="L158" s="356" t="s">
        <v>235</v>
      </c>
      <c r="M158" s="356" t="s">
        <v>348</v>
      </c>
      <c r="N158" s="360" t="s">
        <v>709</v>
      </c>
      <c r="O158" s="362" t="s">
        <v>941</v>
      </c>
      <c r="P158" s="363">
        <v>1</v>
      </c>
      <c r="Q158" s="195"/>
      <c r="R158" s="198" t="s">
        <v>7</v>
      </c>
      <c r="S158" s="103">
        <f t="shared" si="51"/>
        <v>0</v>
      </c>
      <c r="T158" s="83">
        <f t="shared" si="52"/>
        <v>0</v>
      </c>
      <c r="U158" s="9" t="str">
        <f t="shared" si="62"/>
        <v>SEM VALOR</v>
      </c>
      <c r="V158" s="1" t="str">
        <f ca="1">IF(OR($A158=0,$A158="S",$A158&gt;CFF!$A$9),"",MAX(V$12:OFFSET(V158,-1,0))+1)</f>
        <v/>
      </c>
      <c r="W158" s="4" t="str">
        <f t="shared" si="63"/>
        <v>PM BENTO-24</v>
      </c>
      <c r="X158" s="1">
        <f t="shared" ca="1" si="53"/>
        <v>30</v>
      </c>
      <c r="Y158" s="103">
        <v>3610.85</v>
      </c>
      <c r="Z158" s="113">
        <f ca="1">ROUND(IF(ISNUMBER(R158),R158,IF(LEFT(R158,3)="BDI",HLOOKUP(R158,DADOS!$T$37:$X$38,2,FALSE),0)),15-11*$X$5)</f>
        <v>0.23130000000000001</v>
      </c>
      <c r="AA158" s="1"/>
    </row>
    <row r="159" spans="1:27" ht="38.25" x14ac:dyDescent="0.2">
      <c r="A159" t="str">
        <f t="shared" si="54"/>
        <v>S</v>
      </c>
      <c r="B159">
        <f t="shared" si="55"/>
        <v>0</v>
      </c>
      <c r="C159">
        <f t="shared" ca="1" si="56"/>
        <v>1</v>
      </c>
      <c r="D159">
        <f t="shared" ca="1" si="57"/>
        <v>7</v>
      </c>
      <c r="E159">
        <f t="shared" ca="1" si="58"/>
        <v>3</v>
      </c>
      <c r="F159">
        <f t="shared" ca="1" si="59"/>
        <v>0</v>
      </c>
      <c r="G159">
        <f t="shared" ca="1" si="60"/>
        <v>8</v>
      </c>
      <c r="H159">
        <f t="shared" ca="1" si="64"/>
        <v>0</v>
      </c>
      <c r="I159">
        <f t="shared" ca="1" si="65"/>
        <v>0</v>
      </c>
      <c r="J159" s="355" t="s">
        <v>103</v>
      </c>
      <c r="K159" s="138" t="str">
        <f t="shared" ca="1" si="61"/>
        <v>1.7.3.0.8.</v>
      </c>
      <c r="L159" s="356" t="s">
        <v>235</v>
      </c>
      <c r="M159" s="356" t="s">
        <v>349</v>
      </c>
      <c r="N159" s="360" t="s">
        <v>710</v>
      </c>
      <c r="O159" s="362" t="s">
        <v>941</v>
      </c>
      <c r="P159" s="363">
        <v>1</v>
      </c>
      <c r="Q159" s="195"/>
      <c r="R159" s="198" t="s">
        <v>7</v>
      </c>
      <c r="S159" s="103">
        <f t="shared" si="51"/>
        <v>0</v>
      </c>
      <c r="T159" s="83">
        <f t="shared" si="52"/>
        <v>0</v>
      </c>
      <c r="U159" s="9" t="str">
        <f t="shared" si="62"/>
        <v>SEM VALOR</v>
      </c>
      <c r="V159" s="1" t="str">
        <f ca="1">IF(OR($A159=0,$A159="S",$A159&gt;CFF!$A$9),"",MAX(V$12:OFFSET(V159,-1,0))+1)</f>
        <v/>
      </c>
      <c r="W159" s="4" t="str">
        <f t="shared" si="63"/>
        <v>PM BENTO-26</v>
      </c>
      <c r="X159" s="1">
        <f t="shared" ca="1" si="53"/>
        <v>32</v>
      </c>
      <c r="Y159" s="103">
        <v>7359.09</v>
      </c>
      <c r="Z159" s="113">
        <f ca="1">ROUND(IF(ISNUMBER(R159),R159,IF(LEFT(R159,3)="BDI",HLOOKUP(R159,DADOS!$T$37:$X$38,2,FALSE),0)),15-11*$X$5)</f>
        <v>0.23130000000000001</v>
      </c>
      <c r="AA159" s="1"/>
    </row>
    <row r="160" spans="1:27" ht="38.25" x14ac:dyDescent="0.2">
      <c r="A160" t="str">
        <f t="shared" si="54"/>
        <v>S</v>
      </c>
      <c r="B160">
        <f t="shared" si="55"/>
        <v>0</v>
      </c>
      <c r="C160">
        <f t="shared" ca="1" si="56"/>
        <v>1</v>
      </c>
      <c r="D160">
        <f t="shared" ca="1" si="57"/>
        <v>7</v>
      </c>
      <c r="E160">
        <f t="shared" ca="1" si="58"/>
        <v>3</v>
      </c>
      <c r="F160">
        <f t="shared" ca="1" si="59"/>
        <v>0</v>
      </c>
      <c r="G160">
        <f t="shared" ca="1" si="60"/>
        <v>9</v>
      </c>
      <c r="H160">
        <f t="shared" ca="1" si="64"/>
        <v>0</v>
      </c>
      <c r="I160">
        <f t="shared" ca="1" si="65"/>
        <v>0</v>
      </c>
      <c r="J160" s="355" t="s">
        <v>103</v>
      </c>
      <c r="K160" s="138" t="str">
        <f t="shared" ca="1" si="61"/>
        <v>1.7.3.0.9.</v>
      </c>
      <c r="L160" s="356" t="s">
        <v>235</v>
      </c>
      <c r="M160" s="356" t="s">
        <v>350</v>
      </c>
      <c r="N160" s="360" t="s">
        <v>711</v>
      </c>
      <c r="O160" s="362" t="s">
        <v>941</v>
      </c>
      <c r="P160" s="363">
        <v>1</v>
      </c>
      <c r="Q160" s="195"/>
      <c r="R160" s="198" t="s">
        <v>7</v>
      </c>
      <c r="S160" s="103">
        <f t="shared" ref="S160:S223" si="66">IF($A160="S",IF($Q$10="Preço Unitário (R$)",PO.CustoUnitario,ROUND(PO.CustoUnitario*(1+$Z160),15-13*$X$6)),0)</f>
        <v>0</v>
      </c>
      <c r="T160" s="83">
        <f t="shared" ref="T160:T223" si="67">IF($A160="S",VTOTAL1,IF($A160=0,0,ROUND(SomaAgrup,15-13*$X$7)))</f>
        <v>0</v>
      </c>
      <c r="U160" s="9" t="str">
        <f t="shared" si="62"/>
        <v>SEM VALOR</v>
      </c>
      <c r="V160" s="1" t="str">
        <f ca="1">IF(OR($A160=0,$A160="S",$A160&gt;CFF!$A$9),"",MAX(V$12:OFFSET(V160,-1,0))+1)</f>
        <v/>
      </c>
      <c r="W160" s="4" t="str">
        <f t="shared" si="63"/>
        <v>PM BENTO-27</v>
      </c>
      <c r="X160" s="1">
        <f t="shared" ref="X160:X223" ca="1" si="68">IF(AND(Fonte&lt;&gt;"",Código&lt;&gt;""),MATCH(Fonte&amp;" "&amp;IF(Fonte="sinapi",SUBSTITUTE(SUBSTITUTE(Código,"/00","/"),"/0","/"),Código),INDIRECT("'[Referência "&amp;_xlnm.Database&amp;".xls]Banco'!$a:$a"),0),"X")</f>
        <v>33</v>
      </c>
      <c r="Y160" s="103">
        <v>1775.41</v>
      </c>
      <c r="Z160" s="113">
        <f ca="1">ROUND(IF(ISNUMBER(R160),R160,IF(LEFT(R160,3)="BDI",HLOOKUP(R160,DADOS!$T$37:$X$38,2,FALSE),0)),15-11*$X$5)</f>
        <v>0.23130000000000001</v>
      </c>
      <c r="AA160" s="1"/>
    </row>
    <row r="161" spans="1:27" ht="25.5" x14ac:dyDescent="0.2">
      <c r="A161" t="str">
        <f t="shared" ref="A161:A224" si="69">CHOOSE(1+LOG(1+2*(J161="Meta")+4*(J161="Nível 2")+8*(J161="Nível 3")+16*(J161="Nível 4")+32*(J161="Serviço"),2),0,1,2,3,4,"S")</f>
        <v>S</v>
      </c>
      <c r="B161">
        <f t="shared" ref="B161:B224" si="70">IF(OR(A161="S",A161=0),0,IF(ISERROR(I161),H161,SMALL(H161:I161,1)))</f>
        <v>0</v>
      </c>
      <c r="C161">
        <f t="shared" ref="C161:C224" ca="1" si="71">IF($A161=1,OFFSET(C161,-1,0)+1,OFFSET(C161,-1,0))</f>
        <v>1</v>
      </c>
      <c r="D161">
        <f t="shared" ref="D161:D224" ca="1" si="72">IF($A161=1,0,IF($A161=2,OFFSET(D161,-1,0)+1,OFFSET(D161,-1,0)))</f>
        <v>7</v>
      </c>
      <c r="E161">
        <f t="shared" ref="E161:E224" ca="1" si="73">IF(AND($A161&lt;=2,$A161&lt;&gt;0),0,IF($A161=3,OFFSET(E161,-1,0)+1,OFFSET(E161,-1,0)))</f>
        <v>3</v>
      </c>
      <c r="F161">
        <f t="shared" ref="F161:F224" ca="1" si="74">IF(AND($A161&lt;=3,$A161&lt;&gt;0),0,IF($A161=4,OFFSET(F161,-1,0)+1,OFFSET(F161,-1,0)))</f>
        <v>0</v>
      </c>
      <c r="G161">
        <f t="shared" ref="G161:G224" ca="1" si="75">IF(AND($A161&lt;=4,$A161&lt;&gt;0),0,IF($A161="S",OFFSET(G161,-1,0)+1,OFFSET(G161,-1,0)))</f>
        <v>10</v>
      </c>
      <c r="H161">
        <f t="shared" ca="1" si="64"/>
        <v>0</v>
      </c>
      <c r="I161">
        <f t="shared" ca="1" si="65"/>
        <v>0</v>
      </c>
      <c r="J161" s="355" t="s">
        <v>103</v>
      </c>
      <c r="K161" s="138" t="str">
        <f t="shared" ref="K161:K224" ca="1" si="76">IF($A161=0,"-",CONCATENATE(C161&amp;".",IF(AND($A$5&gt;=2,$A161&gt;=2),D161&amp;".",""),IF(AND($A$5&gt;=3,$A161&gt;=3),E161&amp;".",""),IF(AND($A$5&gt;=4,$A161&gt;=4),F161&amp;".",""),IF($A161="S",G161&amp;".","")))</f>
        <v>1.7.3.0.10.</v>
      </c>
      <c r="L161" s="356" t="s">
        <v>230</v>
      </c>
      <c r="M161" s="356" t="s">
        <v>332</v>
      </c>
      <c r="N161" s="360" t="s">
        <v>693</v>
      </c>
      <c r="O161" s="362" t="s">
        <v>944</v>
      </c>
      <c r="P161" s="363">
        <v>30</v>
      </c>
      <c r="Q161" s="195"/>
      <c r="R161" s="198" t="s">
        <v>7</v>
      </c>
      <c r="S161" s="103">
        <f t="shared" si="66"/>
        <v>0</v>
      </c>
      <c r="T161" s="83">
        <f t="shared" si="67"/>
        <v>0</v>
      </c>
      <c r="U161" s="9" t="str">
        <f t="shared" ref="U161:U224" si="77">IF($J161="","",IF($N161="","DESCRIÇÃO",IF(AND($J161="Serviço",$O161=""),"UNIDADE",IF($T161&lt;=0,"SEM VALOR",IF(AND($Y161&lt;&gt;"",$Q161&gt;$Y161),"ACIMA REF.","")))))</f>
        <v>SEM VALOR</v>
      </c>
      <c r="V161" s="1" t="str">
        <f ca="1">IF(OR($A161=0,$A161="S",$A161&gt;CFF!$A$9),"",MAX(V$12:OFFSET(V161,-1,0))+1)</f>
        <v/>
      </c>
      <c r="W161" s="4" t="str">
        <f t="shared" ref="W161:W224" si="78">IF(AND($J161="Serviço",$M161&lt;&gt;""),IF($L161="",$M161,CONCATENATE($L161,"-",$M161)))</f>
        <v>SINAPI-90830</v>
      </c>
      <c r="X161" s="1">
        <f t="shared" ca="1" si="68"/>
        <v>8638</v>
      </c>
      <c r="Y161" s="103">
        <v>274.83</v>
      </c>
      <c r="Z161" s="113">
        <f ca="1">ROUND(IF(ISNUMBER(R161),R161,IF(LEFT(R161,3)="BDI",HLOOKUP(R161,DADOS!$T$37:$X$38,2,FALSE),0)),15-11*$X$5)</f>
        <v>0.23130000000000001</v>
      </c>
      <c r="AA161" s="1"/>
    </row>
    <row r="162" spans="1:27" x14ac:dyDescent="0.2">
      <c r="A162">
        <f t="shared" si="69"/>
        <v>2</v>
      </c>
      <c r="B162">
        <f t="shared" ca="1" si="70"/>
        <v>30</v>
      </c>
      <c r="C162">
        <f t="shared" ca="1" si="71"/>
        <v>1</v>
      </c>
      <c r="D162">
        <f t="shared" ca="1" si="72"/>
        <v>8</v>
      </c>
      <c r="E162">
        <f t="shared" ca="1" si="73"/>
        <v>0</v>
      </c>
      <c r="F162">
        <f t="shared" ca="1" si="74"/>
        <v>0</v>
      </c>
      <c r="G162">
        <f t="shared" ca="1" si="75"/>
        <v>0</v>
      </c>
      <c r="H162">
        <f t="shared" ca="1" si="64"/>
        <v>260</v>
      </c>
      <c r="I162">
        <f t="shared" ca="1" si="65"/>
        <v>30</v>
      </c>
      <c r="J162" s="355" t="s">
        <v>100</v>
      </c>
      <c r="K162" s="138" t="str">
        <f t="shared" ca="1" si="76"/>
        <v>1.8.</v>
      </c>
      <c r="L162" s="356" t="s">
        <v>230</v>
      </c>
      <c r="M162" s="356"/>
      <c r="N162" s="360" t="s">
        <v>599</v>
      </c>
      <c r="O162" s="362" t="s">
        <v>106</v>
      </c>
      <c r="P162" s="363"/>
      <c r="Q162" s="195"/>
      <c r="R162" s="198" t="s">
        <v>7</v>
      </c>
      <c r="S162" s="103">
        <f t="shared" si="66"/>
        <v>0</v>
      </c>
      <c r="T162" s="83">
        <f t="shared" ca="1" si="67"/>
        <v>0</v>
      </c>
      <c r="U162" s="9" t="str">
        <f t="shared" ca="1" si="77"/>
        <v>SEM VALOR</v>
      </c>
      <c r="V162" s="1">
        <f ca="1">IF(OR($A162=0,$A162="S",$A162&gt;CFF!$A$9),"",MAX(V$12:OFFSET(V162,-1,0))+1)</f>
        <v>9</v>
      </c>
      <c r="W162" s="4" t="b">
        <f t="shared" si="78"/>
        <v>0</v>
      </c>
      <c r="X162" s="1" t="str">
        <f t="shared" ca="1" si="68"/>
        <v>X</v>
      </c>
      <c r="Y162" s="103">
        <v>0</v>
      </c>
      <c r="Z162" s="113">
        <f ca="1">ROUND(IF(ISNUMBER(R162),R162,IF(LEFT(R162,3)="BDI",HLOOKUP(R162,DADOS!$T$37:$X$38,2,FALSE),0)),15-11*$X$5)</f>
        <v>0.23130000000000001</v>
      </c>
      <c r="AA162" s="1"/>
    </row>
    <row r="163" spans="1:27" x14ac:dyDescent="0.2">
      <c r="A163">
        <f t="shared" si="69"/>
        <v>3</v>
      </c>
      <c r="B163">
        <f t="shared" ca="1" si="70"/>
        <v>16</v>
      </c>
      <c r="C163">
        <f t="shared" ca="1" si="71"/>
        <v>1</v>
      </c>
      <c r="D163">
        <f t="shared" ca="1" si="72"/>
        <v>8</v>
      </c>
      <c r="E163">
        <f t="shared" ca="1" si="73"/>
        <v>1</v>
      </c>
      <c r="F163">
        <f t="shared" ca="1" si="74"/>
        <v>0</v>
      </c>
      <c r="G163">
        <f t="shared" ca="1" si="75"/>
        <v>0</v>
      </c>
      <c r="H163">
        <f t="shared" ca="1" si="64"/>
        <v>29</v>
      </c>
      <c r="I163">
        <f t="shared" ca="1" si="65"/>
        <v>16</v>
      </c>
      <c r="J163" s="355" t="s">
        <v>101</v>
      </c>
      <c r="K163" s="138" t="str">
        <f t="shared" ca="1" si="76"/>
        <v>1.8.1.</v>
      </c>
      <c r="L163" s="356" t="s">
        <v>230</v>
      </c>
      <c r="M163" s="356"/>
      <c r="N163" s="360" t="s">
        <v>600</v>
      </c>
      <c r="O163" s="362" t="s">
        <v>106</v>
      </c>
      <c r="P163" s="363"/>
      <c r="Q163" s="195"/>
      <c r="R163" s="198" t="s">
        <v>7</v>
      </c>
      <c r="S163" s="103">
        <f t="shared" si="66"/>
        <v>0</v>
      </c>
      <c r="T163" s="83">
        <f t="shared" ca="1" si="67"/>
        <v>0</v>
      </c>
      <c r="U163" s="9" t="str">
        <f t="shared" ca="1" si="77"/>
        <v>SEM VALOR</v>
      </c>
      <c r="V163" s="1" t="str">
        <f ca="1">IF(OR($A163=0,$A163="S",$A163&gt;CFF!$A$9),"",MAX(V$12:OFFSET(V163,-1,0))+1)</f>
        <v/>
      </c>
      <c r="W163" s="4" t="b">
        <f t="shared" si="78"/>
        <v>0</v>
      </c>
      <c r="X163" s="1" t="str">
        <f t="shared" ca="1" si="68"/>
        <v>X</v>
      </c>
      <c r="Y163" s="103">
        <v>0</v>
      </c>
      <c r="Z163" s="113">
        <f ca="1">ROUND(IF(ISNUMBER(R163),R163,IF(LEFT(R163,3)="BDI",HLOOKUP(R163,DADOS!$T$37:$X$38,2,FALSE),0)),15-11*$X$5)</f>
        <v>0.23130000000000001</v>
      </c>
      <c r="AA163" s="1"/>
    </row>
    <row r="164" spans="1:27" x14ac:dyDescent="0.2">
      <c r="A164" t="str">
        <f t="shared" si="69"/>
        <v>S</v>
      </c>
      <c r="B164">
        <f t="shared" si="70"/>
        <v>0</v>
      </c>
      <c r="C164">
        <f t="shared" ca="1" si="71"/>
        <v>1</v>
      </c>
      <c r="D164">
        <f t="shared" ca="1" si="72"/>
        <v>8</v>
      </c>
      <c r="E164">
        <f t="shared" ca="1" si="73"/>
        <v>1</v>
      </c>
      <c r="F164">
        <f t="shared" ca="1" si="74"/>
        <v>0</v>
      </c>
      <c r="G164">
        <f t="shared" ca="1" si="75"/>
        <v>1</v>
      </c>
      <c r="H164">
        <f t="shared" ca="1" si="64"/>
        <v>0</v>
      </c>
      <c r="I164">
        <f t="shared" ca="1" si="65"/>
        <v>0</v>
      </c>
      <c r="J164" s="355" t="s">
        <v>103</v>
      </c>
      <c r="K164" s="138" t="str">
        <f t="shared" ca="1" si="76"/>
        <v>1.8.1.0.1.</v>
      </c>
      <c r="L164" s="356" t="s">
        <v>230</v>
      </c>
      <c r="M164" s="356" t="s">
        <v>351</v>
      </c>
      <c r="N164" s="360" t="s">
        <v>712</v>
      </c>
      <c r="O164" s="362" t="s">
        <v>950</v>
      </c>
      <c r="P164" s="363">
        <v>40</v>
      </c>
      <c r="Q164" s="195"/>
      <c r="R164" s="198" t="s">
        <v>7</v>
      </c>
      <c r="S164" s="103">
        <f t="shared" si="66"/>
        <v>0</v>
      </c>
      <c r="T164" s="83">
        <f t="shared" si="67"/>
        <v>0</v>
      </c>
      <c r="U164" s="9" t="str">
        <f t="shared" si="77"/>
        <v>SEM VALOR</v>
      </c>
      <c r="V164" s="1" t="str">
        <f ca="1">IF(OR($A164=0,$A164="S",$A164&gt;CFF!$A$9),"",MAX(V$12:OFFSET(V164,-1,0))+1)</f>
        <v/>
      </c>
      <c r="W164" s="4" t="str">
        <f t="shared" si="78"/>
        <v>SINAPI-88323</v>
      </c>
      <c r="X164" s="1">
        <f t="shared" ca="1" si="68"/>
        <v>12380</v>
      </c>
      <c r="Y164" s="103">
        <v>35.630000000000003</v>
      </c>
      <c r="Z164" s="113">
        <f ca="1">ROUND(IF(ISNUMBER(R164),R164,IF(LEFT(R164,3)="BDI",HLOOKUP(R164,DADOS!$T$37:$X$38,2,FALSE),0)),15-11*$X$5)</f>
        <v>0.23130000000000001</v>
      </c>
      <c r="AA164" s="1"/>
    </row>
    <row r="165" spans="1:27" x14ac:dyDescent="0.2">
      <c r="A165" t="str">
        <f t="shared" si="69"/>
        <v>S</v>
      </c>
      <c r="B165">
        <f t="shared" si="70"/>
        <v>0</v>
      </c>
      <c r="C165">
        <f t="shared" ca="1" si="71"/>
        <v>1</v>
      </c>
      <c r="D165">
        <f t="shared" ca="1" si="72"/>
        <v>8</v>
      </c>
      <c r="E165">
        <f t="shared" ca="1" si="73"/>
        <v>1</v>
      </c>
      <c r="F165">
        <f t="shared" ca="1" si="74"/>
        <v>0</v>
      </c>
      <c r="G165">
        <f t="shared" ca="1" si="75"/>
        <v>2</v>
      </c>
      <c r="H165">
        <f t="shared" ca="1" si="64"/>
        <v>0</v>
      </c>
      <c r="I165">
        <f t="shared" ca="1" si="65"/>
        <v>0</v>
      </c>
      <c r="J165" s="355" t="s">
        <v>103</v>
      </c>
      <c r="K165" s="138" t="str">
        <f t="shared" ca="1" si="76"/>
        <v>1.8.1.0.2.</v>
      </c>
      <c r="L165" s="356" t="s">
        <v>230</v>
      </c>
      <c r="M165" s="356" t="s">
        <v>261</v>
      </c>
      <c r="N165" s="360" t="s">
        <v>713</v>
      </c>
      <c r="O165" s="362" t="s">
        <v>950</v>
      </c>
      <c r="P165" s="363">
        <v>20</v>
      </c>
      <c r="Q165" s="195"/>
      <c r="R165" s="198" t="s">
        <v>7</v>
      </c>
      <c r="S165" s="103">
        <f t="shared" si="66"/>
        <v>0</v>
      </c>
      <c r="T165" s="83">
        <f t="shared" si="67"/>
        <v>0</v>
      </c>
      <c r="U165" s="9" t="str">
        <f t="shared" si="77"/>
        <v>SEM VALOR</v>
      </c>
      <c r="V165" s="1" t="str">
        <f ca="1">IF(OR($A165=0,$A165="S",$A165&gt;CFF!$A$9),"",MAX(V$12:OFFSET(V165,-1,0))+1)</f>
        <v/>
      </c>
      <c r="W165" s="4" t="str">
        <f t="shared" si="78"/>
        <v>SINAPI-88264</v>
      </c>
      <c r="X165" s="1">
        <f t="shared" ca="1" si="68"/>
        <v>12269</v>
      </c>
      <c r="Y165" s="103">
        <v>39.39</v>
      </c>
      <c r="Z165" s="113">
        <f ca="1">ROUND(IF(ISNUMBER(R165),R165,IF(LEFT(R165,3)="BDI",HLOOKUP(R165,DADOS!$T$37:$X$38,2,FALSE),0)),15-11*$X$5)</f>
        <v>0.23130000000000001</v>
      </c>
      <c r="AA165" s="1"/>
    </row>
    <row r="166" spans="1:27" x14ac:dyDescent="0.2">
      <c r="A166" t="str">
        <f t="shared" si="69"/>
        <v>S</v>
      </c>
      <c r="B166">
        <f t="shared" si="70"/>
        <v>0</v>
      </c>
      <c r="C166">
        <f t="shared" ca="1" si="71"/>
        <v>1</v>
      </c>
      <c r="D166">
        <f t="shared" ca="1" si="72"/>
        <v>8</v>
      </c>
      <c r="E166">
        <f t="shared" ca="1" si="73"/>
        <v>1</v>
      </c>
      <c r="F166">
        <f t="shared" ca="1" si="74"/>
        <v>0</v>
      </c>
      <c r="G166">
        <f t="shared" ca="1" si="75"/>
        <v>3</v>
      </c>
      <c r="H166">
        <f t="shared" ca="1" si="64"/>
        <v>0</v>
      </c>
      <c r="I166">
        <f t="shared" ca="1" si="65"/>
        <v>0</v>
      </c>
      <c r="J166" s="355" t="s">
        <v>103</v>
      </c>
      <c r="K166" s="138" t="str">
        <f t="shared" ca="1" si="76"/>
        <v>1.8.1.0.3.</v>
      </c>
      <c r="L166" s="356" t="s">
        <v>230</v>
      </c>
      <c r="M166" s="356" t="s">
        <v>260</v>
      </c>
      <c r="N166" s="360" t="s">
        <v>714</v>
      </c>
      <c r="O166" s="362" t="s">
        <v>950</v>
      </c>
      <c r="P166" s="363">
        <v>20</v>
      </c>
      <c r="Q166" s="195"/>
      <c r="R166" s="198" t="s">
        <v>7</v>
      </c>
      <c r="S166" s="103">
        <f t="shared" si="66"/>
        <v>0</v>
      </c>
      <c r="T166" s="83">
        <f t="shared" si="67"/>
        <v>0</v>
      </c>
      <c r="U166" s="9" t="str">
        <f t="shared" si="77"/>
        <v>SEM VALOR</v>
      </c>
      <c r="V166" s="1" t="str">
        <f ca="1">IF(OR($A166=0,$A166="S",$A166&gt;CFF!$A$9),"",MAX(V$12:OFFSET(V166,-1,0))+1)</f>
        <v/>
      </c>
      <c r="W166" s="4" t="str">
        <f t="shared" si="78"/>
        <v>SINAPI-88247</v>
      </c>
      <c r="X166" s="1">
        <f t="shared" ca="1" si="68"/>
        <v>12049</v>
      </c>
      <c r="Y166" s="103">
        <v>32.86</v>
      </c>
      <c r="Z166" s="113">
        <f ca="1">ROUND(IF(ISNUMBER(R166),R166,IF(LEFT(R166,3)="BDI",HLOOKUP(R166,DADOS!$T$37:$X$38,2,FALSE),0)),15-11*$X$5)</f>
        <v>0.23130000000000001</v>
      </c>
      <c r="AA166" s="1"/>
    </row>
    <row r="167" spans="1:27" x14ac:dyDescent="0.2">
      <c r="A167" t="str">
        <f t="shared" si="69"/>
        <v>S</v>
      </c>
      <c r="B167">
        <f t="shared" si="70"/>
        <v>0</v>
      </c>
      <c r="C167">
        <f t="shared" ca="1" si="71"/>
        <v>1</v>
      </c>
      <c r="D167">
        <f t="shared" ca="1" si="72"/>
        <v>8</v>
      </c>
      <c r="E167">
        <f t="shared" ca="1" si="73"/>
        <v>1</v>
      </c>
      <c r="F167">
        <f t="shared" ca="1" si="74"/>
        <v>0</v>
      </c>
      <c r="G167">
        <f t="shared" ca="1" si="75"/>
        <v>4</v>
      </c>
      <c r="H167">
        <f t="shared" ca="1" si="64"/>
        <v>0</v>
      </c>
      <c r="I167">
        <f t="shared" ca="1" si="65"/>
        <v>0</v>
      </c>
      <c r="J167" s="355" t="s">
        <v>103</v>
      </c>
      <c r="K167" s="138" t="str">
        <f t="shared" ca="1" si="76"/>
        <v>1.8.1.0.4.</v>
      </c>
      <c r="L167" s="356" t="s">
        <v>235</v>
      </c>
      <c r="M167" s="356" t="s">
        <v>352</v>
      </c>
      <c r="N167" s="360" t="s">
        <v>715</v>
      </c>
      <c r="O167" s="362" t="s">
        <v>940</v>
      </c>
      <c r="P167" s="363">
        <v>50</v>
      </c>
      <c r="Q167" s="195"/>
      <c r="R167" s="198" t="s">
        <v>7</v>
      </c>
      <c r="S167" s="103">
        <f t="shared" si="66"/>
        <v>0</v>
      </c>
      <c r="T167" s="83">
        <f t="shared" si="67"/>
        <v>0</v>
      </c>
      <c r="U167" s="9" t="str">
        <f t="shared" si="77"/>
        <v>SEM VALOR</v>
      </c>
      <c r="V167" s="1" t="str">
        <f ca="1">IF(OR($A167=0,$A167="S",$A167&gt;CFF!$A$9),"",MAX(V$12:OFFSET(V167,-1,0))+1)</f>
        <v/>
      </c>
      <c r="W167" s="4" t="str">
        <f t="shared" si="78"/>
        <v>PM BENTO-34</v>
      </c>
      <c r="X167" s="1">
        <f t="shared" ca="1" si="68"/>
        <v>40</v>
      </c>
      <c r="Y167" s="103">
        <v>25.28</v>
      </c>
      <c r="Z167" s="113">
        <f ca="1">ROUND(IF(ISNUMBER(R167),R167,IF(LEFT(R167,3)="BDI",HLOOKUP(R167,DADOS!$T$37:$X$38,2,FALSE),0)),15-11*$X$5)</f>
        <v>0.23130000000000001</v>
      </c>
      <c r="AA167" s="1"/>
    </row>
    <row r="168" spans="1:27" x14ac:dyDescent="0.2">
      <c r="A168" t="str">
        <f t="shared" si="69"/>
        <v>S</v>
      </c>
      <c r="B168">
        <f t="shared" si="70"/>
        <v>0</v>
      </c>
      <c r="C168">
        <f t="shared" ca="1" si="71"/>
        <v>1</v>
      </c>
      <c r="D168">
        <f t="shared" ca="1" si="72"/>
        <v>8</v>
      </c>
      <c r="E168">
        <f t="shared" ca="1" si="73"/>
        <v>1</v>
      </c>
      <c r="F168">
        <f t="shared" ca="1" si="74"/>
        <v>0</v>
      </c>
      <c r="G168">
        <f t="shared" ca="1" si="75"/>
        <v>5</v>
      </c>
      <c r="H168">
        <f t="shared" ca="1" si="64"/>
        <v>0</v>
      </c>
      <c r="I168">
        <f t="shared" ca="1" si="65"/>
        <v>0</v>
      </c>
      <c r="J168" s="355" t="s">
        <v>103</v>
      </c>
      <c r="K168" s="138" t="str">
        <f t="shared" ca="1" si="76"/>
        <v>1.8.1.0.5.</v>
      </c>
      <c r="L168" s="356" t="s">
        <v>230</v>
      </c>
      <c r="M168" s="356" t="s">
        <v>353</v>
      </c>
      <c r="N168" s="360" t="s">
        <v>716</v>
      </c>
      <c r="O168" s="362" t="s">
        <v>947</v>
      </c>
      <c r="P168" s="363">
        <v>1.97</v>
      </c>
      <c r="Q168" s="195"/>
      <c r="R168" s="198" t="s">
        <v>7</v>
      </c>
      <c r="S168" s="103">
        <f t="shared" si="66"/>
        <v>0</v>
      </c>
      <c r="T168" s="83">
        <f t="shared" si="67"/>
        <v>0</v>
      </c>
      <c r="U168" s="9" t="str">
        <f t="shared" si="77"/>
        <v>SEM VALOR</v>
      </c>
      <c r="V168" s="1" t="str">
        <f ca="1">IF(OR($A168=0,$A168="S",$A168&gt;CFF!$A$9),"",MAX(V$12:OFFSET(V168,-1,0))+1)</f>
        <v/>
      </c>
      <c r="W168" s="4" t="str">
        <f t="shared" si="78"/>
        <v>SINAPI-97622</v>
      </c>
      <c r="X168" s="1">
        <f t="shared" ca="1" si="68"/>
        <v>6900</v>
      </c>
      <c r="Y168" s="103">
        <v>80.150000000000006</v>
      </c>
      <c r="Z168" s="113">
        <f ca="1">ROUND(IF(ISNUMBER(R168),R168,IF(LEFT(R168,3)="BDI",HLOOKUP(R168,DADOS!$T$37:$X$38,2,FALSE),0)),15-11*$X$5)</f>
        <v>0.23130000000000001</v>
      </c>
      <c r="AA168" s="1"/>
    </row>
    <row r="169" spans="1:27" x14ac:dyDescent="0.2">
      <c r="A169" t="str">
        <f t="shared" si="69"/>
        <v>S</v>
      </c>
      <c r="B169">
        <f t="shared" si="70"/>
        <v>0</v>
      </c>
      <c r="C169">
        <f t="shared" ca="1" si="71"/>
        <v>1</v>
      </c>
      <c r="D169">
        <f t="shared" ca="1" si="72"/>
        <v>8</v>
      </c>
      <c r="E169">
        <f t="shared" ca="1" si="73"/>
        <v>1</v>
      </c>
      <c r="F169">
        <f t="shared" ca="1" si="74"/>
        <v>0</v>
      </c>
      <c r="G169">
        <f t="shared" ca="1" si="75"/>
        <v>6</v>
      </c>
      <c r="H169">
        <f t="shared" ca="1" si="64"/>
        <v>0</v>
      </c>
      <c r="I169">
        <f t="shared" ca="1" si="65"/>
        <v>0</v>
      </c>
      <c r="J169" s="355" t="s">
        <v>103</v>
      </c>
      <c r="K169" s="138" t="str">
        <f t="shared" ca="1" si="76"/>
        <v>1.8.1.0.6.</v>
      </c>
      <c r="L169" s="356" t="s">
        <v>230</v>
      </c>
      <c r="M169" s="356" t="s">
        <v>354</v>
      </c>
      <c r="N169" s="360" t="s">
        <v>717</v>
      </c>
      <c r="O169" s="362" t="s">
        <v>945</v>
      </c>
      <c r="P169" s="363">
        <v>19.7</v>
      </c>
      <c r="Q169" s="195"/>
      <c r="R169" s="198" t="s">
        <v>7</v>
      </c>
      <c r="S169" s="103">
        <f t="shared" si="66"/>
        <v>0</v>
      </c>
      <c r="T169" s="83">
        <f t="shared" si="67"/>
        <v>0</v>
      </c>
      <c r="U169" s="9" t="str">
        <f t="shared" si="77"/>
        <v>SEM VALOR</v>
      </c>
      <c r="V169" s="1" t="str">
        <f ca="1">IF(OR($A169=0,$A169="S",$A169&gt;CFF!$A$9),"",MAX(V$12:OFFSET(V169,-1,0))+1)</f>
        <v/>
      </c>
      <c r="W169" s="4" t="str">
        <f t="shared" si="78"/>
        <v>SINAPI-104803</v>
      </c>
      <c r="X169" s="1">
        <f t="shared" ca="1" si="68"/>
        <v>6919</v>
      </c>
      <c r="Y169" s="103">
        <v>6.33</v>
      </c>
      <c r="Z169" s="113">
        <f ca="1">ROUND(IF(ISNUMBER(R169),R169,IF(LEFT(R169,3)="BDI",HLOOKUP(R169,DADOS!$T$37:$X$38,2,FALSE),0)),15-11*$X$5)</f>
        <v>0.23130000000000001</v>
      </c>
      <c r="AA169" s="1"/>
    </row>
    <row r="170" spans="1:27" ht="25.5" x14ac:dyDescent="0.2">
      <c r="A170" t="str">
        <f t="shared" si="69"/>
        <v>S</v>
      </c>
      <c r="B170">
        <f t="shared" si="70"/>
        <v>0</v>
      </c>
      <c r="C170">
        <f t="shared" ca="1" si="71"/>
        <v>1</v>
      </c>
      <c r="D170">
        <f t="shared" ca="1" si="72"/>
        <v>8</v>
      </c>
      <c r="E170">
        <f t="shared" ca="1" si="73"/>
        <v>1</v>
      </c>
      <c r="F170">
        <f t="shared" ca="1" si="74"/>
        <v>0</v>
      </c>
      <c r="G170">
        <f t="shared" ca="1" si="75"/>
        <v>7</v>
      </c>
      <c r="H170">
        <f t="shared" ca="1" si="64"/>
        <v>0</v>
      </c>
      <c r="I170">
        <f t="shared" ca="1" si="65"/>
        <v>0</v>
      </c>
      <c r="J170" s="355" t="s">
        <v>103</v>
      </c>
      <c r="K170" s="138" t="str">
        <f t="shared" ca="1" si="76"/>
        <v>1.8.1.0.7.</v>
      </c>
      <c r="L170" s="356" t="s">
        <v>230</v>
      </c>
      <c r="M170" s="356" t="s">
        <v>355</v>
      </c>
      <c r="N170" s="360" t="s">
        <v>718</v>
      </c>
      <c r="O170" s="362" t="s">
        <v>940</v>
      </c>
      <c r="P170" s="363">
        <v>64.52</v>
      </c>
      <c r="Q170" s="195"/>
      <c r="R170" s="198" t="s">
        <v>7</v>
      </c>
      <c r="S170" s="103">
        <f t="shared" si="66"/>
        <v>0</v>
      </c>
      <c r="T170" s="83">
        <f t="shared" si="67"/>
        <v>0</v>
      </c>
      <c r="U170" s="9" t="str">
        <f t="shared" si="77"/>
        <v>SEM VALOR</v>
      </c>
      <c r="V170" s="1" t="str">
        <f ca="1">IF(OR($A170=0,$A170="S",$A170&gt;CFF!$A$9),"",MAX(V$12:OFFSET(V170,-1,0))+1)</f>
        <v/>
      </c>
      <c r="W170" s="4" t="str">
        <f t="shared" si="78"/>
        <v>SINAPI-97647</v>
      </c>
      <c r="X170" s="1">
        <f t="shared" ca="1" si="68"/>
        <v>6945</v>
      </c>
      <c r="Y170" s="103">
        <v>4.97</v>
      </c>
      <c r="Z170" s="113">
        <f ca="1">ROUND(IF(ISNUMBER(R170),R170,IF(LEFT(R170,3)="BDI",HLOOKUP(R170,DADOS!$T$37:$X$38,2,FALSE),0)),15-11*$X$5)</f>
        <v>0.23130000000000001</v>
      </c>
      <c r="AA170" s="1"/>
    </row>
    <row r="171" spans="1:27" ht="25.5" x14ac:dyDescent="0.2">
      <c r="A171" t="str">
        <f t="shared" si="69"/>
        <v>S</v>
      </c>
      <c r="B171">
        <f t="shared" si="70"/>
        <v>0</v>
      </c>
      <c r="C171">
        <f t="shared" ca="1" si="71"/>
        <v>1</v>
      </c>
      <c r="D171">
        <f t="shared" ca="1" si="72"/>
        <v>8</v>
      </c>
      <c r="E171">
        <f t="shared" ca="1" si="73"/>
        <v>1</v>
      </c>
      <c r="F171">
        <f t="shared" ca="1" si="74"/>
        <v>0</v>
      </c>
      <c r="G171">
        <f t="shared" ca="1" si="75"/>
        <v>8</v>
      </c>
      <c r="H171">
        <f t="shared" ca="1" si="64"/>
        <v>0</v>
      </c>
      <c r="I171">
        <f t="shared" ca="1" si="65"/>
        <v>0</v>
      </c>
      <c r="J171" s="355" t="s">
        <v>103</v>
      </c>
      <c r="K171" s="138" t="str">
        <f t="shared" ca="1" si="76"/>
        <v>1.8.1.0.8.</v>
      </c>
      <c r="L171" s="356" t="s">
        <v>230</v>
      </c>
      <c r="M171" s="356" t="s">
        <v>356</v>
      </c>
      <c r="N171" s="360" t="s">
        <v>719</v>
      </c>
      <c r="O171" s="362" t="s">
        <v>940</v>
      </c>
      <c r="P171" s="363">
        <v>64.52</v>
      </c>
      <c r="Q171" s="195"/>
      <c r="R171" s="198" t="s">
        <v>7</v>
      </c>
      <c r="S171" s="103">
        <f t="shared" si="66"/>
        <v>0</v>
      </c>
      <c r="T171" s="83">
        <f t="shared" si="67"/>
        <v>0</v>
      </c>
      <c r="U171" s="9" t="str">
        <f t="shared" si="77"/>
        <v>SEM VALOR</v>
      </c>
      <c r="V171" s="1" t="str">
        <f ca="1">IF(OR($A171=0,$A171="S",$A171&gt;CFF!$A$9),"",MAX(V$12:OFFSET(V171,-1,0))+1)</f>
        <v/>
      </c>
      <c r="W171" s="4" t="str">
        <f t="shared" si="78"/>
        <v>SINAPI-97650</v>
      </c>
      <c r="X171" s="1">
        <f t="shared" ca="1" si="68"/>
        <v>6955</v>
      </c>
      <c r="Y171" s="103">
        <v>10.72</v>
      </c>
      <c r="Z171" s="113">
        <f ca="1">ROUND(IF(ISNUMBER(R171),R171,IF(LEFT(R171,3)="BDI",HLOOKUP(R171,DADOS!$T$37:$X$38,2,FALSE),0)),15-11*$X$5)</f>
        <v>0.23130000000000001</v>
      </c>
      <c r="AA171" s="1"/>
    </row>
    <row r="172" spans="1:27" ht="25.5" x14ac:dyDescent="0.2">
      <c r="A172" t="str">
        <f t="shared" si="69"/>
        <v>S</v>
      </c>
      <c r="B172">
        <f t="shared" si="70"/>
        <v>0</v>
      </c>
      <c r="C172">
        <f t="shared" ca="1" si="71"/>
        <v>1</v>
      </c>
      <c r="D172">
        <f t="shared" ca="1" si="72"/>
        <v>8</v>
      </c>
      <c r="E172">
        <f t="shared" ca="1" si="73"/>
        <v>1</v>
      </c>
      <c r="F172">
        <f t="shared" ca="1" si="74"/>
        <v>0</v>
      </c>
      <c r="G172">
        <f t="shared" ca="1" si="75"/>
        <v>9</v>
      </c>
      <c r="H172">
        <f t="shared" ca="1" si="64"/>
        <v>0</v>
      </c>
      <c r="I172">
        <f t="shared" ca="1" si="65"/>
        <v>0</v>
      </c>
      <c r="J172" s="355" t="s">
        <v>103</v>
      </c>
      <c r="K172" s="138" t="str">
        <f t="shared" ca="1" si="76"/>
        <v>1.8.1.0.9.</v>
      </c>
      <c r="L172" s="356" t="s">
        <v>230</v>
      </c>
      <c r="M172" s="356" t="s">
        <v>357</v>
      </c>
      <c r="N172" s="360" t="s">
        <v>720</v>
      </c>
      <c r="O172" s="362" t="s">
        <v>944</v>
      </c>
      <c r="P172" s="363">
        <v>6</v>
      </c>
      <c r="Q172" s="195"/>
      <c r="R172" s="198" t="s">
        <v>7</v>
      </c>
      <c r="S172" s="103">
        <f t="shared" si="66"/>
        <v>0</v>
      </c>
      <c r="T172" s="83">
        <f t="shared" si="67"/>
        <v>0</v>
      </c>
      <c r="U172" s="9" t="str">
        <f t="shared" si="77"/>
        <v>SEM VALOR</v>
      </c>
      <c r="V172" s="1" t="str">
        <f ca="1">IF(OR($A172=0,$A172="S",$A172&gt;CFF!$A$9),"",MAX(V$12:OFFSET(V172,-1,0))+1)</f>
        <v/>
      </c>
      <c r="W172" s="4" t="str">
        <f t="shared" si="78"/>
        <v>SINAPI-97651</v>
      </c>
      <c r="X172" s="1">
        <f t="shared" ca="1" si="68"/>
        <v>6949</v>
      </c>
      <c r="Y172" s="103">
        <v>116.85</v>
      </c>
      <c r="Z172" s="113">
        <f ca="1">ROUND(IF(ISNUMBER(R172),R172,IF(LEFT(R172,3)="BDI",HLOOKUP(R172,DADOS!$T$37:$X$38,2,FALSE),0)),15-11*$X$5)</f>
        <v>0.23130000000000001</v>
      </c>
      <c r="AA172" s="1"/>
    </row>
    <row r="173" spans="1:27" ht="38.25" x14ac:dyDescent="0.2">
      <c r="A173" t="str">
        <f t="shared" si="69"/>
        <v>S</v>
      </c>
      <c r="B173">
        <f t="shared" si="70"/>
        <v>0</v>
      </c>
      <c r="C173">
        <f t="shared" ca="1" si="71"/>
        <v>1</v>
      </c>
      <c r="D173">
        <f t="shared" ca="1" si="72"/>
        <v>8</v>
      </c>
      <c r="E173">
        <f t="shared" ca="1" si="73"/>
        <v>1</v>
      </c>
      <c r="F173">
        <f t="shared" ca="1" si="74"/>
        <v>0</v>
      </c>
      <c r="G173">
        <f t="shared" ca="1" si="75"/>
        <v>10</v>
      </c>
      <c r="H173">
        <f t="shared" ca="1" si="64"/>
        <v>0</v>
      </c>
      <c r="I173">
        <f t="shared" ca="1" si="65"/>
        <v>0</v>
      </c>
      <c r="J173" s="355" t="s">
        <v>103</v>
      </c>
      <c r="K173" s="138" t="str">
        <f t="shared" ca="1" si="76"/>
        <v>1.8.1.0.10.</v>
      </c>
      <c r="L173" s="356" t="s">
        <v>230</v>
      </c>
      <c r="M173" s="356" t="s">
        <v>358</v>
      </c>
      <c r="N173" s="360" t="s">
        <v>721</v>
      </c>
      <c r="O173" s="362" t="s">
        <v>944</v>
      </c>
      <c r="P173" s="363">
        <v>4</v>
      </c>
      <c r="Q173" s="195"/>
      <c r="R173" s="198" t="s">
        <v>7</v>
      </c>
      <c r="S173" s="103">
        <f t="shared" si="66"/>
        <v>0</v>
      </c>
      <c r="T173" s="83">
        <f t="shared" si="67"/>
        <v>0</v>
      </c>
      <c r="U173" s="9" t="str">
        <f t="shared" si="77"/>
        <v>SEM VALOR</v>
      </c>
      <c r="V173" s="1" t="str">
        <f ca="1">IF(OR($A173=0,$A173="S",$A173&gt;CFF!$A$9),"",MAX(V$12:OFFSET(V173,-1,0))+1)</f>
        <v/>
      </c>
      <c r="W173" s="4" t="str">
        <f t="shared" si="78"/>
        <v>SINAPI-100367</v>
      </c>
      <c r="X173" s="1">
        <f t="shared" ca="1" si="68"/>
        <v>8807</v>
      </c>
      <c r="Y173" s="103">
        <v>1284.78</v>
      </c>
      <c r="Z173" s="113">
        <f ca="1">ROUND(IF(ISNUMBER(R173),R173,IF(LEFT(R173,3)="BDI",HLOOKUP(R173,DADOS!$T$37:$X$38,2,FALSE),0)),15-11*$X$5)</f>
        <v>0.23130000000000001</v>
      </c>
      <c r="AA173" s="1"/>
    </row>
    <row r="174" spans="1:27" ht="38.25" x14ac:dyDescent="0.2">
      <c r="A174" t="str">
        <f t="shared" si="69"/>
        <v>S</v>
      </c>
      <c r="B174">
        <f t="shared" si="70"/>
        <v>0</v>
      </c>
      <c r="C174">
        <f t="shared" ca="1" si="71"/>
        <v>1</v>
      </c>
      <c r="D174">
        <f t="shared" ca="1" si="72"/>
        <v>8</v>
      </c>
      <c r="E174">
        <f t="shared" ca="1" si="73"/>
        <v>1</v>
      </c>
      <c r="F174">
        <f t="shared" ca="1" si="74"/>
        <v>0</v>
      </c>
      <c r="G174">
        <f t="shared" ca="1" si="75"/>
        <v>11</v>
      </c>
      <c r="H174">
        <f t="shared" ca="1" si="64"/>
        <v>0</v>
      </c>
      <c r="I174">
        <f t="shared" ca="1" si="65"/>
        <v>0</v>
      </c>
      <c r="J174" s="355" t="s">
        <v>103</v>
      </c>
      <c r="K174" s="138" t="str">
        <f t="shared" ca="1" si="76"/>
        <v>1.8.1.0.11.</v>
      </c>
      <c r="L174" s="356" t="s">
        <v>230</v>
      </c>
      <c r="M174" s="356" t="s">
        <v>359</v>
      </c>
      <c r="N174" s="360" t="s">
        <v>722</v>
      </c>
      <c r="O174" s="362" t="s">
        <v>944</v>
      </c>
      <c r="P174" s="363">
        <v>2</v>
      </c>
      <c r="Q174" s="195"/>
      <c r="R174" s="198" t="s">
        <v>7</v>
      </c>
      <c r="S174" s="103">
        <f t="shared" si="66"/>
        <v>0</v>
      </c>
      <c r="T174" s="83">
        <f t="shared" si="67"/>
        <v>0</v>
      </c>
      <c r="U174" s="9" t="str">
        <f t="shared" si="77"/>
        <v>SEM VALOR</v>
      </c>
      <c r="V174" s="1" t="str">
        <f ca="1">IF(OR($A174=0,$A174="S",$A174&gt;CFF!$A$9),"",MAX(V$12:OFFSET(V174,-1,0))+1)</f>
        <v/>
      </c>
      <c r="W174" s="4" t="str">
        <f t="shared" si="78"/>
        <v>SINAPI-100371</v>
      </c>
      <c r="X174" s="1">
        <f t="shared" ca="1" si="68"/>
        <v>8815</v>
      </c>
      <c r="Y174" s="103">
        <v>2600.06</v>
      </c>
      <c r="Z174" s="113">
        <f ca="1">ROUND(IF(ISNUMBER(R174),R174,IF(LEFT(R174,3)="BDI",HLOOKUP(R174,DADOS!$T$37:$X$38,2,FALSE),0)),15-11*$X$5)</f>
        <v>0.23130000000000001</v>
      </c>
      <c r="AA174" s="1"/>
    </row>
    <row r="175" spans="1:27" ht="25.5" x14ac:dyDescent="0.2">
      <c r="A175" t="str">
        <f t="shared" si="69"/>
        <v>S</v>
      </c>
      <c r="B175">
        <f t="shared" si="70"/>
        <v>0</v>
      </c>
      <c r="C175">
        <f t="shared" ca="1" si="71"/>
        <v>1</v>
      </c>
      <c r="D175">
        <f t="shared" ca="1" si="72"/>
        <v>8</v>
      </c>
      <c r="E175">
        <f t="shared" ca="1" si="73"/>
        <v>1</v>
      </c>
      <c r="F175">
        <f t="shared" ca="1" si="74"/>
        <v>0</v>
      </c>
      <c r="G175">
        <f t="shared" ca="1" si="75"/>
        <v>12</v>
      </c>
      <c r="H175">
        <f t="shared" ca="1" si="64"/>
        <v>0</v>
      </c>
      <c r="I175">
        <f t="shared" ca="1" si="65"/>
        <v>0</v>
      </c>
      <c r="J175" s="355" t="s">
        <v>103</v>
      </c>
      <c r="K175" s="138" t="str">
        <f t="shared" ca="1" si="76"/>
        <v>1.8.1.0.12.</v>
      </c>
      <c r="L175" s="356" t="s">
        <v>230</v>
      </c>
      <c r="M175" s="356" t="s">
        <v>360</v>
      </c>
      <c r="N175" s="360" t="s">
        <v>723</v>
      </c>
      <c r="O175" s="362" t="s">
        <v>940</v>
      </c>
      <c r="P175" s="363">
        <v>37.869999999999997</v>
      </c>
      <c r="Q175" s="195"/>
      <c r="R175" s="198" t="s">
        <v>7</v>
      </c>
      <c r="S175" s="103">
        <f t="shared" si="66"/>
        <v>0</v>
      </c>
      <c r="T175" s="83">
        <f t="shared" si="67"/>
        <v>0</v>
      </c>
      <c r="U175" s="9" t="str">
        <f t="shared" si="77"/>
        <v>SEM VALOR</v>
      </c>
      <c r="V175" s="1" t="str">
        <f ca="1">IF(OR($A175=0,$A175="S",$A175&gt;CFF!$A$9),"",MAX(V$12:OFFSET(V175,-1,0))+1)</f>
        <v/>
      </c>
      <c r="W175" s="4" t="str">
        <f t="shared" si="78"/>
        <v>SINAPI-92543</v>
      </c>
      <c r="X175" s="1">
        <f t="shared" ca="1" si="68"/>
        <v>8920</v>
      </c>
      <c r="Y175" s="103">
        <v>31.93</v>
      </c>
      <c r="Z175" s="113">
        <f ca="1">ROUND(IF(ISNUMBER(R175),R175,IF(LEFT(R175,3)="BDI",HLOOKUP(R175,DADOS!$T$37:$X$38,2,FALSE),0)),15-11*$X$5)</f>
        <v>0.23130000000000001</v>
      </c>
      <c r="AA175" s="1"/>
    </row>
    <row r="176" spans="1:27" ht="25.5" x14ac:dyDescent="0.2">
      <c r="A176" t="str">
        <f t="shared" si="69"/>
        <v>S</v>
      </c>
      <c r="B176">
        <f t="shared" si="70"/>
        <v>0</v>
      </c>
      <c r="C176">
        <f t="shared" ca="1" si="71"/>
        <v>1</v>
      </c>
      <c r="D176">
        <f t="shared" ca="1" si="72"/>
        <v>8</v>
      </c>
      <c r="E176">
        <f t="shared" ca="1" si="73"/>
        <v>1</v>
      </c>
      <c r="F176">
        <f t="shared" ca="1" si="74"/>
        <v>0</v>
      </c>
      <c r="G176">
        <f t="shared" ca="1" si="75"/>
        <v>13</v>
      </c>
      <c r="H176">
        <f t="shared" ca="1" si="64"/>
        <v>0</v>
      </c>
      <c r="I176">
        <f t="shared" ca="1" si="65"/>
        <v>0</v>
      </c>
      <c r="J176" s="355" t="s">
        <v>103</v>
      </c>
      <c r="K176" s="138" t="str">
        <f t="shared" ca="1" si="76"/>
        <v>1.8.1.0.13.</v>
      </c>
      <c r="L176" s="356" t="s">
        <v>230</v>
      </c>
      <c r="M176" s="356" t="s">
        <v>361</v>
      </c>
      <c r="N176" s="360" t="s">
        <v>724</v>
      </c>
      <c r="O176" s="362" t="s">
        <v>940</v>
      </c>
      <c r="P176" s="363">
        <v>37.869999999999997</v>
      </c>
      <c r="Q176" s="195"/>
      <c r="R176" s="198" t="s">
        <v>7</v>
      </c>
      <c r="S176" s="103">
        <f t="shared" si="66"/>
        <v>0</v>
      </c>
      <c r="T176" s="83">
        <f t="shared" si="67"/>
        <v>0</v>
      </c>
      <c r="U176" s="9" t="str">
        <f t="shared" si="77"/>
        <v>SEM VALOR</v>
      </c>
      <c r="V176" s="1" t="str">
        <f ca="1">IF(OR($A176=0,$A176="S",$A176&gt;CFF!$A$9),"",MAX(V$12:OFFSET(V176,-1,0))+1)</f>
        <v/>
      </c>
      <c r="W176" s="4" t="str">
        <f t="shared" si="78"/>
        <v>SINAPI-94210</v>
      </c>
      <c r="X176" s="1">
        <f t="shared" ca="1" si="68"/>
        <v>14482</v>
      </c>
      <c r="Y176" s="103">
        <v>62.78</v>
      </c>
      <c r="Z176" s="113">
        <f ca="1">ROUND(IF(ISNUMBER(R176),R176,IF(LEFT(R176,3)="BDI",HLOOKUP(R176,DADOS!$T$37:$X$38,2,FALSE),0)),15-11*$X$5)</f>
        <v>0.23130000000000001</v>
      </c>
      <c r="AA176" s="1"/>
    </row>
    <row r="177" spans="1:27" x14ac:dyDescent="0.2">
      <c r="A177" t="str">
        <f t="shared" si="69"/>
        <v>S</v>
      </c>
      <c r="B177">
        <f t="shared" si="70"/>
        <v>0</v>
      </c>
      <c r="C177">
        <f t="shared" ca="1" si="71"/>
        <v>1</v>
      </c>
      <c r="D177">
        <f t="shared" ca="1" si="72"/>
        <v>8</v>
      </c>
      <c r="E177">
        <f t="shared" ca="1" si="73"/>
        <v>1</v>
      </c>
      <c r="F177">
        <f t="shared" ca="1" si="74"/>
        <v>0</v>
      </c>
      <c r="G177">
        <f t="shared" ca="1" si="75"/>
        <v>14</v>
      </c>
      <c r="H177">
        <f t="shared" ca="1" si="64"/>
        <v>0</v>
      </c>
      <c r="I177">
        <f t="shared" ca="1" si="65"/>
        <v>0</v>
      </c>
      <c r="J177" s="355" t="s">
        <v>103</v>
      </c>
      <c r="K177" s="138" t="str">
        <f t="shared" ca="1" si="76"/>
        <v>1.8.1.0.14.</v>
      </c>
      <c r="L177" s="356" t="s">
        <v>230</v>
      </c>
      <c r="M177" s="356" t="s">
        <v>362</v>
      </c>
      <c r="N177" s="360" t="s">
        <v>725</v>
      </c>
      <c r="O177" s="362" t="s">
        <v>945</v>
      </c>
      <c r="P177" s="363">
        <v>2</v>
      </c>
      <c r="Q177" s="195"/>
      <c r="R177" s="198" t="s">
        <v>7</v>
      </c>
      <c r="S177" s="103">
        <f t="shared" si="66"/>
        <v>0</v>
      </c>
      <c r="T177" s="83">
        <f t="shared" si="67"/>
        <v>0</v>
      </c>
      <c r="U177" s="9" t="str">
        <f t="shared" si="77"/>
        <v>SEM VALOR</v>
      </c>
      <c r="V177" s="1" t="str">
        <f ca="1">IF(OR($A177=0,$A177="S",$A177&gt;CFF!$A$9),"",MAX(V$12:OFFSET(V177,-1,0))+1)</f>
        <v/>
      </c>
      <c r="W177" s="4" t="str">
        <f t="shared" si="78"/>
        <v>SINAPI-101979</v>
      </c>
      <c r="X177" s="1">
        <f t="shared" ca="1" si="68"/>
        <v>13070</v>
      </c>
      <c r="Y177" s="103">
        <v>56.52</v>
      </c>
      <c r="Z177" s="113">
        <f ca="1">ROUND(IF(ISNUMBER(R177),R177,IF(LEFT(R177,3)="BDI",HLOOKUP(R177,DADOS!$T$37:$X$38,2,FALSE),0)),15-11*$X$5)</f>
        <v>0.23130000000000001</v>
      </c>
      <c r="AA177" s="1"/>
    </row>
    <row r="178" spans="1:27" ht="25.5" x14ac:dyDescent="0.2">
      <c r="A178" t="str">
        <f t="shared" si="69"/>
        <v>S</v>
      </c>
      <c r="B178">
        <f t="shared" si="70"/>
        <v>0</v>
      </c>
      <c r="C178">
        <f t="shared" ca="1" si="71"/>
        <v>1</v>
      </c>
      <c r="D178">
        <f t="shared" ca="1" si="72"/>
        <v>8</v>
      </c>
      <c r="E178">
        <f t="shared" ca="1" si="73"/>
        <v>1</v>
      </c>
      <c r="F178">
        <f t="shared" ca="1" si="74"/>
        <v>0</v>
      </c>
      <c r="G178">
        <f t="shared" ca="1" si="75"/>
        <v>15</v>
      </c>
      <c r="H178">
        <f t="shared" ca="1" si="64"/>
        <v>0</v>
      </c>
      <c r="I178">
        <f t="shared" ca="1" si="65"/>
        <v>0</v>
      </c>
      <c r="J178" s="355" t="s">
        <v>103</v>
      </c>
      <c r="K178" s="138" t="str">
        <f t="shared" ca="1" si="76"/>
        <v>1.8.1.0.15.</v>
      </c>
      <c r="L178" s="356" t="s">
        <v>230</v>
      </c>
      <c r="M178" s="356" t="s">
        <v>363</v>
      </c>
      <c r="N178" s="360" t="s">
        <v>726</v>
      </c>
      <c r="O178" s="362" t="s">
        <v>945</v>
      </c>
      <c r="P178" s="363">
        <v>16.75</v>
      </c>
      <c r="Q178" s="195"/>
      <c r="R178" s="198" t="s">
        <v>7</v>
      </c>
      <c r="S178" s="103">
        <f t="shared" si="66"/>
        <v>0</v>
      </c>
      <c r="T178" s="83">
        <f t="shared" si="67"/>
        <v>0</v>
      </c>
      <c r="U178" s="9" t="str">
        <f t="shared" si="77"/>
        <v>SEM VALOR</v>
      </c>
      <c r="V178" s="1" t="str">
        <f ca="1">IF(OR($A178=0,$A178="S",$A178&gt;CFF!$A$9),"",MAX(V$12:OFFSET(V178,-1,0))+1)</f>
        <v/>
      </c>
      <c r="W178" s="4" t="str">
        <f t="shared" si="78"/>
        <v>SINAPI-100327</v>
      </c>
      <c r="X178" s="1">
        <f t="shared" ca="1" si="68"/>
        <v>14461</v>
      </c>
      <c r="Y178" s="103">
        <v>85.87</v>
      </c>
      <c r="Z178" s="113">
        <f ca="1">ROUND(IF(ISNUMBER(R178),R178,IF(LEFT(R178,3)="BDI",HLOOKUP(R178,DADOS!$T$37:$X$38,2,FALSE),0)),15-11*$X$5)</f>
        <v>0.23130000000000001</v>
      </c>
      <c r="AA178" s="1"/>
    </row>
    <row r="179" spans="1:27" x14ac:dyDescent="0.2">
      <c r="A179">
        <f t="shared" si="69"/>
        <v>3</v>
      </c>
      <c r="B179">
        <f t="shared" ca="1" si="70"/>
        <v>13</v>
      </c>
      <c r="C179">
        <f t="shared" ca="1" si="71"/>
        <v>1</v>
      </c>
      <c r="D179">
        <f t="shared" ca="1" si="72"/>
        <v>8</v>
      </c>
      <c r="E179">
        <f t="shared" ca="1" si="73"/>
        <v>2</v>
      </c>
      <c r="F179">
        <f t="shared" ca="1" si="74"/>
        <v>0</v>
      </c>
      <c r="G179">
        <f t="shared" ca="1" si="75"/>
        <v>0</v>
      </c>
      <c r="H179">
        <f t="shared" ca="1" si="64"/>
        <v>13</v>
      </c>
      <c r="I179">
        <f t="shared" ca="1" si="65"/>
        <v>120</v>
      </c>
      <c r="J179" s="355" t="s">
        <v>101</v>
      </c>
      <c r="K179" s="138" t="str">
        <f t="shared" ca="1" si="76"/>
        <v>1.8.2.</v>
      </c>
      <c r="L179" s="356"/>
      <c r="M179" s="356"/>
      <c r="N179" s="360" t="s">
        <v>601</v>
      </c>
      <c r="O179" s="362" t="s">
        <v>106</v>
      </c>
      <c r="P179" s="363"/>
      <c r="Q179" s="195"/>
      <c r="R179" s="198" t="s">
        <v>7</v>
      </c>
      <c r="S179" s="103">
        <f t="shared" si="66"/>
        <v>0</v>
      </c>
      <c r="T179" s="83">
        <f t="shared" ca="1" si="67"/>
        <v>0</v>
      </c>
      <c r="U179" s="9" t="str">
        <f t="shared" ca="1" si="77"/>
        <v>SEM VALOR</v>
      </c>
      <c r="V179" s="1" t="str">
        <f ca="1">IF(OR($A179=0,$A179="S",$A179&gt;CFF!$A$9),"",MAX(V$12:OFFSET(V179,-1,0))+1)</f>
        <v/>
      </c>
      <c r="W179" s="4" t="b">
        <f t="shared" si="78"/>
        <v>0</v>
      </c>
      <c r="X179" s="1" t="str">
        <f t="shared" ca="1" si="68"/>
        <v>X</v>
      </c>
      <c r="Y179" s="103">
        <v>0</v>
      </c>
      <c r="Z179" s="113">
        <f ca="1">ROUND(IF(ISNUMBER(R179),R179,IF(LEFT(R179,3)="BDI",HLOOKUP(R179,DADOS!$T$37:$X$38,2,FALSE),0)),15-11*$X$5)</f>
        <v>0.23130000000000001</v>
      </c>
      <c r="AA179" s="1"/>
    </row>
    <row r="180" spans="1:27" ht="38.25" x14ac:dyDescent="0.2">
      <c r="A180" t="str">
        <f t="shared" si="69"/>
        <v>S</v>
      </c>
      <c r="B180">
        <f t="shared" si="70"/>
        <v>0</v>
      </c>
      <c r="C180">
        <f t="shared" ca="1" si="71"/>
        <v>1</v>
      </c>
      <c r="D180">
        <f t="shared" ca="1" si="72"/>
        <v>8</v>
      </c>
      <c r="E180">
        <f t="shared" ca="1" si="73"/>
        <v>2</v>
      </c>
      <c r="F180">
        <f t="shared" ca="1" si="74"/>
        <v>0</v>
      </c>
      <c r="G180">
        <f t="shared" ca="1" si="75"/>
        <v>1</v>
      </c>
      <c r="H180">
        <f t="shared" ca="1" si="64"/>
        <v>0</v>
      </c>
      <c r="I180">
        <f t="shared" ca="1" si="65"/>
        <v>0</v>
      </c>
      <c r="J180" s="355" t="s">
        <v>103</v>
      </c>
      <c r="K180" s="138" t="str">
        <f t="shared" ca="1" si="76"/>
        <v>1.8.2.0.1.</v>
      </c>
      <c r="L180" s="356" t="s">
        <v>230</v>
      </c>
      <c r="M180" s="356" t="s">
        <v>358</v>
      </c>
      <c r="N180" s="360" t="s">
        <v>721</v>
      </c>
      <c r="O180" s="362" t="s">
        <v>944</v>
      </c>
      <c r="P180" s="363">
        <v>20</v>
      </c>
      <c r="Q180" s="195"/>
      <c r="R180" s="198" t="s">
        <v>7</v>
      </c>
      <c r="S180" s="103">
        <f t="shared" si="66"/>
        <v>0</v>
      </c>
      <c r="T180" s="83">
        <f t="shared" si="67"/>
        <v>0</v>
      </c>
      <c r="U180" s="9" t="str">
        <f t="shared" si="77"/>
        <v>SEM VALOR</v>
      </c>
      <c r="V180" s="1" t="str">
        <f ca="1">IF(OR($A180=0,$A180="S",$A180&gt;CFF!$A$9),"",MAX(V$12:OFFSET(V180,-1,0))+1)</f>
        <v/>
      </c>
      <c r="W180" s="4" t="str">
        <f t="shared" si="78"/>
        <v>SINAPI-100367</v>
      </c>
      <c r="X180" s="1">
        <f t="shared" ca="1" si="68"/>
        <v>8807</v>
      </c>
      <c r="Y180" s="103">
        <v>1284.78</v>
      </c>
      <c r="Z180" s="113">
        <f ca="1">ROUND(IF(ISNUMBER(R180),R180,IF(LEFT(R180,3)="BDI",HLOOKUP(R180,DADOS!$T$37:$X$38,2,FALSE),0)),15-11*$X$5)</f>
        <v>0.23130000000000001</v>
      </c>
      <c r="AA180" s="1"/>
    </row>
    <row r="181" spans="1:27" ht="25.5" x14ac:dyDescent="0.2">
      <c r="A181" t="str">
        <f t="shared" si="69"/>
        <v>S</v>
      </c>
      <c r="B181">
        <f t="shared" si="70"/>
        <v>0</v>
      </c>
      <c r="C181">
        <f t="shared" ca="1" si="71"/>
        <v>1</v>
      </c>
      <c r="D181">
        <f t="shared" ca="1" si="72"/>
        <v>8</v>
      </c>
      <c r="E181">
        <f t="shared" ca="1" si="73"/>
        <v>2</v>
      </c>
      <c r="F181">
        <f t="shared" ca="1" si="74"/>
        <v>0</v>
      </c>
      <c r="G181">
        <f t="shared" ca="1" si="75"/>
        <v>2</v>
      </c>
      <c r="H181">
        <f t="shared" ca="1" si="64"/>
        <v>0</v>
      </c>
      <c r="I181">
        <f t="shared" ca="1" si="65"/>
        <v>0</v>
      </c>
      <c r="J181" s="355" t="s">
        <v>103</v>
      </c>
      <c r="K181" s="138" t="str">
        <f t="shared" ca="1" si="76"/>
        <v>1.8.2.0.2.</v>
      </c>
      <c r="L181" s="356" t="s">
        <v>230</v>
      </c>
      <c r="M181" s="356" t="s">
        <v>360</v>
      </c>
      <c r="N181" s="360" t="s">
        <v>723</v>
      </c>
      <c r="O181" s="362" t="s">
        <v>940</v>
      </c>
      <c r="P181" s="363">
        <v>69.010000000000005</v>
      </c>
      <c r="Q181" s="195"/>
      <c r="R181" s="198" t="s">
        <v>7</v>
      </c>
      <c r="S181" s="103">
        <f t="shared" si="66"/>
        <v>0</v>
      </c>
      <c r="T181" s="83">
        <f t="shared" si="67"/>
        <v>0</v>
      </c>
      <c r="U181" s="9" t="str">
        <f t="shared" si="77"/>
        <v>SEM VALOR</v>
      </c>
      <c r="V181" s="1" t="str">
        <f ca="1">IF(OR($A181=0,$A181="S",$A181&gt;CFF!$A$9),"",MAX(V$12:OFFSET(V181,-1,0))+1)</f>
        <v/>
      </c>
      <c r="W181" s="4" t="str">
        <f t="shared" si="78"/>
        <v>SINAPI-92543</v>
      </c>
      <c r="X181" s="1">
        <f t="shared" ca="1" si="68"/>
        <v>8920</v>
      </c>
      <c r="Y181" s="103">
        <v>31.93</v>
      </c>
      <c r="Z181" s="113">
        <f ca="1">ROUND(IF(ISNUMBER(R181),R181,IF(LEFT(R181,3)="BDI",HLOOKUP(R181,DADOS!$T$37:$X$38,2,FALSE),0)),15-11*$X$5)</f>
        <v>0.23130000000000001</v>
      </c>
      <c r="AA181" s="1"/>
    </row>
    <row r="182" spans="1:27" ht="25.5" x14ac:dyDescent="0.2">
      <c r="A182" t="str">
        <f t="shared" si="69"/>
        <v>S</v>
      </c>
      <c r="B182">
        <f t="shared" si="70"/>
        <v>0</v>
      </c>
      <c r="C182">
        <f t="shared" ca="1" si="71"/>
        <v>1</v>
      </c>
      <c r="D182">
        <f t="shared" ca="1" si="72"/>
        <v>8</v>
      </c>
      <c r="E182">
        <f t="shared" ca="1" si="73"/>
        <v>2</v>
      </c>
      <c r="F182">
        <f t="shared" ca="1" si="74"/>
        <v>0</v>
      </c>
      <c r="G182">
        <f t="shared" ca="1" si="75"/>
        <v>3</v>
      </c>
      <c r="H182">
        <f t="shared" ca="1" si="64"/>
        <v>0</v>
      </c>
      <c r="I182">
        <f t="shared" ca="1" si="65"/>
        <v>0</v>
      </c>
      <c r="J182" s="355" t="s">
        <v>103</v>
      </c>
      <c r="K182" s="138" t="str">
        <f t="shared" ca="1" si="76"/>
        <v>1.8.2.0.3.</v>
      </c>
      <c r="L182" s="356" t="s">
        <v>230</v>
      </c>
      <c r="M182" s="356" t="s">
        <v>361</v>
      </c>
      <c r="N182" s="360" t="s">
        <v>724</v>
      </c>
      <c r="O182" s="362" t="s">
        <v>940</v>
      </c>
      <c r="P182" s="363">
        <v>69.010000000000005</v>
      </c>
      <c r="Q182" s="195"/>
      <c r="R182" s="198" t="s">
        <v>7</v>
      </c>
      <c r="S182" s="103">
        <f t="shared" si="66"/>
        <v>0</v>
      </c>
      <c r="T182" s="83">
        <f t="shared" si="67"/>
        <v>0</v>
      </c>
      <c r="U182" s="9" t="str">
        <f t="shared" si="77"/>
        <v>SEM VALOR</v>
      </c>
      <c r="V182" s="1" t="str">
        <f ca="1">IF(OR($A182=0,$A182="S",$A182&gt;CFF!$A$9),"",MAX(V$12:OFFSET(V182,-1,0))+1)</f>
        <v/>
      </c>
      <c r="W182" s="4" t="str">
        <f t="shared" si="78"/>
        <v>SINAPI-94210</v>
      </c>
      <c r="X182" s="1">
        <f t="shared" ca="1" si="68"/>
        <v>14482</v>
      </c>
      <c r="Y182" s="103">
        <v>62.78</v>
      </c>
      <c r="Z182" s="113">
        <f ca="1">ROUND(IF(ISNUMBER(R182),R182,IF(LEFT(R182,3)="BDI",HLOOKUP(R182,DADOS!$T$37:$X$38,2,FALSE),0)),15-11*$X$5)</f>
        <v>0.23130000000000001</v>
      </c>
      <c r="AA182" s="1"/>
    </row>
    <row r="183" spans="1:27" x14ac:dyDescent="0.2">
      <c r="A183" t="str">
        <f t="shared" si="69"/>
        <v>S</v>
      </c>
      <c r="B183">
        <f t="shared" si="70"/>
        <v>0</v>
      </c>
      <c r="C183">
        <f t="shared" ca="1" si="71"/>
        <v>1</v>
      </c>
      <c r="D183">
        <f t="shared" ca="1" si="72"/>
        <v>8</v>
      </c>
      <c r="E183">
        <f t="shared" ca="1" si="73"/>
        <v>2</v>
      </c>
      <c r="F183">
        <f t="shared" ca="1" si="74"/>
        <v>0</v>
      </c>
      <c r="G183">
        <f t="shared" ca="1" si="75"/>
        <v>4</v>
      </c>
      <c r="H183">
        <f t="shared" ca="1" si="64"/>
        <v>0</v>
      </c>
      <c r="I183">
        <f t="shared" ca="1" si="65"/>
        <v>0</v>
      </c>
      <c r="J183" s="355" t="s">
        <v>103</v>
      </c>
      <c r="K183" s="138" t="str">
        <f t="shared" ca="1" si="76"/>
        <v>1.8.2.0.4.</v>
      </c>
      <c r="L183" s="356" t="s">
        <v>230</v>
      </c>
      <c r="M183" s="356" t="s">
        <v>362</v>
      </c>
      <c r="N183" s="360" t="s">
        <v>725</v>
      </c>
      <c r="O183" s="362" t="s">
        <v>945</v>
      </c>
      <c r="P183" s="363">
        <v>57.72</v>
      </c>
      <c r="Q183" s="195"/>
      <c r="R183" s="198" t="s">
        <v>7</v>
      </c>
      <c r="S183" s="103">
        <f t="shared" si="66"/>
        <v>0</v>
      </c>
      <c r="T183" s="83">
        <f t="shared" si="67"/>
        <v>0</v>
      </c>
      <c r="U183" s="9" t="str">
        <f t="shared" si="77"/>
        <v>SEM VALOR</v>
      </c>
      <c r="V183" s="1" t="str">
        <f ca="1">IF(OR($A183=0,$A183="S",$A183&gt;CFF!$A$9),"",MAX(V$12:OFFSET(V183,-1,0))+1)</f>
        <v/>
      </c>
      <c r="W183" s="4" t="str">
        <f t="shared" si="78"/>
        <v>SINAPI-101979</v>
      </c>
      <c r="X183" s="1">
        <f t="shared" ca="1" si="68"/>
        <v>13070</v>
      </c>
      <c r="Y183" s="103">
        <v>56.52</v>
      </c>
      <c r="Z183" s="113">
        <f ca="1">ROUND(IF(ISNUMBER(R183),R183,IF(LEFT(R183,3)="BDI",HLOOKUP(R183,DADOS!$T$37:$X$38,2,FALSE),0)),15-11*$X$5)</f>
        <v>0.23130000000000001</v>
      </c>
      <c r="AA183" s="1"/>
    </row>
    <row r="184" spans="1:27" ht="25.5" x14ac:dyDescent="0.2">
      <c r="A184" t="str">
        <f t="shared" si="69"/>
        <v>S</v>
      </c>
      <c r="B184">
        <f t="shared" si="70"/>
        <v>0</v>
      </c>
      <c r="C184">
        <f t="shared" ca="1" si="71"/>
        <v>1</v>
      </c>
      <c r="D184">
        <f t="shared" ca="1" si="72"/>
        <v>8</v>
      </c>
      <c r="E184">
        <f t="shared" ca="1" si="73"/>
        <v>2</v>
      </c>
      <c r="F184">
        <f t="shared" ca="1" si="74"/>
        <v>0</v>
      </c>
      <c r="G184">
        <f t="shared" ca="1" si="75"/>
        <v>5</v>
      </c>
      <c r="H184">
        <f t="shared" ca="1" si="64"/>
        <v>0</v>
      </c>
      <c r="I184">
        <f t="shared" ca="1" si="65"/>
        <v>0</v>
      </c>
      <c r="J184" s="355" t="s">
        <v>103</v>
      </c>
      <c r="K184" s="138" t="str">
        <f t="shared" ca="1" si="76"/>
        <v>1.8.2.0.5.</v>
      </c>
      <c r="L184" s="356" t="s">
        <v>230</v>
      </c>
      <c r="M184" s="356" t="s">
        <v>363</v>
      </c>
      <c r="N184" s="360" t="s">
        <v>726</v>
      </c>
      <c r="O184" s="362" t="s">
        <v>945</v>
      </c>
      <c r="P184" s="363">
        <v>70.7</v>
      </c>
      <c r="Q184" s="195"/>
      <c r="R184" s="198" t="s">
        <v>7</v>
      </c>
      <c r="S184" s="103">
        <f t="shared" si="66"/>
        <v>0</v>
      </c>
      <c r="T184" s="83">
        <f t="shared" si="67"/>
        <v>0</v>
      </c>
      <c r="U184" s="9" t="str">
        <f t="shared" si="77"/>
        <v>SEM VALOR</v>
      </c>
      <c r="V184" s="1" t="str">
        <f ca="1">IF(OR($A184=0,$A184="S",$A184&gt;CFF!$A$9),"",MAX(V$12:OFFSET(V184,-1,0))+1)</f>
        <v/>
      </c>
      <c r="W184" s="4" t="str">
        <f t="shared" si="78"/>
        <v>SINAPI-100327</v>
      </c>
      <c r="X184" s="1">
        <f t="shared" ca="1" si="68"/>
        <v>14461</v>
      </c>
      <c r="Y184" s="103">
        <v>85.87</v>
      </c>
      <c r="Z184" s="113">
        <f ca="1">ROUND(IF(ISNUMBER(R184),R184,IF(LEFT(R184,3)="BDI",HLOOKUP(R184,DADOS!$T$37:$X$38,2,FALSE),0)),15-11*$X$5)</f>
        <v>0.23130000000000001</v>
      </c>
      <c r="AA184" s="1"/>
    </row>
    <row r="185" spans="1:27" ht="25.5" x14ac:dyDescent="0.2">
      <c r="A185" t="str">
        <f t="shared" si="69"/>
        <v>S</v>
      </c>
      <c r="B185">
        <f t="shared" si="70"/>
        <v>0</v>
      </c>
      <c r="C185">
        <f t="shared" ca="1" si="71"/>
        <v>1</v>
      </c>
      <c r="D185">
        <f t="shared" ca="1" si="72"/>
        <v>8</v>
      </c>
      <c r="E185">
        <f t="shared" ca="1" si="73"/>
        <v>2</v>
      </c>
      <c r="F185">
        <f t="shared" ca="1" si="74"/>
        <v>0</v>
      </c>
      <c r="G185">
        <f t="shared" ca="1" si="75"/>
        <v>6</v>
      </c>
      <c r="H185">
        <f t="shared" ca="1" si="64"/>
        <v>0</v>
      </c>
      <c r="I185">
        <f t="shared" ca="1" si="65"/>
        <v>0</v>
      </c>
      <c r="J185" s="355" t="s">
        <v>103</v>
      </c>
      <c r="K185" s="138" t="str">
        <f t="shared" ca="1" si="76"/>
        <v>1.8.2.0.6.</v>
      </c>
      <c r="L185" s="356" t="s">
        <v>230</v>
      </c>
      <c r="M185" s="356" t="s">
        <v>364</v>
      </c>
      <c r="N185" s="360" t="s">
        <v>727</v>
      </c>
      <c r="O185" s="362" t="s">
        <v>945</v>
      </c>
      <c r="P185" s="363">
        <v>30.3</v>
      </c>
      <c r="Q185" s="195"/>
      <c r="R185" s="198" t="s">
        <v>7</v>
      </c>
      <c r="S185" s="103">
        <f t="shared" si="66"/>
        <v>0</v>
      </c>
      <c r="T185" s="83">
        <f t="shared" si="67"/>
        <v>0</v>
      </c>
      <c r="U185" s="9" t="str">
        <f t="shared" si="77"/>
        <v>SEM VALOR</v>
      </c>
      <c r="V185" s="1" t="str">
        <f ca="1">IF(OR($A185=0,$A185="S",$A185&gt;CFF!$A$9),"",MAX(V$12:OFFSET(V185,-1,0))+1)</f>
        <v/>
      </c>
      <c r="W185" s="4" t="str">
        <f t="shared" si="78"/>
        <v>SINAPI-94229</v>
      </c>
      <c r="X185" s="1">
        <f t="shared" ca="1" si="68"/>
        <v>14442</v>
      </c>
      <c r="Y185" s="103">
        <v>249.06</v>
      </c>
      <c r="Z185" s="113">
        <f ca="1">ROUND(IF(ISNUMBER(R185),R185,IF(LEFT(R185,3)="BDI",HLOOKUP(R185,DADOS!$T$37:$X$38,2,FALSE),0)),15-11*$X$5)</f>
        <v>0.23130000000000001</v>
      </c>
      <c r="AA185" s="1"/>
    </row>
    <row r="186" spans="1:27" ht="38.25" x14ac:dyDescent="0.2">
      <c r="A186" t="str">
        <f t="shared" si="69"/>
        <v>S</v>
      </c>
      <c r="B186">
        <f t="shared" si="70"/>
        <v>0</v>
      </c>
      <c r="C186">
        <f t="shared" ca="1" si="71"/>
        <v>1</v>
      </c>
      <c r="D186">
        <f t="shared" ca="1" si="72"/>
        <v>8</v>
      </c>
      <c r="E186">
        <f t="shared" ca="1" si="73"/>
        <v>2</v>
      </c>
      <c r="F186">
        <f t="shared" ca="1" si="74"/>
        <v>0</v>
      </c>
      <c r="G186">
        <f t="shared" ca="1" si="75"/>
        <v>7</v>
      </c>
      <c r="H186">
        <f t="shared" ca="1" si="64"/>
        <v>0</v>
      </c>
      <c r="I186">
        <f t="shared" ca="1" si="65"/>
        <v>0</v>
      </c>
      <c r="J186" s="355" t="s">
        <v>103</v>
      </c>
      <c r="K186" s="138" t="str">
        <f t="shared" ca="1" si="76"/>
        <v>1.8.2.0.7.</v>
      </c>
      <c r="L186" s="356" t="s">
        <v>230</v>
      </c>
      <c r="M186" s="356" t="s">
        <v>365</v>
      </c>
      <c r="N186" s="360" t="s">
        <v>728</v>
      </c>
      <c r="O186" s="362" t="s">
        <v>940</v>
      </c>
      <c r="P186" s="363">
        <v>52.85</v>
      </c>
      <c r="Q186" s="195"/>
      <c r="R186" s="198" t="s">
        <v>7</v>
      </c>
      <c r="S186" s="103">
        <f t="shared" si="66"/>
        <v>0</v>
      </c>
      <c r="T186" s="83">
        <f t="shared" si="67"/>
        <v>0</v>
      </c>
      <c r="U186" s="9" t="str">
        <f t="shared" si="77"/>
        <v>SEM VALOR</v>
      </c>
      <c r="V186" s="1" t="str">
        <f ca="1">IF(OR($A186=0,$A186="S",$A186&gt;CFF!$A$9),"",MAX(V$12:OFFSET(V186,-1,0))+1)</f>
        <v/>
      </c>
      <c r="W186" s="4" t="str">
        <f t="shared" si="78"/>
        <v>SINAPI-87745</v>
      </c>
      <c r="X186" s="1">
        <f t="shared" ca="1" si="68"/>
        <v>6457</v>
      </c>
      <c r="Y186" s="103">
        <v>71.38</v>
      </c>
      <c r="Z186" s="113">
        <f ca="1">ROUND(IF(ISNUMBER(R186),R186,IF(LEFT(R186,3)="BDI",HLOOKUP(R186,DADOS!$T$37:$X$38,2,FALSE),0)),15-11*$X$5)</f>
        <v>0.23130000000000001</v>
      </c>
      <c r="AA186" s="1"/>
    </row>
    <row r="187" spans="1:27" ht="25.5" x14ac:dyDescent="0.2">
      <c r="A187" t="str">
        <f t="shared" si="69"/>
        <v>S</v>
      </c>
      <c r="B187">
        <f t="shared" si="70"/>
        <v>0</v>
      </c>
      <c r="C187">
        <f t="shared" ca="1" si="71"/>
        <v>1</v>
      </c>
      <c r="D187">
        <f t="shared" ca="1" si="72"/>
        <v>8</v>
      </c>
      <c r="E187">
        <f t="shared" ca="1" si="73"/>
        <v>2</v>
      </c>
      <c r="F187">
        <f t="shared" ca="1" si="74"/>
        <v>0</v>
      </c>
      <c r="G187">
        <f t="shared" ca="1" si="75"/>
        <v>8</v>
      </c>
      <c r="H187">
        <f t="shared" ca="1" si="64"/>
        <v>0</v>
      </c>
      <c r="I187">
        <f t="shared" ca="1" si="65"/>
        <v>0</v>
      </c>
      <c r="J187" s="355" t="s">
        <v>103</v>
      </c>
      <c r="K187" s="138" t="str">
        <f t="shared" ca="1" si="76"/>
        <v>1.8.2.0.8.</v>
      </c>
      <c r="L187" s="356" t="s">
        <v>230</v>
      </c>
      <c r="M187" s="356" t="s">
        <v>366</v>
      </c>
      <c r="N187" s="360" t="s">
        <v>729</v>
      </c>
      <c r="O187" s="362" t="s">
        <v>940</v>
      </c>
      <c r="P187" s="363">
        <v>52.85</v>
      </c>
      <c r="Q187" s="195"/>
      <c r="R187" s="198" t="s">
        <v>7</v>
      </c>
      <c r="S187" s="103">
        <f t="shared" si="66"/>
        <v>0</v>
      </c>
      <c r="T187" s="83">
        <f t="shared" si="67"/>
        <v>0</v>
      </c>
      <c r="U187" s="9" t="str">
        <f t="shared" si="77"/>
        <v>SEM VALOR</v>
      </c>
      <c r="V187" s="1" t="str">
        <f ca="1">IF(OR($A187=0,$A187="S",$A187&gt;CFF!$A$9),"",MAX(V$12:OFFSET(V187,-1,0))+1)</f>
        <v/>
      </c>
      <c r="W187" s="4" t="str">
        <f t="shared" si="78"/>
        <v>SINAPI-98546</v>
      </c>
      <c r="X187" s="1">
        <f t="shared" ca="1" si="68"/>
        <v>9530</v>
      </c>
      <c r="Y187" s="103">
        <v>160.12</v>
      </c>
      <c r="Z187" s="113">
        <f ca="1">ROUND(IF(ISNUMBER(R187),R187,IF(LEFT(R187,3)="BDI",HLOOKUP(R187,DADOS!$T$37:$X$38,2,FALSE),0)),15-11*$X$5)</f>
        <v>0.23130000000000001</v>
      </c>
      <c r="AA187" s="1"/>
    </row>
    <row r="188" spans="1:27" x14ac:dyDescent="0.2">
      <c r="A188" t="str">
        <f t="shared" si="69"/>
        <v>S</v>
      </c>
      <c r="B188">
        <f t="shared" si="70"/>
        <v>0</v>
      </c>
      <c r="C188">
        <f t="shared" ca="1" si="71"/>
        <v>1</v>
      </c>
      <c r="D188">
        <f t="shared" ca="1" si="72"/>
        <v>8</v>
      </c>
      <c r="E188">
        <f t="shared" ca="1" si="73"/>
        <v>2</v>
      </c>
      <c r="F188">
        <f t="shared" ca="1" si="74"/>
        <v>0</v>
      </c>
      <c r="G188">
        <f t="shared" ca="1" si="75"/>
        <v>9</v>
      </c>
      <c r="H188">
        <f t="shared" ca="1" si="64"/>
        <v>0</v>
      </c>
      <c r="I188">
        <f t="shared" ca="1" si="65"/>
        <v>0</v>
      </c>
      <c r="J188" s="355" t="s">
        <v>103</v>
      </c>
      <c r="K188" s="138" t="str">
        <f t="shared" ca="1" si="76"/>
        <v>1.8.2.0.9.</v>
      </c>
      <c r="L188" s="356" t="s">
        <v>235</v>
      </c>
      <c r="M188" s="356" t="s">
        <v>367</v>
      </c>
      <c r="N188" s="360" t="s">
        <v>730</v>
      </c>
      <c r="O188" s="362" t="s">
        <v>941</v>
      </c>
      <c r="P188" s="363">
        <v>4</v>
      </c>
      <c r="Q188" s="195"/>
      <c r="R188" s="198" t="s">
        <v>7</v>
      </c>
      <c r="S188" s="103">
        <f t="shared" si="66"/>
        <v>0</v>
      </c>
      <c r="T188" s="83">
        <f t="shared" si="67"/>
        <v>0</v>
      </c>
      <c r="U188" s="9" t="str">
        <f t="shared" si="77"/>
        <v>SEM VALOR</v>
      </c>
      <c r="V188" s="1" t="str">
        <f ca="1">IF(OR($A188=0,$A188="S",$A188&gt;CFF!$A$9),"",MAX(V$12:OFFSET(V188,-1,0))+1)</f>
        <v/>
      </c>
      <c r="W188" s="4" t="str">
        <f t="shared" si="78"/>
        <v>PM BENTO-32</v>
      </c>
      <c r="X188" s="1">
        <f t="shared" ca="1" si="68"/>
        <v>38</v>
      </c>
      <c r="Y188" s="103">
        <v>65.73</v>
      </c>
      <c r="Z188" s="113">
        <f ca="1">ROUND(IF(ISNUMBER(R188),R188,IF(LEFT(R188,3)="BDI",HLOOKUP(R188,DADOS!$T$37:$X$38,2,FALSE),0)),15-11*$X$5)</f>
        <v>0.23130000000000001</v>
      </c>
      <c r="AA188" s="1"/>
    </row>
    <row r="189" spans="1:27" ht="25.5" x14ac:dyDescent="0.2">
      <c r="A189" t="str">
        <f t="shared" si="69"/>
        <v>S</v>
      </c>
      <c r="B189">
        <f t="shared" si="70"/>
        <v>0</v>
      </c>
      <c r="C189">
        <f t="shared" ca="1" si="71"/>
        <v>1</v>
      </c>
      <c r="D189">
        <f t="shared" ca="1" si="72"/>
        <v>8</v>
      </c>
      <c r="E189">
        <f t="shared" ca="1" si="73"/>
        <v>2</v>
      </c>
      <c r="F189">
        <f t="shared" ca="1" si="74"/>
        <v>0</v>
      </c>
      <c r="G189">
        <f t="shared" ca="1" si="75"/>
        <v>10</v>
      </c>
      <c r="H189">
        <f t="shared" ca="1" si="64"/>
        <v>0</v>
      </c>
      <c r="I189">
        <f t="shared" ca="1" si="65"/>
        <v>0</v>
      </c>
      <c r="J189" s="355" t="s">
        <v>103</v>
      </c>
      <c r="K189" s="138" t="str">
        <f t="shared" ca="1" si="76"/>
        <v>1.8.2.0.10.</v>
      </c>
      <c r="L189" s="356" t="s">
        <v>230</v>
      </c>
      <c r="M189" s="356" t="s">
        <v>368</v>
      </c>
      <c r="N189" s="360" t="s">
        <v>731</v>
      </c>
      <c r="O189" s="362" t="s">
        <v>940</v>
      </c>
      <c r="P189" s="363">
        <v>52.85</v>
      </c>
      <c r="Q189" s="195"/>
      <c r="R189" s="198" t="s">
        <v>7</v>
      </c>
      <c r="S189" s="103">
        <f t="shared" si="66"/>
        <v>0</v>
      </c>
      <c r="T189" s="83">
        <f t="shared" si="67"/>
        <v>0</v>
      </c>
      <c r="U189" s="9" t="str">
        <f t="shared" si="77"/>
        <v>SEM VALOR</v>
      </c>
      <c r="V189" s="1" t="str">
        <f ca="1">IF(OR($A189=0,$A189="S",$A189&gt;CFF!$A$9),"",MAX(V$12:OFFSET(V189,-1,0))+1)</f>
        <v/>
      </c>
      <c r="W189" s="4" t="str">
        <f t="shared" si="78"/>
        <v>SINAPI-98563</v>
      </c>
      <c r="X189" s="1">
        <f t="shared" ca="1" si="68"/>
        <v>9539</v>
      </c>
      <c r="Y189" s="103">
        <v>50.66</v>
      </c>
      <c r="Z189" s="113">
        <f ca="1">ROUND(IF(ISNUMBER(R189),R189,IF(LEFT(R189,3)="BDI",HLOOKUP(R189,DADOS!$T$37:$X$38,2,FALSE),0)),15-11*$X$5)</f>
        <v>0.23130000000000001</v>
      </c>
      <c r="AA189" s="1"/>
    </row>
    <row r="190" spans="1:27" x14ac:dyDescent="0.2">
      <c r="A190" t="str">
        <f t="shared" si="69"/>
        <v>S</v>
      </c>
      <c r="B190">
        <f t="shared" si="70"/>
        <v>0</v>
      </c>
      <c r="C190">
        <f t="shared" ca="1" si="71"/>
        <v>1</v>
      </c>
      <c r="D190">
        <f t="shared" ca="1" si="72"/>
        <v>8</v>
      </c>
      <c r="E190">
        <f t="shared" ca="1" si="73"/>
        <v>2</v>
      </c>
      <c r="F190">
        <f t="shared" ca="1" si="74"/>
        <v>0</v>
      </c>
      <c r="G190">
        <f t="shared" ca="1" si="75"/>
        <v>11</v>
      </c>
      <c r="H190">
        <f t="shared" ca="1" si="64"/>
        <v>0</v>
      </c>
      <c r="I190">
        <f t="shared" ca="1" si="65"/>
        <v>0</v>
      </c>
      <c r="J190" s="355" t="s">
        <v>103</v>
      </c>
      <c r="K190" s="138" t="str">
        <f t="shared" ca="1" si="76"/>
        <v>1.8.2.0.11.</v>
      </c>
      <c r="L190" s="356" t="s">
        <v>230</v>
      </c>
      <c r="M190" s="356" t="s">
        <v>369</v>
      </c>
      <c r="N190" s="360" t="s">
        <v>732</v>
      </c>
      <c r="O190" s="362" t="s">
        <v>940</v>
      </c>
      <c r="P190" s="363">
        <v>52.85</v>
      </c>
      <c r="Q190" s="195"/>
      <c r="R190" s="198" t="s">
        <v>7</v>
      </c>
      <c r="S190" s="103">
        <f t="shared" si="66"/>
        <v>0</v>
      </c>
      <c r="T190" s="83">
        <f t="shared" si="67"/>
        <v>0</v>
      </c>
      <c r="U190" s="9" t="str">
        <f t="shared" si="77"/>
        <v>SEM VALOR</v>
      </c>
      <c r="V190" s="1" t="str">
        <f ca="1">IF(OR($A190=0,$A190="S",$A190&gt;CFF!$A$9),"",MAX(V$12:OFFSET(V190,-1,0))+1)</f>
        <v/>
      </c>
      <c r="W190" s="4" t="str">
        <f t="shared" si="78"/>
        <v>SINAPI-102488</v>
      </c>
      <c r="X190" s="1">
        <f t="shared" ca="1" si="68"/>
        <v>13327</v>
      </c>
      <c r="Y190" s="103">
        <v>4.8600000000000003</v>
      </c>
      <c r="Z190" s="113">
        <f ca="1">ROUND(IF(ISNUMBER(R190),R190,IF(LEFT(R190,3)="BDI",HLOOKUP(R190,DADOS!$T$37:$X$38,2,FALSE),0)),15-11*$X$5)</f>
        <v>0.23130000000000001</v>
      </c>
      <c r="AA190" s="1"/>
    </row>
    <row r="191" spans="1:27" ht="25.5" x14ac:dyDescent="0.2">
      <c r="A191" t="str">
        <f t="shared" si="69"/>
        <v>S</v>
      </c>
      <c r="B191">
        <f t="shared" si="70"/>
        <v>0</v>
      </c>
      <c r="C191">
        <f t="shared" ca="1" si="71"/>
        <v>1</v>
      </c>
      <c r="D191">
        <f t="shared" ca="1" si="72"/>
        <v>8</v>
      </c>
      <c r="E191">
        <f t="shared" ca="1" si="73"/>
        <v>2</v>
      </c>
      <c r="F191">
        <f t="shared" ca="1" si="74"/>
        <v>0</v>
      </c>
      <c r="G191">
        <f t="shared" ca="1" si="75"/>
        <v>12</v>
      </c>
      <c r="H191">
        <f t="shared" ca="1" si="64"/>
        <v>0</v>
      </c>
      <c r="I191">
        <f t="shared" ca="1" si="65"/>
        <v>0</v>
      </c>
      <c r="J191" s="355" t="s">
        <v>103</v>
      </c>
      <c r="K191" s="138" t="str">
        <f t="shared" ca="1" si="76"/>
        <v>1.8.2.0.12.</v>
      </c>
      <c r="L191" s="356" t="s">
        <v>230</v>
      </c>
      <c r="M191" s="356" t="s">
        <v>258</v>
      </c>
      <c r="N191" s="360" t="s">
        <v>684</v>
      </c>
      <c r="O191" s="362" t="s">
        <v>940</v>
      </c>
      <c r="P191" s="363">
        <v>52.85</v>
      </c>
      <c r="Q191" s="195"/>
      <c r="R191" s="198" t="s">
        <v>7</v>
      </c>
      <c r="S191" s="103">
        <f t="shared" si="66"/>
        <v>0</v>
      </c>
      <c r="T191" s="83">
        <f t="shared" si="67"/>
        <v>0</v>
      </c>
      <c r="U191" s="9" t="str">
        <f t="shared" si="77"/>
        <v>SEM VALOR</v>
      </c>
      <c r="V191" s="1" t="str">
        <f ca="1">IF(OR($A191=0,$A191="S",$A191&gt;CFF!$A$9),"",MAX(V$12:OFFSET(V191,-1,0))+1)</f>
        <v/>
      </c>
      <c r="W191" s="4" t="str">
        <f t="shared" si="78"/>
        <v>SINAPI-102492</v>
      </c>
      <c r="X191" s="1">
        <f t="shared" ca="1" si="68"/>
        <v>13312</v>
      </c>
      <c r="Y191" s="103">
        <v>35.409999999999997</v>
      </c>
      <c r="Z191" s="113">
        <f ca="1">ROUND(IF(ISNUMBER(R191),R191,IF(LEFT(R191,3)="BDI",HLOOKUP(R191,DADOS!$T$37:$X$38,2,FALSE),0)),15-11*$X$5)</f>
        <v>0.23130000000000001</v>
      </c>
      <c r="AA191" s="1"/>
    </row>
    <row r="192" spans="1:27" x14ac:dyDescent="0.2">
      <c r="A192">
        <f t="shared" si="69"/>
        <v>2</v>
      </c>
      <c r="B192">
        <f t="shared" ca="1" si="70"/>
        <v>48</v>
      </c>
      <c r="C192">
        <f t="shared" ca="1" si="71"/>
        <v>1</v>
      </c>
      <c r="D192">
        <f t="shared" ca="1" si="72"/>
        <v>9</v>
      </c>
      <c r="E192">
        <f t="shared" ca="1" si="73"/>
        <v>0</v>
      </c>
      <c r="F192">
        <f t="shared" ca="1" si="74"/>
        <v>0</v>
      </c>
      <c r="G192">
        <f t="shared" ca="1" si="75"/>
        <v>0</v>
      </c>
      <c r="H192">
        <f t="shared" ca="1" si="64"/>
        <v>230</v>
      </c>
      <c r="I192">
        <f t="shared" ca="1" si="65"/>
        <v>48</v>
      </c>
      <c r="J192" s="355" t="s">
        <v>100</v>
      </c>
      <c r="K192" s="138" t="str">
        <f t="shared" ca="1" si="76"/>
        <v>1.9.</v>
      </c>
      <c r="L192" s="356" t="s">
        <v>230</v>
      </c>
      <c r="M192" s="356"/>
      <c r="N192" s="360" t="s">
        <v>602</v>
      </c>
      <c r="O192" s="362" t="s">
        <v>106</v>
      </c>
      <c r="P192" s="363"/>
      <c r="Q192" s="195"/>
      <c r="R192" s="198" t="s">
        <v>7</v>
      </c>
      <c r="S192" s="103">
        <f t="shared" si="66"/>
        <v>0</v>
      </c>
      <c r="T192" s="83">
        <f t="shared" ca="1" si="67"/>
        <v>0</v>
      </c>
      <c r="U192" s="9" t="str">
        <f t="shared" ca="1" si="77"/>
        <v>SEM VALOR</v>
      </c>
      <c r="V192" s="1">
        <f ca="1">IF(OR($A192=0,$A192="S",$A192&gt;CFF!$A$9),"",MAX(V$12:OFFSET(V192,-1,0))+1)</f>
        <v>10</v>
      </c>
      <c r="W192" s="4" t="b">
        <f t="shared" si="78"/>
        <v>0</v>
      </c>
      <c r="X192" s="1" t="str">
        <f t="shared" ca="1" si="68"/>
        <v>X</v>
      </c>
      <c r="Y192" s="103">
        <v>0</v>
      </c>
      <c r="Z192" s="113">
        <f ca="1">ROUND(IF(ISNUMBER(R192),R192,IF(LEFT(R192,3)="BDI",HLOOKUP(R192,DADOS!$T$37:$X$38,2,FALSE),0)),15-11*$X$5)</f>
        <v>0.23130000000000001</v>
      </c>
      <c r="AA192" s="1"/>
    </row>
    <row r="193" spans="1:27" x14ac:dyDescent="0.2">
      <c r="A193">
        <f t="shared" si="69"/>
        <v>3</v>
      </c>
      <c r="B193">
        <f t="shared" ca="1" si="70"/>
        <v>47</v>
      </c>
      <c r="C193">
        <f t="shared" ca="1" si="71"/>
        <v>1</v>
      </c>
      <c r="D193">
        <f t="shared" ca="1" si="72"/>
        <v>9</v>
      </c>
      <c r="E193">
        <f t="shared" ca="1" si="73"/>
        <v>1</v>
      </c>
      <c r="F193">
        <f t="shared" ca="1" si="74"/>
        <v>0</v>
      </c>
      <c r="G193">
        <f t="shared" ca="1" si="75"/>
        <v>0</v>
      </c>
      <c r="H193">
        <f t="shared" ca="1" si="64"/>
        <v>47</v>
      </c>
      <c r="I193">
        <f t="shared" ca="1" si="65"/>
        <v>70</v>
      </c>
      <c r="J193" s="355" t="s">
        <v>101</v>
      </c>
      <c r="K193" s="138" t="str">
        <f t="shared" ca="1" si="76"/>
        <v>1.9.1.</v>
      </c>
      <c r="L193" s="356" t="s">
        <v>230</v>
      </c>
      <c r="M193" s="356"/>
      <c r="N193" s="360" t="s">
        <v>602</v>
      </c>
      <c r="O193" s="362" t="s">
        <v>106</v>
      </c>
      <c r="P193" s="363"/>
      <c r="Q193" s="195"/>
      <c r="R193" s="198" t="s">
        <v>7</v>
      </c>
      <c r="S193" s="103">
        <f t="shared" si="66"/>
        <v>0</v>
      </c>
      <c r="T193" s="83">
        <f t="shared" ca="1" si="67"/>
        <v>0</v>
      </c>
      <c r="U193" s="9" t="str">
        <f t="shared" ca="1" si="77"/>
        <v>SEM VALOR</v>
      </c>
      <c r="V193" s="1" t="str">
        <f ca="1">IF(OR($A193=0,$A193="S",$A193&gt;CFF!$A$9),"",MAX(V$12:OFFSET(V193,-1,0))+1)</f>
        <v/>
      </c>
      <c r="W193" s="4" t="b">
        <f t="shared" si="78"/>
        <v>0</v>
      </c>
      <c r="X193" s="1" t="str">
        <f t="shared" ca="1" si="68"/>
        <v>X</v>
      </c>
      <c r="Y193" s="103">
        <v>0</v>
      </c>
      <c r="Z193" s="113">
        <f ca="1">ROUND(IF(ISNUMBER(R193),R193,IF(LEFT(R193,3)="BDI",HLOOKUP(R193,DADOS!$T$37:$X$38,2,FALSE),0)),15-11*$X$5)</f>
        <v>0.23130000000000001</v>
      </c>
      <c r="AA193" s="1"/>
    </row>
    <row r="194" spans="1:27" x14ac:dyDescent="0.2">
      <c r="A194" t="str">
        <f t="shared" si="69"/>
        <v>S</v>
      </c>
      <c r="B194">
        <f t="shared" si="70"/>
        <v>0</v>
      </c>
      <c r="C194">
        <f t="shared" ca="1" si="71"/>
        <v>1</v>
      </c>
      <c r="D194">
        <f t="shared" ca="1" si="72"/>
        <v>9</v>
      </c>
      <c r="E194">
        <f t="shared" ca="1" si="73"/>
        <v>1</v>
      </c>
      <c r="F194">
        <f t="shared" ca="1" si="74"/>
        <v>0</v>
      </c>
      <c r="G194">
        <f t="shared" ca="1" si="75"/>
        <v>1</v>
      </c>
      <c r="H194">
        <f t="shared" ca="1" si="64"/>
        <v>0</v>
      </c>
      <c r="I194">
        <f t="shared" ca="1" si="65"/>
        <v>0</v>
      </c>
      <c r="J194" s="355" t="s">
        <v>103</v>
      </c>
      <c r="K194" s="138" t="str">
        <f t="shared" ca="1" si="76"/>
        <v>1.9.1.0.1.</v>
      </c>
      <c r="L194" s="356" t="s">
        <v>370</v>
      </c>
      <c r="M194" s="356" t="s">
        <v>371</v>
      </c>
      <c r="N194" s="360" t="s">
        <v>733</v>
      </c>
      <c r="O194" s="362" t="s">
        <v>951</v>
      </c>
      <c r="P194" s="363">
        <v>6</v>
      </c>
      <c r="Q194" s="195"/>
      <c r="R194" s="198" t="s">
        <v>7</v>
      </c>
      <c r="S194" s="103">
        <f t="shared" si="66"/>
        <v>0</v>
      </c>
      <c r="T194" s="83">
        <f t="shared" si="67"/>
        <v>0</v>
      </c>
      <c r="U194" s="9" t="str">
        <f t="shared" si="77"/>
        <v>SEM VALOR</v>
      </c>
      <c r="V194" s="1" t="str">
        <f ca="1">IF(OR($A194=0,$A194="S",$A194&gt;CFF!$A$9),"",MAX(V$12:OFFSET(V194,-1,0))+1)</f>
        <v/>
      </c>
      <c r="W194" s="4" t="str">
        <f t="shared" si="78"/>
        <v>COTAÇÃO-121</v>
      </c>
      <c r="X194" s="1">
        <f t="shared" ca="1" si="68"/>
        <v>115</v>
      </c>
      <c r="Y194" s="103">
        <v>8754.7900000000009</v>
      </c>
      <c r="Z194" s="113">
        <f ca="1">ROUND(IF(ISNUMBER(R194),R194,IF(LEFT(R194,3)="BDI",HLOOKUP(R194,DADOS!$T$37:$X$38,2,FALSE),0)),15-11*$X$5)</f>
        <v>0.23130000000000001</v>
      </c>
      <c r="AA194" s="1"/>
    </row>
    <row r="195" spans="1:27" x14ac:dyDescent="0.2">
      <c r="A195" t="str">
        <f t="shared" si="69"/>
        <v>S</v>
      </c>
      <c r="B195">
        <f t="shared" si="70"/>
        <v>0</v>
      </c>
      <c r="C195">
        <f t="shared" ca="1" si="71"/>
        <v>1</v>
      </c>
      <c r="D195">
        <f t="shared" ca="1" si="72"/>
        <v>9</v>
      </c>
      <c r="E195">
        <f t="shared" ca="1" si="73"/>
        <v>1</v>
      </c>
      <c r="F195">
        <f t="shared" ca="1" si="74"/>
        <v>0</v>
      </c>
      <c r="G195">
        <f t="shared" ca="1" si="75"/>
        <v>2</v>
      </c>
      <c r="H195">
        <f t="shared" ca="1" si="64"/>
        <v>0</v>
      </c>
      <c r="I195">
        <f t="shared" ca="1" si="65"/>
        <v>0</v>
      </c>
      <c r="J195" s="355" t="s">
        <v>103</v>
      </c>
      <c r="K195" s="138" t="str">
        <f t="shared" ca="1" si="76"/>
        <v>1.9.1.0.2.</v>
      </c>
      <c r="L195" s="356" t="s">
        <v>370</v>
      </c>
      <c r="M195" s="356" t="s">
        <v>372</v>
      </c>
      <c r="N195" s="360" t="s">
        <v>734</v>
      </c>
      <c r="O195" s="362" t="s">
        <v>951</v>
      </c>
      <c r="P195" s="363">
        <v>7</v>
      </c>
      <c r="Q195" s="195"/>
      <c r="R195" s="198" t="s">
        <v>7</v>
      </c>
      <c r="S195" s="103">
        <f t="shared" si="66"/>
        <v>0</v>
      </c>
      <c r="T195" s="83">
        <f t="shared" si="67"/>
        <v>0</v>
      </c>
      <c r="U195" s="9" t="str">
        <f t="shared" si="77"/>
        <v>SEM VALOR</v>
      </c>
      <c r="V195" s="1" t="str">
        <f ca="1">IF(OR($A195=0,$A195="S",$A195&gt;CFF!$A$9),"",MAX(V$12:OFFSET(V195,-1,0))+1)</f>
        <v/>
      </c>
      <c r="W195" s="4" t="str">
        <f t="shared" si="78"/>
        <v>COTAÇÃO-115</v>
      </c>
      <c r="X195" s="1">
        <f t="shared" ca="1" si="68"/>
        <v>109</v>
      </c>
      <c r="Y195" s="103">
        <v>1819.06</v>
      </c>
      <c r="Z195" s="113">
        <f ca="1">ROUND(IF(ISNUMBER(R195),R195,IF(LEFT(R195,3)="BDI",HLOOKUP(R195,DADOS!$T$37:$X$38,2,FALSE),0)),15-11*$X$5)</f>
        <v>0.23130000000000001</v>
      </c>
      <c r="AA195" s="1"/>
    </row>
    <row r="196" spans="1:27" x14ac:dyDescent="0.2">
      <c r="A196" t="str">
        <f t="shared" si="69"/>
        <v>S</v>
      </c>
      <c r="B196">
        <f t="shared" si="70"/>
        <v>0</v>
      </c>
      <c r="C196">
        <f t="shared" ca="1" si="71"/>
        <v>1</v>
      </c>
      <c r="D196">
        <f t="shared" ca="1" si="72"/>
        <v>9</v>
      </c>
      <c r="E196">
        <f t="shared" ca="1" si="73"/>
        <v>1</v>
      </c>
      <c r="F196">
        <f t="shared" ca="1" si="74"/>
        <v>0</v>
      </c>
      <c r="G196">
        <f t="shared" ca="1" si="75"/>
        <v>3</v>
      </c>
      <c r="H196">
        <f t="shared" ca="1" si="64"/>
        <v>0</v>
      </c>
      <c r="I196">
        <f t="shared" ca="1" si="65"/>
        <v>0</v>
      </c>
      <c r="J196" s="355" t="s">
        <v>103</v>
      </c>
      <c r="K196" s="138" t="str">
        <f t="shared" ca="1" si="76"/>
        <v>1.9.1.0.3.</v>
      </c>
      <c r="L196" s="356" t="s">
        <v>370</v>
      </c>
      <c r="M196" s="356" t="s">
        <v>373</v>
      </c>
      <c r="N196" s="360" t="s">
        <v>735</v>
      </c>
      <c r="O196" s="362" t="s">
        <v>951</v>
      </c>
      <c r="P196" s="363">
        <v>7</v>
      </c>
      <c r="Q196" s="195"/>
      <c r="R196" s="198" t="s">
        <v>7</v>
      </c>
      <c r="S196" s="103">
        <f t="shared" si="66"/>
        <v>0</v>
      </c>
      <c r="T196" s="83">
        <f t="shared" si="67"/>
        <v>0</v>
      </c>
      <c r="U196" s="9" t="str">
        <f t="shared" si="77"/>
        <v>SEM VALOR</v>
      </c>
      <c r="V196" s="1" t="str">
        <f ca="1">IF(OR($A196=0,$A196="S",$A196&gt;CFF!$A$9),"",MAX(V$12:OFFSET(V196,-1,0))+1)</f>
        <v/>
      </c>
      <c r="W196" s="4" t="str">
        <f t="shared" si="78"/>
        <v>COTAÇÃO-113</v>
      </c>
      <c r="X196" s="1">
        <f t="shared" ca="1" si="68"/>
        <v>107</v>
      </c>
      <c r="Y196" s="103">
        <v>1857.19</v>
      </c>
      <c r="Z196" s="113">
        <f ca="1">ROUND(IF(ISNUMBER(R196),R196,IF(LEFT(R196,3)="BDI",HLOOKUP(R196,DADOS!$T$37:$X$38,2,FALSE),0)),15-11*$X$5)</f>
        <v>0.23130000000000001</v>
      </c>
      <c r="AA196" s="1"/>
    </row>
    <row r="197" spans="1:27" x14ac:dyDescent="0.2">
      <c r="A197" t="str">
        <f t="shared" si="69"/>
        <v>S</v>
      </c>
      <c r="B197">
        <f t="shared" si="70"/>
        <v>0</v>
      </c>
      <c r="C197">
        <f t="shared" ca="1" si="71"/>
        <v>1</v>
      </c>
      <c r="D197">
        <f t="shared" ca="1" si="72"/>
        <v>9</v>
      </c>
      <c r="E197">
        <f t="shared" ca="1" si="73"/>
        <v>1</v>
      </c>
      <c r="F197">
        <f t="shared" ca="1" si="74"/>
        <v>0</v>
      </c>
      <c r="G197">
        <f t="shared" ca="1" si="75"/>
        <v>4</v>
      </c>
      <c r="H197">
        <f t="shared" ca="1" si="64"/>
        <v>0</v>
      </c>
      <c r="I197">
        <f t="shared" ca="1" si="65"/>
        <v>0</v>
      </c>
      <c r="J197" s="355" t="s">
        <v>103</v>
      </c>
      <c r="K197" s="138" t="str">
        <f t="shared" ca="1" si="76"/>
        <v>1.9.1.0.4.</v>
      </c>
      <c r="L197" s="356" t="s">
        <v>370</v>
      </c>
      <c r="M197" s="356" t="s">
        <v>374</v>
      </c>
      <c r="N197" s="360" t="s">
        <v>736</v>
      </c>
      <c r="O197" s="362" t="s">
        <v>951</v>
      </c>
      <c r="P197" s="363">
        <v>8</v>
      </c>
      <c r="Q197" s="195"/>
      <c r="R197" s="198" t="s">
        <v>7</v>
      </c>
      <c r="S197" s="103">
        <f t="shared" si="66"/>
        <v>0</v>
      </c>
      <c r="T197" s="83">
        <f t="shared" si="67"/>
        <v>0</v>
      </c>
      <c r="U197" s="9" t="str">
        <f t="shared" si="77"/>
        <v>SEM VALOR</v>
      </c>
      <c r="V197" s="1" t="str">
        <f ca="1">IF(OR($A197=0,$A197="S",$A197&gt;CFF!$A$9),"",MAX(V$12:OFFSET(V197,-1,0))+1)</f>
        <v/>
      </c>
      <c r="W197" s="4" t="str">
        <f t="shared" si="78"/>
        <v>COTAÇÃO-114</v>
      </c>
      <c r="X197" s="1">
        <f t="shared" ca="1" si="68"/>
        <v>108</v>
      </c>
      <c r="Y197" s="103">
        <v>1835.01</v>
      </c>
      <c r="Z197" s="113">
        <f ca="1">ROUND(IF(ISNUMBER(R197),R197,IF(LEFT(R197,3)="BDI",HLOOKUP(R197,DADOS!$T$37:$X$38,2,FALSE),0)),15-11*$X$5)</f>
        <v>0.23130000000000001</v>
      </c>
      <c r="AA197" s="1"/>
    </row>
    <row r="198" spans="1:27" ht="25.5" x14ac:dyDescent="0.2">
      <c r="A198" t="str">
        <f t="shared" si="69"/>
        <v>S</v>
      </c>
      <c r="B198">
        <f t="shared" si="70"/>
        <v>0</v>
      </c>
      <c r="C198">
        <f t="shared" ca="1" si="71"/>
        <v>1</v>
      </c>
      <c r="D198">
        <f t="shared" ca="1" si="72"/>
        <v>9</v>
      </c>
      <c r="E198">
        <f t="shared" ca="1" si="73"/>
        <v>1</v>
      </c>
      <c r="F198">
        <f t="shared" ca="1" si="74"/>
        <v>0</v>
      </c>
      <c r="G198">
        <f t="shared" ca="1" si="75"/>
        <v>5</v>
      </c>
      <c r="H198">
        <f t="shared" ca="1" si="64"/>
        <v>0</v>
      </c>
      <c r="I198">
        <f t="shared" ca="1" si="65"/>
        <v>0</v>
      </c>
      <c r="J198" s="355" t="s">
        <v>103</v>
      </c>
      <c r="K198" s="138" t="str">
        <f t="shared" ca="1" si="76"/>
        <v>1.9.1.0.5.</v>
      </c>
      <c r="L198" s="356" t="s">
        <v>230</v>
      </c>
      <c r="M198" s="356" t="s">
        <v>375</v>
      </c>
      <c r="N198" s="360" t="s">
        <v>737</v>
      </c>
      <c r="O198" s="362" t="s">
        <v>945</v>
      </c>
      <c r="P198" s="363">
        <v>126</v>
      </c>
      <c r="Q198" s="195"/>
      <c r="R198" s="198" t="s">
        <v>7</v>
      </c>
      <c r="S198" s="103">
        <f t="shared" si="66"/>
        <v>0</v>
      </c>
      <c r="T198" s="83">
        <f t="shared" si="67"/>
        <v>0</v>
      </c>
      <c r="U198" s="9" t="str">
        <f t="shared" si="77"/>
        <v>SEM VALOR</v>
      </c>
      <c r="V198" s="1" t="str">
        <f ca="1">IF(OR($A198=0,$A198="S",$A198&gt;CFF!$A$9),"",MAX(V$12:OFFSET(V198,-1,0))+1)</f>
        <v/>
      </c>
      <c r="W198" s="4" t="str">
        <f t="shared" si="78"/>
        <v>SINAPI-103835</v>
      </c>
      <c r="X198" s="1">
        <f t="shared" ca="1" si="68"/>
        <v>11799</v>
      </c>
      <c r="Y198" s="103">
        <v>83.35</v>
      </c>
      <c r="Z198" s="113">
        <f ca="1">ROUND(IF(ISNUMBER(R198),R198,IF(LEFT(R198,3)="BDI",HLOOKUP(R198,DADOS!$T$37:$X$38,2,FALSE),0)),15-11*$X$5)</f>
        <v>0.23130000000000001</v>
      </c>
      <c r="AA198" s="1"/>
    </row>
    <row r="199" spans="1:27" ht="25.5" x14ac:dyDescent="0.2">
      <c r="A199" t="str">
        <f t="shared" si="69"/>
        <v>S</v>
      </c>
      <c r="B199">
        <f t="shared" si="70"/>
        <v>0</v>
      </c>
      <c r="C199">
        <f t="shared" ca="1" si="71"/>
        <v>1</v>
      </c>
      <c r="D199">
        <f t="shared" ca="1" si="72"/>
        <v>9</v>
      </c>
      <c r="E199">
        <f t="shared" ca="1" si="73"/>
        <v>1</v>
      </c>
      <c r="F199">
        <f t="shared" ca="1" si="74"/>
        <v>0</v>
      </c>
      <c r="G199">
        <f t="shared" ca="1" si="75"/>
        <v>6</v>
      </c>
      <c r="H199">
        <f t="shared" ca="1" si="64"/>
        <v>0</v>
      </c>
      <c r="I199">
        <f t="shared" ca="1" si="65"/>
        <v>0</v>
      </c>
      <c r="J199" s="355" t="s">
        <v>103</v>
      </c>
      <c r="K199" s="138" t="str">
        <f t="shared" ca="1" si="76"/>
        <v>1.9.1.0.6.</v>
      </c>
      <c r="L199" s="356" t="s">
        <v>230</v>
      </c>
      <c r="M199" s="356" t="s">
        <v>376</v>
      </c>
      <c r="N199" s="360" t="s">
        <v>738</v>
      </c>
      <c r="O199" s="362" t="s">
        <v>945</v>
      </c>
      <c r="P199" s="363">
        <v>47.55</v>
      </c>
      <c r="Q199" s="195"/>
      <c r="R199" s="198" t="s">
        <v>7</v>
      </c>
      <c r="S199" s="103">
        <f t="shared" si="66"/>
        <v>0</v>
      </c>
      <c r="T199" s="83">
        <f t="shared" si="67"/>
        <v>0</v>
      </c>
      <c r="U199" s="9" t="str">
        <f t="shared" si="77"/>
        <v>SEM VALOR</v>
      </c>
      <c r="V199" s="1" t="str">
        <f ca="1">IF(OR($A199=0,$A199="S",$A199&gt;CFF!$A$9),"",MAX(V$12:OFFSET(V199,-1,0))+1)</f>
        <v/>
      </c>
      <c r="W199" s="4" t="str">
        <f t="shared" si="78"/>
        <v>SINAPI-103836</v>
      </c>
      <c r="X199" s="1">
        <f t="shared" ca="1" si="68"/>
        <v>11808</v>
      </c>
      <c r="Y199" s="103">
        <v>129.22</v>
      </c>
      <c r="Z199" s="113">
        <f ca="1">ROUND(IF(ISNUMBER(R199),R199,IF(LEFT(R199,3)="BDI",HLOOKUP(R199,DADOS!$T$37:$X$38,2,FALSE),0)),15-11*$X$5)</f>
        <v>0.23130000000000001</v>
      </c>
      <c r="AA199" s="1"/>
    </row>
    <row r="200" spans="1:27" ht="25.5" x14ac:dyDescent="0.2">
      <c r="A200" t="str">
        <f t="shared" si="69"/>
        <v>S</v>
      </c>
      <c r="B200">
        <f t="shared" si="70"/>
        <v>0</v>
      </c>
      <c r="C200">
        <f t="shared" ca="1" si="71"/>
        <v>1</v>
      </c>
      <c r="D200">
        <f t="shared" ca="1" si="72"/>
        <v>9</v>
      </c>
      <c r="E200">
        <f t="shared" ca="1" si="73"/>
        <v>1</v>
      </c>
      <c r="F200">
        <f t="shared" ca="1" si="74"/>
        <v>0</v>
      </c>
      <c r="G200">
        <f t="shared" ca="1" si="75"/>
        <v>7</v>
      </c>
      <c r="H200">
        <f t="shared" ca="1" si="64"/>
        <v>0</v>
      </c>
      <c r="I200">
        <f t="shared" ca="1" si="65"/>
        <v>0</v>
      </c>
      <c r="J200" s="355" t="s">
        <v>103</v>
      </c>
      <c r="K200" s="138" t="str">
        <f t="shared" ca="1" si="76"/>
        <v>1.9.1.0.7.</v>
      </c>
      <c r="L200" s="356" t="s">
        <v>230</v>
      </c>
      <c r="M200" s="356" t="s">
        <v>377</v>
      </c>
      <c r="N200" s="360" t="s">
        <v>739</v>
      </c>
      <c r="O200" s="362" t="s">
        <v>945</v>
      </c>
      <c r="P200" s="363">
        <v>40.25</v>
      </c>
      <c r="Q200" s="195"/>
      <c r="R200" s="198" t="s">
        <v>7</v>
      </c>
      <c r="S200" s="103">
        <f t="shared" si="66"/>
        <v>0</v>
      </c>
      <c r="T200" s="83">
        <f t="shared" si="67"/>
        <v>0</v>
      </c>
      <c r="U200" s="9" t="str">
        <f t="shared" si="77"/>
        <v>SEM VALOR</v>
      </c>
      <c r="V200" s="1" t="str">
        <f ca="1">IF(OR($A200=0,$A200="S",$A200&gt;CFF!$A$9),"",MAX(V$12:OFFSET(V200,-1,0))+1)</f>
        <v/>
      </c>
      <c r="W200" s="4" t="str">
        <f t="shared" si="78"/>
        <v>SINAPI-103837</v>
      </c>
      <c r="X200" s="1">
        <f t="shared" ca="1" si="68"/>
        <v>11819</v>
      </c>
      <c r="Y200" s="103">
        <v>162.9</v>
      </c>
      <c r="Z200" s="113">
        <f ca="1">ROUND(IF(ISNUMBER(R200),R200,IF(LEFT(R200,3)="BDI",HLOOKUP(R200,DADOS!$T$37:$X$38,2,FALSE),0)),15-11*$X$5)</f>
        <v>0.23130000000000001</v>
      </c>
      <c r="AA200" s="1"/>
    </row>
    <row r="201" spans="1:27" ht="25.5" x14ac:dyDescent="0.2">
      <c r="A201" t="str">
        <f t="shared" si="69"/>
        <v>S</v>
      </c>
      <c r="B201">
        <f t="shared" si="70"/>
        <v>0</v>
      </c>
      <c r="C201">
        <f t="shared" ca="1" si="71"/>
        <v>1</v>
      </c>
      <c r="D201">
        <f t="shared" ca="1" si="72"/>
        <v>9</v>
      </c>
      <c r="E201">
        <f t="shared" ca="1" si="73"/>
        <v>1</v>
      </c>
      <c r="F201">
        <f t="shared" ca="1" si="74"/>
        <v>0</v>
      </c>
      <c r="G201">
        <f t="shared" ca="1" si="75"/>
        <v>8</v>
      </c>
      <c r="H201">
        <f t="shared" ca="1" si="64"/>
        <v>0</v>
      </c>
      <c r="I201">
        <f t="shared" ca="1" si="65"/>
        <v>0</v>
      </c>
      <c r="J201" s="355" t="s">
        <v>103</v>
      </c>
      <c r="K201" s="138" t="str">
        <f t="shared" ca="1" si="76"/>
        <v>1.9.1.0.8.</v>
      </c>
      <c r="L201" s="356" t="s">
        <v>230</v>
      </c>
      <c r="M201" s="356" t="s">
        <v>378</v>
      </c>
      <c r="N201" s="360" t="s">
        <v>740</v>
      </c>
      <c r="O201" s="362" t="s">
        <v>945</v>
      </c>
      <c r="P201" s="363">
        <v>89.5</v>
      </c>
      <c r="Q201" s="195"/>
      <c r="R201" s="198" t="s">
        <v>7</v>
      </c>
      <c r="S201" s="103">
        <f t="shared" si="66"/>
        <v>0</v>
      </c>
      <c r="T201" s="83">
        <f t="shared" si="67"/>
        <v>0</v>
      </c>
      <c r="U201" s="9" t="str">
        <f t="shared" si="77"/>
        <v>SEM VALOR</v>
      </c>
      <c r="V201" s="1" t="str">
        <f ca="1">IF(OR($A201=0,$A201="S",$A201&gt;CFF!$A$9),"",MAX(V$12:OFFSET(V201,-1,0))+1)</f>
        <v/>
      </c>
      <c r="W201" s="4" t="str">
        <f t="shared" si="78"/>
        <v>SINAPI-97337</v>
      </c>
      <c r="X201" s="1">
        <f t="shared" ca="1" si="68"/>
        <v>11829</v>
      </c>
      <c r="Y201" s="103">
        <v>202.64</v>
      </c>
      <c r="Z201" s="113">
        <f ca="1">ROUND(IF(ISNUMBER(R201),R201,IF(LEFT(R201,3)="BDI",HLOOKUP(R201,DADOS!$T$37:$X$38,2,FALSE),0)),15-11*$X$5)</f>
        <v>0.23130000000000001</v>
      </c>
      <c r="AA201" s="1"/>
    </row>
    <row r="202" spans="1:27" ht="25.5" x14ac:dyDescent="0.2">
      <c r="A202" t="str">
        <f t="shared" si="69"/>
        <v>S</v>
      </c>
      <c r="B202">
        <f t="shared" si="70"/>
        <v>0</v>
      </c>
      <c r="C202">
        <f t="shared" ca="1" si="71"/>
        <v>1</v>
      </c>
      <c r="D202">
        <f t="shared" ca="1" si="72"/>
        <v>9</v>
      </c>
      <c r="E202">
        <f t="shared" ca="1" si="73"/>
        <v>1</v>
      </c>
      <c r="F202">
        <f t="shared" ca="1" si="74"/>
        <v>0</v>
      </c>
      <c r="G202">
        <f t="shared" ca="1" si="75"/>
        <v>9</v>
      </c>
      <c r="H202">
        <f t="shared" ca="1" si="64"/>
        <v>0</v>
      </c>
      <c r="I202">
        <f t="shared" ca="1" si="65"/>
        <v>0</v>
      </c>
      <c r="J202" s="355" t="s">
        <v>103</v>
      </c>
      <c r="K202" s="138" t="str">
        <f t="shared" ca="1" si="76"/>
        <v>1.9.1.0.9.</v>
      </c>
      <c r="L202" s="356" t="s">
        <v>230</v>
      </c>
      <c r="M202" s="356" t="s">
        <v>379</v>
      </c>
      <c r="N202" s="360" t="s">
        <v>741</v>
      </c>
      <c r="O202" s="362" t="s">
        <v>944</v>
      </c>
      <c r="P202" s="363">
        <v>19</v>
      </c>
      <c r="Q202" s="195"/>
      <c r="R202" s="198" t="s">
        <v>7</v>
      </c>
      <c r="S202" s="103">
        <f t="shared" si="66"/>
        <v>0</v>
      </c>
      <c r="T202" s="83">
        <f t="shared" si="67"/>
        <v>0</v>
      </c>
      <c r="U202" s="9" t="str">
        <f t="shared" si="77"/>
        <v>SEM VALOR</v>
      </c>
      <c r="V202" s="1" t="str">
        <f ca="1">IF(OR($A202=0,$A202="S",$A202&gt;CFF!$A$9),"",MAX(V$12:OFFSET(V202,-1,0))+1)</f>
        <v/>
      </c>
      <c r="W202" s="4" t="str">
        <f t="shared" si="78"/>
        <v>SINAPI-103866</v>
      </c>
      <c r="X202" s="1">
        <f t="shared" ca="1" si="68"/>
        <v>11845</v>
      </c>
      <c r="Y202" s="103">
        <v>50.38</v>
      </c>
      <c r="Z202" s="113">
        <f ca="1">ROUND(IF(ISNUMBER(R202),R202,IF(LEFT(R202,3)="BDI",HLOOKUP(R202,DADOS!$T$37:$X$38,2,FALSE),0)),15-11*$X$5)</f>
        <v>0.23130000000000001</v>
      </c>
      <c r="AA202" s="1"/>
    </row>
    <row r="203" spans="1:27" ht="25.5" x14ac:dyDescent="0.2">
      <c r="A203" t="str">
        <f t="shared" si="69"/>
        <v>S</v>
      </c>
      <c r="B203">
        <f t="shared" si="70"/>
        <v>0</v>
      </c>
      <c r="C203">
        <f t="shared" ca="1" si="71"/>
        <v>1</v>
      </c>
      <c r="D203">
        <f t="shared" ca="1" si="72"/>
        <v>9</v>
      </c>
      <c r="E203">
        <f t="shared" ca="1" si="73"/>
        <v>1</v>
      </c>
      <c r="F203">
        <f t="shared" ca="1" si="74"/>
        <v>0</v>
      </c>
      <c r="G203">
        <f t="shared" ca="1" si="75"/>
        <v>10</v>
      </c>
      <c r="H203">
        <f t="shared" ca="1" si="64"/>
        <v>0</v>
      </c>
      <c r="I203">
        <f t="shared" ca="1" si="65"/>
        <v>0</v>
      </c>
      <c r="J203" s="355" t="s">
        <v>103</v>
      </c>
      <c r="K203" s="138" t="str">
        <f t="shared" ca="1" si="76"/>
        <v>1.9.1.0.10.</v>
      </c>
      <c r="L203" s="356" t="s">
        <v>230</v>
      </c>
      <c r="M203" s="356" t="s">
        <v>380</v>
      </c>
      <c r="N203" s="360" t="s">
        <v>742</v>
      </c>
      <c r="O203" s="362" t="s">
        <v>944</v>
      </c>
      <c r="P203" s="363">
        <v>3</v>
      </c>
      <c r="Q203" s="195"/>
      <c r="R203" s="198" t="s">
        <v>7</v>
      </c>
      <c r="S203" s="103">
        <f t="shared" si="66"/>
        <v>0</v>
      </c>
      <c r="T203" s="83">
        <f t="shared" si="67"/>
        <v>0</v>
      </c>
      <c r="U203" s="9" t="str">
        <f t="shared" si="77"/>
        <v>SEM VALOR</v>
      </c>
      <c r="V203" s="1" t="str">
        <f ca="1">IF(OR($A203=0,$A203="S",$A203&gt;CFF!$A$9),"",MAX(V$12:OFFSET(V203,-1,0))+1)</f>
        <v/>
      </c>
      <c r="W203" s="4" t="str">
        <f t="shared" si="78"/>
        <v>SINAPI-103867</v>
      </c>
      <c r="X203" s="1">
        <f t="shared" ca="1" si="68"/>
        <v>11848</v>
      </c>
      <c r="Y203" s="103">
        <v>69.930000000000007</v>
      </c>
      <c r="Z203" s="113">
        <f ca="1">ROUND(IF(ISNUMBER(R203),R203,IF(LEFT(R203,3)="BDI",HLOOKUP(R203,DADOS!$T$37:$X$38,2,FALSE),0)),15-11*$X$5)</f>
        <v>0.23130000000000001</v>
      </c>
      <c r="AA203" s="1"/>
    </row>
    <row r="204" spans="1:27" ht="25.5" x14ac:dyDescent="0.2">
      <c r="A204" t="str">
        <f t="shared" si="69"/>
        <v>S</v>
      </c>
      <c r="B204">
        <f t="shared" si="70"/>
        <v>0</v>
      </c>
      <c r="C204">
        <f t="shared" ca="1" si="71"/>
        <v>1</v>
      </c>
      <c r="D204">
        <f t="shared" ca="1" si="72"/>
        <v>9</v>
      </c>
      <c r="E204">
        <f t="shared" ca="1" si="73"/>
        <v>1</v>
      </c>
      <c r="F204">
        <f t="shared" ca="1" si="74"/>
        <v>0</v>
      </c>
      <c r="G204">
        <f t="shared" ca="1" si="75"/>
        <v>11</v>
      </c>
      <c r="H204">
        <f t="shared" ca="1" si="64"/>
        <v>0</v>
      </c>
      <c r="I204">
        <f t="shared" ca="1" si="65"/>
        <v>0</v>
      </c>
      <c r="J204" s="355" t="s">
        <v>103</v>
      </c>
      <c r="K204" s="138" t="str">
        <f t="shared" ca="1" si="76"/>
        <v>1.9.1.0.11.</v>
      </c>
      <c r="L204" s="356" t="s">
        <v>230</v>
      </c>
      <c r="M204" s="356" t="s">
        <v>381</v>
      </c>
      <c r="N204" s="360" t="s">
        <v>743</v>
      </c>
      <c r="O204" s="362" t="s">
        <v>944</v>
      </c>
      <c r="P204" s="363">
        <v>2</v>
      </c>
      <c r="Q204" s="195"/>
      <c r="R204" s="198" t="s">
        <v>7</v>
      </c>
      <c r="S204" s="103">
        <f t="shared" si="66"/>
        <v>0</v>
      </c>
      <c r="T204" s="83">
        <f t="shared" si="67"/>
        <v>0</v>
      </c>
      <c r="U204" s="9" t="str">
        <f t="shared" si="77"/>
        <v>SEM VALOR</v>
      </c>
      <c r="V204" s="1" t="str">
        <f ca="1">IF(OR($A204=0,$A204="S",$A204&gt;CFF!$A$9),"",MAX(V$12:OFFSET(V204,-1,0))+1)</f>
        <v/>
      </c>
      <c r="W204" s="4" t="str">
        <f t="shared" si="78"/>
        <v>SINAPI-92301</v>
      </c>
      <c r="X204" s="1">
        <f t="shared" ca="1" si="68"/>
        <v>11795</v>
      </c>
      <c r="Y204" s="103">
        <v>91.9</v>
      </c>
      <c r="Z204" s="113">
        <f ca="1">ROUND(IF(ISNUMBER(R204),R204,IF(LEFT(R204,3)="BDI",HLOOKUP(R204,DADOS!$T$37:$X$38,2,FALSE),0)),15-11*$X$5)</f>
        <v>0.23130000000000001</v>
      </c>
      <c r="AA204" s="1"/>
    </row>
    <row r="205" spans="1:27" x14ac:dyDescent="0.2">
      <c r="A205" t="str">
        <f t="shared" si="69"/>
        <v>S</v>
      </c>
      <c r="B205">
        <f t="shared" si="70"/>
        <v>0</v>
      </c>
      <c r="C205">
        <f t="shared" ca="1" si="71"/>
        <v>1</v>
      </c>
      <c r="D205">
        <f t="shared" ca="1" si="72"/>
        <v>9</v>
      </c>
      <c r="E205">
        <f t="shared" ca="1" si="73"/>
        <v>1</v>
      </c>
      <c r="F205">
        <f t="shared" ca="1" si="74"/>
        <v>0</v>
      </c>
      <c r="G205">
        <f t="shared" ca="1" si="75"/>
        <v>12</v>
      </c>
      <c r="H205">
        <f t="shared" ref="H205:H268" ca="1" si="79">IF(OR($A205="S",$A205=0),0,MATCH(0,OFFSET($B205,1,$A205,ROW($A$422)-ROW($A205)),0))</f>
        <v>0</v>
      </c>
      <c r="I205">
        <f t="shared" ref="I205:I268" ca="1" si="80">IF(OR($A205="S",$A205=0),0,MATCH(OFFSET($B205,0,$A205)+1,OFFSET($B205,1,$A205,ROW($A$422)-ROW($A205)),0))</f>
        <v>0</v>
      </c>
      <c r="J205" s="355" t="s">
        <v>103</v>
      </c>
      <c r="K205" s="138" t="str">
        <f t="shared" ca="1" si="76"/>
        <v>1.9.1.0.12.</v>
      </c>
      <c r="L205" s="356" t="s">
        <v>370</v>
      </c>
      <c r="M205" s="356" t="s">
        <v>382</v>
      </c>
      <c r="N205" s="360" t="s">
        <v>744</v>
      </c>
      <c r="O205" s="362" t="s">
        <v>951</v>
      </c>
      <c r="P205" s="363">
        <v>7</v>
      </c>
      <c r="Q205" s="195"/>
      <c r="R205" s="198" t="s">
        <v>7</v>
      </c>
      <c r="S205" s="103">
        <f t="shared" si="66"/>
        <v>0</v>
      </c>
      <c r="T205" s="83">
        <f t="shared" si="67"/>
        <v>0</v>
      </c>
      <c r="U205" s="9" t="str">
        <f t="shared" si="77"/>
        <v>SEM VALOR</v>
      </c>
      <c r="V205" s="1" t="str">
        <f ca="1">IF(OR($A205=0,$A205="S",$A205&gt;CFF!$A$9),"",MAX(V$12:OFFSET(V205,-1,0))+1)</f>
        <v/>
      </c>
      <c r="W205" s="4" t="str">
        <f t="shared" si="78"/>
        <v>COTAÇÃO-119</v>
      </c>
      <c r="X205" s="1">
        <f t="shared" ca="1" si="68"/>
        <v>113</v>
      </c>
      <c r="Y205" s="103">
        <v>579.25</v>
      </c>
      <c r="Z205" s="113">
        <f ca="1">ROUND(IF(ISNUMBER(R205),R205,IF(LEFT(R205,3)="BDI",HLOOKUP(R205,DADOS!$T$37:$X$38,2,FALSE),0)),15-11*$X$5)</f>
        <v>0.23130000000000001</v>
      </c>
      <c r="AA205" s="1"/>
    </row>
    <row r="206" spans="1:27" x14ac:dyDescent="0.2">
      <c r="A206" t="str">
        <f t="shared" si="69"/>
        <v>S</v>
      </c>
      <c r="B206">
        <f t="shared" si="70"/>
        <v>0</v>
      </c>
      <c r="C206">
        <f t="shared" ca="1" si="71"/>
        <v>1</v>
      </c>
      <c r="D206">
        <f t="shared" ca="1" si="72"/>
        <v>9</v>
      </c>
      <c r="E206">
        <f t="shared" ca="1" si="73"/>
        <v>1</v>
      </c>
      <c r="F206">
        <f t="shared" ca="1" si="74"/>
        <v>0</v>
      </c>
      <c r="G206">
        <f t="shared" ca="1" si="75"/>
        <v>13</v>
      </c>
      <c r="H206">
        <f t="shared" ca="1" si="79"/>
        <v>0</v>
      </c>
      <c r="I206">
        <f t="shared" ca="1" si="80"/>
        <v>0</v>
      </c>
      <c r="J206" s="355" t="s">
        <v>103</v>
      </c>
      <c r="K206" s="138" t="str">
        <f t="shared" ca="1" si="76"/>
        <v>1.9.1.0.13.</v>
      </c>
      <c r="L206" s="356" t="s">
        <v>370</v>
      </c>
      <c r="M206" s="356" t="s">
        <v>383</v>
      </c>
      <c r="N206" s="360" t="s">
        <v>745</v>
      </c>
      <c r="O206" s="362" t="s">
        <v>951</v>
      </c>
      <c r="P206" s="363">
        <v>7</v>
      </c>
      <c r="Q206" s="195"/>
      <c r="R206" s="198" t="s">
        <v>7</v>
      </c>
      <c r="S206" s="103">
        <f t="shared" si="66"/>
        <v>0</v>
      </c>
      <c r="T206" s="83">
        <f t="shared" si="67"/>
        <v>0</v>
      </c>
      <c r="U206" s="9" t="str">
        <f t="shared" si="77"/>
        <v>SEM VALOR</v>
      </c>
      <c r="V206" s="1" t="str">
        <f ca="1">IF(OR($A206=0,$A206="S",$A206&gt;CFF!$A$9),"",MAX(V$12:OFFSET(V206,-1,0))+1)</f>
        <v/>
      </c>
      <c r="W206" s="4" t="str">
        <f t="shared" si="78"/>
        <v>COTAÇÃO-117</v>
      </c>
      <c r="X206" s="1">
        <f t="shared" ca="1" si="68"/>
        <v>111</v>
      </c>
      <c r="Y206" s="103">
        <v>579.25</v>
      </c>
      <c r="Z206" s="113">
        <f ca="1">ROUND(IF(ISNUMBER(R206),R206,IF(LEFT(R206,3)="BDI",HLOOKUP(R206,DADOS!$T$37:$X$38,2,FALSE),0)),15-11*$X$5)</f>
        <v>0.23130000000000001</v>
      </c>
      <c r="AA206" s="1"/>
    </row>
    <row r="207" spans="1:27" x14ac:dyDescent="0.2">
      <c r="A207" t="str">
        <f t="shared" si="69"/>
        <v>S</v>
      </c>
      <c r="B207">
        <f t="shared" si="70"/>
        <v>0</v>
      </c>
      <c r="C207">
        <f t="shared" ca="1" si="71"/>
        <v>1</v>
      </c>
      <c r="D207">
        <f t="shared" ca="1" si="72"/>
        <v>9</v>
      </c>
      <c r="E207">
        <f t="shared" ca="1" si="73"/>
        <v>1</v>
      </c>
      <c r="F207">
        <f t="shared" ca="1" si="74"/>
        <v>0</v>
      </c>
      <c r="G207">
        <f t="shared" ca="1" si="75"/>
        <v>14</v>
      </c>
      <c r="H207">
        <f t="shared" ca="1" si="79"/>
        <v>0</v>
      </c>
      <c r="I207">
        <f t="shared" ca="1" si="80"/>
        <v>0</v>
      </c>
      <c r="J207" s="355" t="s">
        <v>103</v>
      </c>
      <c r="K207" s="138" t="str">
        <f t="shared" ca="1" si="76"/>
        <v>1.9.1.0.14.</v>
      </c>
      <c r="L207" s="356" t="s">
        <v>370</v>
      </c>
      <c r="M207" s="356" t="s">
        <v>384</v>
      </c>
      <c r="N207" s="360" t="s">
        <v>746</v>
      </c>
      <c r="O207" s="362" t="s">
        <v>951</v>
      </c>
      <c r="P207" s="363">
        <v>8</v>
      </c>
      <c r="Q207" s="195"/>
      <c r="R207" s="198" t="s">
        <v>7</v>
      </c>
      <c r="S207" s="103">
        <f t="shared" si="66"/>
        <v>0</v>
      </c>
      <c r="T207" s="83">
        <f t="shared" si="67"/>
        <v>0</v>
      </c>
      <c r="U207" s="9" t="str">
        <f t="shared" si="77"/>
        <v>SEM VALOR</v>
      </c>
      <c r="V207" s="1" t="str">
        <f ca="1">IF(OR($A207=0,$A207="S",$A207&gt;CFF!$A$9),"",MAX(V$12:OFFSET(V207,-1,0))+1)</f>
        <v/>
      </c>
      <c r="W207" s="4" t="str">
        <f t="shared" si="78"/>
        <v>COTAÇÃO-118</v>
      </c>
      <c r="X207" s="1">
        <f t="shared" ca="1" si="68"/>
        <v>112</v>
      </c>
      <c r="Y207" s="103">
        <v>579.25</v>
      </c>
      <c r="Z207" s="113">
        <f ca="1">ROUND(IF(ISNUMBER(R207),R207,IF(LEFT(R207,3)="BDI",HLOOKUP(R207,DADOS!$T$37:$X$38,2,FALSE),0)),15-11*$X$5)</f>
        <v>0.23130000000000001</v>
      </c>
      <c r="AA207" s="1"/>
    </row>
    <row r="208" spans="1:27" ht="25.5" x14ac:dyDescent="0.2">
      <c r="A208" t="str">
        <f t="shared" si="69"/>
        <v>S</v>
      </c>
      <c r="B208">
        <f t="shared" si="70"/>
        <v>0</v>
      </c>
      <c r="C208">
        <f t="shared" ca="1" si="71"/>
        <v>1</v>
      </c>
      <c r="D208">
        <f t="shared" ca="1" si="72"/>
        <v>9</v>
      </c>
      <c r="E208">
        <f t="shared" ca="1" si="73"/>
        <v>1</v>
      </c>
      <c r="F208">
        <f t="shared" ca="1" si="74"/>
        <v>0</v>
      </c>
      <c r="G208">
        <f t="shared" ca="1" si="75"/>
        <v>15</v>
      </c>
      <c r="H208">
        <f t="shared" ca="1" si="79"/>
        <v>0</v>
      </c>
      <c r="I208">
        <f t="shared" ca="1" si="80"/>
        <v>0</v>
      </c>
      <c r="J208" s="355" t="s">
        <v>103</v>
      </c>
      <c r="K208" s="138" t="str">
        <f t="shared" ca="1" si="76"/>
        <v>1.9.1.0.15.</v>
      </c>
      <c r="L208" s="356" t="s">
        <v>230</v>
      </c>
      <c r="M208" s="356" t="s">
        <v>385</v>
      </c>
      <c r="N208" s="360" t="s">
        <v>747</v>
      </c>
      <c r="O208" s="362" t="s">
        <v>944</v>
      </c>
      <c r="P208" s="363">
        <v>58</v>
      </c>
      <c r="Q208" s="195"/>
      <c r="R208" s="198" t="s">
        <v>7</v>
      </c>
      <c r="S208" s="103">
        <f t="shared" si="66"/>
        <v>0</v>
      </c>
      <c r="T208" s="83">
        <f t="shared" si="67"/>
        <v>0</v>
      </c>
      <c r="U208" s="9" t="str">
        <f t="shared" si="77"/>
        <v>SEM VALOR</v>
      </c>
      <c r="V208" s="1" t="str">
        <f ca="1">IF(OR($A208=0,$A208="S",$A208&gt;CFF!$A$9),"",MAX(V$12:OFFSET(V208,-1,0))+1)</f>
        <v/>
      </c>
      <c r="W208" s="4" t="str">
        <f t="shared" si="78"/>
        <v>SINAPI-103838</v>
      </c>
      <c r="X208" s="1">
        <f t="shared" ca="1" si="68"/>
        <v>11665</v>
      </c>
      <c r="Y208" s="103">
        <v>23.54</v>
      </c>
      <c r="Z208" s="113">
        <f ca="1">ROUND(IF(ISNUMBER(R208),R208,IF(LEFT(R208,3)="BDI",HLOOKUP(R208,DADOS!$T$37:$X$38,2,FALSE),0)),15-11*$X$5)</f>
        <v>0.23130000000000001</v>
      </c>
      <c r="AA208" s="1"/>
    </row>
    <row r="209" spans="1:27" ht="25.5" x14ac:dyDescent="0.2">
      <c r="A209" t="str">
        <f t="shared" si="69"/>
        <v>S</v>
      </c>
      <c r="B209">
        <f t="shared" si="70"/>
        <v>0</v>
      </c>
      <c r="C209">
        <f t="shared" ca="1" si="71"/>
        <v>1</v>
      </c>
      <c r="D209">
        <f t="shared" ca="1" si="72"/>
        <v>9</v>
      </c>
      <c r="E209">
        <f t="shared" ca="1" si="73"/>
        <v>1</v>
      </c>
      <c r="F209">
        <f t="shared" ca="1" si="74"/>
        <v>0</v>
      </c>
      <c r="G209">
        <f t="shared" ca="1" si="75"/>
        <v>16</v>
      </c>
      <c r="H209">
        <f t="shared" ca="1" si="79"/>
        <v>0</v>
      </c>
      <c r="I209">
        <f t="shared" ca="1" si="80"/>
        <v>0</v>
      </c>
      <c r="J209" s="355" t="s">
        <v>103</v>
      </c>
      <c r="K209" s="138" t="str">
        <f t="shared" ca="1" si="76"/>
        <v>1.9.1.0.16.</v>
      </c>
      <c r="L209" s="356" t="s">
        <v>230</v>
      </c>
      <c r="M209" s="356" t="s">
        <v>386</v>
      </c>
      <c r="N209" s="360" t="s">
        <v>748</v>
      </c>
      <c r="O209" s="362" t="s">
        <v>944</v>
      </c>
      <c r="P209" s="363">
        <v>9</v>
      </c>
      <c r="Q209" s="195"/>
      <c r="R209" s="198" t="s">
        <v>7</v>
      </c>
      <c r="S209" s="103">
        <f t="shared" si="66"/>
        <v>0</v>
      </c>
      <c r="T209" s="83">
        <f t="shared" si="67"/>
        <v>0</v>
      </c>
      <c r="U209" s="9" t="str">
        <f t="shared" si="77"/>
        <v>SEM VALOR</v>
      </c>
      <c r="V209" s="1" t="str">
        <f ca="1">IF(OR($A209=0,$A209="S",$A209&gt;CFF!$A$9),"",MAX(V$12:OFFSET(V209,-1,0))+1)</f>
        <v/>
      </c>
      <c r="W209" s="4" t="str">
        <f t="shared" si="78"/>
        <v>SINAPI-103841</v>
      </c>
      <c r="X209" s="1">
        <f t="shared" ca="1" si="68"/>
        <v>11671</v>
      </c>
      <c r="Y209" s="103">
        <v>38.06</v>
      </c>
      <c r="Z209" s="113">
        <f ca="1">ROUND(IF(ISNUMBER(R209),R209,IF(LEFT(R209,3)="BDI",HLOOKUP(R209,DADOS!$T$37:$X$38,2,FALSE),0)),15-11*$X$5)</f>
        <v>0.23130000000000001</v>
      </c>
      <c r="AA209" s="1"/>
    </row>
    <row r="210" spans="1:27" ht="25.5" x14ac:dyDescent="0.2">
      <c r="A210" t="str">
        <f t="shared" si="69"/>
        <v>S</v>
      </c>
      <c r="B210">
        <f t="shared" si="70"/>
        <v>0</v>
      </c>
      <c r="C210">
        <f t="shared" ca="1" si="71"/>
        <v>1</v>
      </c>
      <c r="D210">
        <f t="shared" ca="1" si="72"/>
        <v>9</v>
      </c>
      <c r="E210">
        <f t="shared" ca="1" si="73"/>
        <v>1</v>
      </c>
      <c r="F210">
        <f t="shared" ca="1" si="74"/>
        <v>0</v>
      </c>
      <c r="G210">
        <f t="shared" ca="1" si="75"/>
        <v>17</v>
      </c>
      <c r="H210">
        <f t="shared" ca="1" si="79"/>
        <v>0</v>
      </c>
      <c r="I210">
        <f t="shared" ca="1" si="80"/>
        <v>0</v>
      </c>
      <c r="J210" s="355" t="s">
        <v>103</v>
      </c>
      <c r="K210" s="138" t="str">
        <f t="shared" ca="1" si="76"/>
        <v>1.9.1.0.17.</v>
      </c>
      <c r="L210" s="356" t="s">
        <v>230</v>
      </c>
      <c r="M210" s="356" t="s">
        <v>387</v>
      </c>
      <c r="N210" s="360" t="s">
        <v>749</v>
      </c>
      <c r="O210" s="362" t="s">
        <v>944</v>
      </c>
      <c r="P210" s="363">
        <v>5</v>
      </c>
      <c r="Q210" s="195"/>
      <c r="R210" s="198" t="s">
        <v>7</v>
      </c>
      <c r="S210" s="103">
        <f t="shared" si="66"/>
        <v>0</v>
      </c>
      <c r="T210" s="83">
        <f t="shared" si="67"/>
        <v>0</v>
      </c>
      <c r="U210" s="9" t="str">
        <f t="shared" si="77"/>
        <v>SEM VALOR</v>
      </c>
      <c r="V210" s="1" t="str">
        <f ca="1">IF(OR($A210=0,$A210="S",$A210&gt;CFF!$A$9),"",MAX(V$12:OFFSET(V210,-1,0))+1)</f>
        <v/>
      </c>
      <c r="W210" s="4" t="str">
        <f t="shared" si="78"/>
        <v>SINAPI-103845</v>
      </c>
      <c r="X210" s="1">
        <f t="shared" ca="1" si="68"/>
        <v>11677</v>
      </c>
      <c r="Y210" s="103">
        <v>54.1</v>
      </c>
      <c r="Z210" s="113">
        <f ca="1">ROUND(IF(ISNUMBER(R210),R210,IF(LEFT(R210,3)="BDI",HLOOKUP(R210,DADOS!$T$37:$X$38,2,FALSE),0)),15-11*$X$5)</f>
        <v>0.23130000000000001</v>
      </c>
      <c r="AA210" s="1"/>
    </row>
    <row r="211" spans="1:27" ht="25.5" x14ac:dyDescent="0.2">
      <c r="A211" t="str">
        <f t="shared" si="69"/>
        <v>S</v>
      </c>
      <c r="B211">
        <f t="shared" si="70"/>
        <v>0</v>
      </c>
      <c r="C211">
        <f t="shared" ca="1" si="71"/>
        <v>1</v>
      </c>
      <c r="D211">
        <f t="shared" ca="1" si="72"/>
        <v>9</v>
      </c>
      <c r="E211">
        <f t="shared" ca="1" si="73"/>
        <v>1</v>
      </c>
      <c r="F211">
        <f t="shared" ca="1" si="74"/>
        <v>0</v>
      </c>
      <c r="G211">
        <f t="shared" ca="1" si="75"/>
        <v>18</v>
      </c>
      <c r="H211">
        <f t="shared" ca="1" si="79"/>
        <v>0</v>
      </c>
      <c r="I211">
        <f t="shared" ca="1" si="80"/>
        <v>0</v>
      </c>
      <c r="J211" s="355" t="s">
        <v>103</v>
      </c>
      <c r="K211" s="138" t="str">
        <f t="shared" ca="1" si="76"/>
        <v>1.9.1.0.18.</v>
      </c>
      <c r="L211" s="356" t="s">
        <v>230</v>
      </c>
      <c r="M211" s="356" t="s">
        <v>388</v>
      </c>
      <c r="N211" s="360" t="s">
        <v>750</v>
      </c>
      <c r="O211" s="362" t="s">
        <v>944</v>
      </c>
      <c r="P211" s="363">
        <v>10</v>
      </c>
      <c r="Q211" s="195"/>
      <c r="R211" s="198" t="s">
        <v>7</v>
      </c>
      <c r="S211" s="103">
        <f t="shared" si="66"/>
        <v>0</v>
      </c>
      <c r="T211" s="83">
        <f t="shared" si="67"/>
        <v>0</v>
      </c>
      <c r="U211" s="9" t="str">
        <f t="shared" si="77"/>
        <v>SEM VALOR</v>
      </c>
      <c r="V211" s="1" t="str">
        <f ca="1">IF(OR($A211=0,$A211="S",$A211&gt;CFF!$A$9),"",MAX(V$12:OFFSET(V211,-1,0))+1)</f>
        <v/>
      </c>
      <c r="W211" s="4" t="str">
        <f t="shared" si="78"/>
        <v>SINAPI-92289</v>
      </c>
      <c r="X211" s="1">
        <f t="shared" ca="1" si="68"/>
        <v>11679</v>
      </c>
      <c r="Y211" s="103">
        <v>64.739999999999995</v>
      </c>
      <c r="Z211" s="113">
        <f ca="1">ROUND(IF(ISNUMBER(R211),R211,IF(LEFT(R211,3)="BDI",HLOOKUP(R211,DADOS!$T$37:$X$38,2,FALSE),0)),15-11*$X$5)</f>
        <v>0.23130000000000001</v>
      </c>
      <c r="AA211" s="1"/>
    </row>
    <row r="212" spans="1:27" x14ac:dyDescent="0.2">
      <c r="A212" t="str">
        <f t="shared" si="69"/>
        <v>S</v>
      </c>
      <c r="B212">
        <f t="shared" si="70"/>
        <v>0</v>
      </c>
      <c r="C212">
        <f t="shared" ca="1" si="71"/>
        <v>1</v>
      </c>
      <c r="D212">
        <f t="shared" ca="1" si="72"/>
        <v>9</v>
      </c>
      <c r="E212">
        <f t="shared" ca="1" si="73"/>
        <v>1</v>
      </c>
      <c r="F212">
        <f t="shared" ca="1" si="74"/>
        <v>0</v>
      </c>
      <c r="G212">
        <f t="shared" ca="1" si="75"/>
        <v>19</v>
      </c>
      <c r="H212">
        <f t="shared" ca="1" si="79"/>
        <v>0</v>
      </c>
      <c r="I212">
        <f t="shared" ca="1" si="80"/>
        <v>0</v>
      </c>
      <c r="J212" s="355" t="s">
        <v>103</v>
      </c>
      <c r="K212" s="138" t="str">
        <f t="shared" ca="1" si="76"/>
        <v>1.9.1.0.19.</v>
      </c>
      <c r="L212" s="356" t="s">
        <v>370</v>
      </c>
      <c r="M212" s="356" t="s">
        <v>389</v>
      </c>
      <c r="N212" s="360" t="s">
        <v>751</v>
      </c>
      <c r="O212" s="362" t="s">
        <v>952</v>
      </c>
      <c r="P212" s="363">
        <v>2</v>
      </c>
      <c r="Q212" s="195"/>
      <c r="R212" s="198" t="s">
        <v>7</v>
      </c>
      <c r="S212" s="103">
        <f t="shared" si="66"/>
        <v>0</v>
      </c>
      <c r="T212" s="83">
        <f t="shared" si="67"/>
        <v>0</v>
      </c>
      <c r="U212" s="9" t="str">
        <f t="shared" si="77"/>
        <v>SEM VALOR</v>
      </c>
      <c r="V212" s="1" t="str">
        <f ca="1">IF(OR($A212=0,$A212="S",$A212&gt;CFF!$A$9),"",MAX(V$12:OFFSET(V212,-1,0))+1)</f>
        <v/>
      </c>
      <c r="W212" s="4" t="str">
        <f t="shared" si="78"/>
        <v>COTAÇÃO-102</v>
      </c>
      <c r="X212" s="1">
        <f t="shared" ca="1" si="68"/>
        <v>96</v>
      </c>
      <c r="Y212" s="103">
        <v>71.540000000000006</v>
      </c>
      <c r="Z212" s="113">
        <f ca="1">ROUND(IF(ISNUMBER(R212),R212,IF(LEFT(R212,3)="BDI",HLOOKUP(R212,DADOS!$T$37:$X$38,2,FALSE),0)),15-11*$X$5)</f>
        <v>0.23130000000000001</v>
      </c>
      <c r="AA212" s="1"/>
    </row>
    <row r="213" spans="1:27" x14ac:dyDescent="0.2">
      <c r="A213" t="str">
        <f t="shared" si="69"/>
        <v>S</v>
      </c>
      <c r="B213">
        <f t="shared" si="70"/>
        <v>0</v>
      </c>
      <c r="C213">
        <f t="shared" ca="1" si="71"/>
        <v>1</v>
      </c>
      <c r="D213">
        <f t="shared" ca="1" si="72"/>
        <v>9</v>
      </c>
      <c r="E213">
        <f t="shared" ca="1" si="73"/>
        <v>1</v>
      </c>
      <c r="F213">
        <f t="shared" ca="1" si="74"/>
        <v>0</v>
      </c>
      <c r="G213">
        <f t="shared" ca="1" si="75"/>
        <v>20</v>
      </c>
      <c r="H213">
        <f t="shared" ca="1" si="79"/>
        <v>0</v>
      </c>
      <c r="I213">
        <f t="shared" ca="1" si="80"/>
        <v>0</v>
      </c>
      <c r="J213" s="355" t="s">
        <v>103</v>
      </c>
      <c r="K213" s="138" t="str">
        <f t="shared" ca="1" si="76"/>
        <v>1.9.1.0.20.</v>
      </c>
      <c r="L213" s="356" t="s">
        <v>370</v>
      </c>
      <c r="M213" s="356" t="s">
        <v>390</v>
      </c>
      <c r="N213" s="360" t="s">
        <v>752</v>
      </c>
      <c r="O213" s="362" t="s">
        <v>952</v>
      </c>
      <c r="P213" s="363">
        <v>1</v>
      </c>
      <c r="Q213" s="195"/>
      <c r="R213" s="198" t="s">
        <v>7</v>
      </c>
      <c r="S213" s="103">
        <f t="shared" si="66"/>
        <v>0</v>
      </c>
      <c r="T213" s="83">
        <f t="shared" si="67"/>
        <v>0</v>
      </c>
      <c r="U213" s="9" t="str">
        <f t="shared" si="77"/>
        <v>SEM VALOR</v>
      </c>
      <c r="V213" s="1" t="str">
        <f ca="1">IF(OR($A213=0,$A213="S",$A213&gt;CFF!$A$9),"",MAX(V$12:OFFSET(V213,-1,0))+1)</f>
        <v/>
      </c>
      <c r="W213" s="4" t="str">
        <f t="shared" si="78"/>
        <v>COTAÇÃO-103</v>
      </c>
      <c r="X213" s="1">
        <f t="shared" ca="1" si="68"/>
        <v>97</v>
      </c>
      <c r="Y213" s="103">
        <v>32.14</v>
      </c>
      <c r="Z213" s="113">
        <f ca="1">ROUND(IF(ISNUMBER(R213),R213,IF(LEFT(R213,3)="BDI",HLOOKUP(R213,DADOS!$T$37:$X$38,2,FALSE),0)),15-11*$X$5)</f>
        <v>0.23130000000000001</v>
      </c>
      <c r="AA213" s="1"/>
    </row>
    <row r="214" spans="1:27" x14ac:dyDescent="0.2">
      <c r="A214" t="str">
        <f t="shared" si="69"/>
        <v>S</v>
      </c>
      <c r="B214">
        <f t="shared" si="70"/>
        <v>0</v>
      </c>
      <c r="C214">
        <f t="shared" ca="1" si="71"/>
        <v>1</v>
      </c>
      <c r="D214">
        <f t="shared" ca="1" si="72"/>
        <v>9</v>
      </c>
      <c r="E214">
        <f t="shared" ca="1" si="73"/>
        <v>1</v>
      </c>
      <c r="F214">
        <f t="shared" ca="1" si="74"/>
        <v>0</v>
      </c>
      <c r="G214">
        <f t="shared" ca="1" si="75"/>
        <v>21</v>
      </c>
      <c r="H214">
        <f t="shared" ca="1" si="79"/>
        <v>0</v>
      </c>
      <c r="I214">
        <f t="shared" ca="1" si="80"/>
        <v>0</v>
      </c>
      <c r="J214" s="355" t="s">
        <v>103</v>
      </c>
      <c r="K214" s="138" t="str">
        <f t="shared" ca="1" si="76"/>
        <v>1.9.1.0.21.</v>
      </c>
      <c r="L214" s="356" t="s">
        <v>370</v>
      </c>
      <c r="M214" s="356" t="s">
        <v>391</v>
      </c>
      <c r="N214" s="360" t="s">
        <v>753</v>
      </c>
      <c r="O214" s="362" t="s">
        <v>952</v>
      </c>
      <c r="P214" s="363">
        <v>19</v>
      </c>
      <c r="Q214" s="195"/>
      <c r="R214" s="198" t="s">
        <v>7</v>
      </c>
      <c r="S214" s="103">
        <f t="shared" si="66"/>
        <v>0</v>
      </c>
      <c r="T214" s="83">
        <f t="shared" si="67"/>
        <v>0</v>
      </c>
      <c r="U214" s="9" t="str">
        <f t="shared" si="77"/>
        <v>SEM VALOR</v>
      </c>
      <c r="V214" s="1" t="str">
        <f ca="1">IF(OR($A214=0,$A214="S",$A214&gt;CFF!$A$9),"",MAX(V$12:OFFSET(V214,-1,0))+1)</f>
        <v/>
      </c>
      <c r="W214" s="4" t="str">
        <f t="shared" si="78"/>
        <v>COTAÇÃO-104</v>
      </c>
      <c r="X214" s="1">
        <f t="shared" ca="1" si="68"/>
        <v>98</v>
      </c>
      <c r="Y214" s="103">
        <v>50.16</v>
      </c>
      <c r="Z214" s="113">
        <f ca="1">ROUND(IF(ISNUMBER(R214),R214,IF(LEFT(R214,3)="BDI",HLOOKUP(R214,DADOS!$T$37:$X$38,2,FALSE),0)),15-11*$X$5)</f>
        <v>0.23130000000000001</v>
      </c>
      <c r="AA214" s="1"/>
    </row>
    <row r="215" spans="1:27" x14ac:dyDescent="0.2">
      <c r="A215" t="str">
        <f t="shared" si="69"/>
        <v>S</v>
      </c>
      <c r="B215">
        <f t="shared" si="70"/>
        <v>0</v>
      </c>
      <c r="C215">
        <f t="shared" ca="1" si="71"/>
        <v>1</v>
      </c>
      <c r="D215">
        <f t="shared" ca="1" si="72"/>
        <v>9</v>
      </c>
      <c r="E215">
        <f t="shared" ca="1" si="73"/>
        <v>1</v>
      </c>
      <c r="F215">
        <f t="shared" ca="1" si="74"/>
        <v>0</v>
      </c>
      <c r="G215">
        <f t="shared" ca="1" si="75"/>
        <v>22</v>
      </c>
      <c r="H215">
        <f t="shared" ca="1" si="79"/>
        <v>0</v>
      </c>
      <c r="I215">
        <f t="shared" ca="1" si="80"/>
        <v>0</v>
      </c>
      <c r="J215" s="355" t="s">
        <v>103</v>
      </c>
      <c r="K215" s="138" t="str">
        <f t="shared" ca="1" si="76"/>
        <v>1.9.1.0.22.</v>
      </c>
      <c r="L215" s="356" t="s">
        <v>370</v>
      </c>
      <c r="M215" s="356" t="s">
        <v>392</v>
      </c>
      <c r="N215" s="360" t="s">
        <v>754</v>
      </c>
      <c r="O215" s="362" t="s">
        <v>951</v>
      </c>
      <c r="P215" s="363">
        <v>22</v>
      </c>
      <c r="Q215" s="195"/>
      <c r="R215" s="198" t="s">
        <v>7</v>
      </c>
      <c r="S215" s="103">
        <f t="shared" si="66"/>
        <v>0</v>
      </c>
      <c r="T215" s="83">
        <f t="shared" si="67"/>
        <v>0</v>
      </c>
      <c r="U215" s="9" t="str">
        <f t="shared" si="77"/>
        <v>SEM VALOR</v>
      </c>
      <c r="V215" s="1" t="str">
        <f ca="1">IF(OR($A215=0,$A215="S",$A215&gt;CFF!$A$9),"",MAX(V$12:OFFSET(V215,-1,0))+1)</f>
        <v/>
      </c>
      <c r="W215" s="4" t="str">
        <f t="shared" si="78"/>
        <v>COTAÇÃO-125</v>
      </c>
      <c r="X215" s="1">
        <f t="shared" ca="1" si="68"/>
        <v>119</v>
      </c>
      <c r="Y215" s="103">
        <v>1332.64</v>
      </c>
      <c r="Z215" s="113">
        <f ca="1">ROUND(IF(ISNUMBER(R215),R215,IF(LEFT(R215,3)="BDI",HLOOKUP(R215,DADOS!$T$37:$X$38,2,FALSE),0)),15-11*$X$5)</f>
        <v>0.23130000000000001</v>
      </c>
      <c r="AA215" s="1"/>
    </row>
    <row r="216" spans="1:27" x14ac:dyDescent="0.2">
      <c r="A216" t="str">
        <f t="shared" si="69"/>
        <v>S</v>
      </c>
      <c r="B216">
        <f t="shared" si="70"/>
        <v>0</v>
      </c>
      <c r="C216">
        <f t="shared" ca="1" si="71"/>
        <v>1</v>
      </c>
      <c r="D216">
        <f t="shared" ca="1" si="72"/>
        <v>9</v>
      </c>
      <c r="E216">
        <f t="shared" ca="1" si="73"/>
        <v>1</v>
      </c>
      <c r="F216">
        <f t="shared" ca="1" si="74"/>
        <v>0</v>
      </c>
      <c r="G216">
        <f t="shared" ca="1" si="75"/>
        <v>23</v>
      </c>
      <c r="H216">
        <f t="shared" ca="1" si="79"/>
        <v>0</v>
      </c>
      <c r="I216">
        <f t="shared" ca="1" si="80"/>
        <v>0</v>
      </c>
      <c r="J216" s="355" t="s">
        <v>103</v>
      </c>
      <c r="K216" s="138" t="str">
        <f t="shared" ca="1" si="76"/>
        <v>1.9.1.0.23.</v>
      </c>
      <c r="L216" s="356" t="s">
        <v>370</v>
      </c>
      <c r="M216" s="356" t="s">
        <v>393</v>
      </c>
      <c r="N216" s="360" t="s">
        <v>755</v>
      </c>
      <c r="O216" s="362" t="s">
        <v>951</v>
      </c>
      <c r="P216" s="363">
        <v>6</v>
      </c>
      <c r="Q216" s="195"/>
      <c r="R216" s="198" t="s">
        <v>7</v>
      </c>
      <c r="S216" s="103">
        <f t="shared" si="66"/>
        <v>0</v>
      </c>
      <c r="T216" s="83">
        <f t="shared" si="67"/>
        <v>0</v>
      </c>
      <c r="U216" s="9" t="str">
        <f t="shared" si="77"/>
        <v>SEM VALOR</v>
      </c>
      <c r="V216" s="1" t="str">
        <f ca="1">IF(OR($A216=0,$A216="S",$A216&gt;CFF!$A$9),"",MAX(V$12:OFFSET(V216,-1,0))+1)</f>
        <v/>
      </c>
      <c r="W216" s="4" t="str">
        <f t="shared" si="78"/>
        <v>COTAÇÃO-124</v>
      </c>
      <c r="X216" s="1">
        <f t="shared" ca="1" si="68"/>
        <v>118</v>
      </c>
      <c r="Y216" s="103">
        <v>1470.85</v>
      </c>
      <c r="Z216" s="113">
        <f ca="1">ROUND(IF(ISNUMBER(R216),R216,IF(LEFT(R216,3)="BDI",HLOOKUP(R216,DADOS!$T$37:$X$38,2,FALSE),0)),15-11*$X$5)</f>
        <v>0.23130000000000001</v>
      </c>
      <c r="AA216" s="1"/>
    </row>
    <row r="217" spans="1:27" x14ac:dyDescent="0.2">
      <c r="A217" t="str">
        <f t="shared" si="69"/>
        <v>S</v>
      </c>
      <c r="B217">
        <f t="shared" si="70"/>
        <v>0</v>
      </c>
      <c r="C217">
        <f t="shared" ca="1" si="71"/>
        <v>1</v>
      </c>
      <c r="D217">
        <f t="shared" ca="1" si="72"/>
        <v>9</v>
      </c>
      <c r="E217">
        <f t="shared" ca="1" si="73"/>
        <v>1</v>
      </c>
      <c r="F217">
        <f t="shared" ca="1" si="74"/>
        <v>0</v>
      </c>
      <c r="G217">
        <f t="shared" ca="1" si="75"/>
        <v>24</v>
      </c>
      <c r="H217">
        <f t="shared" ca="1" si="79"/>
        <v>0</v>
      </c>
      <c r="I217">
        <f t="shared" ca="1" si="80"/>
        <v>0</v>
      </c>
      <c r="J217" s="355" t="s">
        <v>103</v>
      </c>
      <c r="K217" s="138" t="str">
        <f t="shared" ca="1" si="76"/>
        <v>1.9.1.0.24.</v>
      </c>
      <c r="L217" s="356" t="s">
        <v>370</v>
      </c>
      <c r="M217" s="356" t="s">
        <v>394</v>
      </c>
      <c r="N217" s="360" t="s">
        <v>756</v>
      </c>
      <c r="O217" s="362" t="s">
        <v>951</v>
      </c>
      <c r="P217" s="363">
        <v>2</v>
      </c>
      <c r="Q217" s="195"/>
      <c r="R217" s="198" t="s">
        <v>7</v>
      </c>
      <c r="S217" s="103">
        <f t="shared" si="66"/>
        <v>0</v>
      </c>
      <c r="T217" s="83">
        <f t="shared" si="67"/>
        <v>0</v>
      </c>
      <c r="U217" s="9" t="str">
        <f t="shared" si="77"/>
        <v>SEM VALOR</v>
      </c>
      <c r="V217" s="1" t="str">
        <f ca="1">IF(OR($A217=0,$A217="S",$A217&gt;CFF!$A$9),"",MAX(V$12:OFFSET(V217,-1,0))+1)</f>
        <v/>
      </c>
      <c r="W217" s="4" t="str">
        <f t="shared" si="78"/>
        <v>COTAÇÃO-123</v>
      </c>
      <c r="X217" s="1">
        <f t="shared" ca="1" si="68"/>
        <v>117</v>
      </c>
      <c r="Y217" s="103">
        <v>1416.73</v>
      </c>
      <c r="Z217" s="113">
        <f ca="1">ROUND(IF(ISNUMBER(R217),R217,IF(LEFT(R217,3)="BDI",HLOOKUP(R217,DADOS!$T$37:$X$38,2,FALSE),0)),15-11*$X$5)</f>
        <v>0.23130000000000001</v>
      </c>
      <c r="AA217" s="1"/>
    </row>
    <row r="218" spans="1:27" x14ac:dyDescent="0.2">
      <c r="A218" t="str">
        <f t="shared" si="69"/>
        <v>S</v>
      </c>
      <c r="B218">
        <f t="shared" si="70"/>
        <v>0</v>
      </c>
      <c r="C218">
        <f t="shared" ca="1" si="71"/>
        <v>1</v>
      </c>
      <c r="D218">
        <f t="shared" ca="1" si="72"/>
        <v>9</v>
      </c>
      <c r="E218">
        <f t="shared" ca="1" si="73"/>
        <v>1</v>
      </c>
      <c r="F218">
        <f t="shared" ca="1" si="74"/>
        <v>0</v>
      </c>
      <c r="G218">
        <f t="shared" ca="1" si="75"/>
        <v>25</v>
      </c>
      <c r="H218">
        <f t="shared" ca="1" si="79"/>
        <v>0</v>
      </c>
      <c r="I218">
        <f t="shared" ca="1" si="80"/>
        <v>0</v>
      </c>
      <c r="J218" s="355" t="s">
        <v>103</v>
      </c>
      <c r="K218" s="138" t="str">
        <f t="shared" ca="1" si="76"/>
        <v>1.9.1.0.25.</v>
      </c>
      <c r="L218" s="356" t="s">
        <v>370</v>
      </c>
      <c r="M218" s="356" t="s">
        <v>395</v>
      </c>
      <c r="N218" s="360" t="s">
        <v>757</v>
      </c>
      <c r="O218" s="362" t="s">
        <v>951</v>
      </c>
      <c r="P218" s="363">
        <v>2</v>
      </c>
      <c r="Q218" s="195"/>
      <c r="R218" s="198" t="s">
        <v>7</v>
      </c>
      <c r="S218" s="103">
        <f t="shared" si="66"/>
        <v>0</v>
      </c>
      <c r="T218" s="83">
        <f t="shared" si="67"/>
        <v>0</v>
      </c>
      <c r="U218" s="9" t="str">
        <f t="shared" si="77"/>
        <v>SEM VALOR</v>
      </c>
      <c r="V218" s="1" t="str">
        <f ca="1">IF(OR($A218=0,$A218="S",$A218&gt;CFF!$A$9),"",MAX(V$12:OFFSET(V218,-1,0))+1)</f>
        <v/>
      </c>
      <c r="W218" s="4" t="str">
        <f t="shared" si="78"/>
        <v>COTAÇÃO-122</v>
      </c>
      <c r="X218" s="1">
        <f t="shared" ca="1" si="68"/>
        <v>116</v>
      </c>
      <c r="Y218" s="103">
        <v>2225.33</v>
      </c>
      <c r="Z218" s="113">
        <f ca="1">ROUND(IF(ISNUMBER(R218),R218,IF(LEFT(R218,3)="BDI",HLOOKUP(R218,DADOS!$T$37:$X$38,2,FALSE),0)),15-11*$X$5)</f>
        <v>0.23130000000000001</v>
      </c>
      <c r="AA218" s="1"/>
    </row>
    <row r="219" spans="1:27" x14ac:dyDescent="0.2">
      <c r="A219" t="str">
        <f t="shared" si="69"/>
        <v>S</v>
      </c>
      <c r="B219">
        <f t="shared" si="70"/>
        <v>0</v>
      </c>
      <c r="C219">
        <f t="shared" ca="1" si="71"/>
        <v>1</v>
      </c>
      <c r="D219">
        <f t="shared" ca="1" si="72"/>
        <v>9</v>
      </c>
      <c r="E219">
        <f t="shared" ca="1" si="73"/>
        <v>1</v>
      </c>
      <c r="F219">
        <f t="shared" ca="1" si="74"/>
        <v>0</v>
      </c>
      <c r="G219">
        <f t="shared" ca="1" si="75"/>
        <v>26</v>
      </c>
      <c r="H219">
        <f t="shared" ca="1" si="79"/>
        <v>0</v>
      </c>
      <c r="I219">
        <f t="shared" ca="1" si="80"/>
        <v>0</v>
      </c>
      <c r="J219" s="355" t="s">
        <v>103</v>
      </c>
      <c r="K219" s="138" t="str">
        <f t="shared" ca="1" si="76"/>
        <v>1.9.1.0.26.</v>
      </c>
      <c r="L219" s="356" t="s">
        <v>370</v>
      </c>
      <c r="M219" s="356" t="s">
        <v>396</v>
      </c>
      <c r="N219" s="360" t="s">
        <v>758</v>
      </c>
      <c r="O219" s="362" t="s">
        <v>952</v>
      </c>
      <c r="P219" s="363">
        <v>44</v>
      </c>
      <c r="Q219" s="195"/>
      <c r="R219" s="198" t="s">
        <v>7</v>
      </c>
      <c r="S219" s="103">
        <f t="shared" si="66"/>
        <v>0</v>
      </c>
      <c r="T219" s="83">
        <f t="shared" si="67"/>
        <v>0</v>
      </c>
      <c r="U219" s="9" t="str">
        <f t="shared" si="77"/>
        <v>SEM VALOR</v>
      </c>
      <c r="V219" s="1" t="str">
        <f ca="1">IF(OR($A219=0,$A219="S",$A219&gt;CFF!$A$9),"",MAX(V$12:OFFSET(V219,-1,0))+1)</f>
        <v/>
      </c>
      <c r="W219" s="4" t="str">
        <f t="shared" si="78"/>
        <v>COTAÇÃO-108</v>
      </c>
      <c r="X219" s="1">
        <f t="shared" ca="1" si="68"/>
        <v>102</v>
      </c>
      <c r="Y219" s="103">
        <v>69.94</v>
      </c>
      <c r="Z219" s="113">
        <f ca="1">ROUND(IF(ISNUMBER(R219),R219,IF(LEFT(R219,3)="BDI",HLOOKUP(R219,DADOS!$T$37:$X$38,2,FALSE),0)),15-11*$X$5)</f>
        <v>0.23130000000000001</v>
      </c>
      <c r="AA219" s="1"/>
    </row>
    <row r="220" spans="1:27" x14ac:dyDescent="0.2">
      <c r="A220" t="str">
        <f t="shared" si="69"/>
        <v>S</v>
      </c>
      <c r="B220">
        <f t="shared" si="70"/>
        <v>0</v>
      </c>
      <c r="C220">
        <f t="shared" ca="1" si="71"/>
        <v>1</v>
      </c>
      <c r="D220">
        <f t="shared" ca="1" si="72"/>
        <v>9</v>
      </c>
      <c r="E220">
        <f t="shared" ca="1" si="73"/>
        <v>1</v>
      </c>
      <c r="F220">
        <f t="shared" ca="1" si="74"/>
        <v>0</v>
      </c>
      <c r="G220">
        <f t="shared" ca="1" si="75"/>
        <v>27</v>
      </c>
      <c r="H220">
        <f t="shared" ca="1" si="79"/>
        <v>0</v>
      </c>
      <c r="I220">
        <f t="shared" ca="1" si="80"/>
        <v>0</v>
      </c>
      <c r="J220" s="355" t="s">
        <v>103</v>
      </c>
      <c r="K220" s="138" t="str">
        <f t="shared" ca="1" si="76"/>
        <v>1.9.1.0.27.</v>
      </c>
      <c r="L220" s="356" t="s">
        <v>370</v>
      </c>
      <c r="M220" s="356" t="s">
        <v>397</v>
      </c>
      <c r="N220" s="360" t="s">
        <v>759</v>
      </c>
      <c r="O220" s="362" t="s">
        <v>952</v>
      </c>
      <c r="P220" s="363">
        <v>12</v>
      </c>
      <c r="Q220" s="195"/>
      <c r="R220" s="198" t="s">
        <v>7</v>
      </c>
      <c r="S220" s="103">
        <f t="shared" si="66"/>
        <v>0</v>
      </c>
      <c r="T220" s="83">
        <f t="shared" si="67"/>
        <v>0</v>
      </c>
      <c r="U220" s="9" t="str">
        <f t="shared" si="77"/>
        <v>SEM VALOR</v>
      </c>
      <c r="V220" s="1" t="str">
        <f ca="1">IF(OR($A220=0,$A220="S",$A220&gt;CFF!$A$9),"",MAX(V$12:OFFSET(V220,-1,0))+1)</f>
        <v/>
      </c>
      <c r="W220" s="4" t="str">
        <f t="shared" si="78"/>
        <v>COTAÇÃO-107</v>
      </c>
      <c r="X220" s="1">
        <f t="shared" ca="1" si="68"/>
        <v>101</v>
      </c>
      <c r="Y220" s="103">
        <v>99.61</v>
      </c>
      <c r="Z220" s="113">
        <f ca="1">ROUND(IF(ISNUMBER(R220),R220,IF(LEFT(R220,3)="BDI",HLOOKUP(R220,DADOS!$T$37:$X$38,2,FALSE),0)),15-11*$X$5)</f>
        <v>0.23130000000000001</v>
      </c>
      <c r="AA220" s="1"/>
    </row>
    <row r="221" spans="1:27" x14ac:dyDescent="0.2">
      <c r="A221" t="str">
        <f t="shared" si="69"/>
        <v>S</v>
      </c>
      <c r="B221">
        <f t="shared" si="70"/>
        <v>0</v>
      </c>
      <c r="C221">
        <f t="shared" ca="1" si="71"/>
        <v>1</v>
      </c>
      <c r="D221">
        <f t="shared" ca="1" si="72"/>
        <v>9</v>
      </c>
      <c r="E221">
        <f t="shared" ca="1" si="73"/>
        <v>1</v>
      </c>
      <c r="F221">
        <f t="shared" ca="1" si="74"/>
        <v>0</v>
      </c>
      <c r="G221">
        <f t="shared" ca="1" si="75"/>
        <v>28</v>
      </c>
      <c r="H221">
        <f t="shared" ca="1" si="79"/>
        <v>0</v>
      </c>
      <c r="I221">
        <f t="shared" ca="1" si="80"/>
        <v>0</v>
      </c>
      <c r="J221" s="355" t="s">
        <v>103</v>
      </c>
      <c r="K221" s="138" t="str">
        <f t="shared" ca="1" si="76"/>
        <v>1.9.1.0.28.</v>
      </c>
      <c r="L221" s="356" t="s">
        <v>370</v>
      </c>
      <c r="M221" s="356" t="s">
        <v>398</v>
      </c>
      <c r="N221" s="360" t="s">
        <v>760</v>
      </c>
      <c r="O221" s="362" t="s">
        <v>952</v>
      </c>
      <c r="P221" s="363">
        <v>12</v>
      </c>
      <c r="Q221" s="195"/>
      <c r="R221" s="198" t="s">
        <v>7</v>
      </c>
      <c r="S221" s="103">
        <f t="shared" si="66"/>
        <v>0</v>
      </c>
      <c r="T221" s="83">
        <f t="shared" si="67"/>
        <v>0</v>
      </c>
      <c r="U221" s="9" t="str">
        <f t="shared" si="77"/>
        <v>SEM VALOR</v>
      </c>
      <c r="V221" s="1" t="str">
        <f ca="1">IF(OR($A221=0,$A221="S",$A221&gt;CFF!$A$9),"",MAX(V$12:OFFSET(V221,-1,0))+1)</f>
        <v/>
      </c>
      <c r="W221" s="4" t="str">
        <f t="shared" si="78"/>
        <v>COTAÇÃO-106</v>
      </c>
      <c r="X221" s="1">
        <f t="shared" ca="1" si="68"/>
        <v>100</v>
      </c>
      <c r="Y221" s="103">
        <v>162.1</v>
      </c>
      <c r="Z221" s="113">
        <f ca="1">ROUND(IF(ISNUMBER(R221),R221,IF(LEFT(R221,3)="BDI",HLOOKUP(R221,DADOS!$T$37:$X$38,2,FALSE),0)),15-11*$X$5)</f>
        <v>0.23130000000000001</v>
      </c>
      <c r="AA221" s="1"/>
    </row>
    <row r="222" spans="1:27" x14ac:dyDescent="0.2">
      <c r="A222" t="str">
        <f t="shared" si="69"/>
        <v>S</v>
      </c>
      <c r="B222">
        <f t="shared" si="70"/>
        <v>0</v>
      </c>
      <c r="C222">
        <f t="shared" ca="1" si="71"/>
        <v>1</v>
      </c>
      <c r="D222">
        <f t="shared" ca="1" si="72"/>
        <v>9</v>
      </c>
      <c r="E222">
        <f t="shared" ca="1" si="73"/>
        <v>1</v>
      </c>
      <c r="F222">
        <f t="shared" ca="1" si="74"/>
        <v>0</v>
      </c>
      <c r="G222">
        <f t="shared" ca="1" si="75"/>
        <v>29</v>
      </c>
      <c r="H222">
        <f t="shared" ca="1" si="79"/>
        <v>0</v>
      </c>
      <c r="I222">
        <f t="shared" ca="1" si="80"/>
        <v>0</v>
      </c>
      <c r="J222" s="355" t="s">
        <v>103</v>
      </c>
      <c r="K222" s="138" t="str">
        <f t="shared" ca="1" si="76"/>
        <v>1.9.1.0.29.</v>
      </c>
      <c r="L222" s="356" t="s">
        <v>370</v>
      </c>
      <c r="M222" s="356" t="s">
        <v>399</v>
      </c>
      <c r="N222" s="360" t="s">
        <v>761</v>
      </c>
      <c r="O222" s="362" t="s">
        <v>952</v>
      </c>
      <c r="P222" s="363">
        <v>4</v>
      </c>
      <c r="Q222" s="195"/>
      <c r="R222" s="198" t="s">
        <v>7</v>
      </c>
      <c r="S222" s="103">
        <f t="shared" si="66"/>
        <v>0</v>
      </c>
      <c r="T222" s="83">
        <f t="shared" si="67"/>
        <v>0</v>
      </c>
      <c r="U222" s="9" t="str">
        <f t="shared" si="77"/>
        <v>SEM VALOR</v>
      </c>
      <c r="V222" s="1" t="str">
        <f ca="1">IF(OR($A222=0,$A222="S",$A222&gt;CFF!$A$9),"",MAX(V$12:OFFSET(V222,-1,0))+1)</f>
        <v/>
      </c>
      <c r="W222" s="4" t="str">
        <f t="shared" si="78"/>
        <v>COTAÇÃO-105</v>
      </c>
      <c r="X222" s="1">
        <f t="shared" ca="1" si="68"/>
        <v>99</v>
      </c>
      <c r="Y222" s="103">
        <v>200.99</v>
      </c>
      <c r="Z222" s="113">
        <f ca="1">ROUND(IF(ISNUMBER(R222),R222,IF(LEFT(R222,3)="BDI",HLOOKUP(R222,DADOS!$T$37:$X$38,2,FALSE),0)),15-11*$X$5)</f>
        <v>0.23130000000000001</v>
      </c>
      <c r="AA222" s="1"/>
    </row>
    <row r="223" spans="1:27" x14ac:dyDescent="0.2">
      <c r="A223" t="str">
        <f t="shared" si="69"/>
        <v>S</v>
      </c>
      <c r="B223">
        <f t="shared" si="70"/>
        <v>0</v>
      </c>
      <c r="C223">
        <f t="shared" ca="1" si="71"/>
        <v>1</v>
      </c>
      <c r="D223">
        <f t="shared" ca="1" si="72"/>
        <v>9</v>
      </c>
      <c r="E223">
        <f t="shared" ca="1" si="73"/>
        <v>1</v>
      </c>
      <c r="F223">
        <f t="shared" ca="1" si="74"/>
        <v>0</v>
      </c>
      <c r="G223">
        <f t="shared" ca="1" si="75"/>
        <v>30</v>
      </c>
      <c r="H223">
        <f t="shared" ca="1" si="79"/>
        <v>0</v>
      </c>
      <c r="I223">
        <f t="shared" ca="1" si="80"/>
        <v>0</v>
      </c>
      <c r="J223" s="355" t="s">
        <v>103</v>
      </c>
      <c r="K223" s="138" t="str">
        <f t="shared" ca="1" si="76"/>
        <v>1.9.1.0.30.</v>
      </c>
      <c r="L223" s="356" t="s">
        <v>370</v>
      </c>
      <c r="M223" s="356" t="s">
        <v>400</v>
      </c>
      <c r="N223" s="360" t="s">
        <v>762</v>
      </c>
      <c r="O223" s="362" t="s">
        <v>952</v>
      </c>
      <c r="P223" s="363">
        <v>256</v>
      </c>
      <c r="Q223" s="195"/>
      <c r="R223" s="198" t="s">
        <v>7</v>
      </c>
      <c r="S223" s="103">
        <f t="shared" si="66"/>
        <v>0</v>
      </c>
      <c r="T223" s="83">
        <f t="shared" si="67"/>
        <v>0</v>
      </c>
      <c r="U223" s="9" t="str">
        <f t="shared" si="77"/>
        <v>SEM VALOR</v>
      </c>
      <c r="V223" s="1" t="str">
        <f ca="1">IF(OR($A223=0,$A223="S",$A223&gt;CFF!$A$9),"",MAX(V$12:OFFSET(V223,-1,0))+1)</f>
        <v/>
      </c>
      <c r="W223" s="4" t="str">
        <f t="shared" si="78"/>
        <v>COTAÇÃO-135</v>
      </c>
      <c r="X223" s="1">
        <f t="shared" ca="1" si="68"/>
        <v>129</v>
      </c>
      <c r="Y223" s="103">
        <v>45.31</v>
      </c>
      <c r="Z223" s="113">
        <f ca="1">ROUND(IF(ISNUMBER(R223),R223,IF(LEFT(R223,3)="BDI",HLOOKUP(R223,DADOS!$T$37:$X$38,2,FALSE),0)),15-11*$X$5)</f>
        <v>0.23130000000000001</v>
      </c>
      <c r="AA223" s="1"/>
    </row>
    <row r="224" spans="1:27" x14ac:dyDescent="0.2">
      <c r="A224" t="str">
        <f t="shared" si="69"/>
        <v>S</v>
      </c>
      <c r="B224">
        <f t="shared" si="70"/>
        <v>0</v>
      </c>
      <c r="C224">
        <f t="shared" ca="1" si="71"/>
        <v>1</v>
      </c>
      <c r="D224">
        <f t="shared" ca="1" si="72"/>
        <v>9</v>
      </c>
      <c r="E224">
        <f t="shared" ca="1" si="73"/>
        <v>1</v>
      </c>
      <c r="F224">
        <f t="shared" ca="1" si="74"/>
        <v>0</v>
      </c>
      <c r="G224">
        <f t="shared" ca="1" si="75"/>
        <v>31</v>
      </c>
      <c r="H224">
        <f t="shared" ca="1" si="79"/>
        <v>0</v>
      </c>
      <c r="I224">
        <f t="shared" ca="1" si="80"/>
        <v>0</v>
      </c>
      <c r="J224" s="355" t="s">
        <v>103</v>
      </c>
      <c r="K224" s="138" t="str">
        <f t="shared" ca="1" si="76"/>
        <v>1.9.1.0.31.</v>
      </c>
      <c r="L224" s="356" t="s">
        <v>370</v>
      </c>
      <c r="M224" s="356" t="s">
        <v>401</v>
      </c>
      <c r="N224" s="360" t="s">
        <v>763</v>
      </c>
      <c r="O224" s="362" t="s">
        <v>949</v>
      </c>
      <c r="P224" s="363">
        <v>0.3</v>
      </c>
      <c r="Q224" s="195"/>
      <c r="R224" s="198" t="s">
        <v>7</v>
      </c>
      <c r="S224" s="103">
        <f t="shared" ref="S224:S287" si="81">IF($A224="S",IF($Q$10="Preço Unitário (R$)",PO.CustoUnitario,ROUND(PO.CustoUnitario*(1+$Z224),15-13*$X$6)),0)</f>
        <v>0</v>
      </c>
      <c r="T224" s="83">
        <f t="shared" ref="T224:T287" si="82">IF($A224="S",VTOTAL1,IF($A224=0,0,ROUND(SomaAgrup,15-13*$X$7)))</f>
        <v>0</v>
      </c>
      <c r="U224" s="9" t="str">
        <f t="shared" si="77"/>
        <v>SEM VALOR</v>
      </c>
      <c r="V224" s="1" t="str">
        <f ca="1">IF(OR($A224=0,$A224="S",$A224&gt;CFF!$A$9),"",MAX(V$12:OFFSET(V224,-1,0))+1)</f>
        <v/>
      </c>
      <c r="W224" s="4" t="str">
        <f t="shared" si="78"/>
        <v>COTAÇÃO-126</v>
      </c>
      <c r="X224" s="1">
        <f t="shared" ref="X224:X287" ca="1" si="83">IF(AND(Fonte&lt;&gt;"",Código&lt;&gt;""),MATCH(Fonte&amp;" "&amp;IF(Fonte="sinapi",SUBSTITUTE(SUBSTITUTE(Código,"/00","/"),"/0","/"),Código),INDIRECT("'[Referência "&amp;_xlnm.Database&amp;".xls]Banco'!$a:$a"),0),"X")</f>
        <v>120</v>
      </c>
      <c r="Y224" s="103">
        <v>486.36</v>
      </c>
      <c r="Z224" s="113">
        <f ca="1">ROUND(IF(ISNUMBER(R224),R224,IF(LEFT(R224,3)="BDI",HLOOKUP(R224,DADOS!$T$37:$X$38,2,FALSE),0)),15-11*$X$5)</f>
        <v>0.23130000000000001</v>
      </c>
      <c r="AA224" s="1"/>
    </row>
    <row r="225" spans="1:27" x14ac:dyDescent="0.2">
      <c r="A225" t="str">
        <f t="shared" ref="A225:A288" si="84">CHOOSE(1+LOG(1+2*(J225="Meta")+4*(J225="Nível 2")+8*(J225="Nível 3")+16*(J225="Nível 4")+32*(J225="Serviço"),2),0,1,2,3,4,"S")</f>
        <v>S</v>
      </c>
      <c r="B225">
        <f t="shared" ref="B225:B288" si="85">IF(OR(A225="S",A225=0),0,IF(ISERROR(I225),H225,SMALL(H225:I225,1)))</f>
        <v>0</v>
      </c>
      <c r="C225">
        <f t="shared" ref="C225:C288" ca="1" si="86">IF($A225=1,OFFSET(C225,-1,0)+1,OFFSET(C225,-1,0))</f>
        <v>1</v>
      </c>
      <c r="D225">
        <f t="shared" ref="D225:D288" ca="1" si="87">IF($A225=1,0,IF($A225=2,OFFSET(D225,-1,0)+1,OFFSET(D225,-1,0)))</f>
        <v>9</v>
      </c>
      <c r="E225">
        <f t="shared" ref="E225:E288" ca="1" si="88">IF(AND($A225&lt;=2,$A225&lt;&gt;0),0,IF($A225=3,OFFSET(E225,-1,0)+1,OFFSET(E225,-1,0)))</f>
        <v>1</v>
      </c>
      <c r="F225">
        <f t="shared" ref="F225:F288" ca="1" si="89">IF(AND($A225&lt;=3,$A225&lt;&gt;0),0,IF($A225=4,OFFSET(F225,-1,0)+1,OFFSET(F225,-1,0)))</f>
        <v>0</v>
      </c>
      <c r="G225">
        <f t="shared" ref="G225:G288" ca="1" si="90">IF(AND($A225&lt;=4,$A225&lt;&gt;0),0,IF($A225="S",OFFSET(G225,-1,0)+1,OFFSET(G225,-1,0)))</f>
        <v>32</v>
      </c>
      <c r="H225">
        <f t="shared" ca="1" si="79"/>
        <v>0</v>
      </c>
      <c r="I225">
        <f t="shared" ca="1" si="80"/>
        <v>0</v>
      </c>
      <c r="J225" s="355" t="s">
        <v>103</v>
      </c>
      <c r="K225" s="138" t="str">
        <f t="shared" ref="K225:K288" ca="1" si="91">IF($A225=0,"-",CONCATENATE(C225&amp;".",IF(AND($A$5&gt;=2,$A225&gt;=2),D225&amp;".",""),IF(AND($A$5&gt;=3,$A225&gt;=3),E225&amp;".",""),IF(AND($A$5&gt;=4,$A225&gt;=4),F225&amp;".",""),IF($A225="S",G225&amp;".","")))</f>
        <v>1.9.1.0.32.</v>
      </c>
      <c r="L225" s="356" t="s">
        <v>370</v>
      </c>
      <c r="M225" s="356" t="s">
        <v>402</v>
      </c>
      <c r="N225" s="360" t="s">
        <v>764</v>
      </c>
      <c r="O225" s="362" t="s">
        <v>953</v>
      </c>
      <c r="P225" s="363">
        <v>14</v>
      </c>
      <c r="Q225" s="195"/>
      <c r="R225" s="198" t="s">
        <v>7</v>
      </c>
      <c r="S225" s="103">
        <f t="shared" si="81"/>
        <v>0</v>
      </c>
      <c r="T225" s="83">
        <f t="shared" si="82"/>
        <v>0</v>
      </c>
      <c r="U225" s="9" t="str">
        <f t="shared" ref="U225:U288" si="92">IF($J225="","",IF($N225="","DESCRIÇÃO",IF(AND($J225="Serviço",$O225=""),"UNIDADE",IF($T225&lt;=0,"SEM VALOR",IF(AND($Y225&lt;&gt;"",$Q225&gt;$Y225),"ACIMA REF.","")))))</f>
        <v>SEM VALOR</v>
      </c>
      <c r="V225" s="1" t="str">
        <f ca="1">IF(OR($A225=0,$A225="S",$A225&gt;CFF!$A$9),"",MAX(V$12:OFFSET(V225,-1,0))+1)</f>
        <v/>
      </c>
      <c r="W225" s="4" t="str">
        <f t="shared" ref="W225:W288" si="93">IF(AND($J225="Serviço",$M225&lt;&gt;""),IF($L225="",$M225,CONCATENATE($L225,"-",$M225)))</f>
        <v>COTAÇÃO-127</v>
      </c>
      <c r="X225" s="1">
        <f t="shared" ca="1" si="83"/>
        <v>121</v>
      </c>
      <c r="Y225" s="103">
        <v>110.2</v>
      </c>
      <c r="Z225" s="113">
        <f ca="1">ROUND(IF(ISNUMBER(R225),R225,IF(LEFT(R225,3)="BDI",HLOOKUP(R225,DADOS!$T$37:$X$38,2,FALSE),0)),15-11*$X$5)</f>
        <v>0.23130000000000001</v>
      </c>
      <c r="AA225" s="1"/>
    </row>
    <row r="226" spans="1:27" x14ac:dyDescent="0.2">
      <c r="A226" t="str">
        <f t="shared" si="84"/>
        <v>S</v>
      </c>
      <c r="B226">
        <f t="shared" si="85"/>
        <v>0</v>
      </c>
      <c r="C226">
        <f t="shared" ca="1" si="86"/>
        <v>1</v>
      </c>
      <c r="D226">
        <f t="shared" ca="1" si="87"/>
        <v>9</v>
      </c>
      <c r="E226">
        <f t="shared" ca="1" si="88"/>
        <v>1</v>
      </c>
      <c r="F226">
        <f t="shared" ca="1" si="89"/>
        <v>0</v>
      </c>
      <c r="G226">
        <f t="shared" ca="1" si="90"/>
        <v>33</v>
      </c>
      <c r="H226">
        <f t="shared" ca="1" si="79"/>
        <v>0</v>
      </c>
      <c r="I226">
        <f t="shared" ca="1" si="80"/>
        <v>0</v>
      </c>
      <c r="J226" s="355" t="s">
        <v>103</v>
      </c>
      <c r="K226" s="138" t="str">
        <f t="shared" ca="1" si="91"/>
        <v>1.9.1.0.33.</v>
      </c>
      <c r="L226" s="356" t="s">
        <v>370</v>
      </c>
      <c r="M226" s="356" t="s">
        <v>403</v>
      </c>
      <c r="N226" s="360" t="s">
        <v>765</v>
      </c>
      <c r="O226" s="362" t="s">
        <v>947</v>
      </c>
      <c r="P226" s="363">
        <v>2</v>
      </c>
      <c r="Q226" s="195"/>
      <c r="R226" s="198" t="s">
        <v>7</v>
      </c>
      <c r="S226" s="103">
        <f t="shared" si="81"/>
        <v>0</v>
      </c>
      <c r="T226" s="83">
        <f t="shared" si="82"/>
        <v>0</v>
      </c>
      <c r="U226" s="9" t="str">
        <f t="shared" si="92"/>
        <v>SEM VALOR</v>
      </c>
      <c r="V226" s="1" t="str">
        <f ca="1">IF(OR($A226=0,$A226="S",$A226&gt;CFF!$A$9),"",MAX(V$12:OFFSET(V226,-1,0))+1)</f>
        <v/>
      </c>
      <c r="W226" s="4" t="str">
        <f t="shared" si="93"/>
        <v>COTAÇÃO-128</v>
      </c>
      <c r="X226" s="1">
        <f t="shared" ca="1" si="83"/>
        <v>122</v>
      </c>
      <c r="Y226" s="103">
        <v>469.49</v>
      </c>
      <c r="Z226" s="113">
        <f ca="1">ROUND(IF(ISNUMBER(R226),R226,IF(LEFT(R226,3)="BDI",HLOOKUP(R226,DADOS!$T$37:$X$38,2,FALSE),0)),15-11*$X$5)</f>
        <v>0.23130000000000001</v>
      </c>
      <c r="AA226" s="1"/>
    </row>
    <row r="227" spans="1:27" x14ac:dyDescent="0.2">
      <c r="A227" t="str">
        <f t="shared" si="84"/>
        <v>S</v>
      </c>
      <c r="B227">
        <f t="shared" si="85"/>
        <v>0</v>
      </c>
      <c r="C227">
        <f t="shared" ca="1" si="86"/>
        <v>1</v>
      </c>
      <c r="D227">
        <f t="shared" ca="1" si="87"/>
        <v>9</v>
      </c>
      <c r="E227">
        <f t="shared" ca="1" si="88"/>
        <v>1</v>
      </c>
      <c r="F227">
        <f t="shared" ca="1" si="89"/>
        <v>0</v>
      </c>
      <c r="G227">
        <f t="shared" ca="1" si="90"/>
        <v>34</v>
      </c>
      <c r="H227">
        <f t="shared" ca="1" si="79"/>
        <v>0</v>
      </c>
      <c r="I227">
        <f t="shared" ca="1" si="80"/>
        <v>0</v>
      </c>
      <c r="J227" s="355" t="s">
        <v>103</v>
      </c>
      <c r="K227" s="138" t="str">
        <f t="shared" ca="1" si="91"/>
        <v>1.9.1.0.34.</v>
      </c>
      <c r="L227" s="356" t="s">
        <v>370</v>
      </c>
      <c r="M227" s="356" t="s">
        <v>404</v>
      </c>
      <c r="N227" s="360" t="s">
        <v>766</v>
      </c>
      <c r="O227" s="362" t="s">
        <v>947</v>
      </c>
      <c r="P227" s="363">
        <v>0.3</v>
      </c>
      <c r="Q227" s="195"/>
      <c r="R227" s="198" t="s">
        <v>7</v>
      </c>
      <c r="S227" s="103">
        <f t="shared" si="81"/>
        <v>0</v>
      </c>
      <c r="T227" s="83">
        <f t="shared" si="82"/>
        <v>0</v>
      </c>
      <c r="U227" s="9" t="str">
        <f t="shared" si="92"/>
        <v>SEM VALOR</v>
      </c>
      <c r="V227" s="1" t="str">
        <f ca="1">IF(OR($A227=0,$A227="S",$A227&gt;CFF!$A$9),"",MAX(V$12:OFFSET(V227,-1,0))+1)</f>
        <v/>
      </c>
      <c r="W227" s="4" t="str">
        <f t="shared" si="93"/>
        <v>COTAÇÃO-129</v>
      </c>
      <c r="X227" s="1">
        <f t="shared" ca="1" si="83"/>
        <v>123</v>
      </c>
      <c r="Y227" s="103">
        <v>726.47</v>
      </c>
      <c r="Z227" s="113">
        <f ca="1">ROUND(IF(ISNUMBER(R227),R227,IF(LEFT(R227,3)="BDI",HLOOKUP(R227,DADOS!$T$37:$X$38,2,FALSE),0)),15-11*$X$5)</f>
        <v>0.23130000000000001</v>
      </c>
      <c r="AA227" s="1"/>
    </row>
    <row r="228" spans="1:27" x14ac:dyDescent="0.2">
      <c r="A228" t="str">
        <f t="shared" si="84"/>
        <v>S</v>
      </c>
      <c r="B228">
        <f t="shared" si="85"/>
        <v>0</v>
      </c>
      <c r="C228">
        <f t="shared" ca="1" si="86"/>
        <v>1</v>
      </c>
      <c r="D228">
        <f t="shared" ca="1" si="87"/>
        <v>9</v>
      </c>
      <c r="E228">
        <f t="shared" ca="1" si="88"/>
        <v>1</v>
      </c>
      <c r="F228">
        <f t="shared" ca="1" si="89"/>
        <v>0</v>
      </c>
      <c r="G228">
        <f t="shared" ca="1" si="90"/>
        <v>35</v>
      </c>
      <c r="H228">
        <f t="shared" ca="1" si="79"/>
        <v>0</v>
      </c>
      <c r="I228">
        <f t="shared" ca="1" si="80"/>
        <v>0</v>
      </c>
      <c r="J228" s="355" t="s">
        <v>103</v>
      </c>
      <c r="K228" s="138" t="str">
        <f t="shared" ca="1" si="91"/>
        <v>1.9.1.0.35.</v>
      </c>
      <c r="L228" s="356" t="s">
        <v>370</v>
      </c>
      <c r="M228" s="356" t="s">
        <v>405</v>
      </c>
      <c r="N228" s="360" t="s">
        <v>767</v>
      </c>
      <c r="O228" s="362" t="s">
        <v>947</v>
      </c>
      <c r="P228" s="363">
        <v>0.3</v>
      </c>
      <c r="Q228" s="195"/>
      <c r="R228" s="198" t="s">
        <v>7</v>
      </c>
      <c r="S228" s="103">
        <f t="shared" si="81"/>
        <v>0</v>
      </c>
      <c r="T228" s="83">
        <f t="shared" si="82"/>
        <v>0</v>
      </c>
      <c r="U228" s="9" t="str">
        <f t="shared" si="92"/>
        <v>SEM VALOR</v>
      </c>
      <c r="V228" s="1" t="str">
        <f ca="1">IF(OR($A228=0,$A228="S",$A228&gt;CFF!$A$9),"",MAX(V$12:OFFSET(V228,-1,0))+1)</f>
        <v/>
      </c>
      <c r="W228" s="4" t="str">
        <f t="shared" si="93"/>
        <v>COTAÇÃO-130</v>
      </c>
      <c r="X228" s="1">
        <f t="shared" ca="1" si="83"/>
        <v>124</v>
      </c>
      <c r="Y228" s="103">
        <v>632.27</v>
      </c>
      <c r="Z228" s="113">
        <f ca="1">ROUND(IF(ISNUMBER(R228),R228,IF(LEFT(R228,3)="BDI",HLOOKUP(R228,DADOS!$T$37:$X$38,2,FALSE),0)),15-11*$X$5)</f>
        <v>0.23130000000000001</v>
      </c>
      <c r="AA228" s="1"/>
    </row>
    <row r="229" spans="1:27" x14ac:dyDescent="0.2">
      <c r="A229" t="str">
        <f t="shared" si="84"/>
        <v>S</v>
      </c>
      <c r="B229">
        <f t="shared" si="85"/>
        <v>0</v>
      </c>
      <c r="C229">
        <f t="shared" ca="1" si="86"/>
        <v>1</v>
      </c>
      <c r="D229">
        <f t="shared" ca="1" si="87"/>
        <v>9</v>
      </c>
      <c r="E229">
        <f t="shared" ca="1" si="88"/>
        <v>1</v>
      </c>
      <c r="F229">
        <f t="shared" ca="1" si="89"/>
        <v>0</v>
      </c>
      <c r="G229">
        <f t="shared" ca="1" si="90"/>
        <v>36</v>
      </c>
      <c r="H229">
        <f t="shared" ca="1" si="79"/>
        <v>0</v>
      </c>
      <c r="I229">
        <f t="shared" ca="1" si="80"/>
        <v>0</v>
      </c>
      <c r="J229" s="355" t="s">
        <v>103</v>
      </c>
      <c r="K229" s="138" t="str">
        <f t="shared" ca="1" si="91"/>
        <v>1.9.1.0.36.</v>
      </c>
      <c r="L229" s="356" t="s">
        <v>370</v>
      </c>
      <c r="M229" s="356" t="s">
        <v>406</v>
      </c>
      <c r="N229" s="360" t="s">
        <v>768</v>
      </c>
      <c r="O229" s="362" t="s">
        <v>952</v>
      </c>
      <c r="P229" s="363">
        <v>10</v>
      </c>
      <c r="Q229" s="195"/>
      <c r="R229" s="198" t="s">
        <v>7</v>
      </c>
      <c r="S229" s="103">
        <f t="shared" si="81"/>
        <v>0</v>
      </c>
      <c r="T229" s="83">
        <f t="shared" si="82"/>
        <v>0</v>
      </c>
      <c r="U229" s="9" t="str">
        <f t="shared" si="92"/>
        <v>SEM VALOR</v>
      </c>
      <c r="V229" s="1" t="str">
        <f ca="1">IF(OR($A229=0,$A229="S",$A229&gt;CFF!$A$9),"",MAX(V$12:OFFSET(V229,-1,0))+1)</f>
        <v/>
      </c>
      <c r="W229" s="4" t="str">
        <f t="shared" si="93"/>
        <v>COTAÇÃO-109</v>
      </c>
      <c r="X229" s="1">
        <f t="shared" ca="1" si="83"/>
        <v>103</v>
      </c>
      <c r="Y229" s="103">
        <v>75.72</v>
      </c>
      <c r="Z229" s="113">
        <f ca="1">ROUND(IF(ISNUMBER(R229),R229,IF(LEFT(R229,3)="BDI",HLOOKUP(R229,DADOS!$T$37:$X$38,2,FALSE),0)),15-11*$X$5)</f>
        <v>0.23130000000000001</v>
      </c>
      <c r="AA229" s="1"/>
    </row>
    <row r="230" spans="1:27" x14ac:dyDescent="0.2">
      <c r="A230" t="str">
        <f t="shared" si="84"/>
        <v>S</v>
      </c>
      <c r="B230">
        <f t="shared" si="85"/>
        <v>0</v>
      </c>
      <c r="C230">
        <f t="shared" ca="1" si="86"/>
        <v>1</v>
      </c>
      <c r="D230">
        <f t="shared" ca="1" si="87"/>
        <v>9</v>
      </c>
      <c r="E230">
        <f t="shared" ca="1" si="88"/>
        <v>1</v>
      </c>
      <c r="F230">
        <f t="shared" ca="1" si="89"/>
        <v>0</v>
      </c>
      <c r="G230">
        <f t="shared" ca="1" si="90"/>
        <v>37</v>
      </c>
      <c r="H230">
        <f t="shared" ca="1" si="79"/>
        <v>0</v>
      </c>
      <c r="I230">
        <f t="shared" ca="1" si="80"/>
        <v>0</v>
      </c>
      <c r="J230" s="355" t="s">
        <v>103</v>
      </c>
      <c r="K230" s="138" t="str">
        <f t="shared" ca="1" si="91"/>
        <v>1.9.1.0.37.</v>
      </c>
      <c r="L230" s="356" t="s">
        <v>370</v>
      </c>
      <c r="M230" s="356" t="s">
        <v>407</v>
      </c>
      <c r="N230" s="360" t="s">
        <v>769</v>
      </c>
      <c r="O230" s="362" t="s">
        <v>952</v>
      </c>
      <c r="P230" s="363">
        <v>5</v>
      </c>
      <c r="Q230" s="195"/>
      <c r="R230" s="198" t="s">
        <v>7</v>
      </c>
      <c r="S230" s="103">
        <f t="shared" si="81"/>
        <v>0</v>
      </c>
      <c r="T230" s="83">
        <f t="shared" si="82"/>
        <v>0</v>
      </c>
      <c r="U230" s="9" t="str">
        <f t="shared" si="92"/>
        <v>SEM VALOR</v>
      </c>
      <c r="V230" s="1" t="str">
        <f ca="1">IF(OR($A230=0,$A230="S",$A230&gt;CFF!$A$9),"",MAX(V$12:OFFSET(V230,-1,0))+1)</f>
        <v/>
      </c>
      <c r="W230" s="4" t="str">
        <f t="shared" si="93"/>
        <v>COTAÇÃO-110</v>
      </c>
      <c r="X230" s="1">
        <f t="shared" ca="1" si="83"/>
        <v>104</v>
      </c>
      <c r="Y230" s="103">
        <v>59.72</v>
      </c>
      <c r="Z230" s="113">
        <f ca="1">ROUND(IF(ISNUMBER(R230),R230,IF(LEFT(R230,3)="BDI",HLOOKUP(R230,DADOS!$T$37:$X$38,2,FALSE),0)),15-11*$X$5)</f>
        <v>0.23130000000000001</v>
      </c>
      <c r="AA230" s="1"/>
    </row>
    <row r="231" spans="1:27" x14ac:dyDescent="0.2">
      <c r="A231" t="str">
        <f t="shared" si="84"/>
        <v>S</v>
      </c>
      <c r="B231">
        <f t="shared" si="85"/>
        <v>0</v>
      </c>
      <c r="C231">
        <f t="shared" ca="1" si="86"/>
        <v>1</v>
      </c>
      <c r="D231">
        <f t="shared" ca="1" si="87"/>
        <v>9</v>
      </c>
      <c r="E231">
        <f t="shared" ca="1" si="88"/>
        <v>1</v>
      </c>
      <c r="F231">
        <f t="shared" ca="1" si="89"/>
        <v>0</v>
      </c>
      <c r="G231">
        <f t="shared" ca="1" si="90"/>
        <v>38</v>
      </c>
      <c r="H231">
        <f t="shared" ca="1" si="79"/>
        <v>0</v>
      </c>
      <c r="I231">
        <f t="shared" ca="1" si="80"/>
        <v>0</v>
      </c>
      <c r="J231" s="355" t="s">
        <v>103</v>
      </c>
      <c r="K231" s="138" t="str">
        <f t="shared" ca="1" si="91"/>
        <v>1.9.1.0.38.</v>
      </c>
      <c r="L231" s="356" t="s">
        <v>370</v>
      </c>
      <c r="M231" s="356" t="s">
        <v>408</v>
      </c>
      <c r="N231" s="360" t="s">
        <v>770</v>
      </c>
      <c r="O231" s="362" t="s">
        <v>952</v>
      </c>
      <c r="P231" s="363">
        <v>3</v>
      </c>
      <c r="Q231" s="195"/>
      <c r="R231" s="198" t="s">
        <v>7</v>
      </c>
      <c r="S231" s="103">
        <f t="shared" si="81"/>
        <v>0</v>
      </c>
      <c r="T231" s="83">
        <f t="shared" si="82"/>
        <v>0</v>
      </c>
      <c r="U231" s="9" t="str">
        <f t="shared" si="92"/>
        <v>SEM VALOR</v>
      </c>
      <c r="V231" s="1" t="str">
        <f ca="1">IF(OR($A231=0,$A231="S",$A231&gt;CFF!$A$9),"",MAX(V$12:OFFSET(V231,-1,0))+1)</f>
        <v/>
      </c>
      <c r="W231" s="4" t="str">
        <f t="shared" si="93"/>
        <v>COTAÇÃO-111</v>
      </c>
      <c r="X231" s="1">
        <f t="shared" ca="1" si="83"/>
        <v>105</v>
      </c>
      <c r="Y231" s="103">
        <v>51.96</v>
      </c>
      <c r="Z231" s="113">
        <f ca="1">ROUND(IF(ISNUMBER(R231),R231,IF(LEFT(R231,3)="BDI",HLOOKUP(R231,DADOS!$T$37:$X$38,2,FALSE),0)),15-11*$X$5)</f>
        <v>0.23130000000000001</v>
      </c>
      <c r="AA231" s="1"/>
    </row>
    <row r="232" spans="1:27" x14ac:dyDescent="0.2">
      <c r="A232" t="str">
        <f t="shared" si="84"/>
        <v>S</v>
      </c>
      <c r="B232">
        <f t="shared" si="85"/>
        <v>0</v>
      </c>
      <c r="C232">
        <f t="shared" ca="1" si="86"/>
        <v>1</v>
      </c>
      <c r="D232">
        <f t="shared" ca="1" si="87"/>
        <v>9</v>
      </c>
      <c r="E232">
        <f t="shared" ca="1" si="88"/>
        <v>1</v>
      </c>
      <c r="F232">
        <f t="shared" ca="1" si="89"/>
        <v>0</v>
      </c>
      <c r="G232">
        <f t="shared" ca="1" si="90"/>
        <v>39</v>
      </c>
      <c r="H232">
        <f t="shared" ca="1" si="79"/>
        <v>0</v>
      </c>
      <c r="I232">
        <f t="shared" ca="1" si="80"/>
        <v>0</v>
      </c>
      <c r="J232" s="355" t="s">
        <v>103</v>
      </c>
      <c r="K232" s="138" t="str">
        <f t="shared" ca="1" si="91"/>
        <v>1.9.1.0.39.</v>
      </c>
      <c r="L232" s="356" t="s">
        <v>370</v>
      </c>
      <c r="M232" s="356" t="s">
        <v>409</v>
      </c>
      <c r="N232" s="360" t="s">
        <v>771</v>
      </c>
      <c r="O232" s="362" t="s">
        <v>951</v>
      </c>
      <c r="P232" s="363">
        <v>65</v>
      </c>
      <c r="Q232" s="195"/>
      <c r="R232" s="198" t="s">
        <v>7</v>
      </c>
      <c r="S232" s="103">
        <f t="shared" si="81"/>
        <v>0</v>
      </c>
      <c r="T232" s="83">
        <f t="shared" si="82"/>
        <v>0</v>
      </c>
      <c r="U232" s="9" t="str">
        <f t="shared" si="92"/>
        <v>SEM VALOR</v>
      </c>
      <c r="V232" s="1" t="str">
        <f ca="1">IF(OR($A232=0,$A232="S",$A232&gt;CFF!$A$9),"",MAX(V$12:OFFSET(V232,-1,0))+1)</f>
        <v/>
      </c>
      <c r="W232" s="4" t="str">
        <f t="shared" si="93"/>
        <v>COTAÇÃO-101</v>
      </c>
      <c r="X232" s="1">
        <f t="shared" ca="1" si="83"/>
        <v>95</v>
      </c>
      <c r="Y232" s="103">
        <v>80.11</v>
      </c>
      <c r="Z232" s="113">
        <f ca="1">ROUND(IF(ISNUMBER(R232),R232,IF(LEFT(R232,3)="BDI",HLOOKUP(R232,DADOS!$T$37:$X$38,2,FALSE),0)),15-11*$X$5)</f>
        <v>0.23130000000000001</v>
      </c>
      <c r="AA232" s="1"/>
    </row>
    <row r="233" spans="1:27" x14ac:dyDescent="0.2">
      <c r="A233" t="str">
        <f t="shared" si="84"/>
        <v>S</v>
      </c>
      <c r="B233">
        <f t="shared" si="85"/>
        <v>0</v>
      </c>
      <c r="C233">
        <f t="shared" ca="1" si="86"/>
        <v>1</v>
      </c>
      <c r="D233">
        <f t="shared" ca="1" si="87"/>
        <v>9</v>
      </c>
      <c r="E233">
        <f t="shared" ca="1" si="88"/>
        <v>1</v>
      </c>
      <c r="F233">
        <f t="shared" ca="1" si="89"/>
        <v>0</v>
      </c>
      <c r="G233">
        <f t="shared" ca="1" si="90"/>
        <v>40</v>
      </c>
      <c r="H233">
        <f t="shared" ca="1" si="79"/>
        <v>0</v>
      </c>
      <c r="I233">
        <f t="shared" ca="1" si="80"/>
        <v>0</v>
      </c>
      <c r="J233" s="355" t="s">
        <v>103</v>
      </c>
      <c r="K233" s="138" t="str">
        <f t="shared" ca="1" si="91"/>
        <v>1.9.1.0.40.</v>
      </c>
      <c r="L233" s="356" t="s">
        <v>370</v>
      </c>
      <c r="M233" s="356" t="s">
        <v>410</v>
      </c>
      <c r="N233" s="360" t="s">
        <v>772</v>
      </c>
      <c r="O233" s="362" t="s">
        <v>951</v>
      </c>
      <c r="P233" s="363">
        <v>17</v>
      </c>
      <c r="Q233" s="195"/>
      <c r="R233" s="198" t="s">
        <v>7</v>
      </c>
      <c r="S233" s="103">
        <f t="shared" si="81"/>
        <v>0</v>
      </c>
      <c r="T233" s="83">
        <f t="shared" si="82"/>
        <v>0</v>
      </c>
      <c r="U233" s="9" t="str">
        <f t="shared" si="92"/>
        <v>SEM VALOR</v>
      </c>
      <c r="V233" s="1" t="str">
        <f ca="1">IF(OR($A233=0,$A233="S",$A233&gt;CFF!$A$9),"",MAX(V$12:OFFSET(V233,-1,0))+1)</f>
        <v/>
      </c>
      <c r="W233" s="4" t="str">
        <f t="shared" si="93"/>
        <v>COTAÇÃO-116</v>
      </c>
      <c r="X233" s="1">
        <f t="shared" ca="1" si="83"/>
        <v>110</v>
      </c>
      <c r="Y233" s="103">
        <v>43.34</v>
      </c>
      <c r="Z233" s="113">
        <f ca="1">ROUND(IF(ISNUMBER(R233),R233,IF(LEFT(R233,3)="BDI",HLOOKUP(R233,DADOS!$T$37:$X$38,2,FALSE),0)),15-11*$X$5)</f>
        <v>0.23130000000000001</v>
      </c>
      <c r="AA233" s="1"/>
    </row>
    <row r="234" spans="1:27" x14ac:dyDescent="0.2">
      <c r="A234" t="str">
        <f t="shared" si="84"/>
        <v>S</v>
      </c>
      <c r="B234">
        <f t="shared" si="85"/>
        <v>0</v>
      </c>
      <c r="C234">
        <f t="shared" ca="1" si="86"/>
        <v>1</v>
      </c>
      <c r="D234">
        <f t="shared" ca="1" si="87"/>
        <v>9</v>
      </c>
      <c r="E234">
        <f t="shared" ca="1" si="88"/>
        <v>1</v>
      </c>
      <c r="F234">
        <f t="shared" ca="1" si="89"/>
        <v>0</v>
      </c>
      <c r="G234">
        <f t="shared" ca="1" si="90"/>
        <v>41</v>
      </c>
      <c r="H234">
        <f t="shared" ca="1" si="79"/>
        <v>0</v>
      </c>
      <c r="I234">
        <f t="shared" ca="1" si="80"/>
        <v>0</v>
      </c>
      <c r="J234" s="355" t="s">
        <v>103</v>
      </c>
      <c r="K234" s="138" t="str">
        <f t="shared" ca="1" si="91"/>
        <v>1.9.1.0.41.</v>
      </c>
      <c r="L234" s="356" t="s">
        <v>370</v>
      </c>
      <c r="M234" s="356" t="s">
        <v>411</v>
      </c>
      <c r="N234" s="360" t="s">
        <v>773</v>
      </c>
      <c r="O234" s="362" t="s">
        <v>952</v>
      </c>
      <c r="P234" s="363">
        <v>44</v>
      </c>
      <c r="Q234" s="195"/>
      <c r="R234" s="198" t="s">
        <v>7</v>
      </c>
      <c r="S234" s="103">
        <f t="shared" si="81"/>
        <v>0</v>
      </c>
      <c r="T234" s="83">
        <f t="shared" si="82"/>
        <v>0</v>
      </c>
      <c r="U234" s="9" t="str">
        <f t="shared" si="92"/>
        <v>SEM VALOR</v>
      </c>
      <c r="V234" s="1" t="str">
        <f ca="1">IF(OR($A234=0,$A234="S",$A234&gt;CFF!$A$9),"",MAX(V$12:OFFSET(V234,-1,0))+1)</f>
        <v/>
      </c>
      <c r="W234" s="4" t="str">
        <f t="shared" si="93"/>
        <v>COTAÇÃO-120</v>
      </c>
      <c r="X234" s="1">
        <f t="shared" ca="1" si="83"/>
        <v>114</v>
      </c>
      <c r="Y234" s="103">
        <v>69.38</v>
      </c>
      <c r="Z234" s="113">
        <f ca="1">ROUND(IF(ISNUMBER(R234),R234,IF(LEFT(R234,3)="BDI",HLOOKUP(R234,DADOS!$T$37:$X$38,2,FALSE),0)),15-11*$X$5)</f>
        <v>0.23130000000000001</v>
      </c>
      <c r="AA234" s="1"/>
    </row>
    <row r="235" spans="1:27" x14ac:dyDescent="0.2">
      <c r="A235" t="str">
        <f t="shared" si="84"/>
        <v>S</v>
      </c>
      <c r="B235">
        <f t="shared" si="85"/>
        <v>0</v>
      </c>
      <c r="C235">
        <f t="shared" ca="1" si="86"/>
        <v>1</v>
      </c>
      <c r="D235">
        <f t="shared" ca="1" si="87"/>
        <v>9</v>
      </c>
      <c r="E235">
        <f t="shared" ca="1" si="88"/>
        <v>1</v>
      </c>
      <c r="F235">
        <f t="shared" ca="1" si="89"/>
        <v>0</v>
      </c>
      <c r="G235">
        <f t="shared" ca="1" si="90"/>
        <v>42</v>
      </c>
      <c r="H235">
        <f t="shared" ca="1" si="79"/>
        <v>0</v>
      </c>
      <c r="I235">
        <f t="shared" ca="1" si="80"/>
        <v>0</v>
      </c>
      <c r="J235" s="355" t="s">
        <v>103</v>
      </c>
      <c r="K235" s="138" t="str">
        <f t="shared" ca="1" si="91"/>
        <v>1.9.1.0.42.</v>
      </c>
      <c r="L235" s="356" t="s">
        <v>370</v>
      </c>
      <c r="M235" s="356" t="s">
        <v>412</v>
      </c>
      <c r="N235" s="360" t="s">
        <v>774</v>
      </c>
      <c r="O235" s="362" t="s">
        <v>954</v>
      </c>
      <c r="P235" s="363">
        <v>303.3</v>
      </c>
      <c r="Q235" s="195"/>
      <c r="R235" s="198" t="s">
        <v>7</v>
      </c>
      <c r="S235" s="103">
        <f t="shared" si="81"/>
        <v>0</v>
      </c>
      <c r="T235" s="83">
        <f t="shared" si="82"/>
        <v>0</v>
      </c>
      <c r="U235" s="9" t="str">
        <f t="shared" si="92"/>
        <v>SEM VALOR</v>
      </c>
      <c r="V235" s="1" t="str">
        <f ca="1">IF(OR($A235=0,$A235="S",$A235&gt;CFF!$A$9),"",MAX(V$12:OFFSET(V235,-1,0))+1)</f>
        <v/>
      </c>
      <c r="W235" s="4" t="str">
        <f t="shared" si="93"/>
        <v>COTAÇÃO-131</v>
      </c>
      <c r="X235" s="1">
        <f t="shared" ca="1" si="83"/>
        <v>125</v>
      </c>
      <c r="Y235" s="103">
        <v>52.95</v>
      </c>
      <c r="Z235" s="113">
        <f ca="1">ROUND(IF(ISNUMBER(R235),R235,IF(LEFT(R235,3)="BDI",HLOOKUP(R235,DADOS!$T$37:$X$38,2,FALSE),0)),15-11*$X$5)</f>
        <v>0.23130000000000001</v>
      </c>
      <c r="AA235" s="1"/>
    </row>
    <row r="236" spans="1:27" x14ac:dyDescent="0.2">
      <c r="A236" t="str">
        <f t="shared" si="84"/>
        <v>S</v>
      </c>
      <c r="B236">
        <f t="shared" si="85"/>
        <v>0</v>
      </c>
      <c r="C236">
        <f t="shared" ca="1" si="86"/>
        <v>1</v>
      </c>
      <c r="D236">
        <f t="shared" ca="1" si="87"/>
        <v>9</v>
      </c>
      <c r="E236">
        <f t="shared" ca="1" si="88"/>
        <v>1</v>
      </c>
      <c r="F236">
        <f t="shared" ca="1" si="89"/>
        <v>0</v>
      </c>
      <c r="G236">
        <f t="shared" ca="1" si="90"/>
        <v>43</v>
      </c>
      <c r="H236">
        <f t="shared" ca="1" si="79"/>
        <v>0</v>
      </c>
      <c r="I236">
        <f t="shared" ca="1" si="80"/>
        <v>0</v>
      </c>
      <c r="J236" s="355" t="s">
        <v>103</v>
      </c>
      <c r="K236" s="138" t="str">
        <f t="shared" ca="1" si="91"/>
        <v>1.9.1.0.43.</v>
      </c>
      <c r="L236" s="356" t="s">
        <v>370</v>
      </c>
      <c r="M236" s="356" t="s">
        <v>413</v>
      </c>
      <c r="N236" s="360" t="s">
        <v>775</v>
      </c>
      <c r="O236" s="362" t="s">
        <v>945</v>
      </c>
      <c r="P236" s="363">
        <v>606.6</v>
      </c>
      <c r="Q236" s="195"/>
      <c r="R236" s="198" t="s">
        <v>7</v>
      </c>
      <c r="S236" s="103">
        <f t="shared" si="81"/>
        <v>0</v>
      </c>
      <c r="T236" s="83">
        <f t="shared" si="82"/>
        <v>0</v>
      </c>
      <c r="U236" s="9" t="str">
        <f t="shared" si="92"/>
        <v>SEM VALOR</v>
      </c>
      <c r="V236" s="1" t="str">
        <f ca="1">IF(OR($A236=0,$A236="S",$A236&gt;CFF!$A$9),"",MAX(V$12:OFFSET(V236,-1,0))+1)</f>
        <v/>
      </c>
      <c r="W236" s="4" t="str">
        <f t="shared" si="93"/>
        <v>COTAÇÃO-132</v>
      </c>
      <c r="X236" s="1">
        <f t="shared" ca="1" si="83"/>
        <v>126</v>
      </c>
      <c r="Y236" s="103">
        <v>22.78</v>
      </c>
      <c r="Z236" s="113">
        <f ca="1">ROUND(IF(ISNUMBER(R236),R236,IF(LEFT(R236,3)="BDI",HLOOKUP(R236,DADOS!$T$37:$X$38,2,FALSE),0)),15-11*$X$5)</f>
        <v>0.23130000000000001</v>
      </c>
      <c r="AA236" s="1"/>
    </row>
    <row r="237" spans="1:27" x14ac:dyDescent="0.2">
      <c r="A237" t="str">
        <f t="shared" si="84"/>
        <v>S</v>
      </c>
      <c r="B237">
        <f t="shared" si="85"/>
        <v>0</v>
      </c>
      <c r="C237">
        <f t="shared" ca="1" si="86"/>
        <v>1</v>
      </c>
      <c r="D237">
        <f t="shared" ca="1" si="87"/>
        <v>9</v>
      </c>
      <c r="E237">
        <f t="shared" ca="1" si="88"/>
        <v>1</v>
      </c>
      <c r="F237">
        <f t="shared" ca="1" si="89"/>
        <v>0</v>
      </c>
      <c r="G237">
        <f t="shared" ca="1" si="90"/>
        <v>44</v>
      </c>
      <c r="H237">
        <f t="shared" ca="1" si="79"/>
        <v>0</v>
      </c>
      <c r="I237">
        <f t="shared" ca="1" si="80"/>
        <v>0</v>
      </c>
      <c r="J237" s="355" t="s">
        <v>103</v>
      </c>
      <c r="K237" s="138" t="str">
        <f t="shared" ca="1" si="91"/>
        <v>1.9.1.0.44.</v>
      </c>
      <c r="L237" s="356" t="s">
        <v>370</v>
      </c>
      <c r="M237" s="356" t="s">
        <v>414</v>
      </c>
      <c r="N237" s="360" t="s">
        <v>776</v>
      </c>
      <c r="O237" s="362" t="s">
        <v>945</v>
      </c>
      <c r="P237" s="363">
        <v>303.3</v>
      </c>
      <c r="Q237" s="195"/>
      <c r="R237" s="198" t="s">
        <v>7</v>
      </c>
      <c r="S237" s="103">
        <f t="shared" si="81"/>
        <v>0</v>
      </c>
      <c r="T237" s="83">
        <f t="shared" si="82"/>
        <v>0</v>
      </c>
      <c r="U237" s="9" t="str">
        <f t="shared" si="92"/>
        <v>SEM VALOR</v>
      </c>
      <c r="V237" s="1" t="str">
        <f ca="1">IF(OR($A237=0,$A237="S",$A237&gt;CFF!$A$9),"",MAX(V$12:OFFSET(V237,-1,0))+1)</f>
        <v/>
      </c>
      <c r="W237" s="4" t="str">
        <f t="shared" si="93"/>
        <v>COTAÇÃO-133</v>
      </c>
      <c r="X237" s="1">
        <f t="shared" ca="1" si="83"/>
        <v>127</v>
      </c>
      <c r="Y237" s="103">
        <v>65.010000000000005</v>
      </c>
      <c r="Z237" s="113">
        <f ca="1">ROUND(IF(ISNUMBER(R237),R237,IF(LEFT(R237,3)="BDI",HLOOKUP(R237,DADOS!$T$37:$X$38,2,FALSE),0)),15-11*$X$5)</f>
        <v>0.23130000000000001</v>
      </c>
      <c r="AA237" s="1"/>
    </row>
    <row r="238" spans="1:27" x14ac:dyDescent="0.2">
      <c r="A238" t="str">
        <f t="shared" si="84"/>
        <v>S</v>
      </c>
      <c r="B238">
        <f t="shared" si="85"/>
        <v>0</v>
      </c>
      <c r="C238">
        <f t="shared" ca="1" si="86"/>
        <v>1</v>
      </c>
      <c r="D238">
        <f t="shared" ca="1" si="87"/>
        <v>9</v>
      </c>
      <c r="E238">
        <f t="shared" ca="1" si="88"/>
        <v>1</v>
      </c>
      <c r="F238">
        <f t="shared" ca="1" si="89"/>
        <v>0</v>
      </c>
      <c r="G238">
        <f t="shared" ca="1" si="90"/>
        <v>45</v>
      </c>
      <c r="H238">
        <f t="shared" ca="1" si="79"/>
        <v>0</v>
      </c>
      <c r="I238">
        <f t="shared" ca="1" si="80"/>
        <v>0</v>
      </c>
      <c r="J238" s="355" t="s">
        <v>103</v>
      </c>
      <c r="K238" s="138" t="str">
        <f t="shared" ca="1" si="91"/>
        <v>1.9.1.0.45.</v>
      </c>
      <c r="L238" s="356" t="s">
        <v>370</v>
      </c>
      <c r="M238" s="356" t="s">
        <v>415</v>
      </c>
      <c r="N238" s="360" t="s">
        <v>777</v>
      </c>
      <c r="O238" s="362" t="s">
        <v>951</v>
      </c>
      <c r="P238" s="363">
        <v>64</v>
      </c>
      <c r="Q238" s="195"/>
      <c r="R238" s="198" t="s">
        <v>7</v>
      </c>
      <c r="S238" s="103">
        <f t="shared" si="81"/>
        <v>0</v>
      </c>
      <c r="T238" s="83">
        <f t="shared" si="82"/>
        <v>0</v>
      </c>
      <c r="U238" s="9" t="str">
        <f t="shared" si="92"/>
        <v>SEM VALOR</v>
      </c>
      <c r="V238" s="1" t="str">
        <f ca="1">IF(OR($A238=0,$A238="S",$A238&gt;CFF!$A$9),"",MAX(V$12:OFFSET(V238,-1,0))+1)</f>
        <v/>
      </c>
      <c r="W238" s="4" t="str">
        <f t="shared" si="93"/>
        <v>COTAÇÃO-134</v>
      </c>
      <c r="X238" s="1">
        <f t="shared" ca="1" si="83"/>
        <v>128</v>
      </c>
      <c r="Y238" s="103">
        <v>223.73</v>
      </c>
      <c r="Z238" s="113">
        <f ca="1">ROUND(IF(ISNUMBER(R238),R238,IF(LEFT(R238,3)="BDI",HLOOKUP(R238,DADOS!$T$37:$X$38,2,FALSE),0)),15-11*$X$5)</f>
        <v>0.23130000000000001</v>
      </c>
      <c r="AA238" s="1"/>
    </row>
    <row r="239" spans="1:27" x14ac:dyDescent="0.2">
      <c r="A239" t="str">
        <f t="shared" si="84"/>
        <v>S</v>
      </c>
      <c r="B239">
        <f t="shared" si="85"/>
        <v>0</v>
      </c>
      <c r="C239">
        <f t="shared" ca="1" si="86"/>
        <v>1</v>
      </c>
      <c r="D239">
        <f t="shared" ca="1" si="87"/>
        <v>9</v>
      </c>
      <c r="E239">
        <f t="shared" ca="1" si="88"/>
        <v>1</v>
      </c>
      <c r="F239">
        <f t="shared" ca="1" si="89"/>
        <v>0</v>
      </c>
      <c r="G239">
        <f t="shared" ca="1" si="90"/>
        <v>46</v>
      </c>
      <c r="H239">
        <f t="shared" ca="1" si="79"/>
        <v>0</v>
      </c>
      <c r="I239">
        <f t="shared" ca="1" si="80"/>
        <v>0</v>
      </c>
      <c r="J239" s="355" t="s">
        <v>103</v>
      </c>
      <c r="K239" s="138" t="str">
        <f t="shared" ca="1" si="91"/>
        <v>1.9.1.0.46.</v>
      </c>
      <c r="L239" s="356" t="s">
        <v>370</v>
      </c>
      <c r="M239" s="356" t="s">
        <v>416</v>
      </c>
      <c r="N239" s="360" t="s">
        <v>778</v>
      </c>
      <c r="O239" s="362" t="s">
        <v>945</v>
      </c>
      <c r="P239" s="363">
        <v>303.3</v>
      </c>
      <c r="Q239" s="195"/>
      <c r="R239" s="198" t="s">
        <v>7</v>
      </c>
      <c r="S239" s="103">
        <f t="shared" si="81"/>
        <v>0</v>
      </c>
      <c r="T239" s="83">
        <f t="shared" si="82"/>
        <v>0</v>
      </c>
      <c r="U239" s="9" t="str">
        <f t="shared" si="92"/>
        <v>SEM VALOR</v>
      </c>
      <c r="V239" s="1" t="str">
        <f ca="1">IF(OR($A239=0,$A239="S",$A239&gt;CFF!$A$9),"",MAX(V$12:OFFSET(V239,-1,0))+1)</f>
        <v/>
      </c>
      <c r="W239" s="4" t="str">
        <f t="shared" si="93"/>
        <v>COTAÇÃO-136</v>
      </c>
      <c r="X239" s="1">
        <f t="shared" ca="1" si="83"/>
        <v>130</v>
      </c>
      <c r="Y239" s="103">
        <v>58.18</v>
      </c>
      <c r="Z239" s="113">
        <f ca="1">ROUND(IF(ISNUMBER(R239),R239,IF(LEFT(R239,3)="BDI",HLOOKUP(R239,DADOS!$T$37:$X$38,2,FALSE),0)),15-11*$X$5)</f>
        <v>0.23130000000000001</v>
      </c>
      <c r="AA239" s="1"/>
    </row>
    <row r="240" spans="1:27" x14ac:dyDescent="0.2">
      <c r="A240">
        <f t="shared" si="84"/>
        <v>2</v>
      </c>
      <c r="B240">
        <f t="shared" ca="1" si="85"/>
        <v>84</v>
      </c>
      <c r="C240">
        <f t="shared" ca="1" si="86"/>
        <v>1</v>
      </c>
      <c r="D240">
        <f t="shared" ca="1" si="87"/>
        <v>10</v>
      </c>
      <c r="E240">
        <f t="shared" ca="1" si="88"/>
        <v>0</v>
      </c>
      <c r="F240">
        <f t="shared" ca="1" si="89"/>
        <v>0</v>
      </c>
      <c r="G240">
        <f t="shared" ca="1" si="90"/>
        <v>0</v>
      </c>
      <c r="H240">
        <f t="shared" ca="1" si="79"/>
        <v>182</v>
      </c>
      <c r="I240">
        <f t="shared" ca="1" si="80"/>
        <v>84</v>
      </c>
      <c r="J240" s="355" t="s">
        <v>100</v>
      </c>
      <c r="K240" s="138" t="str">
        <f t="shared" ca="1" si="91"/>
        <v>1.10.</v>
      </c>
      <c r="L240" s="356" t="s">
        <v>230</v>
      </c>
      <c r="M240" s="356"/>
      <c r="N240" s="360" t="s">
        <v>603</v>
      </c>
      <c r="O240" s="362" t="s">
        <v>106</v>
      </c>
      <c r="P240" s="363"/>
      <c r="Q240" s="195"/>
      <c r="R240" s="198" t="s">
        <v>7</v>
      </c>
      <c r="S240" s="103">
        <f t="shared" si="81"/>
        <v>0</v>
      </c>
      <c r="T240" s="83">
        <f t="shared" ca="1" si="82"/>
        <v>0</v>
      </c>
      <c r="U240" s="9" t="str">
        <f t="shared" ca="1" si="92"/>
        <v>SEM VALOR</v>
      </c>
      <c r="V240" s="1">
        <f ca="1">IF(OR($A240=0,$A240="S",$A240&gt;CFF!$A$9),"",MAX(V$12:OFFSET(V240,-1,0))+1)</f>
        <v>11</v>
      </c>
      <c r="W240" s="4" t="b">
        <f t="shared" si="93"/>
        <v>0</v>
      </c>
      <c r="X240" s="1" t="str">
        <f t="shared" ca="1" si="83"/>
        <v>X</v>
      </c>
      <c r="Y240" s="103">
        <v>0</v>
      </c>
      <c r="Z240" s="113">
        <f ca="1">ROUND(IF(ISNUMBER(R240),R240,IF(LEFT(R240,3)="BDI",HLOOKUP(R240,DADOS!$T$37:$X$38,2,FALSE),0)),15-11*$X$5)</f>
        <v>0.23130000000000001</v>
      </c>
      <c r="AA240" s="1"/>
    </row>
    <row r="241" spans="1:27" x14ac:dyDescent="0.2">
      <c r="A241">
        <f t="shared" si="84"/>
        <v>3</v>
      </c>
      <c r="B241">
        <f t="shared" ca="1" si="85"/>
        <v>22</v>
      </c>
      <c r="C241">
        <f t="shared" ca="1" si="86"/>
        <v>1</v>
      </c>
      <c r="D241">
        <f t="shared" ca="1" si="87"/>
        <v>10</v>
      </c>
      <c r="E241">
        <f t="shared" ca="1" si="88"/>
        <v>1</v>
      </c>
      <c r="F241">
        <f t="shared" ca="1" si="89"/>
        <v>0</v>
      </c>
      <c r="G241">
        <f t="shared" ca="1" si="90"/>
        <v>0</v>
      </c>
      <c r="H241">
        <f t="shared" ca="1" si="79"/>
        <v>83</v>
      </c>
      <c r="I241">
        <f t="shared" ca="1" si="80"/>
        <v>22</v>
      </c>
      <c r="J241" s="355" t="s">
        <v>101</v>
      </c>
      <c r="K241" s="138" t="str">
        <f t="shared" ca="1" si="91"/>
        <v>1.10.1.</v>
      </c>
      <c r="L241" s="356" t="s">
        <v>230</v>
      </c>
      <c r="M241" s="356"/>
      <c r="N241" s="360" t="s">
        <v>604</v>
      </c>
      <c r="O241" s="362" t="s">
        <v>106</v>
      </c>
      <c r="P241" s="363"/>
      <c r="Q241" s="195"/>
      <c r="R241" s="198" t="s">
        <v>7</v>
      </c>
      <c r="S241" s="103">
        <f t="shared" si="81"/>
        <v>0</v>
      </c>
      <c r="T241" s="83">
        <f t="shared" ca="1" si="82"/>
        <v>0</v>
      </c>
      <c r="U241" s="9" t="str">
        <f t="shared" ca="1" si="92"/>
        <v>SEM VALOR</v>
      </c>
      <c r="V241" s="1" t="str">
        <f ca="1">IF(OR($A241=0,$A241="S",$A241&gt;CFF!$A$9),"",MAX(V$12:OFFSET(V241,-1,0))+1)</f>
        <v/>
      </c>
      <c r="W241" s="4" t="b">
        <f t="shared" si="93"/>
        <v>0</v>
      </c>
      <c r="X241" s="1" t="str">
        <f t="shared" ca="1" si="83"/>
        <v>X</v>
      </c>
      <c r="Y241" s="103">
        <v>0</v>
      </c>
      <c r="Z241" s="113">
        <f ca="1">ROUND(IF(ISNUMBER(R241),R241,IF(LEFT(R241,3)="BDI",HLOOKUP(R241,DADOS!$T$37:$X$38,2,FALSE),0)),15-11*$X$5)</f>
        <v>0.23130000000000001</v>
      </c>
      <c r="AA241" s="1"/>
    </row>
    <row r="242" spans="1:27" ht="25.5" x14ac:dyDescent="0.2">
      <c r="A242" t="str">
        <f t="shared" si="84"/>
        <v>S</v>
      </c>
      <c r="B242">
        <f t="shared" si="85"/>
        <v>0</v>
      </c>
      <c r="C242">
        <f t="shared" ca="1" si="86"/>
        <v>1</v>
      </c>
      <c r="D242">
        <f t="shared" ca="1" si="87"/>
        <v>10</v>
      </c>
      <c r="E242">
        <f t="shared" ca="1" si="88"/>
        <v>1</v>
      </c>
      <c r="F242">
        <f t="shared" ca="1" si="89"/>
        <v>0</v>
      </c>
      <c r="G242">
        <f t="shared" ca="1" si="90"/>
        <v>1</v>
      </c>
      <c r="H242">
        <f t="shared" ca="1" si="79"/>
        <v>0</v>
      </c>
      <c r="I242">
        <f t="shared" ca="1" si="80"/>
        <v>0</v>
      </c>
      <c r="J242" s="355" t="s">
        <v>103</v>
      </c>
      <c r="K242" s="138" t="str">
        <f t="shared" ca="1" si="91"/>
        <v>1.10.1.0.1.</v>
      </c>
      <c r="L242" s="356" t="s">
        <v>230</v>
      </c>
      <c r="M242" s="356" t="s">
        <v>417</v>
      </c>
      <c r="N242" s="360" t="s">
        <v>779</v>
      </c>
      <c r="O242" s="362" t="s">
        <v>944</v>
      </c>
      <c r="P242" s="363">
        <v>37</v>
      </c>
      <c r="Q242" s="195"/>
      <c r="R242" s="198" t="s">
        <v>7</v>
      </c>
      <c r="S242" s="103">
        <f t="shared" si="81"/>
        <v>0</v>
      </c>
      <c r="T242" s="83">
        <f t="shared" si="82"/>
        <v>0</v>
      </c>
      <c r="U242" s="9" t="str">
        <f t="shared" si="92"/>
        <v>SEM VALOR</v>
      </c>
      <c r="V242" s="1" t="str">
        <f ca="1">IF(OR($A242=0,$A242="S",$A242&gt;CFF!$A$9),"",MAX(V$12:OFFSET(V242,-1,0))+1)</f>
        <v/>
      </c>
      <c r="W242" s="4" t="str">
        <f t="shared" si="93"/>
        <v>SINAPI-89383</v>
      </c>
      <c r="X242" s="1">
        <f t="shared" ca="1" si="83"/>
        <v>10683</v>
      </c>
      <c r="Y242" s="103">
        <v>9.2200000000000006</v>
      </c>
      <c r="Z242" s="113">
        <f ca="1">ROUND(IF(ISNUMBER(R242),R242,IF(LEFT(R242,3)="BDI",HLOOKUP(R242,DADOS!$T$37:$X$38,2,FALSE),0)),15-11*$X$5)</f>
        <v>0.23130000000000001</v>
      </c>
      <c r="AA242" s="1"/>
    </row>
    <row r="243" spans="1:27" ht="25.5" x14ac:dyDescent="0.2">
      <c r="A243" t="str">
        <f t="shared" si="84"/>
        <v>S</v>
      </c>
      <c r="B243">
        <f t="shared" si="85"/>
        <v>0</v>
      </c>
      <c r="C243">
        <f t="shared" ca="1" si="86"/>
        <v>1</v>
      </c>
      <c r="D243">
        <f t="shared" ca="1" si="87"/>
        <v>10</v>
      </c>
      <c r="E243">
        <f t="shared" ca="1" si="88"/>
        <v>1</v>
      </c>
      <c r="F243">
        <f t="shared" ca="1" si="89"/>
        <v>0</v>
      </c>
      <c r="G243">
        <f t="shared" ca="1" si="90"/>
        <v>2</v>
      </c>
      <c r="H243">
        <f t="shared" ca="1" si="79"/>
        <v>0</v>
      </c>
      <c r="I243">
        <f t="shared" ca="1" si="80"/>
        <v>0</v>
      </c>
      <c r="J243" s="355" t="s">
        <v>103</v>
      </c>
      <c r="K243" s="138" t="str">
        <f t="shared" ca="1" si="91"/>
        <v>1.10.1.0.2.</v>
      </c>
      <c r="L243" s="356" t="s">
        <v>230</v>
      </c>
      <c r="M243" s="356" t="s">
        <v>418</v>
      </c>
      <c r="N243" s="360" t="s">
        <v>780</v>
      </c>
      <c r="O243" s="362" t="s">
        <v>944</v>
      </c>
      <c r="P243" s="363">
        <v>11</v>
      </c>
      <c r="Q243" s="195"/>
      <c r="R243" s="198" t="s">
        <v>7</v>
      </c>
      <c r="S243" s="103">
        <f t="shared" si="81"/>
        <v>0</v>
      </c>
      <c r="T243" s="83">
        <f t="shared" si="82"/>
        <v>0</v>
      </c>
      <c r="U243" s="9" t="str">
        <f t="shared" si="92"/>
        <v>SEM VALOR</v>
      </c>
      <c r="V243" s="1" t="str">
        <f ca="1">IF(OR($A243=0,$A243="S",$A243&gt;CFF!$A$9),"",MAX(V$12:OFFSET(V243,-1,0))+1)</f>
        <v/>
      </c>
      <c r="W243" s="4" t="str">
        <f t="shared" si="93"/>
        <v>SINAPI-104001</v>
      </c>
      <c r="X243" s="1">
        <f t="shared" ca="1" si="83"/>
        <v>10691</v>
      </c>
      <c r="Y243" s="103">
        <v>19.53</v>
      </c>
      <c r="Z243" s="113">
        <f ca="1">ROUND(IF(ISNUMBER(R243),R243,IF(LEFT(R243,3)="BDI",HLOOKUP(R243,DADOS!$T$37:$X$38,2,FALSE),0)),15-11*$X$5)</f>
        <v>0.23130000000000001</v>
      </c>
      <c r="AA243" s="1"/>
    </row>
    <row r="244" spans="1:27" ht="25.5" x14ac:dyDescent="0.2">
      <c r="A244" t="str">
        <f t="shared" si="84"/>
        <v>S</v>
      </c>
      <c r="B244">
        <f t="shared" si="85"/>
        <v>0</v>
      </c>
      <c r="C244">
        <f t="shared" ca="1" si="86"/>
        <v>1</v>
      </c>
      <c r="D244">
        <f t="shared" ca="1" si="87"/>
        <v>10</v>
      </c>
      <c r="E244">
        <f t="shared" ca="1" si="88"/>
        <v>1</v>
      </c>
      <c r="F244">
        <f t="shared" ca="1" si="89"/>
        <v>0</v>
      </c>
      <c r="G244">
        <f t="shared" ca="1" si="90"/>
        <v>3</v>
      </c>
      <c r="H244">
        <f t="shared" ca="1" si="79"/>
        <v>0</v>
      </c>
      <c r="I244">
        <f t="shared" ca="1" si="80"/>
        <v>0</v>
      </c>
      <c r="J244" s="355" t="s">
        <v>103</v>
      </c>
      <c r="K244" s="138" t="str">
        <f t="shared" ca="1" si="91"/>
        <v>1.10.1.0.3.</v>
      </c>
      <c r="L244" s="356" t="s">
        <v>230</v>
      </c>
      <c r="M244" s="356" t="s">
        <v>419</v>
      </c>
      <c r="N244" s="360" t="s">
        <v>781</v>
      </c>
      <c r="O244" s="362" t="s">
        <v>944</v>
      </c>
      <c r="P244" s="363">
        <v>14</v>
      </c>
      <c r="Q244" s="195"/>
      <c r="R244" s="198" t="s">
        <v>7</v>
      </c>
      <c r="S244" s="103">
        <f t="shared" si="81"/>
        <v>0</v>
      </c>
      <c r="T244" s="83">
        <f t="shared" si="82"/>
        <v>0</v>
      </c>
      <c r="U244" s="9" t="str">
        <f t="shared" si="92"/>
        <v>SEM VALOR</v>
      </c>
      <c r="V244" s="1" t="str">
        <f ca="1">IF(OR($A244=0,$A244="S",$A244&gt;CFF!$A$9),"",MAX(V$12:OFFSET(V244,-1,0))+1)</f>
        <v/>
      </c>
      <c r="W244" s="4" t="str">
        <f t="shared" si="93"/>
        <v>SINAPI-103999</v>
      </c>
      <c r="X244" s="1">
        <f t="shared" ca="1" si="83"/>
        <v>10712</v>
      </c>
      <c r="Y244" s="103">
        <v>17.73</v>
      </c>
      <c r="Z244" s="113">
        <f ca="1">ROUND(IF(ISNUMBER(R244),R244,IF(LEFT(R244,3)="BDI",HLOOKUP(R244,DADOS!$T$37:$X$38,2,FALSE),0)),15-11*$X$5)</f>
        <v>0.23130000000000001</v>
      </c>
      <c r="AA244" s="1"/>
    </row>
    <row r="245" spans="1:27" ht="25.5" x14ac:dyDescent="0.2">
      <c r="A245" t="str">
        <f t="shared" si="84"/>
        <v>S</v>
      </c>
      <c r="B245">
        <f t="shared" si="85"/>
        <v>0</v>
      </c>
      <c r="C245">
        <f t="shared" ca="1" si="86"/>
        <v>1</v>
      </c>
      <c r="D245">
        <f t="shared" ca="1" si="87"/>
        <v>10</v>
      </c>
      <c r="E245">
        <f t="shared" ca="1" si="88"/>
        <v>1</v>
      </c>
      <c r="F245">
        <f t="shared" ca="1" si="89"/>
        <v>0</v>
      </c>
      <c r="G245">
        <f t="shared" ca="1" si="90"/>
        <v>4</v>
      </c>
      <c r="H245">
        <f t="shared" ca="1" si="79"/>
        <v>0</v>
      </c>
      <c r="I245">
        <f t="shared" ca="1" si="80"/>
        <v>0</v>
      </c>
      <c r="J245" s="355" t="s">
        <v>103</v>
      </c>
      <c r="K245" s="138" t="str">
        <f t="shared" ca="1" si="91"/>
        <v>1.10.1.0.4.</v>
      </c>
      <c r="L245" s="356" t="s">
        <v>230</v>
      </c>
      <c r="M245" s="356" t="s">
        <v>420</v>
      </c>
      <c r="N245" s="360" t="s">
        <v>782</v>
      </c>
      <c r="O245" s="362" t="s">
        <v>944</v>
      </c>
      <c r="P245" s="363">
        <v>2</v>
      </c>
      <c r="Q245" s="195"/>
      <c r="R245" s="198" t="s">
        <v>7</v>
      </c>
      <c r="S245" s="103">
        <f t="shared" si="81"/>
        <v>0</v>
      </c>
      <c r="T245" s="83">
        <f t="shared" si="82"/>
        <v>0</v>
      </c>
      <c r="U245" s="9" t="str">
        <f t="shared" si="92"/>
        <v>SEM VALOR</v>
      </c>
      <c r="V245" s="1" t="str">
        <f ca="1">IF(OR($A245=0,$A245="S",$A245&gt;CFF!$A$9),"",MAX(V$12:OFFSET(V245,-1,0))+1)</f>
        <v/>
      </c>
      <c r="W245" s="4" t="str">
        <f t="shared" si="93"/>
        <v>SINAPI-103972</v>
      </c>
      <c r="X245" s="1">
        <f t="shared" ca="1" si="83"/>
        <v>10718</v>
      </c>
      <c r="Y245" s="103">
        <v>42.01</v>
      </c>
      <c r="Z245" s="113">
        <f ca="1">ROUND(IF(ISNUMBER(R245),R245,IF(LEFT(R245,3)="BDI",HLOOKUP(R245,DADOS!$T$37:$X$38,2,FALSE),0)),15-11*$X$5)</f>
        <v>0.23130000000000001</v>
      </c>
      <c r="AA245" s="1"/>
    </row>
    <row r="246" spans="1:27" ht="25.5" x14ac:dyDescent="0.2">
      <c r="A246" t="str">
        <f t="shared" si="84"/>
        <v>S</v>
      </c>
      <c r="B246">
        <f t="shared" si="85"/>
        <v>0</v>
      </c>
      <c r="C246">
        <f t="shared" ca="1" si="86"/>
        <v>1</v>
      </c>
      <c r="D246">
        <f t="shared" ca="1" si="87"/>
        <v>10</v>
      </c>
      <c r="E246">
        <f t="shared" ca="1" si="88"/>
        <v>1</v>
      </c>
      <c r="F246">
        <f t="shared" ca="1" si="89"/>
        <v>0</v>
      </c>
      <c r="G246">
        <f t="shared" ca="1" si="90"/>
        <v>5</v>
      </c>
      <c r="H246">
        <f t="shared" ca="1" si="79"/>
        <v>0</v>
      </c>
      <c r="I246">
        <f t="shared" ca="1" si="80"/>
        <v>0</v>
      </c>
      <c r="J246" s="355" t="s">
        <v>103</v>
      </c>
      <c r="K246" s="138" t="str">
        <f t="shared" ca="1" si="91"/>
        <v>1.10.1.0.5.</v>
      </c>
      <c r="L246" s="356" t="s">
        <v>230</v>
      </c>
      <c r="M246" s="356" t="s">
        <v>421</v>
      </c>
      <c r="N246" s="360" t="s">
        <v>783</v>
      </c>
      <c r="O246" s="362" t="s">
        <v>944</v>
      </c>
      <c r="P246" s="363">
        <v>33</v>
      </c>
      <c r="Q246" s="195"/>
      <c r="R246" s="198" t="s">
        <v>7</v>
      </c>
      <c r="S246" s="103">
        <f t="shared" si="81"/>
        <v>0</v>
      </c>
      <c r="T246" s="83">
        <f t="shared" si="82"/>
        <v>0</v>
      </c>
      <c r="U246" s="9" t="str">
        <f t="shared" si="92"/>
        <v>SEM VALOR</v>
      </c>
      <c r="V246" s="1" t="str">
        <f ca="1">IF(OR($A246=0,$A246="S",$A246&gt;CFF!$A$9),"",MAX(V$12:OFFSET(V246,-1,0))+1)</f>
        <v/>
      </c>
      <c r="W246" s="4" t="str">
        <f t="shared" si="93"/>
        <v>SINAPI-89362</v>
      </c>
      <c r="X246" s="1">
        <f t="shared" ca="1" si="83"/>
        <v>10779</v>
      </c>
      <c r="Y246" s="103">
        <v>13.15</v>
      </c>
      <c r="Z246" s="113">
        <f ca="1">ROUND(IF(ISNUMBER(R246),R246,IF(LEFT(R246,3)="BDI",HLOOKUP(R246,DADOS!$T$37:$X$38,2,FALSE),0)),15-11*$X$5)</f>
        <v>0.23130000000000001</v>
      </c>
      <c r="AA246" s="1"/>
    </row>
    <row r="247" spans="1:27" ht="25.5" x14ac:dyDescent="0.2">
      <c r="A247" t="str">
        <f t="shared" si="84"/>
        <v>S</v>
      </c>
      <c r="B247">
        <f t="shared" si="85"/>
        <v>0</v>
      </c>
      <c r="C247">
        <f t="shared" ca="1" si="86"/>
        <v>1</v>
      </c>
      <c r="D247">
        <f t="shared" ca="1" si="87"/>
        <v>10</v>
      </c>
      <c r="E247">
        <f t="shared" ca="1" si="88"/>
        <v>1</v>
      </c>
      <c r="F247">
        <f t="shared" ca="1" si="89"/>
        <v>0</v>
      </c>
      <c r="G247">
        <f t="shared" ca="1" si="90"/>
        <v>6</v>
      </c>
      <c r="H247">
        <f t="shared" ca="1" si="79"/>
        <v>0</v>
      </c>
      <c r="I247">
        <f t="shared" ca="1" si="80"/>
        <v>0</v>
      </c>
      <c r="J247" s="355" t="s">
        <v>103</v>
      </c>
      <c r="K247" s="138" t="str">
        <f t="shared" ca="1" si="91"/>
        <v>1.10.1.0.6.</v>
      </c>
      <c r="L247" s="356" t="s">
        <v>230</v>
      </c>
      <c r="M247" s="356" t="s">
        <v>422</v>
      </c>
      <c r="N247" s="360" t="s">
        <v>784</v>
      </c>
      <c r="O247" s="362" t="s">
        <v>944</v>
      </c>
      <c r="P247" s="363">
        <v>9</v>
      </c>
      <c r="Q247" s="195"/>
      <c r="R247" s="198" t="s">
        <v>7</v>
      </c>
      <c r="S247" s="103">
        <f t="shared" si="81"/>
        <v>0</v>
      </c>
      <c r="T247" s="83">
        <f t="shared" si="82"/>
        <v>0</v>
      </c>
      <c r="U247" s="9" t="str">
        <f t="shared" si="92"/>
        <v>SEM VALOR</v>
      </c>
      <c r="V247" s="1" t="str">
        <f ca="1">IF(OR($A247=0,$A247="S",$A247&gt;CFF!$A$9),"",MAX(V$12:OFFSET(V247,-1,0))+1)</f>
        <v/>
      </c>
      <c r="W247" s="4" t="str">
        <f t="shared" si="93"/>
        <v>SINAPI-103984</v>
      </c>
      <c r="X247" s="1">
        <f t="shared" ca="1" si="83"/>
        <v>10787</v>
      </c>
      <c r="Y247" s="103">
        <v>27.52</v>
      </c>
      <c r="Z247" s="113">
        <f ca="1">ROUND(IF(ISNUMBER(R247),R247,IF(LEFT(R247,3)="BDI",HLOOKUP(R247,DADOS!$T$37:$X$38,2,FALSE),0)),15-11*$X$5)</f>
        <v>0.23130000000000001</v>
      </c>
      <c r="AA247" s="1"/>
    </row>
    <row r="248" spans="1:27" ht="25.5" x14ac:dyDescent="0.2">
      <c r="A248" t="str">
        <f t="shared" si="84"/>
        <v>S</v>
      </c>
      <c r="B248">
        <f t="shared" si="85"/>
        <v>0</v>
      </c>
      <c r="C248">
        <f t="shared" ca="1" si="86"/>
        <v>1</v>
      </c>
      <c r="D248">
        <f t="shared" ca="1" si="87"/>
        <v>10</v>
      </c>
      <c r="E248">
        <f t="shared" ca="1" si="88"/>
        <v>1</v>
      </c>
      <c r="F248">
        <f t="shared" ca="1" si="89"/>
        <v>0</v>
      </c>
      <c r="G248">
        <f t="shared" ca="1" si="90"/>
        <v>7</v>
      </c>
      <c r="H248">
        <f t="shared" ca="1" si="79"/>
        <v>0</v>
      </c>
      <c r="I248">
        <f t="shared" ca="1" si="80"/>
        <v>0</v>
      </c>
      <c r="J248" s="355" t="s">
        <v>103</v>
      </c>
      <c r="K248" s="138" t="str">
        <f t="shared" ca="1" si="91"/>
        <v>1.10.1.0.7.</v>
      </c>
      <c r="L248" s="356" t="s">
        <v>230</v>
      </c>
      <c r="M248" s="356" t="s">
        <v>423</v>
      </c>
      <c r="N248" s="360" t="s">
        <v>785</v>
      </c>
      <c r="O248" s="362" t="s">
        <v>944</v>
      </c>
      <c r="P248" s="363">
        <v>2</v>
      </c>
      <c r="Q248" s="195"/>
      <c r="R248" s="198" t="s">
        <v>7</v>
      </c>
      <c r="S248" s="103">
        <f t="shared" si="81"/>
        <v>0</v>
      </c>
      <c r="T248" s="83">
        <f t="shared" si="82"/>
        <v>0</v>
      </c>
      <c r="U248" s="9" t="str">
        <f t="shared" si="92"/>
        <v>SEM VALOR</v>
      </c>
      <c r="V248" s="1" t="str">
        <f ca="1">IF(OR($A248=0,$A248="S",$A248&gt;CFF!$A$9),"",MAX(V$12:OFFSET(V248,-1,0))+1)</f>
        <v/>
      </c>
      <c r="W248" s="4" t="str">
        <f t="shared" si="93"/>
        <v>SINAPI-89366</v>
      </c>
      <c r="X248" s="1">
        <f t="shared" ca="1" si="83"/>
        <v>10774</v>
      </c>
      <c r="Y248" s="103">
        <v>23.3</v>
      </c>
      <c r="Z248" s="113">
        <f ca="1">ROUND(IF(ISNUMBER(R248),R248,IF(LEFT(R248,3)="BDI",HLOOKUP(R248,DADOS!$T$37:$X$38,2,FALSE),0)),15-11*$X$5)</f>
        <v>0.23130000000000001</v>
      </c>
      <c r="AA248" s="1"/>
    </row>
    <row r="249" spans="1:27" ht="25.5" x14ac:dyDescent="0.2">
      <c r="A249" t="str">
        <f t="shared" si="84"/>
        <v>S</v>
      </c>
      <c r="B249">
        <f t="shared" si="85"/>
        <v>0</v>
      </c>
      <c r="C249">
        <f t="shared" ca="1" si="86"/>
        <v>1</v>
      </c>
      <c r="D249">
        <f t="shared" ca="1" si="87"/>
        <v>10</v>
      </c>
      <c r="E249">
        <f t="shared" ca="1" si="88"/>
        <v>1</v>
      </c>
      <c r="F249">
        <f t="shared" ca="1" si="89"/>
        <v>0</v>
      </c>
      <c r="G249">
        <f t="shared" ca="1" si="90"/>
        <v>8</v>
      </c>
      <c r="H249">
        <f t="shared" ca="1" si="79"/>
        <v>0</v>
      </c>
      <c r="I249">
        <f t="shared" ca="1" si="80"/>
        <v>0</v>
      </c>
      <c r="J249" s="355" t="s">
        <v>103</v>
      </c>
      <c r="K249" s="138" t="str">
        <f t="shared" ca="1" si="91"/>
        <v>1.10.1.0.8.</v>
      </c>
      <c r="L249" s="356" t="s">
        <v>230</v>
      </c>
      <c r="M249" s="356" t="s">
        <v>424</v>
      </c>
      <c r="N249" s="360" t="s">
        <v>786</v>
      </c>
      <c r="O249" s="362" t="s">
        <v>944</v>
      </c>
      <c r="P249" s="363">
        <v>25</v>
      </c>
      <c r="Q249" s="195"/>
      <c r="R249" s="198" t="s">
        <v>7</v>
      </c>
      <c r="S249" s="103">
        <f t="shared" si="81"/>
        <v>0</v>
      </c>
      <c r="T249" s="83">
        <f t="shared" si="82"/>
        <v>0</v>
      </c>
      <c r="U249" s="9" t="str">
        <f t="shared" si="92"/>
        <v>SEM VALOR</v>
      </c>
      <c r="V249" s="1" t="str">
        <f ca="1">IF(OR($A249=0,$A249="S",$A249&gt;CFF!$A$9),"",MAX(V$12:OFFSET(V249,-1,0))+1)</f>
        <v/>
      </c>
      <c r="W249" s="4" t="str">
        <f t="shared" si="93"/>
        <v>SINAPI-90373</v>
      </c>
      <c r="X249" s="1">
        <f t="shared" ca="1" si="83"/>
        <v>10773</v>
      </c>
      <c r="Y249" s="103">
        <v>18.48</v>
      </c>
      <c r="Z249" s="113">
        <f ca="1">ROUND(IF(ISNUMBER(R249),R249,IF(LEFT(R249,3)="BDI",HLOOKUP(R249,DADOS!$T$37:$X$38,2,FALSE),0)),15-11*$X$5)</f>
        <v>0.23130000000000001</v>
      </c>
      <c r="AA249" s="1"/>
    </row>
    <row r="250" spans="1:27" ht="25.5" x14ac:dyDescent="0.2">
      <c r="A250" t="str">
        <f t="shared" si="84"/>
        <v>S</v>
      </c>
      <c r="B250">
        <f t="shared" si="85"/>
        <v>0</v>
      </c>
      <c r="C250">
        <f t="shared" ca="1" si="86"/>
        <v>1</v>
      </c>
      <c r="D250">
        <f t="shared" ca="1" si="87"/>
        <v>10</v>
      </c>
      <c r="E250">
        <f t="shared" ca="1" si="88"/>
        <v>1</v>
      </c>
      <c r="F250">
        <f t="shared" ca="1" si="89"/>
        <v>0</v>
      </c>
      <c r="G250">
        <f t="shared" ca="1" si="90"/>
        <v>9</v>
      </c>
      <c r="H250">
        <f t="shared" ca="1" si="79"/>
        <v>0</v>
      </c>
      <c r="I250">
        <f t="shared" ca="1" si="80"/>
        <v>0</v>
      </c>
      <c r="J250" s="355" t="s">
        <v>103</v>
      </c>
      <c r="K250" s="138" t="str">
        <f t="shared" ca="1" si="91"/>
        <v>1.10.1.0.9.</v>
      </c>
      <c r="L250" s="356" t="s">
        <v>230</v>
      </c>
      <c r="M250" s="356" t="s">
        <v>425</v>
      </c>
      <c r="N250" s="360" t="s">
        <v>787</v>
      </c>
      <c r="O250" s="362" t="s">
        <v>944</v>
      </c>
      <c r="P250" s="363">
        <v>6</v>
      </c>
      <c r="Q250" s="195"/>
      <c r="R250" s="198" t="s">
        <v>7</v>
      </c>
      <c r="S250" s="103">
        <f t="shared" si="81"/>
        <v>0</v>
      </c>
      <c r="T250" s="83">
        <f t="shared" si="82"/>
        <v>0</v>
      </c>
      <c r="U250" s="9" t="str">
        <f t="shared" si="92"/>
        <v>SEM VALOR</v>
      </c>
      <c r="V250" s="1" t="str">
        <f ca="1">IF(OR($A250=0,$A250="S",$A250&gt;CFF!$A$9),"",MAX(V$12:OFFSET(V250,-1,0))+1)</f>
        <v/>
      </c>
      <c r="W250" s="4" t="str">
        <f t="shared" si="93"/>
        <v>SINAPI-103950</v>
      </c>
      <c r="X250" s="1">
        <f t="shared" ca="1" si="83"/>
        <v>10792</v>
      </c>
      <c r="Y250" s="103">
        <v>15.23</v>
      </c>
      <c r="Z250" s="113">
        <f ca="1">ROUND(IF(ISNUMBER(R250),R250,IF(LEFT(R250,3)="BDI",HLOOKUP(R250,DADOS!$T$37:$X$38,2,FALSE),0)),15-11*$X$5)</f>
        <v>0.23130000000000001</v>
      </c>
      <c r="AA250" s="1"/>
    </row>
    <row r="251" spans="1:27" ht="25.5" x14ac:dyDescent="0.2">
      <c r="A251" t="str">
        <f t="shared" si="84"/>
        <v>S</v>
      </c>
      <c r="B251">
        <f t="shared" si="85"/>
        <v>0</v>
      </c>
      <c r="C251">
        <f t="shared" ca="1" si="86"/>
        <v>1</v>
      </c>
      <c r="D251">
        <f t="shared" ca="1" si="87"/>
        <v>10</v>
      </c>
      <c r="E251">
        <f t="shared" ca="1" si="88"/>
        <v>1</v>
      </c>
      <c r="F251">
        <f t="shared" ca="1" si="89"/>
        <v>0</v>
      </c>
      <c r="G251">
        <f t="shared" ca="1" si="90"/>
        <v>10</v>
      </c>
      <c r="H251">
        <f t="shared" ca="1" si="79"/>
        <v>0</v>
      </c>
      <c r="I251">
        <f t="shared" ca="1" si="80"/>
        <v>0</v>
      </c>
      <c r="J251" s="355" t="s">
        <v>103</v>
      </c>
      <c r="K251" s="138" t="str">
        <f t="shared" ca="1" si="91"/>
        <v>1.10.1.0.10.</v>
      </c>
      <c r="L251" s="356" t="s">
        <v>230</v>
      </c>
      <c r="M251" s="356" t="s">
        <v>426</v>
      </c>
      <c r="N251" s="360" t="s">
        <v>788</v>
      </c>
      <c r="O251" s="362" t="s">
        <v>944</v>
      </c>
      <c r="P251" s="363">
        <v>1</v>
      </c>
      <c r="Q251" s="195"/>
      <c r="R251" s="198" t="s">
        <v>7</v>
      </c>
      <c r="S251" s="103">
        <f t="shared" si="81"/>
        <v>0</v>
      </c>
      <c r="T251" s="83">
        <f t="shared" si="82"/>
        <v>0</v>
      </c>
      <c r="U251" s="9" t="str">
        <f t="shared" si="92"/>
        <v>SEM VALOR</v>
      </c>
      <c r="V251" s="1" t="str">
        <f ca="1">IF(OR($A251=0,$A251="S",$A251&gt;CFF!$A$9),"",MAX(V$12:OFFSET(V251,-1,0))+1)</f>
        <v/>
      </c>
      <c r="W251" s="4" t="str">
        <f t="shared" si="93"/>
        <v>SINAPI-89385</v>
      </c>
      <c r="X251" s="1">
        <f t="shared" ca="1" si="83"/>
        <v>10829</v>
      </c>
      <c r="Y251" s="103">
        <v>10.17</v>
      </c>
      <c r="Z251" s="113">
        <f ca="1">ROUND(IF(ISNUMBER(R251),R251,IF(LEFT(R251,3)="BDI",HLOOKUP(R251,DADOS!$T$37:$X$38,2,FALSE),0)),15-11*$X$5)</f>
        <v>0.23130000000000001</v>
      </c>
      <c r="AA251" s="1"/>
    </row>
    <row r="252" spans="1:27" ht="25.5" x14ac:dyDescent="0.2">
      <c r="A252" t="str">
        <f t="shared" si="84"/>
        <v>S</v>
      </c>
      <c r="B252">
        <f t="shared" si="85"/>
        <v>0</v>
      </c>
      <c r="C252">
        <f t="shared" ca="1" si="86"/>
        <v>1</v>
      </c>
      <c r="D252">
        <f t="shared" ca="1" si="87"/>
        <v>10</v>
      </c>
      <c r="E252">
        <f t="shared" ca="1" si="88"/>
        <v>1</v>
      </c>
      <c r="F252">
        <f t="shared" ca="1" si="89"/>
        <v>0</v>
      </c>
      <c r="G252">
        <f t="shared" ca="1" si="90"/>
        <v>11</v>
      </c>
      <c r="H252">
        <f t="shared" ca="1" si="79"/>
        <v>0</v>
      </c>
      <c r="I252">
        <f t="shared" ca="1" si="80"/>
        <v>0</v>
      </c>
      <c r="J252" s="355" t="s">
        <v>103</v>
      </c>
      <c r="K252" s="138" t="str">
        <f t="shared" ca="1" si="91"/>
        <v>1.10.1.0.11.</v>
      </c>
      <c r="L252" s="356" t="s">
        <v>230</v>
      </c>
      <c r="M252" s="356" t="s">
        <v>427</v>
      </c>
      <c r="N252" s="360" t="s">
        <v>789</v>
      </c>
      <c r="O252" s="362" t="s">
        <v>945</v>
      </c>
      <c r="P252" s="363">
        <v>76.83</v>
      </c>
      <c r="Q252" s="195"/>
      <c r="R252" s="198" t="s">
        <v>7</v>
      </c>
      <c r="S252" s="103">
        <f t="shared" si="81"/>
        <v>0</v>
      </c>
      <c r="T252" s="83">
        <f t="shared" si="82"/>
        <v>0</v>
      </c>
      <c r="U252" s="9" t="str">
        <f t="shared" si="92"/>
        <v>SEM VALOR</v>
      </c>
      <c r="V252" s="1" t="str">
        <f ca="1">IF(OR($A252=0,$A252="S",$A252&gt;CFF!$A$9),"",MAX(V$12:OFFSET(V252,-1,0))+1)</f>
        <v/>
      </c>
      <c r="W252" s="4" t="str">
        <f t="shared" si="93"/>
        <v>SINAPI-89356</v>
      </c>
      <c r="X252" s="1">
        <f t="shared" ca="1" si="83"/>
        <v>10873</v>
      </c>
      <c r="Y252" s="103">
        <v>32.6</v>
      </c>
      <c r="Z252" s="113">
        <f ca="1">ROUND(IF(ISNUMBER(R252),R252,IF(LEFT(R252,3)="BDI",HLOOKUP(R252,DADOS!$T$37:$X$38,2,FALSE),0)),15-11*$X$5)</f>
        <v>0.23130000000000001</v>
      </c>
      <c r="AA252" s="1"/>
    </row>
    <row r="253" spans="1:27" ht="25.5" x14ac:dyDescent="0.2">
      <c r="A253" t="str">
        <f t="shared" si="84"/>
        <v>S</v>
      </c>
      <c r="B253">
        <f t="shared" si="85"/>
        <v>0</v>
      </c>
      <c r="C253">
        <f t="shared" ca="1" si="86"/>
        <v>1</v>
      </c>
      <c r="D253">
        <f t="shared" ca="1" si="87"/>
        <v>10</v>
      </c>
      <c r="E253">
        <f t="shared" ca="1" si="88"/>
        <v>1</v>
      </c>
      <c r="F253">
        <f t="shared" ca="1" si="89"/>
        <v>0</v>
      </c>
      <c r="G253">
        <f t="shared" ca="1" si="90"/>
        <v>12</v>
      </c>
      <c r="H253">
        <f t="shared" ca="1" si="79"/>
        <v>0</v>
      </c>
      <c r="I253">
        <f t="shared" ca="1" si="80"/>
        <v>0</v>
      </c>
      <c r="J253" s="355" t="s">
        <v>103</v>
      </c>
      <c r="K253" s="138" t="str">
        <f t="shared" ca="1" si="91"/>
        <v>1.10.1.0.12.</v>
      </c>
      <c r="L253" s="356" t="s">
        <v>230</v>
      </c>
      <c r="M253" s="356" t="s">
        <v>428</v>
      </c>
      <c r="N253" s="360" t="s">
        <v>790</v>
      </c>
      <c r="O253" s="362" t="s">
        <v>945</v>
      </c>
      <c r="P253" s="363">
        <v>80.92</v>
      </c>
      <c r="Q253" s="195"/>
      <c r="R253" s="198" t="s">
        <v>7</v>
      </c>
      <c r="S253" s="103">
        <f t="shared" si="81"/>
        <v>0</v>
      </c>
      <c r="T253" s="83">
        <f t="shared" si="82"/>
        <v>0</v>
      </c>
      <c r="U253" s="9" t="str">
        <f t="shared" si="92"/>
        <v>SEM VALOR</v>
      </c>
      <c r="V253" s="1" t="str">
        <f ca="1">IF(OR($A253=0,$A253="S",$A253&gt;CFF!$A$9),"",MAX(V$12:OFFSET(V253,-1,0))+1)</f>
        <v/>
      </c>
      <c r="W253" s="4" t="str">
        <f t="shared" si="93"/>
        <v>SINAPI-103979</v>
      </c>
      <c r="X253" s="1">
        <f t="shared" ca="1" si="83"/>
        <v>10880</v>
      </c>
      <c r="Y253" s="103">
        <v>42.73</v>
      </c>
      <c r="Z253" s="113">
        <f ca="1">ROUND(IF(ISNUMBER(R253),R253,IF(LEFT(R253,3)="BDI",HLOOKUP(R253,DADOS!$T$37:$X$38,2,FALSE),0)),15-11*$X$5)</f>
        <v>0.23130000000000001</v>
      </c>
      <c r="AA253" s="1"/>
    </row>
    <row r="254" spans="1:27" ht="25.5" x14ac:dyDescent="0.2">
      <c r="A254" t="str">
        <f t="shared" si="84"/>
        <v>S</v>
      </c>
      <c r="B254">
        <f t="shared" si="85"/>
        <v>0</v>
      </c>
      <c r="C254">
        <f t="shared" ca="1" si="86"/>
        <v>1</v>
      </c>
      <c r="D254">
        <f t="shared" ca="1" si="87"/>
        <v>10</v>
      </c>
      <c r="E254">
        <f t="shared" ca="1" si="88"/>
        <v>1</v>
      </c>
      <c r="F254">
        <f t="shared" ca="1" si="89"/>
        <v>0</v>
      </c>
      <c r="G254">
        <f t="shared" ca="1" si="90"/>
        <v>13</v>
      </c>
      <c r="H254">
        <f t="shared" ca="1" si="79"/>
        <v>0</v>
      </c>
      <c r="I254">
        <f t="shared" ca="1" si="80"/>
        <v>0</v>
      </c>
      <c r="J254" s="355" t="s">
        <v>103</v>
      </c>
      <c r="K254" s="138" t="str">
        <f t="shared" ca="1" si="91"/>
        <v>1.10.1.0.13.</v>
      </c>
      <c r="L254" s="356" t="s">
        <v>230</v>
      </c>
      <c r="M254" s="356" t="s">
        <v>429</v>
      </c>
      <c r="N254" s="360" t="s">
        <v>791</v>
      </c>
      <c r="O254" s="362" t="s">
        <v>945</v>
      </c>
      <c r="P254" s="363">
        <v>33.61</v>
      </c>
      <c r="Q254" s="195"/>
      <c r="R254" s="198" t="s">
        <v>7</v>
      </c>
      <c r="S254" s="103">
        <f t="shared" si="81"/>
        <v>0</v>
      </c>
      <c r="T254" s="83">
        <f t="shared" si="82"/>
        <v>0</v>
      </c>
      <c r="U254" s="9" t="str">
        <f t="shared" si="92"/>
        <v>SEM VALOR</v>
      </c>
      <c r="V254" s="1" t="str">
        <f ca="1">IF(OR($A254=0,$A254="S",$A254&gt;CFF!$A$9),"",MAX(V$12:OFFSET(V254,-1,0))+1)</f>
        <v/>
      </c>
      <c r="W254" s="4" t="str">
        <f t="shared" si="93"/>
        <v>SINAPI-89451</v>
      </c>
      <c r="X254" s="1">
        <f t="shared" ca="1" si="83"/>
        <v>10882</v>
      </c>
      <c r="Y254" s="103">
        <v>70.13</v>
      </c>
      <c r="Z254" s="113">
        <f ca="1">ROUND(IF(ISNUMBER(R254),R254,IF(LEFT(R254,3)="BDI",HLOOKUP(R254,DADOS!$T$37:$X$38,2,FALSE),0)),15-11*$X$5)</f>
        <v>0.23130000000000001</v>
      </c>
      <c r="AA254" s="1"/>
    </row>
    <row r="255" spans="1:27" ht="25.5" x14ac:dyDescent="0.2">
      <c r="A255" t="str">
        <f t="shared" si="84"/>
        <v>S</v>
      </c>
      <c r="B255">
        <f t="shared" si="85"/>
        <v>0</v>
      </c>
      <c r="C255">
        <f t="shared" ca="1" si="86"/>
        <v>1</v>
      </c>
      <c r="D255">
        <f t="shared" ca="1" si="87"/>
        <v>10</v>
      </c>
      <c r="E255">
        <f t="shared" ca="1" si="88"/>
        <v>1</v>
      </c>
      <c r="F255">
        <f t="shared" ca="1" si="89"/>
        <v>0</v>
      </c>
      <c r="G255">
        <f t="shared" ca="1" si="90"/>
        <v>14</v>
      </c>
      <c r="H255">
        <f t="shared" ca="1" si="79"/>
        <v>0</v>
      </c>
      <c r="I255">
        <f t="shared" ca="1" si="80"/>
        <v>0</v>
      </c>
      <c r="J255" s="355" t="s">
        <v>103</v>
      </c>
      <c r="K255" s="138" t="str">
        <f t="shared" ca="1" si="91"/>
        <v>1.10.1.0.14.</v>
      </c>
      <c r="L255" s="356" t="s">
        <v>230</v>
      </c>
      <c r="M255" s="356" t="s">
        <v>430</v>
      </c>
      <c r="N255" s="360" t="s">
        <v>792</v>
      </c>
      <c r="O255" s="362" t="s">
        <v>944</v>
      </c>
      <c r="P255" s="363">
        <v>14</v>
      </c>
      <c r="Q255" s="195"/>
      <c r="R255" s="198" t="s">
        <v>7</v>
      </c>
      <c r="S255" s="103">
        <f t="shared" si="81"/>
        <v>0</v>
      </c>
      <c r="T255" s="83">
        <f t="shared" si="82"/>
        <v>0</v>
      </c>
      <c r="U255" s="9" t="str">
        <f t="shared" si="92"/>
        <v>SEM VALOR</v>
      </c>
      <c r="V255" s="1" t="str">
        <f ca="1">IF(OR($A255=0,$A255="S",$A255&gt;CFF!$A$9),"",MAX(V$12:OFFSET(V255,-1,0))+1)</f>
        <v/>
      </c>
      <c r="W255" s="4" t="str">
        <f t="shared" si="93"/>
        <v>SINAPI-89395</v>
      </c>
      <c r="X255" s="1">
        <f t="shared" ca="1" si="83"/>
        <v>10858</v>
      </c>
      <c r="Y255" s="103">
        <v>18.190000000000001</v>
      </c>
      <c r="Z255" s="113">
        <f ca="1">ROUND(IF(ISNUMBER(R255),R255,IF(LEFT(R255,3)="BDI",HLOOKUP(R255,DADOS!$T$37:$X$38,2,FALSE),0)),15-11*$X$5)</f>
        <v>0.23130000000000001</v>
      </c>
      <c r="AA255" s="1"/>
    </row>
    <row r="256" spans="1:27" ht="25.5" x14ac:dyDescent="0.2">
      <c r="A256" t="str">
        <f t="shared" si="84"/>
        <v>S</v>
      </c>
      <c r="B256">
        <f t="shared" si="85"/>
        <v>0</v>
      </c>
      <c r="C256">
        <f t="shared" ca="1" si="86"/>
        <v>1</v>
      </c>
      <c r="D256">
        <f t="shared" ca="1" si="87"/>
        <v>10</v>
      </c>
      <c r="E256">
        <f t="shared" ca="1" si="88"/>
        <v>1</v>
      </c>
      <c r="F256">
        <f t="shared" ca="1" si="89"/>
        <v>0</v>
      </c>
      <c r="G256">
        <f t="shared" ca="1" si="90"/>
        <v>15</v>
      </c>
      <c r="H256">
        <f t="shared" ca="1" si="79"/>
        <v>0</v>
      </c>
      <c r="I256">
        <f t="shared" ca="1" si="80"/>
        <v>0</v>
      </c>
      <c r="J256" s="355" t="s">
        <v>103</v>
      </c>
      <c r="K256" s="138" t="str">
        <f t="shared" ca="1" si="91"/>
        <v>1.10.1.0.15.</v>
      </c>
      <c r="L256" s="356" t="s">
        <v>230</v>
      </c>
      <c r="M256" s="356" t="s">
        <v>431</v>
      </c>
      <c r="N256" s="360" t="s">
        <v>793</v>
      </c>
      <c r="O256" s="362" t="s">
        <v>944</v>
      </c>
      <c r="P256" s="363">
        <v>4</v>
      </c>
      <c r="Q256" s="195"/>
      <c r="R256" s="198" t="s">
        <v>7</v>
      </c>
      <c r="S256" s="103">
        <f t="shared" si="81"/>
        <v>0</v>
      </c>
      <c r="T256" s="83">
        <f t="shared" si="82"/>
        <v>0</v>
      </c>
      <c r="U256" s="9" t="str">
        <f t="shared" si="92"/>
        <v>SEM VALOR</v>
      </c>
      <c r="V256" s="1" t="str">
        <f ca="1">IF(OR($A256=0,$A256="S",$A256&gt;CFF!$A$9),"",MAX(V$12:OFFSET(V256,-1,0))+1)</f>
        <v/>
      </c>
      <c r="W256" s="4" t="str">
        <f t="shared" si="93"/>
        <v>SINAPI-104004</v>
      </c>
      <c r="X256" s="1">
        <f t="shared" ca="1" si="83"/>
        <v>10865</v>
      </c>
      <c r="Y256" s="103">
        <v>41.93</v>
      </c>
      <c r="Z256" s="113">
        <f ca="1">ROUND(IF(ISNUMBER(R256),R256,IF(LEFT(R256,3)="BDI",HLOOKUP(R256,DADOS!$T$37:$X$38,2,FALSE),0)),15-11*$X$5)</f>
        <v>0.23130000000000001</v>
      </c>
      <c r="AA256" s="1"/>
    </row>
    <row r="257" spans="1:27" ht="25.5" x14ac:dyDescent="0.2">
      <c r="A257" t="str">
        <f t="shared" si="84"/>
        <v>S</v>
      </c>
      <c r="B257">
        <f t="shared" si="85"/>
        <v>0</v>
      </c>
      <c r="C257">
        <f t="shared" ca="1" si="86"/>
        <v>1</v>
      </c>
      <c r="D257">
        <f t="shared" ca="1" si="87"/>
        <v>10</v>
      </c>
      <c r="E257">
        <f t="shared" ca="1" si="88"/>
        <v>1</v>
      </c>
      <c r="F257">
        <f t="shared" ca="1" si="89"/>
        <v>0</v>
      </c>
      <c r="G257">
        <f t="shared" ca="1" si="90"/>
        <v>16</v>
      </c>
      <c r="H257">
        <f t="shared" ca="1" si="79"/>
        <v>0</v>
      </c>
      <c r="I257">
        <f t="shared" ca="1" si="80"/>
        <v>0</v>
      </c>
      <c r="J257" s="355" t="s">
        <v>103</v>
      </c>
      <c r="K257" s="138" t="str">
        <f t="shared" ca="1" si="91"/>
        <v>1.10.1.0.16.</v>
      </c>
      <c r="L257" s="356" t="s">
        <v>230</v>
      </c>
      <c r="M257" s="356" t="s">
        <v>432</v>
      </c>
      <c r="N257" s="360" t="s">
        <v>794</v>
      </c>
      <c r="O257" s="362" t="s">
        <v>944</v>
      </c>
      <c r="P257" s="363">
        <v>5</v>
      </c>
      <c r="Q257" s="195"/>
      <c r="R257" s="198" t="s">
        <v>7</v>
      </c>
      <c r="S257" s="103">
        <f t="shared" si="81"/>
        <v>0</v>
      </c>
      <c r="T257" s="83">
        <f t="shared" si="82"/>
        <v>0</v>
      </c>
      <c r="U257" s="9" t="str">
        <f t="shared" si="92"/>
        <v>SEM VALOR</v>
      </c>
      <c r="V257" s="1" t="str">
        <f ca="1">IF(OR($A257=0,$A257="S",$A257&gt;CFF!$A$9),"",MAX(V$12:OFFSET(V257,-1,0))+1)</f>
        <v/>
      </c>
      <c r="W257" s="4" t="str">
        <f t="shared" si="93"/>
        <v>SINAPI-104006</v>
      </c>
      <c r="X257" s="1">
        <f t="shared" ca="1" si="83"/>
        <v>10897</v>
      </c>
      <c r="Y257" s="103">
        <v>35.67</v>
      </c>
      <c r="Z257" s="113">
        <f ca="1">ROUND(IF(ISNUMBER(R257),R257,IF(LEFT(R257,3)="BDI",HLOOKUP(R257,DADOS!$T$37:$X$38,2,FALSE),0)),15-11*$X$5)</f>
        <v>0.23130000000000001</v>
      </c>
      <c r="AA257" s="1"/>
    </row>
    <row r="258" spans="1:27" ht="25.5" x14ac:dyDescent="0.2">
      <c r="A258" t="str">
        <f t="shared" si="84"/>
        <v>S</v>
      </c>
      <c r="B258">
        <f t="shared" si="85"/>
        <v>0</v>
      </c>
      <c r="C258">
        <f t="shared" ca="1" si="86"/>
        <v>1</v>
      </c>
      <c r="D258">
        <f t="shared" ca="1" si="87"/>
        <v>10</v>
      </c>
      <c r="E258">
        <f t="shared" ca="1" si="88"/>
        <v>1</v>
      </c>
      <c r="F258">
        <f t="shared" ca="1" si="89"/>
        <v>0</v>
      </c>
      <c r="G258">
        <f t="shared" ca="1" si="90"/>
        <v>17</v>
      </c>
      <c r="H258">
        <f t="shared" ca="1" si="79"/>
        <v>0</v>
      </c>
      <c r="I258">
        <f t="shared" ca="1" si="80"/>
        <v>0</v>
      </c>
      <c r="J258" s="355" t="s">
        <v>103</v>
      </c>
      <c r="K258" s="138" t="str">
        <f t="shared" ca="1" si="91"/>
        <v>1.10.1.0.17.</v>
      </c>
      <c r="L258" s="356" t="s">
        <v>230</v>
      </c>
      <c r="M258" s="356" t="s">
        <v>433</v>
      </c>
      <c r="N258" s="360" t="s">
        <v>795</v>
      </c>
      <c r="O258" s="362" t="s">
        <v>944</v>
      </c>
      <c r="P258" s="363">
        <v>17</v>
      </c>
      <c r="Q258" s="195"/>
      <c r="R258" s="198" t="s">
        <v>7</v>
      </c>
      <c r="S258" s="103">
        <f t="shared" si="81"/>
        <v>0</v>
      </c>
      <c r="T258" s="83">
        <f t="shared" si="82"/>
        <v>0</v>
      </c>
      <c r="U258" s="9" t="str">
        <f t="shared" si="92"/>
        <v>SEM VALOR</v>
      </c>
      <c r="V258" s="1" t="str">
        <f ca="1">IF(OR($A258=0,$A258="S",$A258&gt;CFF!$A$9),"",MAX(V$12:OFFSET(V258,-1,0))+1)</f>
        <v/>
      </c>
      <c r="W258" s="4" t="str">
        <f t="shared" si="93"/>
        <v>SINAPI-89630</v>
      </c>
      <c r="X258" s="1">
        <f t="shared" ca="1" si="83"/>
        <v>10852</v>
      </c>
      <c r="Y258" s="103">
        <v>88.17</v>
      </c>
      <c r="Z258" s="113">
        <f ca="1">ROUND(IF(ISNUMBER(R258),R258,IF(LEFT(R258,3)="BDI",HLOOKUP(R258,DADOS!$T$37:$X$38,2,FALSE),0)),15-11*$X$5)</f>
        <v>0.23130000000000001</v>
      </c>
      <c r="AA258" s="1"/>
    </row>
    <row r="259" spans="1:27" ht="25.5" x14ac:dyDescent="0.2">
      <c r="A259" t="str">
        <f t="shared" si="84"/>
        <v>S</v>
      </c>
      <c r="B259">
        <f t="shared" si="85"/>
        <v>0</v>
      </c>
      <c r="C259">
        <f t="shared" ca="1" si="86"/>
        <v>1</v>
      </c>
      <c r="D259">
        <f t="shared" ca="1" si="87"/>
        <v>10</v>
      </c>
      <c r="E259">
        <f t="shared" ca="1" si="88"/>
        <v>1</v>
      </c>
      <c r="F259">
        <f t="shared" ca="1" si="89"/>
        <v>0</v>
      </c>
      <c r="G259">
        <f t="shared" ca="1" si="90"/>
        <v>18</v>
      </c>
      <c r="H259">
        <f t="shared" ca="1" si="79"/>
        <v>0</v>
      </c>
      <c r="I259">
        <f t="shared" ca="1" si="80"/>
        <v>0</v>
      </c>
      <c r="J259" s="355" t="s">
        <v>103</v>
      </c>
      <c r="K259" s="138" t="str">
        <f t="shared" ca="1" si="91"/>
        <v>1.10.1.0.18.</v>
      </c>
      <c r="L259" s="356" t="s">
        <v>230</v>
      </c>
      <c r="M259" s="356" t="s">
        <v>434</v>
      </c>
      <c r="N259" s="360" t="s">
        <v>796</v>
      </c>
      <c r="O259" s="362" t="s">
        <v>945</v>
      </c>
      <c r="P259" s="363">
        <v>36.75</v>
      </c>
      <c r="Q259" s="195"/>
      <c r="R259" s="198" t="s">
        <v>7</v>
      </c>
      <c r="S259" s="103">
        <f t="shared" si="81"/>
        <v>0</v>
      </c>
      <c r="T259" s="83">
        <f t="shared" si="82"/>
        <v>0</v>
      </c>
      <c r="U259" s="9" t="str">
        <f t="shared" si="92"/>
        <v>SEM VALOR</v>
      </c>
      <c r="V259" s="1" t="str">
        <f ca="1">IF(OR($A259=0,$A259="S",$A259&gt;CFF!$A$9),"",MAX(V$12:OFFSET(V259,-1,0))+1)</f>
        <v/>
      </c>
      <c r="W259" s="4" t="str">
        <f t="shared" si="93"/>
        <v>SINAPI-90443</v>
      </c>
      <c r="X259" s="1">
        <f t="shared" ca="1" si="83"/>
        <v>13853</v>
      </c>
      <c r="Y259" s="103">
        <v>10.58</v>
      </c>
      <c r="Z259" s="113">
        <f ca="1">ROUND(IF(ISNUMBER(R259),R259,IF(LEFT(R259,3)="BDI",HLOOKUP(R259,DADOS!$T$37:$X$38,2,FALSE),0)),15-11*$X$5)</f>
        <v>0.23130000000000001</v>
      </c>
      <c r="AA259" s="1"/>
    </row>
    <row r="260" spans="1:27" ht="25.5" x14ac:dyDescent="0.2">
      <c r="A260" t="str">
        <f t="shared" si="84"/>
        <v>S</v>
      </c>
      <c r="B260">
        <f t="shared" si="85"/>
        <v>0</v>
      </c>
      <c r="C260">
        <f t="shared" ca="1" si="86"/>
        <v>1</v>
      </c>
      <c r="D260">
        <f t="shared" ca="1" si="87"/>
        <v>10</v>
      </c>
      <c r="E260">
        <f t="shared" ca="1" si="88"/>
        <v>1</v>
      </c>
      <c r="F260">
        <f t="shared" ca="1" si="89"/>
        <v>0</v>
      </c>
      <c r="G260">
        <f t="shared" ca="1" si="90"/>
        <v>19</v>
      </c>
      <c r="H260">
        <f t="shared" ca="1" si="79"/>
        <v>0</v>
      </c>
      <c r="I260">
        <f t="shared" ca="1" si="80"/>
        <v>0</v>
      </c>
      <c r="J260" s="355" t="s">
        <v>103</v>
      </c>
      <c r="K260" s="138" t="str">
        <f t="shared" ca="1" si="91"/>
        <v>1.10.1.0.19.</v>
      </c>
      <c r="L260" s="356" t="s">
        <v>230</v>
      </c>
      <c r="M260" s="356" t="s">
        <v>435</v>
      </c>
      <c r="N260" s="360" t="s">
        <v>797</v>
      </c>
      <c r="O260" s="362" t="s">
        <v>945</v>
      </c>
      <c r="P260" s="363">
        <v>36.75</v>
      </c>
      <c r="Q260" s="195"/>
      <c r="R260" s="198" t="s">
        <v>7</v>
      </c>
      <c r="S260" s="103">
        <f t="shared" si="81"/>
        <v>0</v>
      </c>
      <c r="T260" s="83">
        <f t="shared" si="82"/>
        <v>0</v>
      </c>
      <c r="U260" s="9" t="str">
        <f t="shared" si="92"/>
        <v>SEM VALOR</v>
      </c>
      <c r="V260" s="1" t="str">
        <f ca="1">IF(OR($A260=0,$A260="S",$A260&gt;CFF!$A$9),"",MAX(V$12:OFFSET(V260,-1,0))+1)</f>
        <v/>
      </c>
      <c r="W260" s="4" t="str">
        <f t="shared" si="93"/>
        <v>SINAPI-90466</v>
      </c>
      <c r="X260" s="1">
        <f t="shared" ca="1" si="83"/>
        <v>13787</v>
      </c>
      <c r="Y260" s="103">
        <v>20.5</v>
      </c>
      <c r="Z260" s="113">
        <f ca="1">ROUND(IF(ISNUMBER(R260),R260,IF(LEFT(R260,3)="BDI",HLOOKUP(R260,DADOS!$T$37:$X$38,2,FALSE),0)),15-11*$X$5)</f>
        <v>0.23130000000000001</v>
      </c>
      <c r="AA260" s="1"/>
    </row>
    <row r="261" spans="1:27" ht="25.5" x14ac:dyDescent="0.2">
      <c r="A261" t="str">
        <f t="shared" si="84"/>
        <v>S</v>
      </c>
      <c r="B261">
        <f t="shared" si="85"/>
        <v>0</v>
      </c>
      <c r="C261">
        <f t="shared" ca="1" si="86"/>
        <v>1</v>
      </c>
      <c r="D261">
        <f t="shared" ca="1" si="87"/>
        <v>10</v>
      </c>
      <c r="E261">
        <f t="shared" ca="1" si="88"/>
        <v>1</v>
      </c>
      <c r="F261">
        <f t="shared" ca="1" si="89"/>
        <v>0</v>
      </c>
      <c r="G261">
        <f t="shared" ca="1" si="90"/>
        <v>20</v>
      </c>
      <c r="H261">
        <f t="shared" ca="1" si="79"/>
        <v>0</v>
      </c>
      <c r="I261">
        <f t="shared" ca="1" si="80"/>
        <v>0</v>
      </c>
      <c r="J261" s="355" t="s">
        <v>103</v>
      </c>
      <c r="K261" s="138" t="str">
        <f t="shared" ca="1" si="91"/>
        <v>1.10.1.0.20.</v>
      </c>
      <c r="L261" s="356" t="s">
        <v>230</v>
      </c>
      <c r="M261" s="356" t="s">
        <v>436</v>
      </c>
      <c r="N261" s="360" t="s">
        <v>798</v>
      </c>
      <c r="O261" s="362" t="s">
        <v>945</v>
      </c>
      <c r="P261" s="363">
        <v>5.15</v>
      </c>
      <c r="Q261" s="195"/>
      <c r="R261" s="198" t="s">
        <v>7</v>
      </c>
      <c r="S261" s="103">
        <f t="shared" si="81"/>
        <v>0</v>
      </c>
      <c r="T261" s="83">
        <f t="shared" si="82"/>
        <v>0</v>
      </c>
      <c r="U261" s="9" t="str">
        <f t="shared" si="92"/>
        <v>SEM VALOR</v>
      </c>
      <c r="V261" s="1" t="str">
        <f ca="1">IF(OR($A261=0,$A261="S",$A261&gt;CFF!$A$9),"",MAX(V$12:OFFSET(V261,-1,0))+1)</f>
        <v/>
      </c>
      <c r="W261" s="4" t="str">
        <f t="shared" si="93"/>
        <v>SINAPI-91222</v>
      </c>
      <c r="X261" s="1">
        <f t="shared" ca="1" si="83"/>
        <v>13852</v>
      </c>
      <c r="Y261" s="103">
        <v>11.76</v>
      </c>
      <c r="Z261" s="113">
        <f ca="1">ROUND(IF(ISNUMBER(R261),R261,IF(LEFT(R261,3)="BDI",HLOOKUP(R261,DADOS!$T$37:$X$38,2,FALSE),0)),15-11*$X$5)</f>
        <v>0.23130000000000001</v>
      </c>
      <c r="AA261" s="1"/>
    </row>
    <row r="262" spans="1:27" ht="25.5" x14ac:dyDescent="0.2">
      <c r="A262" t="str">
        <f t="shared" si="84"/>
        <v>S</v>
      </c>
      <c r="B262">
        <f t="shared" si="85"/>
        <v>0</v>
      </c>
      <c r="C262">
        <f t="shared" ca="1" si="86"/>
        <v>1</v>
      </c>
      <c r="D262">
        <f t="shared" ca="1" si="87"/>
        <v>10</v>
      </c>
      <c r="E262">
        <f t="shared" ca="1" si="88"/>
        <v>1</v>
      </c>
      <c r="F262">
        <f t="shared" ca="1" si="89"/>
        <v>0</v>
      </c>
      <c r="G262">
        <f t="shared" ca="1" si="90"/>
        <v>21</v>
      </c>
      <c r="H262">
        <f t="shared" ca="1" si="79"/>
        <v>0</v>
      </c>
      <c r="I262">
        <f t="shared" ca="1" si="80"/>
        <v>0</v>
      </c>
      <c r="J262" s="355" t="s">
        <v>103</v>
      </c>
      <c r="K262" s="138" t="str">
        <f t="shared" ca="1" si="91"/>
        <v>1.10.1.0.21.</v>
      </c>
      <c r="L262" s="356" t="s">
        <v>230</v>
      </c>
      <c r="M262" s="356" t="s">
        <v>437</v>
      </c>
      <c r="N262" s="360" t="s">
        <v>799</v>
      </c>
      <c r="O262" s="362" t="s">
        <v>945</v>
      </c>
      <c r="P262" s="363">
        <v>5.15</v>
      </c>
      <c r="Q262" s="195"/>
      <c r="R262" s="198" t="s">
        <v>7</v>
      </c>
      <c r="S262" s="103">
        <f t="shared" si="81"/>
        <v>0</v>
      </c>
      <c r="T262" s="83">
        <f t="shared" si="82"/>
        <v>0</v>
      </c>
      <c r="U262" s="9" t="str">
        <f t="shared" si="92"/>
        <v>SEM VALOR</v>
      </c>
      <c r="V262" s="1" t="str">
        <f ca="1">IF(OR($A262=0,$A262="S",$A262&gt;CFF!$A$9),"",MAX(V$12:OFFSET(V262,-1,0))+1)</f>
        <v/>
      </c>
      <c r="W262" s="4" t="str">
        <f t="shared" si="93"/>
        <v>SINAPI-90467</v>
      </c>
      <c r="X262" s="1">
        <f t="shared" ca="1" si="83"/>
        <v>13786</v>
      </c>
      <c r="Y262" s="103">
        <v>30.82</v>
      </c>
      <c r="Z262" s="113">
        <f ca="1">ROUND(IF(ISNUMBER(R262),R262,IF(LEFT(R262,3)="BDI",HLOOKUP(R262,DADOS!$T$37:$X$38,2,FALSE),0)),15-11*$X$5)</f>
        <v>0.23130000000000001</v>
      </c>
      <c r="AA262" s="1"/>
    </row>
    <row r="263" spans="1:27" x14ac:dyDescent="0.2">
      <c r="A263">
        <f t="shared" si="84"/>
        <v>3</v>
      </c>
      <c r="B263">
        <f t="shared" ca="1" si="85"/>
        <v>36</v>
      </c>
      <c r="C263">
        <f t="shared" ca="1" si="86"/>
        <v>1</v>
      </c>
      <c r="D263">
        <f t="shared" ca="1" si="87"/>
        <v>10</v>
      </c>
      <c r="E263">
        <f t="shared" ca="1" si="88"/>
        <v>2</v>
      </c>
      <c r="F263">
        <f t="shared" ca="1" si="89"/>
        <v>0</v>
      </c>
      <c r="G263">
        <f t="shared" ca="1" si="90"/>
        <v>0</v>
      </c>
      <c r="H263">
        <f t="shared" ca="1" si="79"/>
        <v>61</v>
      </c>
      <c r="I263">
        <f t="shared" ca="1" si="80"/>
        <v>36</v>
      </c>
      <c r="J263" s="355" t="s">
        <v>101</v>
      </c>
      <c r="K263" s="138" t="str">
        <f t="shared" ca="1" si="91"/>
        <v>1.10.2.</v>
      </c>
      <c r="L263" s="356"/>
      <c r="M263" s="356"/>
      <c r="N263" s="360" t="s">
        <v>605</v>
      </c>
      <c r="O263" s="362" t="s">
        <v>106</v>
      </c>
      <c r="P263" s="363"/>
      <c r="Q263" s="195"/>
      <c r="R263" s="198" t="s">
        <v>7</v>
      </c>
      <c r="S263" s="103">
        <f t="shared" si="81"/>
        <v>0</v>
      </c>
      <c r="T263" s="83">
        <f t="shared" ca="1" si="82"/>
        <v>0</v>
      </c>
      <c r="U263" s="9" t="str">
        <f t="shared" ca="1" si="92"/>
        <v>SEM VALOR</v>
      </c>
      <c r="V263" s="1" t="str">
        <f ca="1">IF(OR($A263=0,$A263="S",$A263&gt;CFF!$A$9),"",MAX(V$12:OFFSET(V263,-1,0))+1)</f>
        <v/>
      </c>
      <c r="W263" s="4" t="b">
        <f t="shared" si="93"/>
        <v>0</v>
      </c>
      <c r="X263" s="1" t="str">
        <f t="shared" ca="1" si="83"/>
        <v>X</v>
      </c>
      <c r="Y263" s="103">
        <v>0</v>
      </c>
      <c r="Z263" s="113">
        <f ca="1">ROUND(IF(ISNUMBER(R263),R263,IF(LEFT(R263,3)="BDI",HLOOKUP(R263,DADOS!$T$37:$X$38,2,FALSE),0)),15-11*$X$5)</f>
        <v>0.23130000000000001</v>
      </c>
      <c r="AA263" s="1"/>
    </row>
    <row r="264" spans="1:27" ht="25.5" x14ac:dyDescent="0.2">
      <c r="A264" t="str">
        <f t="shared" si="84"/>
        <v>S</v>
      </c>
      <c r="B264">
        <f t="shared" si="85"/>
        <v>0</v>
      </c>
      <c r="C264">
        <f t="shared" ca="1" si="86"/>
        <v>1</v>
      </c>
      <c r="D264">
        <f t="shared" ca="1" si="87"/>
        <v>10</v>
      </c>
      <c r="E264">
        <f t="shared" ca="1" si="88"/>
        <v>2</v>
      </c>
      <c r="F264">
        <f t="shared" ca="1" si="89"/>
        <v>0</v>
      </c>
      <c r="G264">
        <f t="shared" ca="1" si="90"/>
        <v>1</v>
      </c>
      <c r="H264">
        <f t="shared" ca="1" si="79"/>
        <v>0</v>
      </c>
      <c r="I264">
        <f t="shared" ca="1" si="80"/>
        <v>0</v>
      </c>
      <c r="J264" s="355" t="s">
        <v>103</v>
      </c>
      <c r="K264" s="138" t="str">
        <f t="shared" ca="1" si="91"/>
        <v>1.10.2.0.1.</v>
      </c>
      <c r="L264" s="356" t="s">
        <v>230</v>
      </c>
      <c r="M264" s="356" t="s">
        <v>438</v>
      </c>
      <c r="N264" s="360" t="s">
        <v>800</v>
      </c>
      <c r="O264" s="362" t="s">
        <v>944</v>
      </c>
      <c r="P264" s="363">
        <v>5</v>
      </c>
      <c r="Q264" s="195"/>
      <c r="R264" s="198" t="s">
        <v>7</v>
      </c>
      <c r="S264" s="103">
        <f t="shared" si="81"/>
        <v>0</v>
      </c>
      <c r="T264" s="83">
        <f t="shared" si="82"/>
        <v>0</v>
      </c>
      <c r="U264" s="9" t="str">
        <f t="shared" si="92"/>
        <v>SEM VALOR</v>
      </c>
      <c r="V264" s="1" t="str">
        <f ca="1">IF(OR($A264=0,$A264="S",$A264&gt;CFF!$A$9),"",MAX(V$12:OFFSET(V264,-1,0))+1)</f>
        <v/>
      </c>
      <c r="W264" s="4" t="str">
        <f t="shared" si="93"/>
        <v>SINAPI-97902</v>
      </c>
      <c r="X264" s="1">
        <f t="shared" ca="1" si="83"/>
        <v>6118</v>
      </c>
      <c r="Y264" s="103">
        <v>746.38</v>
      </c>
      <c r="Z264" s="113">
        <f ca="1">ROUND(IF(ISNUMBER(R264),R264,IF(LEFT(R264,3)="BDI",HLOOKUP(R264,DADOS!$T$37:$X$38,2,FALSE),0)),15-11*$X$5)</f>
        <v>0.23130000000000001</v>
      </c>
      <c r="AA264" s="1"/>
    </row>
    <row r="265" spans="1:27" ht="25.5" x14ac:dyDescent="0.2">
      <c r="A265" t="str">
        <f t="shared" si="84"/>
        <v>S</v>
      </c>
      <c r="B265">
        <f t="shared" si="85"/>
        <v>0</v>
      </c>
      <c r="C265">
        <f t="shared" ca="1" si="86"/>
        <v>1</v>
      </c>
      <c r="D265">
        <f t="shared" ca="1" si="87"/>
        <v>10</v>
      </c>
      <c r="E265">
        <f t="shared" ca="1" si="88"/>
        <v>2</v>
      </c>
      <c r="F265">
        <f t="shared" ca="1" si="89"/>
        <v>0</v>
      </c>
      <c r="G265">
        <f t="shared" ca="1" si="90"/>
        <v>2</v>
      </c>
      <c r="H265">
        <f t="shared" ca="1" si="79"/>
        <v>0</v>
      </c>
      <c r="I265">
        <f t="shared" ca="1" si="80"/>
        <v>0</v>
      </c>
      <c r="J265" s="355" t="s">
        <v>103</v>
      </c>
      <c r="K265" s="138" t="str">
        <f t="shared" ca="1" si="91"/>
        <v>1.10.2.0.2.</v>
      </c>
      <c r="L265" s="356" t="s">
        <v>230</v>
      </c>
      <c r="M265" s="356" t="s">
        <v>439</v>
      </c>
      <c r="N265" s="360" t="s">
        <v>801</v>
      </c>
      <c r="O265" s="362" t="s">
        <v>944</v>
      </c>
      <c r="P265" s="363">
        <v>1</v>
      </c>
      <c r="Q265" s="195"/>
      <c r="R265" s="198" t="s">
        <v>7</v>
      </c>
      <c r="S265" s="103">
        <f t="shared" si="81"/>
        <v>0</v>
      </c>
      <c r="T265" s="83">
        <f t="shared" si="82"/>
        <v>0</v>
      </c>
      <c r="U265" s="9" t="str">
        <f t="shared" si="92"/>
        <v>SEM VALOR</v>
      </c>
      <c r="V265" s="1" t="str">
        <f ca="1">IF(OR($A265=0,$A265="S",$A265&gt;CFF!$A$9),"",MAX(V$12:OFFSET(V265,-1,0))+1)</f>
        <v/>
      </c>
      <c r="W265" s="4" t="str">
        <f t="shared" si="93"/>
        <v>SINAPI-97903</v>
      </c>
      <c r="X265" s="1">
        <f t="shared" ca="1" si="83"/>
        <v>6120</v>
      </c>
      <c r="Y265" s="103">
        <v>1040.3499999999999</v>
      </c>
      <c r="Z265" s="113">
        <f ca="1">ROUND(IF(ISNUMBER(R265),R265,IF(LEFT(R265,3)="BDI",HLOOKUP(R265,DADOS!$T$37:$X$38,2,FALSE),0)),15-11*$X$5)</f>
        <v>0.23130000000000001</v>
      </c>
      <c r="AA265" s="1"/>
    </row>
    <row r="266" spans="1:27" ht="25.5" x14ac:dyDescent="0.2">
      <c r="A266" t="str">
        <f t="shared" si="84"/>
        <v>S</v>
      </c>
      <c r="B266">
        <f t="shared" si="85"/>
        <v>0</v>
      </c>
      <c r="C266">
        <f t="shared" ca="1" si="86"/>
        <v>1</v>
      </c>
      <c r="D266">
        <f t="shared" ca="1" si="87"/>
        <v>10</v>
      </c>
      <c r="E266">
        <f t="shared" ca="1" si="88"/>
        <v>2</v>
      </c>
      <c r="F266">
        <f t="shared" ca="1" si="89"/>
        <v>0</v>
      </c>
      <c r="G266">
        <f t="shared" ca="1" si="90"/>
        <v>3</v>
      </c>
      <c r="H266">
        <f t="shared" ca="1" si="79"/>
        <v>0</v>
      </c>
      <c r="I266">
        <f t="shared" ca="1" si="80"/>
        <v>0</v>
      </c>
      <c r="J266" s="355" t="s">
        <v>103</v>
      </c>
      <c r="K266" s="138" t="str">
        <f t="shared" ca="1" si="91"/>
        <v>1.10.2.0.3.</v>
      </c>
      <c r="L266" s="356" t="s">
        <v>230</v>
      </c>
      <c r="M266" s="356" t="s">
        <v>440</v>
      </c>
      <c r="N266" s="360" t="s">
        <v>802</v>
      </c>
      <c r="O266" s="362" t="s">
        <v>944</v>
      </c>
      <c r="P266" s="363">
        <v>16</v>
      </c>
      <c r="Q266" s="195"/>
      <c r="R266" s="198" t="s">
        <v>7</v>
      </c>
      <c r="S266" s="103">
        <f t="shared" si="81"/>
        <v>0</v>
      </c>
      <c r="T266" s="83">
        <f t="shared" si="82"/>
        <v>0</v>
      </c>
      <c r="U266" s="9" t="str">
        <f t="shared" si="92"/>
        <v>SEM VALOR</v>
      </c>
      <c r="V266" s="1" t="str">
        <f ca="1">IF(OR($A266=0,$A266="S",$A266&gt;CFF!$A$9),"",MAX(V$12:OFFSET(V266,-1,0))+1)</f>
        <v/>
      </c>
      <c r="W266" s="4" t="str">
        <f t="shared" si="93"/>
        <v>SINAPI-104328</v>
      </c>
      <c r="X266" s="1">
        <f t="shared" ca="1" si="83"/>
        <v>10582</v>
      </c>
      <c r="Y266" s="103">
        <v>100.93</v>
      </c>
      <c r="Z266" s="113">
        <f ca="1">ROUND(IF(ISNUMBER(R266),R266,IF(LEFT(R266,3)="BDI",HLOOKUP(R266,DADOS!$T$37:$X$38,2,FALSE),0)),15-11*$X$5)</f>
        <v>0.23130000000000001</v>
      </c>
      <c r="AA266" s="1"/>
    </row>
    <row r="267" spans="1:27" ht="25.5" x14ac:dyDescent="0.2">
      <c r="A267" t="str">
        <f t="shared" si="84"/>
        <v>S</v>
      </c>
      <c r="B267">
        <f t="shared" si="85"/>
        <v>0</v>
      </c>
      <c r="C267">
        <f t="shared" ca="1" si="86"/>
        <v>1</v>
      </c>
      <c r="D267">
        <f t="shared" ca="1" si="87"/>
        <v>10</v>
      </c>
      <c r="E267">
        <f t="shared" ca="1" si="88"/>
        <v>2</v>
      </c>
      <c r="F267">
        <f t="shared" ca="1" si="89"/>
        <v>0</v>
      </c>
      <c r="G267">
        <f t="shared" ca="1" si="90"/>
        <v>4</v>
      </c>
      <c r="H267">
        <f t="shared" ca="1" si="79"/>
        <v>0</v>
      </c>
      <c r="I267">
        <f t="shared" ca="1" si="80"/>
        <v>0</v>
      </c>
      <c r="J267" s="355" t="s">
        <v>103</v>
      </c>
      <c r="K267" s="138" t="str">
        <f t="shared" ca="1" si="91"/>
        <v>1.10.2.0.4.</v>
      </c>
      <c r="L267" s="356" t="s">
        <v>230</v>
      </c>
      <c r="M267" s="356" t="s">
        <v>441</v>
      </c>
      <c r="N267" s="360" t="s">
        <v>803</v>
      </c>
      <c r="O267" s="362" t="s">
        <v>944</v>
      </c>
      <c r="P267" s="363">
        <v>1</v>
      </c>
      <c r="Q267" s="195"/>
      <c r="R267" s="198" t="s">
        <v>7</v>
      </c>
      <c r="S267" s="103">
        <f t="shared" si="81"/>
        <v>0</v>
      </c>
      <c r="T267" s="83">
        <f t="shared" si="82"/>
        <v>0</v>
      </c>
      <c r="U267" s="9" t="str">
        <f t="shared" si="92"/>
        <v>SEM VALOR</v>
      </c>
      <c r="V267" s="1" t="str">
        <f ca="1">IF(OR($A267=0,$A267="S",$A267&gt;CFF!$A$9),"",MAX(V$12:OFFSET(V267,-1,0))+1)</f>
        <v/>
      </c>
      <c r="W267" s="4" t="str">
        <f t="shared" si="93"/>
        <v>SINAPI-89709</v>
      </c>
      <c r="X267" s="1">
        <f t="shared" ca="1" si="83"/>
        <v>10590</v>
      </c>
      <c r="Y267" s="103">
        <v>29.82</v>
      </c>
      <c r="Z267" s="113">
        <f ca="1">ROUND(IF(ISNUMBER(R267),R267,IF(LEFT(R267,3)="BDI",HLOOKUP(R267,DADOS!$T$37:$X$38,2,FALSE),0)),15-11*$X$5)</f>
        <v>0.23130000000000001</v>
      </c>
      <c r="AA267" s="1"/>
    </row>
    <row r="268" spans="1:27" ht="25.5" x14ac:dyDescent="0.2">
      <c r="A268" t="str">
        <f t="shared" si="84"/>
        <v>S</v>
      </c>
      <c r="B268">
        <f t="shared" si="85"/>
        <v>0</v>
      </c>
      <c r="C268">
        <f t="shared" ca="1" si="86"/>
        <v>1</v>
      </c>
      <c r="D268">
        <f t="shared" ca="1" si="87"/>
        <v>10</v>
      </c>
      <c r="E268">
        <f t="shared" ca="1" si="88"/>
        <v>2</v>
      </c>
      <c r="F268">
        <f t="shared" ca="1" si="89"/>
        <v>0</v>
      </c>
      <c r="G268">
        <f t="shared" ca="1" si="90"/>
        <v>5</v>
      </c>
      <c r="H268">
        <f t="shared" ca="1" si="79"/>
        <v>0</v>
      </c>
      <c r="I268">
        <f t="shared" ca="1" si="80"/>
        <v>0</v>
      </c>
      <c r="J268" s="355" t="s">
        <v>103</v>
      </c>
      <c r="K268" s="138" t="str">
        <f t="shared" ca="1" si="91"/>
        <v>1.10.2.0.5.</v>
      </c>
      <c r="L268" s="356" t="s">
        <v>230</v>
      </c>
      <c r="M268" s="356" t="s">
        <v>442</v>
      </c>
      <c r="N268" s="360" t="s">
        <v>804</v>
      </c>
      <c r="O268" s="362" t="s">
        <v>944</v>
      </c>
      <c r="P268" s="363">
        <v>1</v>
      </c>
      <c r="Q268" s="195"/>
      <c r="R268" s="198" t="s">
        <v>7</v>
      </c>
      <c r="S268" s="103">
        <f t="shared" si="81"/>
        <v>0</v>
      </c>
      <c r="T268" s="83">
        <f t="shared" si="82"/>
        <v>0</v>
      </c>
      <c r="U268" s="9" t="str">
        <f t="shared" si="92"/>
        <v>SEM VALOR</v>
      </c>
      <c r="V268" s="1" t="str">
        <f ca="1">IF(OR($A268=0,$A268="S",$A268&gt;CFF!$A$9),"",MAX(V$12:OFFSET(V268,-1,0))+1)</f>
        <v/>
      </c>
      <c r="W268" s="4" t="str">
        <f t="shared" si="93"/>
        <v>SINAPI-89748</v>
      </c>
      <c r="X268" s="1">
        <f t="shared" ca="1" si="83"/>
        <v>10594</v>
      </c>
      <c r="Y268" s="103">
        <v>59.79</v>
      </c>
      <c r="Z268" s="113">
        <f ca="1">ROUND(IF(ISNUMBER(R268),R268,IF(LEFT(R268,3)="BDI",HLOOKUP(R268,DADOS!$T$37:$X$38,2,FALSE),0)),15-11*$X$5)</f>
        <v>0.23130000000000001</v>
      </c>
      <c r="AA268" s="1"/>
    </row>
    <row r="269" spans="1:27" ht="25.5" x14ac:dyDescent="0.2">
      <c r="A269" t="str">
        <f t="shared" si="84"/>
        <v>S</v>
      </c>
      <c r="B269">
        <f t="shared" si="85"/>
        <v>0</v>
      </c>
      <c r="C269">
        <f t="shared" ca="1" si="86"/>
        <v>1</v>
      </c>
      <c r="D269">
        <f t="shared" ca="1" si="87"/>
        <v>10</v>
      </c>
      <c r="E269">
        <f t="shared" ca="1" si="88"/>
        <v>2</v>
      </c>
      <c r="F269">
        <f t="shared" ca="1" si="89"/>
        <v>0</v>
      </c>
      <c r="G269">
        <f t="shared" ca="1" si="90"/>
        <v>6</v>
      </c>
      <c r="H269">
        <f t="shared" ref="H269:H332" ca="1" si="94">IF(OR($A269="S",$A269=0),0,MATCH(0,OFFSET($B269,1,$A269,ROW($A$422)-ROW($A269)),0))</f>
        <v>0</v>
      </c>
      <c r="I269">
        <f t="shared" ref="I269:I332" ca="1" si="95">IF(OR($A269="S",$A269=0),0,MATCH(OFFSET($B269,0,$A269)+1,OFFSET($B269,1,$A269,ROW($A$422)-ROW($A269)),0))</f>
        <v>0</v>
      </c>
      <c r="J269" s="355" t="s">
        <v>103</v>
      </c>
      <c r="K269" s="138" t="str">
        <f t="shared" ca="1" si="91"/>
        <v>1.10.2.0.6.</v>
      </c>
      <c r="L269" s="356" t="s">
        <v>230</v>
      </c>
      <c r="M269" s="356" t="s">
        <v>443</v>
      </c>
      <c r="N269" s="360" t="s">
        <v>805</v>
      </c>
      <c r="O269" s="362" t="s">
        <v>944</v>
      </c>
      <c r="P269" s="363">
        <v>12</v>
      </c>
      <c r="Q269" s="195"/>
      <c r="R269" s="198" t="s">
        <v>7</v>
      </c>
      <c r="S269" s="103">
        <f t="shared" si="81"/>
        <v>0</v>
      </c>
      <c r="T269" s="83">
        <f t="shared" si="82"/>
        <v>0</v>
      </c>
      <c r="U269" s="9" t="str">
        <f t="shared" si="92"/>
        <v>SEM VALOR</v>
      </c>
      <c r="V269" s="1" t="str">
        <f ca="1">IF(OR($A269=0,$A269="S",$A269&gt;CFF!$A$9),"",MAX(V$12:OFFSET(V269,-1,0))+1)</f>
        <v/>
      </c>
      <c r="W269" s="4" t="str">
        <f t="shared" si="93"/>
        <v>SINAPI-89728</v>
      </c>
      <c r="X269" s="1">
        <f t="shared" ca="1" si="83"/>
        <v>10596</v>
      </c>
      <c r="Y269" s="103">
        <v>18.78</v>
      </c>
      <c r="Z269" s="113">
        <f ca="1">ROUND(IF(ISNUMBER(R269),R269,IF(LEFT(R269,3)="BDI",HLOOKUP(R269,DADOS!$T$37:$X$38,2,FALSE),0)),15-11*$X$5)</f>
        <v>0.23130000000000001</v>
      </c>
      <c r="AA269" s="1"/>
    </row>
    <row r="270" spans="1:27" ht="25.5" x14ac:dyDescent="0.2">
      <c r="A270" t="str">
        <f t="shared" si="84"/>
        <v>S</v>
      </c>
      <c r="B270">
        <f t="shared" si="85"/>
        <v>0</v>
      </c>
      <c r="C270">
        <f t="shared" ca="1" si="86"/>
        <v>1</v>
      </c>
      <c r="D270">
        <f t="shared" ca="1" si="87"/>
        <v>10</v>
      </c>
      <c r="E270">
        <f t="shared" ca="1" si="88"/>
        <v>2</v>
      </c>
      <c r="F270">
        <f t="shared" ca="1" si="89"/>
        <v>0</v>
      </c>
      <c r="G270">
        <f t="shared" ca="1" si="90"/>
        <v>7</v>
      </c>
      <c r="H270">
        <f t="shared" ca="1" si="94"/>
        <v>0</v>
      </c>
      <c r="I270">
        <f t="shared" ca="1" si="95"/>
        <v>0</v>
      </c>
      <c r="J270" s="355" t="s">
        <v>103</v>
      </c>
      <c r="K270" s="138" t="str">
        <f t="shared" ca="1" si="91"/>
        <v>1.10.2.0.7.</v>
      </c>
      <c r="L270" s="356" t="s">
        <v>230</v>
      </c>
      <c r="M270" s="356" t="s">
        <v>444</v>
      </c>
      <c r="N270" s="360" t="s">
        <v>806</v>
      </c>
      <c r="O270" s="362" t="s">
        <v>944</v>
      </c>
      <c r="P270" s="363">
        <v>3</v>
      </c>
      <c r="Q270" s="195"/>
      <c r="R270" s="198" t="s">
        <v>7</v>
      </c>
      <c r="S270" s="103">
        <f t="shared" si="81"/>
        <v>0</v>
      </c>
      <c r="T270" s="83">
        <f t="shared" si="82"/>
        <v>0</v>
      </c>
      <c r="U270" s="9" t="str">
        <f t="shared" si="92"/>
        <v>SEM VALOR</v>
      </c>
      <c r="V270" s="1" t="str">
        <f ca="1">IF(OR($A270=0,$A270="S",$A270&gt;CFF!$A$9),"",MAX(V$12:OFFSET(V270,-1,0))+1)</f>
        <v/>
      </c>
      <c r="W270" s="4" t="str">
        <f t="shared" si="93"/>
        <v>SINAPI-89746</v>
      </c>
      <c r="X270" s="1">
        <f t="shared" ca="1" si="83"/>
        <v>10610</v>
      </c>
      <c r="Y270" s="103">
        <v>38.93</v>
      </c>
      <c r="Z270" s="113">
        <f ca="1">ROUND(IF(ISNUMBER(R270),R270,IF(LEFT(R270,3)="BDI",HLOOKUP(R270,DADOS!$T$37:$X$38,2,FALSE),0)),15-11*$X$5)</f>
        <v>0.23130000000000001</v>
      </c>
      <c r="AA270" s="1"/>
    </row>
    <row r="271" spans="1:27" ht="25.5" x14ac:dyDescent="0.2">
      <c r="A271" t="str">
        <f t="shared" si="84"/>
        <v>S</v>
      </c>
      <c r="B271">
        <f t="shared" si="85"/>
        <v>0</v>
      </c>
      <c r="C271">
        <f t="shared" ca="1" si="86"/>
        <v>1</v>
      </c>
      <c r="D271">
        <f t="shared" ca="1" si="87"/>
        <v>10</v>
      </c>
      <c r="E271">
        <f t="shared" ca="1" si="88"/>
        <v>2</v>
      </c>
      <c r="F271">
        <f t="shared" ca="1" si="89"/>
        <v>0</v>
      </c>
      <c r="G271">
        <f t="shared" ca="1" si="90"/>
        <v>8</v>
      </c>
      <c r="H271">
        <f t="shared" ca="1" si="94"/>
        <v>0</v>
      </c>
      <c r="I271">
        <f t="shared" ca="1" si="95"/>
        <v>0</v>
      </c>
      <c r="J271" s="355" t="s">
        <v>103</v>
      </c>
      <c r="K271" s="138" t="str">
        <f t="shared" ca="1" si="91"/>
        <v>1.10.2.0.8.</v>
      </c>
      <c r="L271" s="356" t="s">
        <v>230</v>
      </c>
      <c r="M271" s="356" t="s">
        <v>445</v>
      </c>
      <c r="N271" s="360" t="s">
        <v>807</v>
      </c>
      <c r="O271" s="362" t="s">
        <v>944</v>
      </c>
      <c r="P271" s="363">
        <v>2</v>
      </c>
      <c r="Q271" s="195"/>
      <c r="R271" s="198" t="s">
        <v>7</v>
      </c>
      <c r="S271" s="103">
        <f t="shared" si="81"/>
        <v>0</v>
      </c>
      <c r="T271" s="83">
        <f t="shared" si="82"/>
        <v>0</v>
      </c>
      <c r="U271" s="9" t="str">
        <f t="shared" si="92"/>
        <v>SEM VALOR</v>
      </c>
      <c r="V271" s="1" t="str">
        <f ca="1">IF(OR($A271=0,$A271="S",$A271&gt;CFF!$A$9),"",MAX(V$12:OFFSET(V271,-1,0))+1)</f>
        <v/>
      </c>
      <c r="W271" s="4" t="str">
        <f t="shared" si="93"/>
        <v>SINAPI-89726</v>
      </c>
      <c r="X271" s="1">
        <f t="shared" ca="1" si="83"/>
        <v>10613</v>
      </c>
      <c r="Y271" s="103">
        <v>14.84</v>
      </c>
      <c r="Z271" s="113">
        <f ca="1">ROUND(IF(ISNUMBER(R271),R271,IF(LEFT(R271,3)="BDI",HLOOKUP(R271,DADOS!$T$37:$X$38,2,FALSE),0)),15-11*$X$5)</f>
        <v>0.23130000000000001</v>
      </c>
      <c r="AA271" s="1"/>
    </row>
    <row r="272" spans="1:27" ht="25.5" x14ac:dyDescent="0.2">
      <c r="A272" t="str">
        <f t="shared" si="84"/>
        <v>S</v>
      </c>
      <c r="B272">
        <f t="shared" si="85"/>
        <v>0</v>
      </c>
      <c r="C272">
        <f t="shared" ca="1" si="86"/>
        <v>1</v>
      </c>
      <c r="D272">
        <f t="shared" ca="1" si="87"/>
        <v>10</v>
      </c>
      <c r="E272">
        <f t="shared" ca="1" si="88"/>
        <v>2</v>
      </c>
      <c r="F272">
        <f t="shared" ca="1" si="89"/>
        <v>0</v>
      </c>
      <c r="G272">
        <f t="shared" ca="1" si="90"/>
        <v>9</v>
      </c>
      <c r="H272">
        <f t="shared" ca="1" si="94"/>
        <v>0</v>
      </c>
      <c r="I272">
        <f t="shared" ca="1" si="95"/>
        <v>0</v>
      </c>
      <c r="J272" s="355" t="s">
        <v>103</v>
      </c>
      <c r="K272" s="138" t="str">
        <f t="shared" ca="1" si="91"/>
        <v>1.10.2.0.9.</v>
      </c>
      <c r="L272" s="356" t="s">
        <v>230</v>
      </c>
      <c r="M272" s="356" t="s">
        <v>446</v>
      </c>
      <c r="N272" s="360" t="s">
        <v>808</v>
      </c>
      <c r="O272" s="362" t="s">
        <v>944</v>
      </c>
      <c r="P272" s="363">
        <v>8</v>
      </c>
      <c r="Q272" s="195"/>
      <c r="R272" s="198" t="s">
        <v>7</v>
      </c>
      <c r="S272" s="103">
        <f t="shared" si="81"/>
        <v>0</v>
      </c>
      <c r="T272" s="83">
        <f t="shared" si="82"/>
        <v>0</v>
      </c>
      <c r="U272" s="9" t="str">
        <f t="shared" si="92"/>
        <v>SEM VALOR</v>
      </c>
      <c r="V272" s="1" t="str">
        <f ca="1">IF(OR($A272=0,$A272="S",$A272&gt;CFF!$A$9),"",MAX(V$12:OFFSET(V272,-1,0))+1)</f>
        <v/>
      </c>
      <c r="W272" s="4" t="str">
        <f t="shared" si="93"/>
        <v>SINAPI-89732</v>
      </c>
      <c r="X272" s="1">
        <f t="shared" ca="1" si="83"/>
        <v>10615</v>
      </c>
      <c r="Y272" s="103">
        <v>21.29</v>
      </c>
      <c r="Z272" s="113">
        <f ca="1">ROUND(IF(ISNUMBER(R272),R272,IF(LEFT(R272,3)="BDI",HLOOKUP(R272,DADOS!$T$37:$X$38,2,FALSE),0)),15-11*$X$5)</f>
        <v>0.23130000000000001</v>
      </c>
      <c r="AA272" s="1"/>
    </row>
    <row r="273" spans="1:27" ht="25.5" x14ac:dyDescent="0.2">
      <c r="A273" t="str">
        <f t="shared" si="84"/>
        <v>S</v>
      </c>
      <c r="B273">
        <f t="shared" si="85"/>
        <v>0</v>
      </c>
      <c r="C273">
        <f t="shared" ca="1" si="86"/>
        <v>1</v>
      </c>
      <c r="D273">
        <f t="shared" ca="1" si="87"/>
        <v>10</v>
      </c>
      <c r="E273">
        <f t="shared" ca="1" si="88"/>
        <v>2</v>
      </c>
      <c r="F273">
        <f t="shared" ca="1" si="89"/>
        <v>0</v>
      </c>
      <c r="G273">
        <f t="shared" ca="1" si="90"/>
        <v>10</v>
      </c>
      <c r="H273">
        <f t="shared" ca="1" si="94"/>
        <v>0</v>
      </c>
      <c r="I273">
        <f t="shared" ca="1" si="95"/>
        <v>0</v>
      </c>
      <c r="J273" s="355" t="s">
        <v>103</v>
      </c>
      <c r="K273" s="138" t="str">
        <f t="shared" ca="1" si="91"/>
        <v>1.10.2.0.10.</v>
      </c>
      <c r="L273" s="356" t="s">
        <v>230</v>
      </c>
      <c r="M273" s="356" t="s">
        <v>447</v>
      </c>
      <c r="N273" s="360" t="s">
        <v>809</v>
      </c>
      <c r="O273" s="362" t="s">
        <v>944</v>
      </c>
      <c r="P273" s="363">
        <v>6</v>
      </c>
      <c r="Q273" s="195"/>
      <c r="R273" s="198" t="s">
        <v>7</v>
      </c>
      <c r="S273" s="103">
        <f t="shared" si="81"/>
        <v>0</v>
      </c>
      <c r="T273" s="83">
        <f t="shared" si="82"/>
        <v>0</v>
      </c>
      <c r="U273" s="9" t="str">
        <f t="shared" si="92"/>
        <v>SEM VALOR</v>
      </c>
      <c r="V273" s="1" t="str">
        <f ca="1">IF(OR($A273=0,$A273="S",$A273&gt;CFF!$A$9),"",MAX(V$12:OFFSET(V273,-1,0))+1)</f>
        <v/>
      </c>
      <c r="W273" s="4" t="str">
        <f t="shared" si="93"/>
        <v>SINAPI-89744</v>
      </c>
      <c r="X273" s="1">
        <f t="shared" ca="1" si="83"/>
        <v>10619</v>
      </c>
      <c r="Y273" s="103">
        <v>37.700000000000003</v>
      </c>
      <c r="Z273" s="113">
        <f ca="1">ROUND(IF(ISNUMBER(R273),R273,IF(LEFT(R273,3)="BDI",HLOOKUP(R273,DADOS!$T$37:$X$38,2,FALSE),0)),15-11*$X$5)</f>
        <v>0.23130000000000001</v>
      </c>
      <c r="AA273" s="1"/>
    </row>
    <row r="274" spans="1:27" ht="25.5" x14ac:dyDescent="0.2">
      <c r="A274" t="str">
        <f t="shared" si="84"/>
        <v>S</v>
      </c>
      <c r="B274">
        <f t="shared" si="85"/>
        <v>0</v>
      </c>
      <c r="C274">
        <f t="shared" ca="1" si="86"/>
        <v>1</v>
      </c>
      <c r="D274">
        <f t="shared" ca="1" si="87"/>
        <v>10</v>
      </c>
      <c r="E274">
        <f t="shared" ca="1" si="88"/>
        <v>2</v>
      </c>
      <c r="F274">
        <f t="shared" ca="1" si="89"/>
        <v>0</v>
      </c>
      <c r="G274">
        <f t="shared" ca="1" si="90"/>
        <v>11</v>
      </c>
      <c r="H274">
        <f t="shared" ca="1" si="94"/>
        <v>0</v>
      </c>
      <c r="I274">
        <f t="shared" ca="1" si="95"/>
        <v>0</v>
      </c>
      <c r="J274" s="355" t="s">
        <v>103</v>
      </c>
      <c r="K274" s="138" t="str">
        <f t="shared" ca="1" si="91"/>
        <v>1.10.2.0.11.</v>
      </c>
      <c r="L274" s="356" t="s">
        <v>230</v>
      </c>
      <c r="M274" s="356" t="s">
        <v>448</v>
      </c>
      <c r="N274" s="360" t="s">
        <v>810</v>
      </c>
      <c r="O274" s="362" t="s">
        <v>944</v>
      </c>
      <c r="P274" s="363">
        <v>4</v>
      </c>
      <c r="Q274" s="195"/>
      <c r="R274" s="198" t="s">
        <v>7</v>
      </c>
      <c r="S274" s="103">
        <f t="shared" si="81"/>
        <v>0</v>
      </c>
      <c r="T274" s="83">
        <f t="shared" si="82"/>
        <v>0</v>
      </c>
      <c r="U274" s="9" t="str">
        <f t="shared" si="92"/>
        <v>SEM VALOR</v>
      </c>
      <c r="V274" s="1" t="str">
        <f ca="1">IF(OR($A274=0,$A274="S",$A274&gt;CFF!$A$9),"",MAX(V$12:OFFSET(V274,-1,0))+1)</f>
        <v/>
      </c>
      <c r="W274" s="4" t="str">
        <f t="shared" si="93"/>
        <v>SINAPI-89724</v>
      </c>
      <c r="X274" s="1">
        <f t="shared" ca="1" si="83"/>
        <v>10622</v>
      </c>
      <c r="Y274" s="103">
        <v>14.49</v>
      </c>
      <c r="Z274" s="113">
        <f ca="1">ROUND(IF(ISNUMBER(R274),R274,IF(LEFT(R274,3)="BDI",HLOOKUP(R274,DADOS!$T$37:$X$38,2,FALSE),0)),15-11*$X$5)</f>
        <v>0.23130000000000001</v>
      </c>
      <c r="AA274" s="1"/>
    </row>
    <row r="275" spans="1:27" ht="25.5" x14ac:dyDescent="0.2">
      <c r="A275" t="str">
        <f t="shared" si="84"/>
        <v>S</v>
      </c>
      <c r="B275">
        <f t="shared" si="85"/>
        <v>0</v>
      </c>
      <c r="C275">
        <f t="shared" ca="1" si="86"/>
        <v>1</v>
      </c>
      <c r="D275">
        <f t="shared" ca="1" si="87"/>
        <v>10</v>
      </c>
      <c r="E275">
        <f t="shared" ca="1" si="88"/>
        <v>2</v>
      </c>
      <c r="F275">
        <f t="shared" ca="1" si="89"/>
        <v>0</v>
      </c>
      <c r="G275">
        <f t="shared" ca="1" si="90"/>
        <v>12</v>
      </c>
      <c r="H275">
        <f t="shared" ca="1" si="94"/>
        <v>0</v>
      </c>
      <c r="I275">
        <f t="shared" ca="1" si="95"/>
        <v>0</v>
      </c>
      <c r="J275" s="355" t="s">
        <v>103</v>
      </c>
      <c r="K275" s="138" t="str">
        <f t="shared" ca="1" si="91"/>
        <v>1.10.2.0.12.</v>
      </c>
      <c r="L275" s="356" t="s">
        <v>230</v>
      </c>
      <c r="M275" s="356" t="s">
        <v>449</v>
      </c>
      <c r="N275" s="360" t="s">
        <v>811</v>
      </c>
      <c r="O275" s="362" t="s">
        <v>944</v>
      </c>
      <c r="P275" s="363">
        <v>1</v>
      </c>
      <c r="Q275" s="195"/>
      <c r="R275" s="198" t="s">
        <v>7</v>
      </c>
      <c r="S275" s="103">
        <f t="shared" si="81"/>
        <v>0</v>
      </c>
      <c r="T275" s="83">
        <f t="shared" si="82"/>
        <v>0</v>
      </c>
      <c r="U275" s="9" t="str">
        <f t="shared" si="92"/>
        <v>SEM VALOR</v>
      </c>
      <c r="V275" s="1" t="str">
        <f ca="1">IF(OR($A275=0,$A275="S",$A275&gt;CFF!$A$9),"",MAX(V$12:OFFSET(V275,-1,0))+1)</f>
        <v/>
      </c>
      <c r="W275" s="4" t="str">
        <f t="shared" si="93"/>
        <v>SINAPI-89731</v>
      </c>
      <c r="X275" s="1">
        <f t="shared" ca="1" si="83"/>
        <v>10624</v>
      </c>
      <c r="Y275" s="103">
        <v>20.22</v>
      </c>
      <c r="Z275" s="113">
        <f ca="1">ROUND(IF(ISNUMBER(R275),R275,IF(LEFT(R275,3)="BDI",HLOOKUP(R275,DADOS!$T$37:$X$38,2,FALSE),0)),15-11*$X$5)</f>
        <v>0.23130000000000001</v>
      </c>
      <c r="AA275" s="1"/>
    </row>
    <row r="276" spans="1:27" ht="25.5" x14ac:dyDescent="0.2">
      <c r="A276" t="str">
        <f t="shared" si="84"/>
        <v>S</v>
      </c>
      <c r="B276">
        <f t="shared" si="85"/>
        <v>0</v>
      </c>
      <c r="C276">
        <f t="shared" ca="1" si="86"/>
        <v>1</v>
      </c>
      <c r="D276">
        <f t="shared" ca="1" si="87"/>
        <v>10</v>
      </c>
      <c r="E276">
        <f t="shared" ca="1" si="88"/>
        <v>2</v>
      </c>
      <c r="F276">
        <f t="shared" ca="1" si="89"/>
        <v>0</v>
      </c>
      <c r="G276">
        <f t="shared" ca="1" si="90"/>
        <v>13</v>
      </c>
      <c r="H276">
        <f t="shared" ca="1" si="94"/>
        <v>0</v>
      </c>
      <c r="I276">
        <f t="shared" ca="1" si="95"/>
        <v>0</v>
      </c>
      <c r="J276" s="355" t="s">
        <v>103</v>
      </c>
      <c r="K276" s="138" t="str">
        <f t="shared" ca="1" si="91"/>
        <v>1.10.2.0.13.</v>
      </c>
      <c r="L276" s="356" t="s">
        <v>230</v>
      </c>
      <c r="M276" s="356" t="s">
        <v>448</v>
      </c>
      <c r="N276" s="360" t="s">
        <v>810</v>
      </c>
      <c r="O276" s="362" t="s">
        <v>944</v>
      </c>
      <c r="P276" s="363">
        <v>11</v>
      </c>
      <c r="Q276" s="195"/>
      <c r="R276" s="198" t="s">
        <v>7</v>
      </c>
      <c r="S276" s="103">
        <f t="shared" si="81"/>
        <v>0</v>
      </c>
      <c r="T276" s="83">
        <f t="shared" si="82"/>
        <v>0</v>
      </c>
      <c r="U276" s="9" t="str">
        <f t="shared" si="92"/>
        <v>SEM VALOR</v>
      </c>
      <c r="V276" s="1" t="str">
        <f ca="1">IF(OR($A276=0,$A276="S",$A276&gt;CFF!$A$9),"",MAX(V$12:OFFSET(V276,-1,0))+1)</f>
        <v/>
      </c>
      <c r="W276" s="4" t="str">
        <f t="shared" si="93"/>
        <v>SINAPI-89724</v>
      </c>
      <c r="X276" s="1">
        <f t="shared" ca="1" si="83"/>
        <v>10622</v>
      </c>
      <c r="Y276" s="103">
        <v>14.49</v>
      </c>
      <c r="Z276" s="113">
        <f ca="1">ROUND(IF(ISNUMBER(R276),R276,IF(LEFT(R276,3)="BDI",HLOOKUP(R276,DADOS!$T$37:$X$38,2,FALSE),0)),15-11*$X$5)</f>
        <v>0.23130000000000001</v>
      </c>
      <c r="AA276" s="1"/>
    </row>
    <row r="277" spans="1:27" ht="25.5" x14ac:dyDescent="0.2">
      <c r="A277" t="str">
        <f t="shared" si="84"/>
        <v>S</v>
      </c>
      <c r="B277">
        <f t="shared" si="85"/>
        <v>0</v>
      </c>
      <c r="C277">
        <f t="shared" ca="1" si="86"/>
        <v>1</v>
      </c>
      <c r="D277">
        <f t="shared" ca="1" si="87"/>
        <v>10</v>
      </c>
      <c r="E277">
        <f t="shared" ca="1" si="88"/>
        <v>2</v>
      </c>
      <c r="F277">
        <f t="shared" ca="1" si="89"/>
        <v>0</v>
      </c>
      <c r="G277">
        <f t="shared" ca="1" si="90"/>
        <v>14</v>
      </c>
      <c r="H277">
        <f t="shared" ca="1" si="94"/>
        <v>0</v>
      </c>
      <c r="I277">
        <f t="shared" ca="1" si="95"/>
        <v>0</v>
      </c>
      <c r="J277" s="355" t="s">
        <v>103</v>
      </c>
      <c r="K277" s="138" t="str">
        <f t="shared" ca="1" si="91"/>
        <v>1.10.2.0.14.</v>
      </c>
      <c r="L277" s="356" t="s">
        <v>230</v>
      </c>
      <c r="M277" s="356" t="s">
        <v>450</v>
      </c>
      <c r="N277" s="360" t="s">
        <v>812</v>
      </c>
      <c r="O277" s="362" t="s">
        <v>944</v>
      </c>
      <c r="P277" s="363">
        <v>12</v>
      </c>
      <c r="Q277" s="195"/>
      <c r="R277" s="198" t="s">
        <v>7</v>
      </c>
      <c r="S277" s="103">
        <f t="shared" si="81"/>
        <v>0</v>
      </c>
      <c r="T277" s="83">
        <f t="shared" si="82"/>
        <v>0</v>
      </c>
      <c r="U277" s="9" t="str">
        <f t="shared" si="92"/>
        <v>SEM VALOR</v>
      </c>
      <c r="V277" s="1" t="str">
        <f ca="1">IF(OR($A277=0,$A277="S",$A277&gt;CFF!$A$9),"",MAX(V$12:OFFSET(V277,-1,0))+1)</f>
        <v/>
      </c>
      <c r="W277" s="4" t="str">
        <f t="shared" si="93"/>
        <v>SINAPI-104345</v>
      </c>
      <c r="X277" s="1">
        <f t="shared" ca="1" si="83"/>
        <v>10630</v>
      </c>
      <c r="Y277" s="103">
        <v>59.42</v>
      </c>
      <c r="Z277" s="113">
        <f ca="1">ROUND(IF(ISNUMBER(R277),R277,IF(LEFT(R277,3)="BDI",HLOOKUP(R277,DADOS!$T$37:$X$38,2,FALSE),0)),15-11*$X$5)</f>
        <v>0.23130000000000001</v>
      </c>
      <c r="AA277" s="1"/>
    </row>
    <row r="278" spans="1:27" ht="25.5" x14ac:dyDescent="0.2">
      <c r="A278" t="str">
        <f t="shared" si="84"/>
        <v>S</v>
      </c>
      <c r="B278">
        <f t="shared" si="85"/>
        <v>0</v>
      </c>
      <c r="C278">
        <f t="shared" ca="1" si="86"/>
        <v>1</v>
      </c>
      <c r="D278">
        <f t="shared" ca="1" si="87"/>
        <v>10</v>
      </c>
      <c r="E278">
        <f t="shared" ca="1" si="88"/>
        <v>2</v>
      </c>
      <c r="F278">
        <f t="shared" ca="1" si="89"/>
        <v>0</v>
      </c>
      <c r="G278">
        <f t="shared" ca="1" si="90"/>
        <v>15</v>
      </c>
      <c r="H278">
        <f t="shared" ca="1" si="94"/>
        <v>0</v>
      </c>
      <c r="I278">
        <f t="shared" ca="1" si="95"/>
        <v>0</v>
      </c>
      <c r="J278" s="355" t="s">
        <v>103</v>
      </c>
      <c r="K278" s="138" t="str">
        <f t="shared" ca="1" si="91"/>
        <v>1.10.2.0.15.</v>
      </c>
      <c r="L278" s="356" t="s">
        <v>230</v>
      </c>
      <c r="M278" s="356" t="s">
        <v>451</v>
      </c>
      <c r="N278" s="360" t="s">
        <v>813</v>
      </c>
      <c r="O278" s="362" t="s">
        <v>944</v>
      </c>
      <c r="P278" s="363">
        <v>3</v>
      </c>
      <c r="Q278" s="195"/>
      <c r="R278" s="198" t="s">
        <v>7</v>
      </c>
      <c r="S278" s="103">
        <f t="shared" si="81"/>
        <v>0</v>
      </c>
      <c r="T278" s="83">
        <f t="shared" si="82"/>
        <v>0</v>
      </c>
      <c r="U278" s="9" t="str">
        <f t="shared" si="92"/>
        <v>SEM VALOR</v>
      </c>
      <c r="V278" s="1" t="str">
        <f ca="1">IF(OR($A278=0,$A278="S",$A278&gt;CFF!$A$9),"",MAX(V$12:OFFSET(V278,-1,0))+1)</f>
        <v/>
      </c>
      <c r="W278" s="4" t="str">
        <f t="shared" si="93"/>
        <v>SINAPI-89797</v>
      </c>
      <c r="X278" s="1">
        <f t="shared" ca="1" si="83"/>
        <v>10634</v>
      </c>
      <c r="Y278" s="103">
        <v>71.39</v>
      </c>
      <c r="Z278" s="113">
        <f ca="1">ROUND(IF(ISNUMBER(R278),R278,IF(LEFT(R278,3)="BDI",HLOOKUP(R278,DADOS!$T$37:$X$38,2,FALSE),0)),15-11*$X$5)</f>
        <v>0.23130000000000001</v>
      </c>
      <c r="AA278" s="1"/>
    </row>
    <row r="279" spans="1:27" ht="25.5" x14ac:dyDescent="0.2">
      <c r="A279" t="str">
        <f t="shared" si="84"/>
        <v>S</v>
      </c>
      <c r="B279">
        <f t="shared" si="85"/>
        <v>0</v>
      </c>
      <c r="C279">
        <f t="shared" ca="1" si="86"/>
        <v>1</v>
      </c>
      <c r="D279">
        <f t="shared" ca="1" si="87"/>
        <v>10</v>
      </c>
      <c r="E279">
        <f t="shared" ca="1" si="88"/>
        <v>2</v>
      </c>
      <c r="F279">
        <f t="shared" ca="1" si="89"/>
        <v>0</v>
      </c>
      <c r="G279">
        <f t="shared" ca="1" si="90"/>
        <v>16</v>
      </c>
      <c r="H279">
        <f t="shared" ca="1" si="94"/>
        <v>0</v>
      </c>
      <c r="I279">
        <f t="shared" ca="1" si="95"/>
        <v>0</v>
      </c>
      <c r="J279" s="355" t="s">
        <v>103</v>
      </c>
      <c r="K279" s="138" t="str">
        <f t="shared" ca="1" si="91"/>
        <v>1.10.2.0.16.</v>
      </c>
      <c r="L279" s="356" t="s">
        <v>230</v>
      </c>
      <c r="M279" s="356" t="s">
        <v>452</v>
      </c>
      <c r="N279" s="360" t="s">
        <v>814</v>
      </c>
      <c r="O279" s="362" t="s">
        <v>944</v>
      </c>
      <c r="P279" s="363">
        <v>1</v>
      </c>
      <c r="Q279" s="195"/>
      <c r="R279" s="198" t="s">
        <v>7</v>
      </c>
      <c r="S279" s="103">
        <f t="shared" si="81"/>
        <v>0</v>
      </c>
      <c r="T279" s="83">
        <f t="shared" si="82"/>
        <v>0</v>
      </c>
      <c r="U279" s="9" t="str">
        <f t="shared" si="92"/>
        <v>SEM VALOR</v>
      </c>
      <c r="V279" s="1" t="str">
        <f ca="1">IF(OR($A279=0,$A279="S",$A279&gt;CFF!$A$9),"",MAX(V$12:OFFSET(V279,-1,0))+1)</f>
        <v/>
      </c>
      <c r="W279" s="4" t="str">
        <f t="shared" si="93"/>
        <v>SINAPI-104176</v>
      </c>
      <c r="X279" s="1">
        <f t="shared" ca="1" si="83"/>
        <v>11090</v>
      </c>
      <c r="Y279" s="103">
        <v>349.36</v>
      </c>
      <c r="Z279" s="113">
        <f ca="1">ROUND(IF(ISNUMBER(R279),R279,IF(LEFT(R279,3)="BDI",HLOOKUP(R279,DADOS!$T$37:$X$38,2,FALSE),0)),15-11*$X$5)</f>
        <v>0.23130000000000001</v>
      </c>
      <c r="AA279" s="1"/>
    </row>
    <row r="280" spans="1:27" ht="25.5" x14ac:dyDescent="0.2">
      <c r="A280" t="str">
        <f t="shared" si="84"/>
        <v>S</v>
      </c>
      <c r="B280">
        <f t="shared" si="85"/>
        <v>0</v>
      </c>
      <c r="C280">
        <f t="shared" ca="1" si="86"/>
        <v>1</v>
      </c>
      <c r="D280">
        <f t="shared" ca="1" si="87"/>
        <v>10</v>
      </c>
      <c r="E280">
        <f t="shared" ca="1" si="88"/>
        <v>2</v>
      </c>
      <c r="F280">
        <f t="shared" ca="1" si="89"/>
        <v>0</v>
      </c>
      <c r="G280">
        <f t="shared" ca="1" si="90"/>
        <v>17</v>
      </c>
      <c r="H280">
        <f t="shared" ca="1" si="94"/>
        <v>0</v>
      </c>
      <c r="I280">
        <f t="shared" ca="1" si="95"/>
        <v>0</v>
      </c>
      <c r="J280" s="355" t="s">
        <v>103</v>
      </c>
      <c r="K280" s="138" t="str">
        <f t="shared" ca="1" si="91"/>
        <v>1.10.2.0.17.</v>
      </c>
      <c r="L280" s="356" t="s">
        <v>230</v>
      </c>
      <c r="M280" s="356" t="s">
        <v>453</v>
      </c>
      <c r="N280" s="360" t="s">
        <v>815</v>
      </c>
      <c r="O280" s="362" t="s">
        <v>945</v>
      </c>
      <c r="P280" s="363">
        <v>64.5</v>
      </c>
      <c r="Q280" s="195"/>
      <c r="R280" s="198" t="s">
        <v>7</v>
      </c>
      <c r="S280" s="103">
        <f t="shared" si="81"/>
        <v>0</v>
      </c>
      <c r="T280" s="83">
        <f t="shared" si="82"/>
        <v>0</v>
      </c>
      <c r="U280" s="9" t="str">
        <f t="shared" si="92"/>
        <v>SEM VALOR</v>
      </c>
      <c r="V280" s="1" t="str">
        <f ca="1">IF(OR($A280=0,$A280="S",$A280&gt;CFF!$A$9),"",MAX(V$12:OFFSET(V280,-1,0))+1)</f>
        <v/>
      </c>
      <c r="W280" s="4" t="str">
        <f t="shared" si="93"/>
        <v>SINAPI-89714</v>
      </c>
      <c r="X280" s="1">
        <f t="shared" ca="1" si="83"/>
        <v>10673</v>
      </c>
      <c r="Y280" s="103">
        <v>53.33</v>
      </c>
      <c r="Z280" s="113">
        <f ca="1">ROUND(IF(ISNUMBER(R280),R280,IF(LEFT(R280,3)="BDI",HLOOKUP(R280,DADOS!$T$37:$X$38,2,FALSE),0)),15-11*$X$5)</f>
        <v>0.23130000000000001</v>
      </c>
      <c r="AA280" s="1"/>
    </row>
    <row r="281" spans="1:27" ht="25.5" x14ac:dyDescent="0.2">
      <c r="A281" t="str">
        <f t="shared" si="84"/>
        <v>S</v>
      </c>
      <c r="B281">
        <f t="shared" si="85"/>
        <v>0</v>
      </c>
      <c r="C281">
        <f t="shared" ca="1" si="86"/>
        <v>1</v>
      </c>
      <c r="D281">
        <f t="shared" ca="1" si="87"/>
        <v>10</v>
      </c>
      <c r="E281">
        <f t="shared" ca="1" si="88"/>
        <v>2</v>
      </c>
      <c r="F281">
        <f t="shared" ca="1" si="89"/>
        <v>0</v>
      </c>
      <c r="G281">
        <f t="shared" ca="1" si="90"/>
        <v>18</v>
      </c>
      <c r="H281">
        <f t="shared" ca="1" si="94"/>
        <v>0</v>
      </c>
      <c r="I281">
        <f t="shared" ca="1" si="95"/>
        <v>0</v>
      </c>
      <c r="J281" s="355" t="s">
        <v>103</v>
      </c>
      <c r="K281" s="138" t="str">
        <f t="shared" ca="1" si="91"/>
        <v>1.10.2.0.18.</v>
      </c>
      <c r="L281" s="356" t="s">
        <v>230</v>
      </c>
      <c r="M281" s="356" t="s">
        <v>454</v>
      </c>
      <c r="N281" s="360" t="s">
        <v>816</v>
      </c>
      <c r="O281" s="362" t="s">
        <v>945</v>
      </c>
      <c r="P281" s="363">
        <v>5.77</v>
      </c>
      <c r="Q281" s="195"/>
      <c r="R281" s="198" t="s">
        <v>7</v>
      </c>
      <c r="S281" s="103">
        <f t="shared" si="81"/>
        <v>0</v>
      </c>
      <c r="T281" s="83">
        <f t="shared" si="82"/>
        <v>0</v>
      </c>
      <c r="U281" s="9" t="str">
        <f t="shared" si="92"/>
        <v>SEM VALOR</v>
      </c>
      <c r="V281" s="1" t="str">
        <f ca="1">IF(OR($A281=0,$A281="S",$A281&gt;CFF!$A$9),"",MAX(V$12:OFFSET(V281,-1,0))+1)</f>
        <v/>
      </c>
      <c r="W281" s="4" t="str">
        <f t="shared" si="93"/>
        <v>SINAPI-90695</v>
      </c>
      <c r="X281" s="1">
        <f t="shared" ca="1" si="83"/>
        <v>5396</v>
      </c>
      <c r="Y281" s="103">
        <v>127.24</v>
      </c>
      <c r="Z281" s="113">
        <f ca="1">ROUND(IF(ISNUMBER(R281),R281,IF(LEFT(R281,3)="BDI",HLOOKUP(R281,DADOS!$T$37:$X$38,2,FALSE),0)),15-11*$X$5)</f>
        <v>0.23130000000000001</v>
      </c>
      <c r="AA281" s="1"/>
    </row>
    <row r="282" spans="1:27" ht="25.5" x14ac:dyDescent="0.2">
      <c r="A282" t="str">
        <f t="shared" si="84"/>
        <v>S</v>
      </c>
      <c r="B282">
        <f t="shared" si="85"/>
        <v>0</v>
      </c>
      <c r="C282">
        <f t="shared" ca="1" si="86"/>
        <v>1</v>
      </c>
      <c r="D282">
        <f t="shared" ca="1" si="87"/>
        <v>10</v>
      </c>
      <c r="E282">
        <f t="shared" ca="1" si="88"/>
        <v>2</v>
      </c>
      <c r="F282">
        <f t="shared" ca="1" si="89"/>
        <v>0</v>
      </c>
      <c r="G282">
        <f t="shared" ca="1" si="90"/>
        <v>19</v>
      </c>
      <c r="H282">
        <f t="shared" ca="1" si="94"/>
        <v>0</v>
      </c>
      <c r="I282">
        <f t="shared" ca="1" si="95"/>
        <v>0</v>
      </c>
      <c r="J282" s="355" t="s">
        <v>103</v>
      </c>
      <c r="K282" s="138" t="str">
        <f t="shared" ca="1" si="91"/>
        <v>1.10.2.0.19.</v>
      </c>
      <c r="L282" s="356" t="s">
        <v>230</v>
      </c>
      <c r="M282" s="356" t="s">
        <v>455</v>
      </c>
      <c r="N282" s="360" t="s">
        <v>817</v>
      </c>
      <c r="O282" s="362" t="s">
        <v>945</v>
      </c>
      <c r="P282" s="363">
        <v>35.15</v>
      </c>
      <c r="Q282" s="195"/>
      <c r="R282" s="198" t="s">
        <v>7</v>
      </c>
      <c r="S282" s="103">
        <f t="shared" si="81"/>
        <v>0</v>
      </c>
      <c r="T282" s="83">
        <f t="shared" si="82"/>
        <v>0</v>
      </c>
      <c r="U282" s="9" t="str">
        <f t="shared" si="92"/>
        <v>SEM VALOR</v>
      </c>
      <c r="V282" s="1" t="str">
        <f ca="1">IF(OR($A282=0,$A282="S",$A282&gt;CFF!$A$9),"",MAX(V$12:OFFSET(V282,-1,0))+1)</f>
        <v/>
      </c>
      <c r="W282" s="4" t="str">
        <f t="shared" si="93"/>
        <v>SINAPI-89712</v>
      </c>
      <c r="X282" s="1">
        <f t="shared" ca="1" si="83"/>
        <v>10678</v>
      </c>
      <c r="Y282" s="103">
        <v>38.31</v>
      </c>
      <c r="Z282" s="113">
        <f ca="1">ROUND(IF(ISNUMBER(R282),R282,IF(LEFT(R282,3)="BDI",HLOOKUP(R282,DADOS!$T$37:$X$38,2,FALSE),0)),15-11*$X$5)</f>
        <v>0.23130000000000001</v>
      </c>
      <c r="AA282" s="1"/>
    </row>
    <row r="283" spans="1:27" ht="25.5" x14ac:dyDescent="0.2">
      <c r="A283" t="str">
        <f t="shared" si="84"/>
        <v>S</v>
      </c>
      <c r="B283">
        <f t="shared" si="85"/>
        <v>0</v>
      </c>
      <c r="C283">
        <f t="shared" ca="1" si="86"/>
        <v>1</v>
      </c>
      <c r="D283">
        <f t="shared" ca="1" si="87"/>
        <v>10</v>
      </c>
      <c r="E283">
        <f t="shared" ca="1" si="88"/>
        <v>2</v>
      </c>
      <c r="F283">
        <f t="shared" ca="1" si="89"/>
        <v>0</v>
      </c>
      <c r="G283">
        <f t="shared" ca="1" si="90"/>
        <v>20</v>
      </c>
      <c r="H283">
        <f t="shared" ca="1" si="94"/>
        <v>0</v>
      </c>
      <c r="I283">
        <f t="shared" ca="1" si="95"/>
        <v>0</v>
      </c>
      <c r="J283" s="355" t="s">
        <v>103</v>
      </c>
      <c r="K283" s="138" t="str">
        <f t="shared" ca="1" si="91"/>
        <v>1.10.2.0.20.</v>
      </c>
      <c r="L283" s="356" t="s">
        <v>230</v>
      </c>
      <c r="M283" s="356" t="s">
        <v>456</v>
      </c>
      <c r="N283" s="360" t="s">
        <v>818</v>
      </c>
      <c r="O283" s="362" t="s">
        <v>945</v>
      </c>
      <c r="P283" s="363">
        <v>20</v>
      </c>
      <c r="Q283" s="195"/>
      <c r="R283" s="198" t="s">
        <v>7</v>
      </c>
      <c r="S283" s="103">
        <f t="shared" si="81"/>
        <v>0</v>
      </c>
      <c r="T283" s="83">
        <f t="shared" si="82"/>
        <v>0</v>
      </c>
      <c r="U283" s="9" t="str">
        <f t="shared" si="92"/>
        <v>SEM VALOR</v>
      </c>
      <c r="V283" s="1" t="str">
        <f ca="1">IF(OR($A283=0,$A283="S",$A283&gt;CFF!$A$9),"",MAX(V$12:OFFSET(V283,-1,0))+1)</f>
        <v/>
      </c>
      <c r="W283" s="4" t="str">
        <f t="shared" si="93"/>
        <v>SINAPI-89711</v>
      </c>
      <c r="X283" s="1">
        <f t="shared" ca="1" si="83"/>
        <v>10676</v>
      </c>
      <c r="Y283" s="103">
        <v>30.01</v>
      </c>
      <c r="Z283" s="113">
        <f ca="1">ROUND(IF(ISNUMBER(R283),R283,IF(LEFT(R283,3)="BDI",HLOOKUP(R283,DADOS!$T$37:$X$38,2,FALSE),0)),15-11*$X$5)</f>
        <v>0.23130000000000001</v>
      </c>
      <c r="AA283" s="1"/>
    </row>
    <row r="284" spans="1:27" ht="25.5" x14ac:dyDescent="0.2">
      <c r="A284" t="str">
        <f t="shared" si="84"/>
        <v>S</v>
      </c>
      <c r="B284">
        <f t="shared" si="85"/>
        <v>0</v>
      </c>
      <c r="C284">
        <f t="shared" ca="1" si="86"/>
        <v>1</v>
      </c>
      <c r="D284">
        <f t="shared" ca="1" si="87"/>
        <v>10</v>
      </c>
      <c r="E284">
        <f t="shared" ca="1" si="88"/>
        <v>2</v>
      </c>
      <c r="F284">
        <f t="shared" ca="1" si="89"/>
        <v>0</v>
      </c>
      <c r="G284">
        <f t="shared" ca="1" si="90"/>
        <v>21</v>
      </c>
      <c r="H284">
        <f t="shared" ca="1" si="94"/>
        <v>0</v>
      </c>
      <c r="I284">
        <f t="shared" ca="1" si="95"/>
        <v>0</v>
      </c>
      <c r="J284" s="355" t="s">
        <v>103</v>
      </c>
      <c r="K284" s="138" t="str">
        <f t="shared" ca="1" si="91"/>
        <v>1.10.2.0.21.</v>
      </c>
      <c r="L284" s="356" t="s">
        <v>230</v>
      </c>
      <c r="M284" s="356" t="s">
        <v>457</v>
      </c>
      <c r="N284" s="360" t="s">
        <v>819</v>
      </c>
      <c r="O284" s="362" t="s">
        <v>945</v>
      </c>
      <c r="P284" s="363">
        <v>30</v>
      </c>
      <c r="Q284" s="195"/>
      <c r="R284" s="198" t="s">
        <v>7</v>
      </c>
      <c r="S284" s="103">
        <f t="shared" si="81"/>
        <v>0</v>
      </c>
      <c r="T284" s="83">
        <f t="shared" si="82"/>
        <v>0</v>
      </c>
      <c r="U284" s="9" t="str">
        <f t="shared" si="92"/>
        <v>SEM VALOR</v>
      </c>
      <c r="V284" s="1" t="str">
        <f ca="1">IF(OR($A284=0,$A284="S",$A284&gt;CFF!$A$9),"",MAX(V$12:OFFSET(V284,-1,0))+1)</f>
        <v/>
      </c>
      <c r="W284" s="4" t="str">
        <f t="shared" si="93"/>
        <v>SINAPI-89865</v>
      </c>
      <c r="X284" s="1">
        <f t="shared" ca="1" si="83"/>
        <v>7923</v>
      </c>
      <c r="Y284" s="103">
        <v>23.96</v>
      </c>
      <c r="Z284" s="113">
        <f ca="1">ROUND(IF(ISNUMBER(R284),R284,IF(LEFT(R284,3)="BDI",HLOOKUP(R284,DADOS!$T$37:$X$38,2,FALSE),0)),15-11*$X$5)</f>
        <v>0.23130000000000001</v>
      </c>
      <c r="AA284" s="1"/>
    </row>
    <row r="285" spans="1:27" ht="25.5" x14ac:dyDescent="0.2">
      <c r="A285" t="str">
        <f t="shared" si="84"/>
        <v>S</v>
      </c>
      <c r="B285">
        <f t="shared" si="85"/>
        <v>0</v>
      </c>
      <c r="C285">
        <f t="shared" ca="1" si="86"/>
        <v>1</v>
      </c>
      <c r="D285">
        <f t="shared" ca="1" si="87"/>
        <v>10</v>
      </c>
      <c r="E285">
        <f t="shared" ca="1" si="88"/>
        <v>2</v>
      </c>
      <c r="F285">
        <f t="shared" ca="1" si="89"/>
        <v>0</v>
      </c>
      <c r="G285">
        <f t="shared" ca="1" si="90"/>
        <v>22</v>
      </c>
      <c r="H285">
        <f t="shared" ca="1" si="94"/>
        <v>0</v>
      </c>
      <c r="I285">
        <f t="shared" ca="1" si="95"/>
        <v>0</v>
      </c>
      <c r="J285" s="355" t="s">
        <v>103</v>
      </c>
      <c r="K285" s="138" t="str">
        <f t="shared" ca="1" si="91"/>
        <v>1.10.2.0.22.</v>
      </c>
      <c r="L285" s="356" t="s">
        <v>230</v>
      </c>
      <c r="M285" s="356" t="s">
        <v>458</v>
      </c>
      <c r="N285" s="360" t="s">
        <v>820</v>
      </c>
      <c r="O285" s="362" t="s">
        <v>944</v>
      </c>
      <c r="P285" s="363">
        <v>1</v>
      </c>
      <c r="Q285" s="195"/>
      <c r="R285" s="198" t="s">
        <v>7</v>
      </c>
      <c r="S285" s="103">
        <f t="shared" si="81"/>
        <v>0</v>
      </c>
      <c r="T285" s="83">
        <f t="shared" si="82"/>
        <v>0</v>
      </c>
      <c r="U285" s="9" t="str">
        <f t="shared" si="92"/>
        <v>SEM VALOR</v>
      </c>
      <c r="V285" s="1" t="str">
        <f ca="1">IF(OR($A285=0,$A285="S",$A285&gt;CFF!$A$9),"",MAX(V$12:OFFSET(V285,-1,0))+1)</f>
        <v/>
      </c>
      <c r="W285" s="4" t="str">
        <f t="shared" si="93"/>
        <v>SINAPI-89784</v>
      </c>
      <c r="X285" s="1">
        <f t="shared" ca="1" si="83"/>
        <v>10662</v>
      </c>
      <c r="Y285" s="103">
        <v>33.06</v>
      </c>
      <c r="Z285" s="113">
        <f ca="1">ROUND(IF(ISNUMBER(R285),R285,IF(LEFT(R285,3)="BDI",HLOOKUP(R285,DADOS!$T$37:$X$38,2,FALSE),0)),15-11*$X$5)</f>
        <v>0.23130000000000001</v>
      </c>
      <c r="AA285" s="1"/>
    </row>
    <row r="286" spans="1:27" ht="25.5" x14ac:dyDescent="0.2">
      <c r="A286" t="str">
        <f t="shared" si="84"/>
        <v>S</v>
      </c>
      <c r="B286">
        <f t="shared" si="85"/>
        <v>0</v>
      </c>
      <c r="C286">
        <f t="shared" ca="1" si="86"/>
        <v>1</v>
      </c>
      <c r="D286">
        <f t="shared" ca="1" si="87"/>
        <v>10</v>
      </c>
      <c r="E286">
        <f t="shared" ca="1" si="88"/>
        <v>2</v>
      </c>
      <c r="F286">
        <f t="shared" ca="1" si="89"/>
        <v>0</v>
      </c>
      <c r="G286">
        <f t="shared" ca="1" si="90"/>
        <v>23</v>
      </c>
      <c r="H286">
        <f t="shared" ca="1" si="94"/>
        <v>0</v>
      </c>
      <c r="I286">
        <f t="shared" ca="1" si="95"/>
        <v>0</v>
      </c>
      <c r="J286" s="355" t="s">
        <v>103</v>
      </c>
      <c r="K286" s="138" t="str">
        <f t="shared" ca="1" si="91"/>
        <v>1.10.2.0.23.</v>
      </c>
      <c r="L286" s="356" t="s">
        <v>230</v>
      </c>
      <c r="M286" s="356" t="s">
        <v>440</v>
      </c>
      <c r="N286" s="360" t="s">
        <v>802</v>
      </c>
      <c r="O286" s="362" t="s">
        <v>944</v>
      </c>
      <c r="P286" s="363">
        <v>3</v>
      </c>
      <c r="Q286" s="195"/>
      <c r="R286" s="198" t="s">
        <v>7</v>
      </c>
      <c r="S286" s="103">
        <f t="shared" si="81"/>
        <v>0</v>
      </c>
      <c r="T286" s="83">
        <f t="shared" si="82"/>
        <v>0</v>
      </c>
      <c r="U286" s="9" t="str">
        <f t="shared" si="92"/>
        <v>SEM VALOR</v>
      </c>
      <c r="V286" s="1" t="str">
        <f ca="1">IF(OR($A286=0,$A286="S",$A286&gt;CFF!$A$9),"",MAX(V$12:OFFSET(V286,-1,0))+1)</f>
        <v/>
      </c>
      <c r="W286" s="4" t="str">
        <f t="shared" si="93"/>
        <v>SINAPI-104328</v>
      </c>
      <c r="X286" s="1">
        <f t="shared" ca="1" si="83"/>
        <v>10582</v>
      </c>
      <c r="Y286" s="103">
        <v>100.93</v>
      </c>
      <c r="Z286" s="113">
        <f ca="1">ROUND(IF(ISNUMBER(R286),R286,IF(LEFT(R286,3)="BDI",HLOOKUP(R286,DADOS!$T$37:$X$38,2,FALSE),0)),15-11*$X$5)</f>
        <v>0.23130000000000001</v>
      </c>
      <c r="AA286" s="1"/>
    </row>
    <row r="287" spans="1:27" ht="25.5" x14ac:dyDescent="0.2">
      <c r="A287" t="str">
        <f t="shared" si="84"/>
        <v>S</v>
      </c>
      <c r="B287">
        <f t="shared" si="85"/>
        <v>0</v>
      </c>
      <c r="C287">
        <f t="shared" ca="1" si="86"/>
        <v>1</v>
      </c>
      <c r="D287">
        <f t="shared" ca="1" si="87"/>
        <v>10</v>
      </c>
      <c r="E287">
        <f t="shared" ca="1" si="88"/>
        <v>2</v>
      </c>
      <c r="F287">
        <f t="shared" ca="1" si="89"/>
        <v>0</v>
      </c>
      <c r="G287">
        <f t="shared" ca="1" si="90"/>
        <v>24</v>
      </c>
      <c r="H287">
        <f t="shared" ca="1" si="94"/>
        <v>0</v>
      </c>
      <c r="I287">
        <f t="shared" ca="1" si="95"/>
        <v>0</v>
      </c>
      <c r="J287" s="355" t="s">
        <v>103</v>
      </c>
      <c r="K287" s="138" t="str">
        <f t="shared" ca="1" si="91"/>
        <v>1.10.2.0.24.</v>
      </c>
      <c r="L287" s="356" t="s">
        <v>230</v>
      </c>
      <c r="M287" s="356" t="s">
        <v>459</v>
      </c>
      <c r="N287" s="360" t="s">
        <v>821</v>
      </c>
      <c r="O287" s="362" t="s">
        <v>944</v>
      </c>
      <c r="P287" s="363">
        <v>2</v>
      </c>
      <c r="Q287" s="195"/>
      <c r="R287" s="198" t="s">
        <v>7</v>
      </c>
      <c r="S287" s="103">
        <f t="shared" si="81"/>
        <v>0</v>
      </c>
      <c r="T287" s="83">
        <f t="shared" si="82"/>
        <v>0</v>
      </c>
      <c r="U287" s="9" t="str">
        <f t="shared" si="92"/>
        <v>SEM VALOR</v>
      </c>
      <c r="V287" s="1" t="str">
        <f ca="1">IF(OR($A287=0,$A287="S",$A287&gt;CFF!$A$9),"",MAX(V$12:OFFSET(V287,-1,0))+1)</f>
        <v/>
      </c>
      <c r="W287" s="4" t="str">
        <f t="shared" si="93"/>
        <v>SINAPI-89802</v>
      </c>
      <c r="X287" s="1">
        <f t="shared" ca="1" si="83"/>
        <v>10614</v>
      </c>
      <c r="Y287" s="103">
        <v>14.26</v>
      </c>
      <c r="Z287" s="113">
        <f ca="1">ROUND(IF(ISNUMBER(R287),R287,IF(LEFT(R287,3)="BDI",HLOOKUP(R287,DADOS!$T$37:$X$38,2,FALSE),0)),15-11*$X$5)</f>
        <v>0.23130000000000001</v>
      </c>
      <c r="AA287" s="1"/>
    </row>
    <row r="288" spans="1:27" ht="25.5" x14ac:dyDescent="0.2">
      <c r="A288" t="str">
        <f t="shared" si="84"/>
        <v>S</v>
      </c>
      <c r="B288">
        <f t="shared" si="85"/>
        <v>0</v>
      </c>
      <c r="C288">
        <f t="shared" ca="1" si="86"/>
        <v>1</v>
      </c>
      <c r="D288">
        <f t="shared" ca="1" si="87"/>
        <v>10</v>
      </c>
      <c r="E288">
        <f t="shared" ca="1" si="88"/>
        <v>2</v>
      </c>
      <c r="F288">
        <f t="shared" ca="1" si="89"/>
        <v>0</v>
      </c>
      <c r="G288">
        <f t="shared" ca="1" si="90"/>
        <v>25</v>
      </c>
      <c r="H288">
        <f t="shared" ca="1" si="94"/>
        <v>0</v>
      </c>
      <c r="I288">
        <f t="shared" ca="1" si="95"/>
        <v>0</v>
      </c>
      <c r="J288" s="355" t="s">
        <v>103</v>
      </c>
      <c r="K288" s="138" t="str">
        <f t="shared" ca="1" si="91"/>
        <v>1.10.2.0.25.</v>
      </c>
      <c r="L288" s="356" t="s">
        <v>230</v>
      </c>
      <c r="M288" s="356" t="s">
        <v>460</v>
      </c>
      <c r="N288" s="360" t="s">
        <v>822</v>
      </c>
      <c r="O288" s="362" t="s">
        <v>944</v>
      </c>
      <c r="P288" s="363">
        <v>10</v>
      </c>
      <c r="Q288" s="195"/>
      <c r="R288" s="198" t="s">
        <v>7</v>
      </c>
      <c r="S288" s="103">
        <f t="shared" ref="S288:S351" si="96">IF($A288="S",IF($Q$10="Preço Unitário (R$)",PO.CustoUnitario,ROUND(PO.CustoUnitario*(1+$Z288),15-13*$X$6)),0)</f>
        <v>0</v>
      </c>
      <c r="T288" s="83">
        <f t="shared" ref="T288:T351" si="97">IF($A288="S",VTOTAL1,IF($A288=0,0,ROUND(SomaAgrup,15-13*$X$7)))</f>
        <v>0</v>
      </c>
      <c r="U288" s="9" t="str">
        <f t="shared" si="92"/>
        <v>SEM VALOR</v>
      </c>
      <c r="V288" s="1" t="str">
        <f ca="1">IF(OR($A288=0,$A288="S",$A288&gt;CFF!$A$9),"",MAX(V$12:OFFSET(V288,-1,0))+1)</f>
        <v/>
      </c>
      <c r="W288" s="4" t="str">
        <f t="shared" si="93"/>
        <v>SINAPI-89801</v>
      </c>
      <c r="X288" s="1">
        <f t="shared" ref="X288:X351" ca="1" si="98">IF(AND(Fonte&lt;&gt;"",Código&lt;&gt;""),MATCH(Fonte&amp;" "&amp;IF(Fonte="sinapi",SUBSTITUTE(SUBSTITUTE(Código,"/00","/"),"/0","/"),Código),INDIRECT("'[Referência "&amp;_xlnm.Database&amp;".xls]Banco'!$a:$a"),0),"X")</f>
        <v>10623</v>
      </c>
      <c r="Y288" s="103">
        <v>13.19</v>
      </c>
      <c r="Z288" s="113">
        <f ca="1">ROUND(IF(ISNUMBER(R288),R288,IF(LEFT(R288,3)="BDI",HLOOKUP(R288,DADOS!$T$37:$X$38,2,FALSE),0)),15-11*$X$5)</f>
        <v>0.23130000000000001</v>
      </c>
      <c r="AA288" s="1"/>
    </row>
    <row r="289" spans="1:27" ht="25.5" x14ac:dyDescent="0.2">
      <c r="A289" t="str">
        <f t="shared" ref="A289:A352" si="99">CHOOSE(1+LOG(1+2*(J289="Meta")+4*(J289="Nível 2")+8*(J289="Nível 3")+16*(J289="Nível 4")+32*(J289="Serviço"),2),0,1,2,3,4,"S")</f>
        <v>S</v>
      </c>
      <c r="B289">
        <f t="shared" ref="B289:B352" si="100">IF(OR(A289="S",A289=0),0,IF(ISERROR(I289),H289,SMALL(H289:I289,1)))</f>
        <v>0</v>
      </c>
      <c r="C289">
        <f t="shared" ref="C289:C352" ca="1" si="101">IF($A289=1,OFFSET(C289,-1,0)+1,OFFSET(C289,-1,0))</f>
        <v>1</v>
      </c>
      <c r="D289">
        <f t="shared" ref="D289:D352" ca="1" si="102">IF($A289=1,0,IF($A289=2,OFFSET(D289,-1,0)+1,OFFSET(D289,-1,0)))</f>
        <v>10</v>
      </c>
      <c r="E289">
        <f t="shared" ref="E289:E352" ca="1" si="103">IF(AND($A289&lt;=2,$A289&lt;&gt;0),0,IF($A289=3,OFFSET(E289,-1,0)+1,OFFSET(E289,-1,0)))</f>
        <v>2</v>
      </c>
      <c r="F289">
        <f t="shared" ref="F289:F352" ca="1" si="104">IF(AND($A289&lt;=3,$A289&lt;&gt;0),0,IF($A289=4,OFFSET(F289,-1,0)+1,OFFSET(F289,-1,0)))</f>
        <v>0</v>
      </c>
      <c r="G289">
        <f t="shared" ref="G289:G352" ca="1" si="105">IF(AND($A289&lt;=4,$A289&lt;&gt;0),0,IF($A289="S",OFFSET(G289,-1,0)+1,OFFSET(G289,-1,0)))</f>
        <v>26</v>
      </c>
      <c r="H289">
        <f t="shared" ca="1" si="94"/>
        <v>0</v>
      </c>
      <c r="I289">
        <f t="shared" ca="1" si="95"/>
        <v>0</v>
      </c>
      <c r="J289" s="355" t="s">
        <v>103</v>
      </c>
      <c r="K289" s="138" t="str">
        <f t="shared" ref="K289:K352" ca="1" si="106">IF($A289=0,"-",CONCATENATE(C289&amp;".",IF(AND($A$5&gt;=2,$A289&gt;=2),D289&amp;".",""),IF(AND($A$5&gt;=3,$A289&gt;=3),E289&amp;".",""),IF(AND($A$5&gt;=4,$A289&gt;=4),F289&amp;".",""),IF($A289="S",G289&amp;".","")))</f>
        <v>1.10.2.0.26.</v>
      </c>
      <c r="L289" s="356" t="s">
        <v>230</v>
      </c>
      <c r="M289" s="356" t="s">
        <v>461</v>
      </c>
      <c r="N289" s="360" t="s">
        <v>823</v>
      </c>
      <c r="O289" s="362" t="s">
        <v>945</v>
      </c>
      <c r="P289" s="363">
        <v>24</v>
      </c>
      <c r="Q289" s="195"/>
      <c r="R289" s="198" t="s">
        <v>7</v>
      </c>
      <c r="S289" s="103">
        <f t="shared" si="96"/>
        <v>0</v>
      </c>
      <c r="T289" s="83">
        <f t="shared" si="97"/>
        <v>0</v>
      </c>
      <c r="U289" s="9" t="str">
        <f t="shared" ref="U289:U352" si="107">IF($J289="","",IF($N289="","DESCRIÇÃO",IF(AND($J289="Serviço",$O289=""),"UNIDADE",IF($T289&lt;=0,"SEM VALOR",IF(AND($Y289&lt;&gt;"",$Q289&gt;$Y289),"ACIMA REF.","")))))</f>
        <v>SEM VALOR</v>
      </c>
      <c r="V289" s="1" t="str">
        <f ca="1">IF(OR($A289=0,$A289="S",$A289&gt;CFF!$A$9),"",MAX(V$12:OFFSET(V289,-1,0))+1)</f>
        <v/>
      </c>
      <c r="W289" s="4" t="str">
        <f t="shared" ref="W289:W352" si="108">IF(AND($J289="Serviço",$M289&lt;&gt;""),IF($L289="",$M289,CONCATENATE($L289,"-",$M289)))</f>
        <v>SINAPI-89798</v>
      </c>
      <c r="X289" s="1">
        <f t="shared" ca="1" si="98"/>
        <v>10677</v>
      </c>
      <c r="Y289" s="103">
        <v>19.54</v>
      </c>
      <c r="Z289" s="113">
        <f ca="1">ROUND(IF(ISNUMBER(R289),R289,IF(LEFT(R289,3)="BDI",HLOOKUP(R289,DADOS!$T$37:$X$38,2,FALSE),0)),15-11*$X$5)</f>
        <v>0.23130000000000001</v>
      </c>
      <c r="AA289" s="1"/>
    </row>
    <row r="290" spans="1:27" ht="25.5" x14ac:dyDescent="0.2">
      <c r="A290" t="str">
        <f t="shared" si="99"/>
        <v>S</v>
      </c>
      <c r="B290">
        <f t="shared" si="100"/>
        <v>0</v>
      </c>
      <c r="C290">
        <f t="shared" ca="1" si="101"/>
        <v>1</v>
      </c>
      <c r="D290">
        <f t="shared" ca="1" si="102"/>
        <v>10</v>
      </c>
      <c r="E290">
        <f t="shared" ca="1" si="103"/>
        <v>2</v>
      </c>
      <c r="F290">
        <f t="shared" ca="1" si="104"/>
        <v>0</v>
      </c>
      <c r="G290">
        <f t="shared" ca="1" si="105"/>
        <v>27</v>
      </c>
      <c r="H290">
        <f t="shared" ca="1" si="94"/>
        <v>0</v>
      </c>
      <c r="I290">
        <f t="shared" ca="1" si="95"/>
        <v>0</v>
      </c>
      <c r="J290" s="355" t="s">
        <v>103</v>
      </c>
      <c r="K290" s="138" t="str">
        <f t="shared" ca="1" si="106"/>
        <v>1.10.2.0.27.</v>
      </c>
      <c r="L290" s="356" t="s">
        <v>230</v>
      </c>
      <c r="M290" s="356" t="s">
        <v>462</v>
      </c>
      <c r="N290" s="360" t="s">
        <v>824</v>
      </c>
      <c r="O290" s="362" t="s">
        <v>944</v>
      </c>
      <c r="P290" s="363">
        <v>4</v>
      </c>
      <c r="Q290" s="195"/>
      <c r="R290" s="198" t="s">
        <v>7</v>
      </c>
      <c r="S290" s="103">
        <f t="shared" si="96"/>
        <v>0</v>
      </c>
      <c r="T290" s="83">
        <f t="shared" si="97"/>
        <v>0</v>
      </c>
      <c r="U290" s="9" t="str">
        <f t="shared" si="107"/>
        <v>SEM VALOR</v>
      </c>
      <c r="V290" s="1" t="str">
        <f ca="1">IF(OR($A290=0,$A290="S",$A290&gt;CFF!$A$9),"",MAX(V$12:OFFSET(V290,-1,0))+1)</f>
        <v/>
      </c>
      <c r="W290" s="4" t="str">
        <f t="shared" si="108"/>
        <v>SINAPI-89825</v>
      </c>
      <c r="X290" s="1">
        <f t="shared" ca="1" si="98"/>
        <v>10661</v>
      </c>
      <c r="Y290" s="103">
        <v>23.69</v>
      </c>
      <c r="Z290" s="113">
        <f ca="1">ROUND(IF(ISNUMBER(R290),R290,IF(LEFT(R290,3)="BDI",HLOOKUP(R290,DADOS!$T$37:$X$38,2,FALSE),0)),15-11*$X$5)</f>
        <v>0.23130000000000001</v>
      </c>
      <c r="AA290" s="1"/>
    </row>
    <row r="291" spans="1:27" ht="25.5" x14ac:dyDescent="0.2">
      <c r="A291" t="str">
        <f t="shared" si="99"/>
        <v>S</v>
      </c>
      <c r="B291">
        <f t="shared" si="100"/>
        <v>0</v>
      </c>
      <c r="C291">
        <f t="shared" ca="1" si="101"/>
        <v>1</v>
      </c>
      <c r="D291">
        <f t="shared" ca="1" si="102"/>
        <v>10</v>
      </c>
      <c r="E291">
        <f t="shared" ca="1" si="103"/>
        <v>2</v>
      </c>
      <c r="F291">
        <f t="shared" ca="1" si="104"/>
        <v>0</v>
      </c>
      <c r="G291">
        <f t="shared" ca="1" si="105"/>
        <v>28</v>
      </c>
      <c r="H291">
        <f t="shared" ca="1" si="94"/>
        <v>0</v>
      </c>
      <c r="I291">
        <f t="shared" ca="1" si="95"/>
        <v>0</v>
      </c>
      <c r="J291" s="355" t="s">
        <v>103</v>
      </c>
      <c r="K291" s="138" t="str">
        <f t="shared" ca="1" si="106"/>
        <v>1.10.2.0.28.</v>
      </c>
      <c r="L291" s="356" t="s">
        <v>230</v>
      </c>
      <c r="M291" s="356" t="s">
        <v>463</v>
      </c>
      <c r="N291" s="360" t="s">
        <v>825</v>
      </c>
      <c r="O291" s="362" t="s">
        <v>944</v>
      </c>
      <c r="P291" s="363">
        <v>6</v>
      </c>
      <c r="Q291" s="195"/>
      <c r="R291" s="198" t="s">
        <v>7</v>
      </c>
      <c r="S291" s="103">
        <f t="shared" si="96"/>
        <v>0</v>
      </c>
      <c r="T291" s="83">
        <f t="shared" si="97"/>
        <v>0</v>
      </c>
      <c r="U291" s="9" t="str">
        <f t="shared" si="107"/>
        <v>SEM VALOR</v>
      </c>
      <c r="V291" s="1" t="str">
        <f ca="1">IF(OR($A291=0,$A291="S",$A291&gt;CFF!$A$9),"",MAX(V$12:OFFSET(V291,-1,0))+1)</f>
        <v/>
      </c>
      <c r="W291" s="4" t="str">
        <f t="shared" si="108"/>
        <v>SINAPI-104348</v>
      </c>
      <c r="X291" s="1">
        <f t="shared" ca="1" si="98"/>
        <v>10670</v>
      </c>
      <c r="Y291" s="103">
        <v>16.239999999999998</v>
      </c>
      <c r="Z291" s="113">
        <f ca="1">ROUND(IF(ISNUMBER(R291),R291,IF(LEFT(R291,3)="BDI",HLOOKUP(R291,DADOS!$T$37:$X$38,2,FALSE),0)),15-11*$X$5)</f>
        <v>0.23130000000000001</v>
      </c>
      <c r="AA291" s="1"/>
    </row>
    <row r="292" spans="1:27" x14ac:dyDescent="0.2">
      <c r="A292" t="str">
        <f t="shared" si="99"/>
        <v>S</v>
      </c>
      <c r="B292">
        <f t="shared" si="100"/>
        <v>0</v>
      </c>
      <c r="C292">
        <f t="shared" ca="1" si="101"/>
        <v>1</v>
      </c>
      <c r="D292">
        <f t="shared" ca="1" si="102"/>
        <v>10</v>
      </c>
      <c r="E292">
        <f t="shared" ca="1" si="103"/>
        <v>2</v>
      </c>
      <c r="F292">
        <f t="shared" ca="1" si="104"/>
        <v>0</v>
      </c>
      <c r="G292">
        <f t="shared" ca="1" si="105"/>
        <v>29</v>
      </c>
      <c r="H292">
        <f t="shared" ca="1" si="94"/>
        <v>0</v>
      </c>
      <c r="I292">
        <f t="shared" ca="1" si="95"/>
        <v>0</v>
      </c>
      <c r="J292" s="355" t="s">
        <v>103</v>
      </c>
      <c r="K292" s="138" t="str">
        <f t="shared" ca="1" si="106"/>
        <v>1.10.2.0.29.</v>
      </c>
      <c r="L292" s="356" t="s">
        <v>370</v>
      </c>
      <c r="M292" s="356" t="s">
        <v>415</v>
      </c>
      <c r="N292" s="360" t="s">
        <v>777</v>
      </c>
      <c r="O292" s="362" t="s">
        <v>951</v>
      </c>
      <c r="P292" s="363">
        <v>23</v>
      </c>
      <c r="Q292" s="195"/>
      <c r="R292" s="198" t="s">
        <v>7</v>
      </c>
      <c r="S292" s="103">
        <f t="shared" si="96"/>
        <v>0</v>
      </c>
      <c r="T292" s="83">
        <f t="shared" si="97"/>
        <v>0</v>
      </c>
      <c r="U292" s="9" t="str">
        <f t="shared" si="107"/>
        <v>SEM VALOR</v>
      </c>
      <c r="V292" s="1" t="str">
        <f ca="1">IF(OR($A292=0,$A292="S",$A292&gt;CFF!$A$9),"",MAX(V$12:OFFSET(V292,-1,0))+1)</f>
        <v/>
      </c>
      <c r="W292" s="4" t="str">
        <f t="shared" si="108"/>
        <v>COTAÇÃO-134</v>
      </c>
      <c r="X292" s="1">
        <f t="shared" ca="1" si="98"/>
        <v>128</v>
      </c>
      <c r="Y292" s="103">
        <v>223.73</v>
      </c>
      <c r="Z292" s="113">
        <f ca="1">ROUND(IF(ISNUMBER(R292),R292,IF(LEFT(R292,3)="BDI",HLOOKUP(R292,DADOS!$T$37:$X$38,2,FALSE),0)),15-11*$X$5)</f>
        <v>0.23130000000000001</v>
      </c>
      <c r="AA292" s="1"/>
    </row>
    <row r="293" spans="1:27" ht="25.5" x14ac:dyDescent="0.2">
      <c r="A293" t="str">
        <f t="shared" si="99"/>
        <v>S</v>
      </c>
      <c r="B293">
        <f t="shared" si="100"/>
        <v>0</v>
      </c>
      <c r="C293">
        <f t="shared" ca="1" si="101"/>
        <v>1</v>
      </c>
      <c r="D293">
        <f t="shared" ca="1" si="102"/>
        <v>10</v>
      </c>
      <c r="E293">
        <f t="shared" ca="1" si="103"/>
        <v>2</v>
      </c>
      <c r="F293">
        <f t="shared" ca="1" si="104"/>
        <v>0</v>
      </c>
      <c r="G293">
        <f t="shared" ca="1" si="105"/>
        <v>30</v>
      </c>
      <c r="H293">
        <f t="shared" ca="1" si="94"/>
        <v>0</v>
      </c>
      <c r="I293">
        <f t="shared" ca="1" si="95"/>
        <v>0</v>
      </c>
      <c r="J293" s="355" t="s">
        <v>103</v>
      </c>
      <c r="K293" s="138" t="str">
        <f t="shared" ca="1" si="106"/>
        <v>1.10.2.0.30.</v>
      </c>
      <c r="L293" s="356" t="s">
        <v>230</v>
      </c>
      <c r="M293" s="356" t="s">
        <v>464</v>
      </c>
      <c r="N293" s="360" t="s">
        <v>826</v>
      </c>
      <c r="O293" s="362" t="s">
        <v>945</v>
      </c>
      <c r="P293" s="363">
        <v>24</v>
      </c>
      <c r="Q293" s="195"/>
      <c r="R293" s="198" t="s">
        <v>7</v>
      </c>
      <c r="S293" s="103">
        <f t="shared" si="96"/>
        <v>0</v>
      </c>
      <c r="T293" s="83">
        <f t="shared" si="97"/>
        <v>0</v>
      </c>
      <c r="U293" s="9" t="str">
        <f t="shared" si="107"/>
        <v>SEM VALOR</v>
      </c>
      <c r="V293" s="1" t="str">
        <f ca="1">IF(OR($A293=0,$A293="S",$A293&gt;CFF!$A$9),"",MAX(V$12:OFFSET(V293,-1,0))+1)</f>
        <v/>
      </c>
      <c r="W293" s="4" t="str">
        <f t="shared" si="108"/>
        <v>SINAPI-89578</v>
      </c>
      <c r="X293" s="1">
        <f t="shared" ca="1" si="98"/>
        <v>11115</v>
      </c>
      <c r="Y293" s="103">
        <v>47.98</v>
      </c>
      <c r="Z293" s="113">
        <f ca="1">ROUND(IF(ISNUMBER(R293),R293,IF(LEFT(R293,3)="BDI",HLOOKUP(R293,DADOS!$T$37:$X$38,2,FALSE),0)),15-11*$X$5)</f>
        <v>0.23130000000000001</v>
      </c>
      <c r="AA293" s="1"/>
    </row>
    <row r="294" spans="1:27" ht="25.5" x14ac:dyDescent="0.2">
      <c r="A294" t="str">
        <f t="shared" si="99"/>
        <v>S</v>
      </c>
      <c r="B294">
        <f t="shared" si="100"/>
        <v>0</v>
      </c>
      <c r="C294">
        <f t="shared" ca="1" si="101"/>
        <v>1</v>
      </c>
      <c r="D294">
        <f t="shared" ca="1" si="102"/>
        <v>10</v>
      </c>
      <c r="E294">
        <f t="shared" ca="1" si="103"/>
        <v>2</v>
      </c>
      <c r="F294">
        <f t="shared" ca="1" si="104"/>
        <v>0</v>
      </c>
      <c r="G294">
        <f t="shared" ca="1" si="105"/>
        <v>31</v>
      </c>
      <c r="H294">
        <f t="shared" ca="1" si="94"/>
        <v>0</v>
      </c>
      <c r="I294">
        <f t="shared" ca="1" si="95"/>
        <v>0</v>
      </c>
      <c r="J294" s="355" t="s">
        <v>103</v>
      </c>
      <c r="K294" s="138" t="str">
        <f t="shared" ca="1" si="106"/>
        <v>1.10.2.0.31.</v>
      </c>
      <c r="L294" s="356" t="s">
        <v>230</v>
      </c>
      <c r="M294" s="356" t="s">
        <v>465</v>
      </c>
      <c r="N294" s="360" t="s">
        <v>827</v>
      </c>
      <c r="O294" s="362" t="s">
        <v>944</v>
      </c>
      <c r="P294" s="363">
        <v>6</v>
      </c>
      <c r="Q294" s="195"/>
      <c r="R294" s="198" t="s">
        <v>7</v>
      </c>
      <c r="S294" s="103">
        <f t="shared" si="96"/>
        <v>0</v>
      </c>
      <c r="T294" s="83">
        <f t="shared" si="97"/>
        <v>0</v>
      </c>
      <c r="U294" s="9" t="str">
        <f t="shared" si="107"/>
        <v>SEM VALOR</v>
      </c>
      <c r="V294" s="1" t="str">
        <f ca="1">IF(OR($A294=0,$A294="S",$A294&gt;CFF!$A$9),"",MAX(V$12:OFFSET(V294,-1,0))+1)</f>
        <v/>
      </c>
      <c r="W294" s="4" t="str">
        <f t="shared" si="108"/>
        <v>SINAPI-99253</v>
      </c>
      <c r="X294" s="1">
        <f t="shared" ca="1" si="98"/>
        <v>6117</v>
      </c>
      <c r="Y294" s="103">
        <v>725.01</v>
      </c>
      <c r="Z294" s="113">
        <f ca="1">ROUND(IF(ISNUMBER(R294),R294,IF(LEFT(R294,3)="BDI",HLOOKUP(R294,DADOS!$T$37:$X$38,2,FALSE),0)),15-11*$X$5)</f>
        <v>0.23130000000000001</v>
      </c>
      <c r="AA294" s="1"/>
    </row>
    <row r="295" spans="1:27" ht="25.5" x14ac:dyDescent="0.2">
      <c r="A295" t="str">
        <f t="shared" si="99"/>
        <v>S</v>
      </c>
      <c r="B295">
        <f t="shared" si="100"/>
        <v>0</v>
      </c>
      <c r="C295">
        <f t="shared" ca="1" si="101"/>
        <v>1</v>
      </c>
      <c r="D295">
        <f t="shared" ca="1" si="102"/>
        <v>10</v>
      </c>
      <c r="E295">
        <f t="shared" ca="1" si="103"/>
        <v>2</v>
      </c>
      <c r="F295">
        <f t="shared" ca="1" si="104"/>
        <v>0</v>
      </c>
      <c r="G295">
        <f t="shared" ca="1" si="105"/>
        <v>32</v>
      </c>
      <c r="H295">
        <f t="shared" ca="1" si="94"/>
        <v>0</v>
      </c>
      <c r="I295">
        <f t="shared" ca="1" si="95"/>
        <v>0</v>
      </c>
      <c r="J295" s="355" t="s">
        <v>103</v>
      </c>
      <c r="K295" s="138" t="str">
        <f t="shared" ca="1" si="106"/>
        <v>1.10.2.0.32.</v>
      </c>
      <c r="L295" s="356" t="s">
        <v>230</v>
      </c>
      <c r="M295" s="356" t="s">
        <v>247</v>
      </c>
      <c r="N295" s="360" t="s">
        <v>828</v>
      </c>
      <c r="O295" s="362" t="s">
        <v>945</v>
      </c>
      <c r="P295" s="363">
        <v>43</v>
      </c>
      <c r="Q295" s="195"/>
      <c r="R295" s="198" t="s">
        <v>7</v>
      </c>
      <c r="S295" s="103">
        <f t="shared" si="96"/>
        <v>0</v>
      </c>
      <c r="T295" s="83">
        <f t="shared" si="97"/>
        <v>0</v>
      </c>
      <c r="U295" s="9" t="str">
        <f t="shared" si="107"/>
        <v>SEM VALOR</v>
      </c>
      <c r="V295" s="1" t="str">
        <f ca="1">IF(OR($A295=0,$A295="S",$A295&gt;CFF!$A$9),"",MAX(V$12:OFFSET(V295,-1,0))+1)</f>
        <v/>
      </c>
      <c r="W295" s="4" t="str">
        <f t="shared" si="108"/>
        <v>SINAPI-89512</v>
      </c>
      <c r="X295" s="1">
        <f t="shared" ca="1" si="98"/>
        <v>11116</v>
      </c>
      <c r="Y295" s="103">
        <v>70.099999999999994</v>
      </c>
      <c r="Z295" s="113">
        <f ca="1">ROUND(IF(ISNUMBER(R295),R295,IF(LEFT(R295,3)="BDI",HLOOKUP(R295,DADOS!$T$37:$X$38,2,FALSE),0)),15-11*$X$5)</f>
        <v>0.23130000000000001</v>
      </c>
      <c r="AA295" s="1"/>
    </row>
    <row r="296" spans="1:27" ht="25.5" x14ac:dyDescent="0.2">
      <c r="A296" t="str">
        <f t="shared" si="99"/>
        <v>S</v>
      </c>
      <c r="B296">
        <f t="shared" si="100"/>
        <v>0</v>
      </c>
      <c r="C296">
        <f t="shared" ca="1" si="101"/>
        <v>1</v>
      </c>
      <c r="D296">
        <f t="shared" ca="1" si="102"/>
        <v>10</v>
      </c>
      <c r="E296">
        <f t="shared" ca="1" si="103"/>
        <v>2</v>
      </c>
      <c r="F296">
        <f t="shared" ca="1" si="104"/>
        <v>0</v>
      </c>
      <c r="G296">
        <f t="shared" ca="1" si="105"/>
        <v>33</v>
      </c>
      <c r="H296">
        <f t="shared" ca="1" si="94"/>
        <v>0</v>
      </c>
      <c r="I296">
        <f t="shared" ca="1" si="95"/>
        <v>0</v>
      </c>
      <c r="J296" s="355" t="s">
        <v>103</v>
      </c>
      <c r="K296" s="138" t="str">
        <f t="shared" ca="1" si="106"/>
        <v>1.10.2.0.33.</v>
      </c>
      <c r="L296" s="356" t="s">
        <v>230</v>
      </c>
      <c r="M296" s="356" t="s">
        <v>466</v>
      </c>
      <c r="N296" s="360" t="s">
        <v>829</v>
      </c>
      <c r="O296" s="362" t="s">
        <v>945</v>
      </c>
      <c r="P296" s="363">
        <v>5</v>
      </c>
      <c r="Q296" s="195"/>
      <c r="R296" s="198" t="s">
        <v>7</v>
      </c>
      <c r="S296" s="103">
        <f t="shared" si="96"/>
        <v>0</v>
      </c>
      <c r="T296" s="83">
        <f t="shared" si="97"/>
        <v>0</v>
      </c>
      <c r="U296" s="9" t="str">
        <f t="shared" si="107"/>
        <v>SEM VALOR</v>
      </c>
      <c r="V296" s="1" t="str">
        <f ca="1">IF(OR($A296=0,$A296="S",$A296&gt;CFF!$A$9),"",MAX(V$12:OFFSET(V296,-1,0))+1)</f>
        <v/>
      </c>
      <c r="W296" s="4" t="str">
        <f t="shared" si="108"/>
        <v>SINAPI-104166</v>
      </c>
      <c r="X296" s="1">
        <f t="shared" ca="1" si="98"/>
        <v>11118</v>
      </c>
      <c r="Y296" s="103">
        <v>107.53</v>
      </c>
      <c r="Z296" s="113">
        <f ca="1">ROUND(IF(ISNUMBER(R296),R296,IF(LEFT(R296,3)="BDI",HLOOKUP(R296,DADOS!$T$37:$X$38,2,FALSE),0)),15-11*$X$5)</f>
        <v>0.23130000000000001</v>
      </c>
      <c r="AA296" s="1"/>
    </row>
    <row r="297" spans="1:27" x14ac:dyDescent="0.2">
      <c r="A297" t="str">
        <f t="shared" si="99"/>
        <v>S</v>
      </c>
      <c r="B297">
        <f t="shared" si="100"/>
        <v>0</v>
      </c>
      <c r="C297">
        <f t="shared" ca="1" si="101"/>
        <v>1</v>
      </c>
      <c r="D297">
        <f t="shared" ca="1" si="102"/>
        <v>10</v>
      </c>
      <c r="E297">
        <f t="shared" ca="1" si="103"/>
        <v>2</v>
      </c>
      <c r="F297">
        <f t="shared" ca="1" si="104"/>
        <v>0</v>
      </c>
      <c r="G297">
        <f t="shared" ca="1" si="105"/>
        <v>34</v>
      </c>
      <c r="H297">
        <f t="shared" ca="1" si="94"/>
        <v>0</v>
      </c>
      <c r="I297">
        <f t="shared" ca="1" si="95"/>
        <v>0</v>
      </c>
      <c r="J297" s="355" t="s">
        <v>103</v>
      </c>
      <c r="K297" s="138" t="str">
        <f t="shared" ca="1" si="106"/>
        <v>1.10.2.0.34.</v>
      </c>
      <c r="L297" s="356" t="s">
        <v>230</v>
      </c>
      <c r="M297" s="356" t="s">
        <v>245</v>
      </c>
      <c r="N297" s="360" t="s">
        <v>630</v>
      </c>
      <c r="O297" s="362" t="s">
        <v>947</v>
      </c>
      <c r="P297" s="363">
        <v>9.5</v>
      </c>
      <c r="Q297" s="195"/>
      <c r="R297" s="198" t="s">
        <v>7</v>
      </c>
      <c r="S297" s="103">
        <f t="shared" si="96"/>
        <v>0</v>
      </c>
      <c r="T297" s="83">
        <f t="shared" si="97"/>
        <v>0</v>
      </c>
      <c r="U297" s="9" t="str">
        <f t="shared" si="107"/>
        <v>SEM VALOR</v>
      </c>
      <c r="V297" s="1" t="str">
        <f ca="1">IF(OR($A297=0,$A297="S",$A297&gt;CFF!$A$9),"",MAX(V$12:OFFSET(V297,-1,0))+1)</f>
        <v/>
      </c>
      <c r="W297" s="4" t="str">
        <f t="shared" si="108"/>
        <v>SINAPI-93358</v>
      </c>
      <c r="X297" s="1">
        <f t="shared" ca="1" si="98"/>
        <v>8440</v>
      </c>
      <c r="Y297" s="103">
        <v>120.94</v>
      </c>
      <c r="Z297" s="113">
        <f ca="1">ROUND(IF(ISNUMBER(R297),R297,IF(LEFT(R297,3)="BDI",HLOOKUP(R297,DADOS!$T$37:$X$38,2,FALSE),0)),15-11*$X$5)</f>
        <v>0.23130000000000001</v>
      </c>
      <c r="AA297" s="1"/>
    </row>
    <row r="298" spans="1:27" x14ac:dyDescent="0.2">
      <c r="A298" t="str">
        <f t="shared" si="99"/>
        <v>S</v>
      </c>
      <c r="B298">
        <f t="shared" si="100"/>
        <v>0</v>
      </c>
      <c r="C298">
        <f t="shared" ca="1" si="101"/>
        <v>1</v>
      </c>
      <c r="D298">
        <f t="shared" ca="1" si="102"/>
        <v>10</v>
      </c>
      <c r="E298">
        <f t="shared" ca="1" si="103"/>
        <v>2</v>
      </c>
      <c r="F298">
        <f t="shared" ca="1" si="104"/>
        <v>0</v>
      </c>
      <c r="G298">
        <f t="shared" ca="1" si="105"/>
        <v>35</v>
      </c>
      <c r="H298">
        <f t="shared" ca="1" si="94"/>
        <v>0</v>
      </c>
      <c r="I298">
        <f t="shared" ca="1" si="95"/>
        <v>0</v>
      </c>
      <c r="J298" s="355" t="s">
        <v>103</v>
      </c>
      <c r="K298" s="138" t="str">
        <f t="shared" ca="1" si="106"/>
        <v>1.10.2.0.35.</v>
      </c>
      <c r="L298" s="356" t="s">
        <v>230</v>
      </c>
      <c r="M298" s="356" t="s">
        <v>246</v>
      </c>
      <c r="N298" s="360" t="s">
        <v>830</v>
      </c>
      <c r="O298" s="362" t="s">
        <v>947</v>
      </c>
      <c r="P298" s="363">
        <v>9.5</v>
      </c>
      <c r="Q298" s="195"/>
      <c r="R298" s="198" t="s">
        <v>7</v>
      </c>
      <c r="S298" s="103">
        <f t="shared" si="96"/>
        <v>0</v>
      </c>
      <c r="T298" s="83">
        <f t="shared" si="97"/>
        <v>0</v>
      </c>
      <c r="U298" s="9" t="str">
        <f t="shared" si="107"/>
        <v>SEM VALOR</v>
      </c>
      <c r="V298" s="1" t="str">
        <f ca="1">IF(OR($A298=0,$A298="S",$A298&gt;CFF!$A$9),"",MAX(V$12:OFFSET(V298,-1,0))+1)</f>
        <v/>
      </c>
      <c r="W298" s="4" t="str">
        <f t="shared" si="108"/>
        <v>SINAPI-93382</v>
      </c>
      <c r="X298" s="1">
        <f t="shared" ca="1" si="98"/>
        <v>5729</v>
      </c>
      <c r="Y298" s="103">
        <v>37.78</v>
      </c>
      <c r="Z298" s="113">
        <f ca="1">ROUND(IF(ISNUMBER(R298),R298,IF(LEFT(R298,3)="BDI",HLOOKUP(R298,DADOS!$T$37:$X$38,2,FALSE),0)),15-11*$X$5)</f>
        <v>0.23130000000000001</v>
      </c>
      <c r="AA298" s="1"/>
    </row>
    <row r="299" spans="1:27" x14ac:dyDescent="0.2">
      <c r="A299">
        <f t="shared" si="99"/>
        <v>3</v>
      </c>
      <c r="B299">
        <f t="shared" ca="1" si="100"/>
        <v>25</v>
      </c>
      <c r="C299">
        <f t="shared" ca="1" si="101"/>
        <v>1</v>
      </c>
      <c r="D299">
        <f t="shared" ca="1" si="102"/>
        <v>10</v>
      </c>
      <c r="E299">
        <f t="shared" ca="1" si="103"/>
        <v>3</v>
      </c>
      <c r="F299">
        <f t="shared" ca="1" si="104"/>
        <v>0</v>
      </c>
      <c r="G299">
        <f t="shared" ca="1" si="105"/>
        <v>0</v>
      </c>
      <c r="H299">
        <f t="shared" ca="1" si="94"/>
        <v>25</v>
      </c>
      <c r="I299" t="e">
        <f t="shared" ca="1" si="95"/>
        <v>#N/A</v>
      </c>
      <c r="J299" s="355" t="s">
        <v>101</v>
      </c>
      <c r="K299" s="138" t="str">
        <f t="shared" ca="1" si="106"/>
        <v>1.10.3.</v>
      </c>
      <c r="L299" s="356"/>
      <c r="M299" s="356"/>
      <c r="N299" s="360" t="s">
        <v>606</v>
      </c>
      <c r="O299" s="362" t="s">
        <v>106</v>
      </c>
      <c r="P299" s="363"/>
      <c r="Q299" s="195"/>
      <c r="R299" s="198" t="s">
        <v>7</v>
      </c>
      <c r="S299" s="103">
        <f t="shared" si="96"/>
        <v>0</v>
      </c>
      <c r="T299" s="83">
        <f t="shared" ca="1" si="97"/>
        <v>0</v>
      </c>
      <c r="U299" s="9" t="str">
        <f t="shared" ca="1" si="107"/>
        <v>SEM VALOR</v>
      </c>
      <c r="V299" s="1" t="str">
        <f ca="1">IF(OR($A299=0,$A299="S",$A299&gt;CFF!$A$9),"",MAX(V$12:OFFSET(V299,-1,0))+1)</f>
        <v/>
      </c>
      <c r="W299" s="4" t="b">
        <f t="shared" si="108"/>
        <v>0</v>
      </c>
      <c r="X299" s="1" t="str">
        <f t="shared" ca="1" si="98"/>
        <v>X</v>
      </c>
      <c r="Y299" s="103">
        <v>0</v>
      </c>
      <c r="Z299" s="113">
        <f ca="1">ROUND(IF(ISNUMBER(R299),R299,IF(LEFT(R299,3)="BDI",HLOOKUP(R299,DADOS!$T$37:$X$38,2,FALSE),0)),15-11*$X$5)</f>
        <v>0.23130000000000001</v>
      </c>
      <c r="AA299" s="1"/>
    </row>
    <row r="300" spans="1:27" ht="25.5" x14ac:dyDescent="0.2">
      <c r="A300" t="str">
        <f t="shared" si="99"/>
        <v>S</v>
      </c>
      <c r="B300">
        <f t="shared" si="100"/>
        <v>0</v>
      </c>
      <c r="C300">
        <f t="shared" ca="1" si="101"/>
        <v>1</v>
      </c>
      <c r="D300">
        <f t="shared" ca="1" si="102"/>
        <v>10</v>
      </c>
      <c r="E300">
        <f t="shared" ca="1" si="103"/>
        <v>3</v>
      </c>
      <c r="F300">
        <f t="shared" ca="1" si="104"/>
        <v>0</v>
      </c>
      <c r="G300">
        <f t="shared" ca="1" si="105"/>
        <v>1</v>
      </c>
      <c r="H300">
        <f t="shared" ca="1" si="94"/>
        <v>0</v>
      </c>
      <c r="I300">
        <f t="shared" ca="1" si="95"/>
        <v>0</v>
      </c>
      <c r="J300" s="355" t="s">
        <v>103</v>
      </c>
      <c r="K300" s="138" t="str">
        <f t="shared" ca="1" si="106"/>
        <v>1.10.3.0.1.</v>
      </c>
      <c r="L300" s="356" t="s">
        <v>230</v>
      </c>
      <c r="M300" s="356" t="s">
        <v>467</v>
      </c>
      <c r="N300" s="360" t="s">
        <v>831</v>
      </c>
      <c r="O300" s="362" t="s">
        <v>944</v>
      </c>
      <c r="P300" s="363">
        <v>6</v>
      </c>
      <c r="Q300" s="195"/>
      <c r="R300" s="198" t="s">
        <v>7</v>
      </c>
      <c r="S300" s="103">
        <f t="shared" si="96"/>
        <v>0</v>
      </c>
      <c r="T300" s="83">
        <f t="shared" si="97"/>
        <v>0</v>
      </c>
      <c r="U300" s="9" t="str">
        <f t="shared" si="107"/>
        <v>SEM VALOR</v>
      </c>
      <c r="V300" s="1" t="str">
        <f ca="1">IF(OR($A300=0,$A300="S",$A300&gt;CFF!$A$9),"",MAX(V$12:OFFSET(V300,-1,0))+1)</f>
        <v/>
      </c>
      <c r="W300" s="4" t="str">
        <f t="shared" si="108"/>
        <v>SINAPI-86932</v>
      </c>
      <c r="X300" s="1">
        <f t="shared" ca="1" si="98"/>
        <v>12503</v>
      </c>
      <c r="Y300" s="103">
        <v>785.32</v>
      </c>
      <c r="Z300" s="113">
        <f ca="1">ROUND(IF(ISNUMBER(R300),R300,IF(LEFT(R300,3)="BDI",HLOOKUP(R300,DADOS!$T$37:$X$38,2,FALSE),0)),15-11*$X$5)</f>
        <v>0.23130000000000001</v>
      </c>
      <c r="AA300" s="1"/>
    </row>
    <row r="301" spans="1:27" ht="38.25" x14ac:dyDescent="0.2">
      <c r="A301" t="str">
        <f t="shared" si="99"/>
        <v>S</v>
      </c>
      <c r="B301">
        <f t="shared" si="100"/>
        <v>0</v>
      </c>
      <c r="C301">
        <f t="shared" ca="1" si="101"/>
        <v>1</v>
      </c>
      <c r="D301">
        <f t="shared" ca="1" si="102"/>
        <v>10</v>
      </c>
      <c r="E301">
        <f t="shared" ca="1" si="103"/>
        <v>3</v>
      </c>
      <c r="F301">
        <f t="shared" ca="1" si="104"/>
        <v>0</v>
      </c>
      <c r="G301">
        <f t="shared" ca="1" si="105"/>
        <v>2</v>
      </c>
      <c r="H301">
        <f t="shared" ca="1" si="94"/>
        <v>0</v>
      </c>
      <c r="I301">
        <f t="shared" ca="1" si="95"/>
        <v>0</v>
      </c>
      <c r="J301" s="355" t="s">
        <v>103</v>
      </c>
      <c r="K301" s="138" t="str">
        <f t="shared" ca="1" si="106"/>
        <v>1.10.3.0.2.</v>
      </c>
      <c r="L301" s="356" t="s">
        <v>230</v>
      </c>
      <c r="M301" s="356" t="s">
        <v>468</v>
      </c>
      <c r="N301" s="360" t="s">
        <v>832</v>
      </c>
      <c r="O301" s="362" t="s">
        <v>944</v>
      </c>
      <c r="P301" s="363">
        <v>2</v>
      </c>
      <c r="Q301" s="195"/>
      <c r="R301" s="198" t="s">
        <v>7</v>
      </c>
      <c r="S301" s="103">
        <f t="shared" si="96"/>
        <v>0</v>
      </c>
      <c r="T301" s="83">
        <f t="shared" si="97"/>
        <v>0</v>
      </c>
      <c r="U301" s="9" t="str">
        <f t="shared" si="107"/>
        <v>SEM VALOR</v>
      </c>
      <c r="V301" s="1" t="str">
        <f ca="1">IF(OR($A301=0,$A301="S",$A301&gt;CFF!$A$9),"",MAX(V$12:OFFSET(V301,-1,0))+1)</f>
        <v/>
      </c>
      <c r="W301" s="4" t="str">
        <f t="shared" si="108"/>
        <v>SINAPI-95472</v>
      </c>
      <c r="X301" s="1">
        <f t="shared" ca="1" si="98"/>
        <v>12500</v>
      </c>
      <c r="Y301" s="103">
        <v>1099.98</v>
      </c>
      <c r="Z301" s="113">
        <f ca="1">ROUND(IF(ISNUMBER(R301),R301,IF(LEFT(R301,3)="BDI",HLOOKUP(R301,DADOS!$T$37:$X$38,2,FALSE),0)),15-11*$X$5)</f>
        <v>0.23130000000000001</v>
      </c>
      <c r="AA301" s="1"/>
    </row>
    <row r="302" spans="1:27" x14ac:dyDescent="0.2">
      <c r="A302" t="str">
        <f t="shared" si="99"/>
        <v>S</v>
      </c>
      <c r="B302">
        <f t="shared" si="100"/>
        <v>0</v>
      </c>
      <c r="C302">
        <f t="shared" ca="1" si="101"/>
        <v>1</v>
      </c>
      <c r="D302">
        <f t="shared" ca="1" si="102"/>
        <v>10</v>
      </c>
      <c r="E302">
        <f t="shared" ca="1" si="103"/>
        <v>3</v>
      </c>
      <c r="F302">
        <f t="shared" ca="1" si="104"/>
        <v>0</v>
      </c>
      <c r="G302">
        <f t="shared" ca="1" si="105"/>
        <v>3</v>
      </c>
      <c r="H302">
        <f t="shared" ca="1" si="94"/>
        <v>0</v>
      </c>
      <c r="I302">
        <f t="shared" ca="1" si="95"/>
        <v>0</v>
      </c>
      <c r="J302" s="355" t="s">
        <v>103</v>
      </c>
      <c r="K302" s="138" t="str">
        <f t="shared" ca="1" si="106"/>
        <v>1.10.3.0.3.</v>
      </c>
      <c r="L302" s="356" t="s">
        <v>230</v>
      </c>
      <c r="M302" s="356" t="s">
        <v>469</v>
      </c>
      <c r="N302" s="360" t="s">
        <v>833</v>
      </c>
      <c r="O302" s="362" t="s">
        <v>944</v>
      </c>
      <c r="P302" s="363">
        <v>8</v>
      </c>
      <c r="Q302" s="195"/>
      <c r="R302" s="198" t="s">
        <v>7</v>
      </c>
      <c r="S302" s="103">
        <f t="shared" si="96"/>
        <v>0</v>
      </c>
      <c r="T302" s="83">
        <f t="shared" si="97"/>
        <v>0</v>
      </c>
      <c r="U302" s="9" t="str">
        <f t="shared" si="107"/>
        <v>SEM VALOR</v>
      </c>
      <c r="V302" s="1" t="str">
        <f ca="1">IF(OR($A302=0,$A302="S",$A302&gt;CFF!$A$9),"",MAX(V$12:OFFSET(V302,-1,0))+1)</f>
        <v/>
      </c>
      <c r="W302" s="4" t="str">
        <f t="shared" si="108"/>
        <v>SINAPI-100849</v>
      </c>
      <c r="X302" s="1">
        <f t="shared" ca="1" si="98"/>
        <v>12410</v>
      </c>
      <c r="Y302" s="103">
        <v>48.46</v>
      </c>
      <c r="Z302" s="113">
        <f ca="1">ROUND(IF(ISNUMBER(R302),R302,IF(LEFT(R302,3)="BDI",HLOOKUP(R302,DADOS!$T$37:$X$38,2,FALSE),0)),15-11*$X$5)</f>
        <v>0.23130000000000001</v>
      </c>
      <c r="AA302" s="1"/>
    </row>
    <row r="303" spans="1:27" ht="38.25" x14ac:dyDescent="0.2">
      <c r="A303" t="str">
        <f t="shared" si="99"/>
        <v>S</v>
      </c>
      <c r="B303">
        <f t="shared" si="100"/>
        <v>0</v>
      </c>
      <c r="C303">
        <f t="shared" ca="1" si="101"/>
        <v>1</v>
      </c>
      <c r="D303">
        <f t="shared" ca="1" si="102"/>
        <v>10</v>
      </c>
      <c r="E303">
        <f t="shared" ca="1" si="103"/>
        <v>3</v>
      </c>
      <c r="F303">
        <f t="shared" ca="1" si="104"/>
        <v>0</v>
      </c>
      <c r="G303">
        <f t="shared" ca="1" si="105"/>
        <v>4</v>
      </c>
      <c r="H303">
        <f t="shared" ca="1" si="94"/>
        <v>0</v>
      </c>
      <c r="I303">
        <f t="shared" ca="1" si="95"/>
        <v>0</v>
      </c>
      <c r="J303" s="355" t="s">
        <v>103</v>
      </c>
      <c r="K303" s="138" t="str">
        <f t="shared" ca="1" si="106"/>
        <v>1.10.3.0.4.</v>
      </c>
      <c r="L303" s="356" t="s">
        <v>230</v>
      </c>
      <c r="M303" s="356" t="s">
        <v>470</v>
      </c>
      <c r="N303" s="360" t="s">
        <v>834</v>
      </c>
      <c r="O303" s="362" t="s">
        <v>944</v>
      </c>
      <c r="P303" s="363">
        <v>8</v>
      </c>
      <c r="Q303" s="195"/>
      <c r="R303" s="198" t="s">
        <v>7</v>
      </c>
      <c r="S303" s="103">
        <f t="shared" si="96"/>
        <v>0</v>
      </c>
      <c r="T303" s="83">
        <f t="shared" si="97"/>
        <v>0</v>
      </c>
      <c r="U303" s="9" t="str">
        <f t="shared" si="107"/>
        <v>SEM VALOR</v>
      </c>
      <c r="V303" s="1" t="str">
        <f ca="1">IF(OR($A303=0,$A303="S",$A303&gt;CFF!$A$9),"",MAX(V$12:OFFSET(V303,-1,0))+1)</f>
        <v/>
      </c>
      <c r="W303" s="4" t="str">
        <f t="shared" si="108"/>
        <v>SINAPI-86941</v>
      </c>
      <c r="X303" s="1">
        <f t="shared" ca="1" si="98"/>
        <v>12453</v>
      </c>
      <c r="Y303" s="103">
        <v>1384.42</v>
      </c>
      <c r="Z303" s="113">
        <f ca="1">ROUND(IF(ISNUMBER(R303),R303,IF(LEFT(R303,3)="BDI",HLOOKUP(R303,DADOS!$T$37:$X$38,2,FALSE),0)),15-11*$X$5)</f>
        <v>0.23130000000000001</v>
      </c>
      <c r="AA303" s="1"/>
    </row>
    <row r="304" spans="1:27" ht="38.25" x14ac:dyDescent="0.2">
      <c r="A304" t="str">
        <f t="shared" si="99"/>
        <v>S</v>
      </c>
      <c r="B304">
        <f t="shared" si="100"/>
        <v>0</v>
      </c>
      <c r="C304">
        <f t="shared" ca="1" si="101"/>
        <v>1</v>
      </c>
      <c r="D304">
        <f t="shared" ca="1" si="102"/>
        <v>10</v>
      </c>
      <c r="E304">
        <f t="shared" ca="1" si="103"/>
        <v>3</v>
      </c>
      <c r="F304">
        <f t="shared" ca="1" si="104"/>
        <v>0</v>
      </c>
      <c r="G304">
        <f t="shared" ca="1" si="105"/>
        <v>5</v>
      </c>
      <c r="H304">
        <f t="shared" ca="1" si="94"/>
        <v>0</v>
      </c>
      <c r="I304">
        <f t="shared" ca="1" si="95"/>
        <v>0</v>
      </c>
      <c r="J304" s="355" t="s">
        <v>103</v>
      </c>
      <c r="K304" s="138" t="str">
        <f t="shared" ca="1" si="106"/>
        <v>1.10.3.0.5.</v>
      </c>
      <c r="L304" s="356" t="s">
        <v>230</v>
      </c>
      <c r="M304" s="356" t="s">
        <v>471</v>
      </c>
      <c r="N304" s="360" t="s">
        <v>835</v>
      </c>
      <c r="O304" s="362" t="s">
        <v>944</v>
      </c>
      <c r="P304" s="363">
        <v>5</v>
      </c>
      <c r="Q304" s="195"/>
      <c r="R304" s="198" t="s">
        <v>7</v>
      </c>
      <c r="S304" s="103">
        <f t="shared" si="96"/>
        <v>0</v>
      </c>
      <c r="T304" s="83">
        <f t="shared" si="97"/>
        <v>0</v>
      </c>
      <c r="U304" s="9" t="str">
        <f t="shared" si="107"/>
        <v>SEM VALOR</v>
      </c>
      <c r="V304" s="1" t="str">
        <f ca="1">IF(OR($A304=0,$A304="S",$A304&gt;CFF!$A$9),"",MAX(V$12:OFFSET(V304,-1,0))+1)</f>
        <v/>
      </c>
      <c r="W304" s="4" t="str">
        <f t="shared" si="108"/>
        <v>SINAPI-86942</v>
      </c>
      <c r="X304" s="1">
        <f t="shared" ca="1" si="98"/>
        <v>12456</v>
      </c>
      <c r="Y304" s="103">
        <v>419.53</v>
      </c>
      <c r="Z304" s="113">
        <f ca="1">ROUND(IF(ISNUMBER(R304),R304,IF(LEFT(R304,3)="BDI",HLOOKUP(R304,DADOS!$T$37:$X$38,2,FALSE),0)),15-11*$X$5)</f>
        <v>0.23130000000000001</v>
      </c>
      <c r="AA304" s="1"/>
    </row>
    <row r="305" spans="1:27" x14ac:dyDescent="0.2">
      <c r="A305" t="str">
        <f t="shared" si="99"/>
        <v>S</v>
      </c>
      <c r="B305">
        <f t="shared" si="100"/>
        <v>0</v>
      </c>
      <c r="C305">
        <f t="shared" ca="1" si="101"/>
        <v>1</v>
      </c>
      <c r="D305">
        <f t="shared" ca="1" si="102"/>
        <v>10</v>
      </c>
      <c r="E305">
        <f t="shared" ca="1" si="103"/>
        <v>3</v>
      </c>
      <c r="F305">
        <f t="shared" ca="1" si="104"/>
        <v>0</v>
      </c>
      <c r="G305">
        <f t="shared" ca="1" si="105"/>
        <v>6</v>
      </c>
      <c r="H305">
        <f t="shared" ca="1" si="94"/>
        <v>0</v>
      </c>
      <c r="I305">
        <f t="shared" ca="1" si="95"/>
        <v>0</v>
      </c>
      <c r="J305" s="355" t="s">
        <v>103</v>
      </c>
      <c r="K305" s="138" t="str">
        <f t="shared" ca="1" si="106"/>
        <v>1.10.3.0.6.</v>
      </c>
      <c r="L305" s="356" t="s">
        <v>230</v>
      </c>
      <c r="M305" s="356" t="s">
        <v>472</v>
      </c>
      <c r="N305" s="360" t="s">
        <v>836</v>
      </c>
      <c r="O305" s="362" t="s">
        <v>944</v>
      </c>
      <c r="P305" s="363">
        <v>1</v>
      </c>
      <c r="Q305" s="195"/>
      <c r="R305" s="198" t="s">
        <v>7</v>
      </c>
      <c r="S305" s="103">
        <f t="shared" si="96"/>
        <v>0</v>
      </c>
      <c r="T305" s="83">
        <f t="shared" si="97"/>
        <v>0</v>
      </c>
      <c r="U305" s="9" t="str">
        <f t="shared" si="107"/>
        <v>SEM VALOR</v>
      </c>
      <c r="V305" s="1" t="str">
        <f ca="1">IF(OR($A305=0,$A305="S",$A305&gt;CFF!$A$9),"",MAX(V$12:OFFSET(V305,-1,0))+1)</f>
        <v/>
      </c>
      <c r="W305" s="4" t="str">
        <f t="shared" si="108"/>
        <v>SINAPI-100860</v>
      </c>
      <c r="X305" s="1">
        <f t="shared" ca="1" si="98"/>
        <v>12436</v>
      </c>
      <c r="Y305" s="103">
        <v>131.27000000000001</v>
      </c>
      <c r="Z305" s="113">
        <f ca="1">ROUND(IF(ISNUMBER(R305),R305,IF(LEFT(R305,3)="BDI",HLOOKUP(R305,DADOS!$T$37:$X$38,2,FALSE),0)),15-11*$X$5)</f>
        <v>0.23130000000000001</v>
      </c>
      <c r="AA305" s="1"/>
    </row>
    <row r="306" spans="1:27" ht="25.5" x14ac:dyDescent="0.2">
      <c r="A306" t="str">
        <f t="shared" si="99"/>
        <v>S</v>
      </c>
      <c r="B306">
        <f t="shared" si="100"/>
        <v>0</v>
      </c>
      <c r="C306">
        <f t="shared" ca="1" si="101"/>
        <v>1</v>
      </c>
      <c r="D306">
        <f t="shared" ca="1" si="102"/>
        <v>10</v>
      </c>
      <c r="E306">
        <f t="shared" ca="1" si="103"/>
        <v>3</v>
      </c>
      <c r="F306">
        <f t="shared" ca="1" si="104"/>
        <v>0</v>
      </c>
      <c r="G306">
        <f t="shared" ca="1" si="105"/>
        <v>7</v>
      </c>
      <c r="H306">
        <f t="shared" ca="1" si="94"/>
        <v>0</v>
      </c>
      <c r="I306">
        <f t="shared" ca="1" si="95"/>
        <v>0</v>
      </c>
      <c r="J306" s="355" t="s">
        <v>103</v>
      </c>
      <c r="K306" s="138" t="str">
        <f t="shared" ca="1" si="106"/>
        <v>1.10.3.0.7.</v>
      </c>
      <c r="L306" s="356" t="s">
        <v>230</v>
      </c>
      <c r="M306" s="356" t="s">
        <v>473</v>
      </c>
      <c r="N306" s="360" t="s">
        <v>837</v>
      </c>
      <c r="O306" s="362" t="s">
        <v>944</v>
      </c>
      <c r="P306" s="363">
        <v>2</v>
      </c>
      <c r="Q306" s="195"/>
      <c r="R306" s="198" t="s">
        <v>7</v>
      </c>
      <c r="S306" s="103">
        <f t="shared" si="96"/>
        <v>0</v>
      </c>
      <c r="T306" s="83">
        <f t="shared" si="97"/>
        <v>0</v>
      </c>
      <c r="U306" s="9" t="str">
        <f t="shared" si="107"/>
        <v>SEM VALOR</v>
      </c>
      <c r="V306" s="1" t="str">
        <f ca="1">IF(OR($A306=0,$A306="S",$A306&gt;CFF!$A$9),"",MAX(V$12:OFFSET(V306,-1,0))+1)</f>
        <v/>
      </c>
      <c r="W306" s="4" t="str">
        <f t="shared" si="108"/>
        <v>SINAPI-86919</v>
      </c>
      <c r="X306" s="1">
        <f t="shared" ca="1" si="98"/>
        <v>12472</v>
      </c>
      <c r="Y306" s="103">
        <v>1351.47</v>
      </c>
      <c r="Z306" s="113">
        <f ca="1">ROUND(IF(ISNUMBER(R306),R306,IF(LEFT(R306,3)="BDI",HLOOKUP(R306,DADOS!$T$37:$X$38,2,FALSE),0)),15-11*$X$5)</f>
        <v>0.23130000000000001</v>
      </c>
      <c r="AA306" s="1"/>
    </row>
    <row r="307" spans="1:27" ht="25.5" x14ac:dyDescent="0.2">
      <c r="A307" t="str">
        <f t="shared" si="99"/>
        <v>S</v>
      </c>
      <c r="B307">
        <f t="shared" si="100"/>
        <v>0</v>
      </c>
      <c r="C307">
        <f t="shared" ca="1" si="101"/>
        <v>1</v>
      </c>
      <c r="D307">
        <f t="shared" ca="1" si="102"/>
        <v>10</v>
      </c>
      <c r="E307">
        <f t="shared" ca="1" si="103"/>
        <v>3</v>
      </c>
      <c r="F307">
        <f t="shared" ca="1" si="104"/>
        <v>0</v>
      </c>
      <c r="G307">
        <f t="shared" ca="1" si="105"/>
        <v>8</v>
      </c>
      <c r="H307">
        <f t="shared" ca="1" si="94"/>
        <v>0</v>
      </c>
      <c r="I307">
        <f t="shared" ca="1" si="95"/>
        <v>0</v>
      </c>
      <c r="J307" s="355" t="s">
        <v>103</v>
      </c>
      <c r="K307" s="138" t="str">
        <f t="shared" ca="1" si="106"/>
        <v>1.10.3.0.8.</v>
      </c>
      <c r="L307" s="356" t="s">
        <v>235</v>
      </c>
      <c r="M307" s="356" t="s">
        <v>474</v>
      </c>
      <c r="N307" s="360" t="s">
        <v>838</v>
      </c>
      <c r="O307" s="362" t="s">
        <v>944</v>
      </c>
      <c r="P307" s="363">
        <v>1</v>
      </c>
      <c r="Q307" s="195"/>
      <c r="R307" s="198" t="s">
        <v>7</v>
      </c>
      <c r="S307" s="103">
        <f t="shared" si="96"/>
        <v>0</v>
      </c>
      <c r="T307" s="83">
        <f t="shared" si="97"/>
        <v>0</v>
      </c>
      <c r="U307" s="9" t="str">
        <f t="shared" si="107"/>
        <v>SEM VALOR</v>
      </c>
      <c r="V307" s="1" t="str">
        <f ca="1">IF(OR($A307=0,$A307="S",$A307&gt;CFF!$A$9),"",MAX(V$12:OFFSET(V307,-1,0))+1)</f>
        <v/>
      </c>
      <c r="W307" s="4" t="str">
        <f t="shared" si="108"/>
        <v>PM BENTO-41</v>
      </c>
      <c r="X307" s="1">
        <f t="shared" ca="1" si="98"/>
        <v>47</v>
      </c>
      <c r="Y307" s="103">
        <v>259.11</v>
      </c>
      <c r="Z307" s="113">
        <f ca="1">ROUND(IF(ISNUMBER(R307),R307,IF(LEFT(R307,3)="BDI",HLOOKUP(R307,DADOS!$T$37:$X$38,2,FALSE),0)),15-11*$X$5)</f>
        <v>0.23130000000000001</v>
      </c>
      <c r="AA307" s="1"/>
    </row>
    <row r="308" spans="1:27" ht="25.5" x14ac:dyDescent="0.2">
      <c r="A308" t="str">
        <f t="shared" si="99"/>
        <v>S</v>
      </c>
      <c r="B308">
        <f t="shared" si="100"/>
        <v>0</v>
      </c>
      <c r="C308">
        <f t="shared" ca="1" si="101"/>
        <v>1</v>
      </c>
      <c r="D308">
        <f t="shared" ca="1" si="102"/>
        <v>10</v>
      </c>
      <c r="E308">
        <f t="shared" ca="1" si="103"/>
        <v>3</v>
      </c>
      <c r="F308">
        <f t="shared" ca="1" si="104"/>
        <v>0</v>
      </c>
      <c r="G308">
        <f t="shared" ca="1" si="105"/>
        <v>9</v>
      </c>
      <c r="H308">
        <f t="shared" ca="1" si="94"/>
        <v>0</v>
      </c>
      <c r="I308">
        <f t="shared" ca="1" si="95"/>
        <v>0</v>
      </c>
      <c r="J308" s="355" t="s">
        <v>103</v>
      </c>
      <c r="K308" s="138" t="str">
        <f t="shared" ca="1" si="106"/>
        <v>1.10.3.0.9.</v>
      </c>
      <c r="L308" s="356" t="s">
        <v>230</v>
      </c>
      <c r="M308" s="356" t="s">
        <v>475</v>
      </c>
      <c r="N308" s="360" t="s">
        <v>839</v>
      </c>
      <c r="O308" s="362" t="s">
        <v>944</v>
      </c>
      <c r="P308" s="363">
        <v>6</v>
      </c>
      <c r="Q308" s="195"/>
      <c r="R308" s="198" t="s">
        <v>7</v>
      </c>
      <c r="S308" s="103">
        <f t="shared" si="96"/>
        <v>0</v>
      </c>
      <c r="T308" s="83">
        <f t="shared" si="97"/>
        <v>0</v>
      </c>
      <c r="U308" s="9" t="str">
        <f t="shared" si="107"/>
        <v>SEM VALOR</v>
      </c>
      <c r="V308" s="1" t="str">
        <f ca="1">IF(OR($A308=0,$A308="S",$A308&gt;CFF!$A$9),"",MAX(V$12:OFFSET(V308,-1,0))+1)</f>
        <v/>
      </c>
      <c r="W308" s="4" t="str">
        <f t="shared" si="108"/>
        <v>SINAPI-100868</v>
      </c>
      <c r="X308" s="1">
        <f t="shared" ca="1" si="98"/>
        <v>12430</v>
      </c>
      <c r="Y308" s="103">
        <v>561.19000000000005</v>
      </c>
      <c r="Z308" s="113">
        <f ca="1">ROUND(IF(ISNUMBER(R308),R308,IF(LEFT(R308,3)="BDI",HLOOKUP(R308,DADOS!$T$37:$X$38,2,FALSE),0)),15-11*$X$5)</f>
        <v>0.23130000000000001</v>
      </c>
      <c r="AA308" s="1"/>
    </row>
    <row r="309" spans="1:27" ht="25.5" x14ac:dyDescent="0.2">
      <c r="A309" t="str">
        <f t="shared" si="99"/>
        <v>S</v>
      </c>
      <c r="B309">
        <f t="shared" si="100"/>
        <v>0</v>
      </c>
      <c r="C309">
        <f t="shared" ca="1" si="101"/>
        <v>1</v>
      </c>
      <c r="D309">
        <f t="shared" ca="1" si="102"/>
        <v>10</v>
      </c>
      <c r="E309">
        <f t="shared" ca="1" si="103"/>
        <v>3</v>
      </c>
      <c r="F309">
        <f t="shared" ca="1" si="104"/>
        <v>0</v>
      </c>
      <c r="G309">
        <f t="shared" ca="1" si="105"/>
        <v>10</v>
      </c>
      <c r="H309">
        <f t="shared" ca="1" si="94"/>
        <v>0</v>
      </c>
      <c r="I309">
        <f t="shared" ca="1" si="95"/>
        <v>0</v>
      </c>
      <c r="J309" s="355" t="s">
        <v>103</v>
      </c>
      <c r="K309" s="138" t="str">
        <f t="shared" ca="1" si="106"/>
        <v>1.10.3.0.10.</v>
      </c>
      <c r="L309" s="356" t="s">
        <v>230</v>
      </c>
      <c r="M309" s="356" t="s">
        <v>476</v>
      </c>
      <c r="N309" s="360" t="s">
        <v>840</v>
      </c>
      <c r="O309" s="362" t="s">
        <v>944</v>
      </c>
      <c r="P309" s="363">
        <v>4</v>
      </c>
      <c r="Q309" s="195"/>
      <c r="R309" s="198" t="s">
        <v>7</v>
      </c>
      <c r="S309" s="103">
        <f t="shared" si="96"/>
        <v>0</v>
      </c>
      <c r="T309" s="83">
        <f t="shared" si="97"/>
        <v>0</v>
      </c>
      <c r="U309" s="9" t="str">
        <f t="shared" si="107"/>
        <v>SEM VALOR</v>
      </c>
      <c r="V309" s="1" t="str">
        <f ca="1">IF(OR($A309=0,$A309="S",$A309&gt;CFF!$A$9),"",MAX(V$12:OFFSET(V309,-1,0))+1)</f>
        <v/>
      </c>
      <c r="W309" s="4" t="str">
        <f t="shared" si="108"/>
        <v>SINAPI-100866</v>
      </c>
      <c r="X309" s="1">
        <f t="shared" ca="1" si="98"/>
        <v>12428</v>
      </c>
      <c r="Y309" s="103">
        <v>499.24</v>
      </c>
      <c r="Z309" s="113">
        <f ca="1">ROUND(IF(ISNUMBER(R309),R309,IF(LEFT(R309,3)="BDI",HLOOKUP(R309,DADOS!$T$37:$X$38,2,FALSE),0)),15-11*$X$5)</f>
        <v>0.23130000000000001</v>
      </c>
      <c r="AA309" s="1"/>
    </row>
    <row r="310" spans="1:27" ht="25.5" x14ac:dyDescent="0.2">
      <c r="A310" t="str">
        <f t="shared" si="99"/>
        <v>S</v>
      </c>
      <c r="B310">
        <f t="shared" si="100"/>
        <v>0</v>
      </c>
      <c r="C310">
        <f t="shared" ca="1" si="101"/>
        <v>1</v>
      </c>
      <c r="D310">
        <f t="shared" ca="1" si="102"/>
        <v>10</v>
      </c>
      <c r="E310">
        <f t="shared" ca="1" si="103"/>
        <v>3</v>
      </c>
      <c r="F310">
        <f t="shared" ca="1" si="104"/>
        <v>0</v>
      </c>
      <c r="G310">
        <f t="shared" ca="1" si="105"/>
        <v>11</v>
      </c>
      <c r="H310">
        <f t="shared" ca="1" si="94"/>
        <v>0</v>
      </c>
      <c r="I310">
        <f t="shared" ca="1" si="95"/>
        <v>0</v>
      </c>
      <c r="J310" s="355" t="s">
        <v>103</v>
      </c>
      <c r="K310" s="138" t="str">
        <f t="shared" ca="1" si="106"/>
        <v>1.10.3.0.11.</v>
      </c>
      <c r="L310" s="356" t="s">
        <v>235</v>
      </c>
      <c r="M310" s="356" t="s">
        <v>477</v>
      </c>
      <c r="N310" s="360" t="s">
        <v>841</v>
      </c>
      <c r="O310" s="362" t="s">
        <v>940</v>
      </c>
      <c r="P310" s="363">
        <v>3.23</v>
      </c>
      <c r="Q310" s="195"/>
      <c r="R310" s="198" t="s">
        <v>7</v>
      </c>
      <c r="S310" s="103">
        <f t="shared" si="96"/>
        <v>0</v>
      </c>
      <c r="T310" s="83">
        <f t="shared" si="97"/>
        <v>0</v>
      </c>
      <c r="U310" s="9" t="str">
        <f t="shared" si="107"/>
        <v>SEM VALOR</v>
      </c>
      <c r="V310" s="1" t="str">
        <f ca="1">IF(OR($A310=0,$A310="S",$A310&gt;CFF!$A$9),"",MAX(V$12:OFFSET(V310,-1,0))+1)</f>
        <v/>
      </c>
      <c r="W310" s="4" t="str">
        <f t="shared" si="108"/>
        <v>PM BENTO-35</v>
      </c>
      <c r="X310" s="1">
        <f t="shared" ca="1" si="98"/>
        <v>41</v>
      </c>
      <c r="Y310" s="103">
        <v>605.65</v>
      </c>
      <c r="Z310" s="113">
        <f ca="1">ROUND(IF(ISNUMBER(R310),R310,IF(LEFT(R310,3)="BDI",HLOOKUP(R310,DADOS!$T$37:$X$38,2,FALSE),0)),15-11*$X$5)</f>
        <v>0.23130000000000001</v>
      </c>
      <c r="AA310" s="1"/>
    </row>
    <row r="311" spans="1:27" ht="25.5" x14ac:dyDescent="0.2">
      <c r="A311" t="str">
        <f t="shared" si="99"/>
        <v>S</v>
      </c>
      <c r="B311">
        <f t="shared" si="100"/>
        <v>0</v>
      </c>
      <c r="C311">
        <f t="shared" ca="1" si="101"/>
        <v>1</v>
      </c>
      <c r="D311">
        <f t="shared" ca="1" si="102"/>
        <v>10</v>
      </c>
      <c r="E311">
        <f t="shared" ca="1" si="103"/>
        <v>3</v>
      </c>
      <c r="F311">
        <f t="shared" ca="1" si="104"/>
        <v>0</v>
      </c>
      <c r="G311">
        <f t="shared" ca="1" si="105"/>
        <v>12</v>
      </c>
      <c r="H311">
        <f t="shared" ca="1" si="94"/>
        <v>0</v>
      </c>
      <c r="I311">
        <f t="shared" ca="1" si="95"/>
        <v>0</v>
      </c>
      <c r="J311" s="355" t="s">
        <v>103</v>
      </c>
      <c r="K311" s="138" t="str">
        <f t="shared" ca="1" si="106"/>
        <v>1.10.3.0.12.</v>
      </c>
      <c r="L311" s="356" t="s">
        <v>230</v>
      </c>
      <c r="M311" s="356" t="s">
        <v>478</v>
      </c>
      <c r="N311" s="360" t="s">
        <v>842</v>
      </c>
      <c r="O311" s="362" t="s">
        <v>944</v>
      </c>
      <c r="P311" s="363">
        <v>2</v>
      </c>
      <c r="Q311" s="195"/>
      <c r="R311" s="198" t="s">
        <v>7</v>
      </c>
      <c r="S311" s="103">
        <f t="shared" si="96"/>
        <v>0</v>
      </c>
      <c r="T311" s="83">
        <f t="shared" si="97"/>
        <v>0</v>
      </c>
      <c r="U311" s="9" t="str">
        <f t="shared" si="107"/>
        <v>SEM VALOR</v>
      </c>
      <c r="V311" s="1" t="str">
        <f ca="1">IF(OR($A311=0,$A311="S",$A311&gt;CFF!$A$9),"",MAX(V$12:OFFSET(V311,-1,0))+1)</f>
        <v/>
      </c>
      <c r="W311" s="4" t="str">
        <f t="shared" si="108"/>
        <v>SINAPI-99635</v>
      </c>
      <c r="X311" s="1">
        <f t="shared" ca="1" si="98"/>
        <v>15139</v>
      </c>
      <c r="Y311" s="103">
        <v>549.46</v>
      </c>
      <c r="Z311" s="113">
        <f ca="1">ROUND(IF(ISNUMBER(R311),R311,IF(LEFT(R311,3)="BDI",HLOOKUP(R311,DADOS!$T$37:$X$38,2,FALSE),0)),15-11*$X$5)</f>
        <v>0.23130000000000001</v>
      </c>
      <c r="AA311" s="1"/>
    </row>
    <row r="312" spans="1:27" ht="25.5" x14ac:dyDescent="0.2">
      <c r="A312" t="str">
        <f t="shared" si="99"/>
        <v>S</v>
      </c>
      <c r="B312">
        <f t="shared" si="100"/>
        <v>0</v>
      </c>
      <c r="C312">
        <f t="shared" ca="1" si="101"/>
        <v>1</v>
      </c>
      <c r="D312">
        <f t="shared" ca="1" si="102"/>
        <v>10</v>
      </c>
      <c r="E312">
        <f t="shared" ca="1" si="103"/>
        <v>3</v>
      </c>
      <c r="F312">
        <f t="shared" ca="1" si="104"/>
        <v>0</v>
      </c>
      <c r="G312">
        <f t="shared" ca="1" si="105"/>
        <v>13</v>
      </c>
      <c r="H312">
        <f t="shared" ca="1" si="94"/>
        <v>0</v>
      </c>
      <c r="I312">
        <f t="shared" ca="1" si="95"/>
        <v>0</v>
      </c>
      <c r="J312" s="355" t="s">
        <v>103</v>
      </c>
      <c r="K312" s="138" t="str">
        <f t="shared" ca="1" si="106"/>
        <v>1.10.3.0.13.</v>
      </c>
      <c r="L312" s="356" t="s">
        <v>230</v>
      </c>
      <c r="M312" s="356" t="s">
        <v>479</v>
      </c>
      <c r="N312" s="360" t="s">
        <v>843</v>
      </c>
      <c r="O312" s="362" t="s">
        <v>944</v>
      </c>
      <c r="P312" s="363">
        <v>19</v>
      </c>
      <c r="Q312" s="195"/>
      <c r="R312" s="198" t="s">
        <v>8</v>
      </c>
      <c r="S312" s="103">
        <f t="shared" si="96"/>
        <v>0</v>
      </c>
      <c r="T312" s="83">
        <f t="shared" si="97"/>
        <v>0</v>
      </c>
      <c r="U312" s="9" t="str">
        <f t="shared" si="107"/>
        <v>SEM VALOR</v>
      </c>
      <c r="V312" s="1" t="str">
        <f ca="1">IF(OR($A312=0,$A312="S",$A312&gt;CFF!$A$9),"",MAX(V$12:OFFSET(V312,-1,0))+1)</f>
        <v/>
      </c>
      <c r="W312" s="4" t="str">
        <f t="shared" si="108"/>
        <v>SINAPI-95547</v>
      </c>
      <c r="X312" s="1">
        <f t="shared" ca="1" si="98"/>
        <v>12465</v>
      </c>
      <c r="Y312" s="103">
        <v>65.97</v>
      </c>
      <c r="Z312" s="113">
        <f ca="1">ROUND(IF(ISNUMBER(R312),R312,IF(LEFT(R312,3)="BDI",HLOOKUP(R312,DADOS!$T$37:$X$38,2,FALSE),0)),15-11*$X$5)</f>
        <v>0.12470000000000001</v>
      </c>
      <c r="AA312" s="1"/>
    </row>
    <row r="313" spans="1:27" x14ac:dyDescent="0.2">
      <c r="A313" t="str">
        <f t="shared" si="99"/>
        <v>S</v>
      </c>
      <c r="B313">
        <f t="shared" si="100"/>
        <v>0</v>
      </c>
      <c r="C313">
        <f t="shared" ca="1" si="101"/>
        <v>1</v>
      </c>
      <c r="D313">
        <f t="shared" ca="1" si="102"/>
        <v>10</v>
      </c>
      <c r="E313">
        <f t="shared" ca="1" si="103"/>
        <v>3</v>
      </c>
      <c r="F313">
        <f t="shared" ca="1" si="104"/>
        <v>0</v>
      </c>
      <c r="G313">
        <f t="shared" ca="1" si="105"/>
        <v>14</v>
      </c>
      <c r="H313">
        <f t="shared" ca="1" si="94"/>
        <v>0</v>
      </c>
      <c r="I313">
        <f t="shared" ca="1" si="95"/>
        <v>0</v>
      </c>
      <c r="J313" s="355" t="s">
        <v>103</v>
      </c>
      <c r="K313" s="138" t="str">
        <f t="shared" ca="1" si="106"/>
        <v>1.10.3.0.14.</v>
      </c>
      <c r="L313" s="356" t="s">
        <v>230</v>
      </c>
      <c r="M313" s="356" t="s">
        <v>480</v>
      </c>
      <c r="N313" s="360" t="s">
        <v>844</v>
      </c>
      <c r="O313" s="362" t="s">
        <v>944</v>
      </c>
      <c r="P313" s="363">
        <v>2</v>
      </c>
      <c r="Q313" s="195"/>
      <c r="R313" s="198" t="s">
        <v>8</v>
      </c>
      <c r="S313" s="103">
        <f t="shared" si="96"/>
        <v>0</v>
      </c>
      <c r="T313" s="83">
        <f t="shared" si="97"/>
        <v>0</v>
      </c>
      <c r="U313" s="9" t="str">
        <f t="shared" si="107"/>
        <v>SEM VALOR</v>
      </c>
      <c r="V313" s="1" t="str">
        <f ca="1">IF(OR($A313=0,$A313="S",$A313&gt;CFF!$A$9),"",MAX(V$12:OFFSET(V313,-1,0))+1)</f>
        <v/>
      </c>
      <c r="W313" s="4" t="str">
        <f t="shared" si="108"/>
        <v>SINAPI-95543</v>
      </c>
      <c r="X313" s="1">
        <f t="shared" ca="1" si="98"/>
        <v>12461</v>
      </c>
      <c r="Y313" s="103">
        <v>136.82</v>
      </c>
      <c r="Z313" s="113">
        <f ca="1">ROUND(IF(ISNUMBER(R313),R313,IF(LEFT(R313,3)="BDI",HLOOKUP(R313,DADOS!$T$37:$X$38,2,FALSE),0)),15-11*$X$5)</f>
        <v>0.12470000000000001</v>
      </c>
      <c r="AA313" s="1"/>
    </row>
    <row r="314" spans="1:27" x14ac:dyDescent="0.2">
      <c r="A314" t="str">
        <f t="shared" si="99"/>
        <v>S</v>
      </c>
      <c r="B314">
        <f t="shared" si="100"/>
        <v>0</v>
      </c>
      <c r="C314">
        <f t="shared" ca="1" si="101"/>
        <v>1</v>
      </c>
      <c r="D314">
        <f t="shared" ca="1" si="102"/>
        <v>10</v>
      </c>
      <c r="E314">
        <f t="shared" ca="1" si="103"/>
        <v>3</v>
      </c>
      <c r="F314">
        <f t="shared" ca="1" si="104"/>
        <v>0</v>
      </c>
      <c r="G314">
        <f t="shared" ca="1" si="105"/>
        <v>15</v>
      </c>
      <c r="H314">
        <f t="shared" ca="1" si="94"/>
        <v>0</v>
      </c>
      <c r="I314">
        <f t="shared" ca="1" si="95"/>
        <v>0</v>
      </c>
      <c r="J314" s="355" t="s">
        <v>103</v>
      </c>
      <c r="K314" s="138" t="str">
        <f t="shared" ca="1" si="106"/>
        <v>1.10.3.0.15.</v>
      </c>
      <c r="L314" s="356" t="s">
        <v>235</v>
      </c>
      <c r="M314" s="356" t="s">
        <v>481</v>
      </c>
      <c r="N314" s="360" t="s">
        <v>845</v>
      </c>
      <c r="O314" s="362" t="s">
        <v>944</v>
      </c>
      <c r="P314" s="363">
        <v>8</v>
      </c>
      <c r="Q314" s="195"/>
      <c r="R314" s="198" t="s">
        <v>8</v>
      </c>
      <c r="S314" s="103">
        <f t="shared" si="96"/>
        <v>0</v>
      </c>
      <c r="T314" s="83">
        <f t="shared" si="97"/>
        <v>0</v>
      </c>
      <c r="U314" s="9" t="str">
        <f t="shared" si="107"/>
        <v>SEM VALOR</v>
      </c>
      <c r="V314" s="1" t="str">
        <f ca="1">IF(OR($A314=0,$A314="S",$A314&gt;CFF!$A$9),"",MAX(V$12:OFFSET(V314,-1,0))+1)</f>
        <v/>
      </c>
      <c r="W314" s="4" t="str">
        <f t="shared" si="108"/>
        <v>PM BENTO-36</v>
      </c>
      <c r="X314" s="1">
        <f t="shared" ca="1" si="98"/>
        <v>42</v>
      </c>
      <c r="Y314" s="103">
        <v>68.150000000000006</v>
      </c>
      <c r="Z314" s="113">
        <f ca="1">ROUND(IF(ISNUMBER(R314),R314,IF(LEFT(R314,3)="BDI",HLOOKUP(R314,DADOS!$T$37:$X$38,2,FALSE),0)),15-11*$X$5)</f>
        <v>0.12470000000000001</v>
      </c>
      <c r="AA314" s="1"/>
    </row>
    <row r="315" spans="1:27" ht="25.5" x14ac:dyDescent="0.2">
      <c r="A315" t="str">
        <f t="shared" si="99"/>
        <v>S</v>
      </c>
      <c r="B315">
        <f t="shared" si="100"/>
        <v>0</v>
      </c>
      <c r="C315">
        <f t="shared" ca="1" si="101"/>
        <v>1</v>
      </c>
      <c r="D315">
        <f t="shared" ca="1" si="102"/>
        <v>10</v>
      </c>
      <c r="E315">
        <f t="shared" ca="1" si="103"/>
        <v>3</v>
      </c>
      <c r="F315">
        <f t="shared" ca="1" si="104"/>
        <v>0</v>
      </c>
      <c r="G315">
        <f t="shared" ca="1" si="105"/>
        <v>16</v>
      </c>
      <c r="H315">
        <f t="shared" ca="1" si="94"/>
        <v>0</v>
      </c>
      <c r="I315">
        <f t="shared" ca="1" si="95"/>
        <v>0</v>
      </c>
      <c r="J315" s="355" t="s">
        <v>103</v>
      </c>
      <c r="K315" s="138" t="str">
        <f t="shared" ca="1" si="106"/>
        <v>1.10.3.0.16.</v>
      </c>
      <c r="L315" s="356" t="s">
        <v>235</v>
      </c>
      <c r="M315" s="356" t="s">
        <v>482</v>
      </c>
      <c r="N315" s="360" t="s">
        <v>846</v>
      </c>
      <c r="O315" s="362" t="s">
        <v>944</v>
      </c>
      <c r="P315" s="363">
        <v>19</v>
      </c>
      <c r="Q315" s="195"/>
      <c r="R315" s="198" t="s">
        <v>8</v>
      </c>
      <c r="S315" s="103">
        <f t="shared" si="96"/>
        <v>0</v>
      </c>
      <c r="T315" s="83">
        <f t="shared" si="97"/>
        <v>0</v>
      </c>
      <c r="U315" s="9" t="str">
        <f t="shared" si="107"/>
        <v>SEM VALOR</v>
      </c>
      <c r="V315" s="1" t="str">
        <f ca="1">IF(OR($A315=0,$A315="S",$A315&gt;CFF!$A$9),"",MAX(V$12:OFFSET(V315,-1,0))+1)</f>
        <v/>
      </c>
      <c r="W315" s="4" t="str">
        <f t="shared" si="108"/>
        <v>PM BENTO-37</v>
      </c>
      <c r="X315" s="1">
        <f t="shared" ca="1" si="98"/>
        <v>43</v>
      </c>
      <c r="Y315" s="103">
        <v>68.150000000000006</v>
      </c>
      <c r="Z315" s="113">
        <f ca="1">ROUND(IF(ISNUMBER(R315),R315,IF(LEFT(R315,3)="BDI",HLOOKUP(R315,DADOS!$T$37:$X$38,2,FALSE),0)),15-11*$X$5)</f>
        <v>0.12470000000000001</v>
      </c>
      <c r="AA315" s="1"/>
    </row>
    <row r="316" spans="1:27" x14ac:dyDescent="0.2">
      <c r="A316" t="str">
        <f t="shared" si="99"/>
        <v>S</v>
      </c>
      <c r="B316">
        <f t="shared" si="100"/>
        <v>0</v>
      </c>
      <c r="C316">
        <f t="shared" ca="1" si="101"/>
        <v>1</v>
      </c>
      <c r="D316">
        <f t="shared" ca="1" si="102"/>
        <v>10</v>
      </c>
      <c r="E316">
        <f t="shared" ca="1" si="103"/>
        <v>3</v>
      </c>
      <c r="F316">
        <f t="shared" ca="1" si="104"/>
        <v>0</v>
      </c>
      <c r="G316">
        <f t="shared" ca="1" si="105"/>
        <v>17</v>
      </c>
      <c r="H316">
        <f t="shared" ca="1" si="94"/>
        <v>0</v>
      </c>
      <c r="I316">
        <f t="shared" ca="1" si="95"/>
        <v>0</v>
      </c>
      <c r="J316" s="355" t="s">
        <v>103</v>
      </c>
      <c r="K316" s="138" t="str">
        <f t="shared" ca="1" si="106"/>
        <v>1.10.3.0.17.</v>
      </c>
      <c r="L316" s="356" t="s">
        <v>235</v>
      </c>
      <c r="M316" s="356" t="s">
        <v>483</v>
      </c>
      <c r="N316" s="360" t="s">
        <v>847</v>
      </c>
      <c r="O316" s="362" t="s">
        <v>944</v>
      </c>
      <c r="P316" s="363">
        <v>23</v>
      </c>
      <c r="Q316" s="195"/>
      <c r="R316" s="198" t="s">
        <v>8</v>
      </c>
      <c r="S316" s="103">
        <f t="shared" si="96"/>
        <v>0</v>
      </c>
      <c r="T316" s="83">
        <f t="shared" si="97"/>
        <v>0</v>
      </c>
      <c r="U316" s="9" t="str">
        <f t="shared" si="107"/>
        <v>SEM VALOR</v>
      </c>
      <c r="V316" s="1" t="str">
        <f ca="1">IF(OR($A316=0,$A316="S",$A316&gt;CFF!$A$9),"",MAX(V$12:OFFSET(V316,-1,0))+1)</f>
        <v/>
      </c>
      <c r="W316" s="4" t="str">
        <f t="shared" si="108"/>
        <v>PM BENTO-38</v>
      </c>
      <c r="X316" s="1">
        <f t="shared" ca="1" si="98"/>
        <v>44</v>
      </c>
      <c r="Y316" s="103">
        <v>65.97</v>
      </c>
      <c r="Z316" s="113">
        <f ca="1">ROUND(IF(ISNUMBER(R316),R316,IF(LEFT(R316,3)="BDI",HLOOKUP(R316,DADOS!$T$37:$X$38,2,FALSE),0)),15-11*$X$5)</f>
        <v>0.12470000000000001</v>
      </c>
      <c r="AA316" s="1"/>
    </row>
    <row r="317" spans="1:27" x14ac:dyDescent="0.2">
      <c r="A317" t="str">
        <f t="shared" si="99"/>
        <v>S</v>
      </c>
      <c r="B317">
        <f t="shared" si="100"/>
        <v>0</v>
      </c>
      <c r="C317">
        <f t="shared" ca="1" si="101"/>
        <v>1</v>
      </c>
      <c r="D317">
        <f t="shared" ca="1" si="102"/>
        <v>10</v>
      </c>
      <c r="E317">
        <f t="shared" ca="1" si="103"/>
        <v>3</v>
      </c>
      <c r="F317">
        <f t="shared" ca="1" si="104"/>
        <v>0</v>
      </c>
      <c r="G317">
        <f t="shared" ca="1" si="105"/>
        <v>18</v>
      </c>
      <c r="H317">
        <f t="shared" ca="1" si="94"/>
        <v>0</v>
      </c>
      <c r="I317">
        <f t="shared" ca="1" si="95"/>
        <v>0</v>
      </c>
      <c r="J317" s="355" t="s">
        <v>103</v>
      </c>
      <c r="K317" s="138" t="str">
        <f t="shared" ca="1" si="106"/>
        <v>1.10.3.0.18.</v>
      </c>
      <c r="L317" s="356" t="s">
        <v>230</v>
      </c>
      <c r="M317" s="356" t="s">
        <v>484</v>
      </c>
      <c r="N317" s="360" t="s">
        <v>848</v>
      </c>
      <c r="O317" s="362" t="s">
        <v>944</v>
      </c>
      <c r="P317" s="363">
        <v>1</v>
      </c>
      <c r="Q317" s="195"/>
      <c r="R317" s="198" t="s">
        <v>8</v>
      </c>
      <c r="S317" s="103">
        <f t="shared" si="96"/>
        <v>0</v>
      </c>
      <c r="T317" s="83">
        <f t="shared" si="97"/>
        <v>0</v>
      </c>
      <c r="U317" s="9" t="str">
        <f t="shared" si="107"/>
        <v>SEM VALOR</v>
      </c>
      <c r="V317" s="1" t="str">
        <f ca="1">IF(OR($A317=0,$A317="S",$A317&gt;CFF!$A$9),"",MAX(V$12:OFFSET(V317,-1,0))+1)</f>
        <v/>
      </c>
      <c r="W317" s="4" t="str">
        <f t="shared" si="108"/>
        <v>SINAPI-95545</v>
      </c>
      <c r="X317" s="1">
        <f t="shared" ca="1" si="98"/>
        <v>12464</v>
      </c>
      <c r="Y317" s="103">
        <v>103.65</v>
      </c>
      <c r="Z317" s="113">
        <f ca="1">ROUND(IF(ISNUMBER(R317),R317,IF(LEFT(R317,3)="BDI",HLOOKUP(R317,DADOS!$T$37:$X$38,2,FALSE),0)),15-11*$X$5)</f>
        <v>0.12470000000000001</v>
      </c>
      <c r="AA317" s="1"/>
    </row>
    <row r="318" spans="1:27" ht="25.5" x14ac:dyDescent="0.2">
      <c r="A318" t="str">
        <f t="shared" si="99"/>
        <v>S</v>
      </c>
      <c r="B318">
        <f t="shared" si="100"/>
        <v>0</v>
      </c>
      <c r="C318">
        <f t="shared" ca="1" si="101"/>
        <v>1</v>
      </c>
      <c r="D318">
        <f t="shared" ca="1" si="102"/>
        <v>10</v>
      </c>
      <c r="E318">
        <f t="shared" ca="1" si="103"/>
        <v>3</v>
      </c>
      <c r="F318">
        <f t="shared" ca="1" si="104"/>
        <v>0</v>
      </c>
      <c r="G318">
        <f t="shared" ca="1" si="105"/>
        <v>19</v>
      </c>
      <c r="H318">
        <f t="shared" ca="1" si="94"/>
        <v>0</v>
      </c>
      <c r="I318">
        <f t="shared" ca="1" si="95"/>
        <v>0</v>
      </c>
      <c r="J318" s="355" t="s">
        <v>103</v>
      </c>
      <c r="K318" s="138" t="str">
        <f t="shared" ca="1" si="106"/>
        <v>1.10.3.0.19.</v>
      </c>
      <c r="L318" s="356" t="s">
        <v>235</v>
      </c>
      <c r="M318" s="356" t="s">
        <v>485</v>
      </c>
      <c r="N318" s="360" t="s">
        <v>849</v>
      </c>
      <c r="O318" s="362" t="s">
        <v>940</v>
      </c>
      <c r="P318" s="363">
        <v>2.16</v>
      </c>
      <c r="Q318" s="195"/>
      <c r="R318" s="198" t="s">
        <v>8</v>
      </c>
      <c r="S318" s="103">
        <f t="shared" si="96"/>
        <v>0</v>
      </c>
      <c r="T318" s="83">
        <f t="shared" si="97"/>
        <v>0</v>
      </c>
      <c r="U318" s="9" t="str">
        <f t="shared" si="107"/>
        <v>SEM VALOR</v>
      </c>
      <c r="V318" s="1" t="str">
        <f ca="1">IF(OR($A318=0,$A318="S",$A318&gt;CFF!$A$9),"",MAX(V$12:OFFSET(V318,-1,0))+1)</f>
        <v/>
      </c>
      <c r="W318" s="4" t="str">
        <f t="shared" si="108"/>
        <v>PM BENTO-39</v>
      </c>
      <c r="X318" s="1">
        <f t="shared" ca="1" si="98"/>
        <v>45</v>
      </c>
      <c r="Y318" s="103">
        <v>381.55</v>
      </c>
      <c r="Z318" s="113">
        <f ca="1">ROUND(IF(ISNUMBER(R318),R318,IF(LEFT(R318,3)="BDI",HLOOKUP(R318,DADOS!$T$37:$X$38,2,FALSE),0)),15-11*$X$5)</f>
        <v>0.12470000000000001</v>
      </c>
      <c r="AA318" s="1"/>
    </row>
    <row r="319" spans="1:27" ht="25.5" x14ac:dyDescent="0.2">
      <c r="A319" t="str">
        <f t="shared" si="99"/>
        <v>S</v>
      </c>
      <c r="B319">
        <f t="shared" si="100"/>
        <v>0</v>
      </c>
      <c r="C319">
        <f t="shared" ca="1" si="101"/>
        <v>1</v>
      </c>
      <c r="D319">
        <f t="shared" ca="1" si="102"/>
        <v>10</v>
      </c>
      <c r="E319">
        <f t="shared" ca="1" si="103"/>
        <v>3</v>
      </c>
      <c r="F319">
        <f t="shared" ca="1" si="104"/>
        <v>0</v>
      </c>
      <c r="G319">
        <f t="shared" ca="1" si="105"/>
        <v>20</v>
      </c>
      <c r="H319">
        <f t="shared" ca="1" si="94"/>
        <v>0</v>
      </c>
      <c r="I319">
        <f t="shared" ca="1" si="95"/>
        <v>0</v>
      </c>
      <c r="J319" s="355" t="s">
        <v>103</v>
      </c>
      <c r="K319" s="138" t="str">
        <f t="shared" ca="1" si="106"/>
        <v>1.10.3.0.20.</v>
      </c>
      <c r="L319" s="356" t="s">
        <v>230</v>
      </c>
      <c r="M319" s="356" t="s">
        <v>486</v>
      </c>
      <c r="N319" s="360" t="s">
        <v>850</v>
      </c>
      <c r="O319" s="362" t="s">
        <v>944</v>
      </c>
      <c r="P319" s="363">
        <v>4</v>
      </c>
      <c r="Q319" s="195"/>
      <c r="R319" s="198" t="s">
        <v>7</v>
      </c>
      <c r="S319" s="103">
        <f t="shared" si="96"/>
        <v>0</v>
      </c>
      <c r="T319" s="83">
        <f t="shared" si="97"/>
        <v>0</v>
      </c>
      <c r="U319" s="9" t="str">
        <f t="shared" si="107"/>
        <v>SEM VALOR</v>
      </c>
      <c r="V319" s="1" t="str">
        <f ca="1">IF(OR($A319=0,$A319="S",$A319&gt;CFF!$A$9),"",MAX(V$12:OFFSET(V319,-1,0))+1)</f>
        <v/>
      </c>
      <c r="W319" s="4" t="str">
        <f t="shared" si="108"/>
        <v>SINAPI-94794</v>
      </c>
      <c r="X319" s="1">
        <f t="shared" ca="1" si="98"/>
        <v>15107</v>
      </c>
      <c r="Y319" s="103">
        <v>267.58999999999997</v>
      </c>
      <c r="Z319" s="113">
        <f ca="1">ROUND(IF(ISNUMBER(R319),R319,IF(LEFT(R319,3)="BDI",HLOOKUP(R319,DADOS!$T$37:$X$38,2,FALSE),0)),15-11*$X$5)</f>
        <v>0.23130000000000001</v>
      </c>
      <c r="AA319" s="1"/>
    </row>
    <row r="320" spans="1:27" ht="25.5" x14ac:dyDescent="0.2">
      <c r="A320" t="str">
        <f t="shared" si="99"/>
        <v>S</v>
      </c>
      <c r="B320">
        <f t="shared" si="100"/>
        <v>0</v>
      </c>
      <c r="C320">
        <f t="shared" ca="1" si="101"/>
        <v>1</v>
      </c>
      <c r="D320">
        <f t="shared" ca="1" si="102"/>
        <v>10</v>
      </c>
      <c r="E320">
        <f t="shared" ca="1" si="103"/>
        <v>3</v>
      </c>
      <c r="F320">
        <f t="shared" ca="1" si="104"/>
        <v>0</v>
      </c>
      <c r="G320">
        <f t="shared" ca="1" si="105"/>
        <v>21</v>
      </c>
      <c r="H320">
        <f t="shared" ca="1" si="94"/>
        <v>0</v>
      </c>
      <c r="I320">
        <f t="shared" ca="1" si="95"/>
        <v>0</v>
      </c>
      <c r="J320" s="355" t="s">
        <v>103</v>
      </c>
      <c r="K320" s="138" t="str">
        <f t="shared" ca="1" si="106"/>
        <v>1.10.3.0.21.</v>
      </c>
      <c r="L320" s="356" t="s">
        <v>230</v>
      </c>
      <c r="M320" s="356" t="s">
        <v>487</v>
      </c>
      <c r="N320" s="360" t="s">
        <v>851</v>
      </c>
      <c r="O320" s="362" t="s">
        <v>944</v>
      </c>
      <c r="P320" s="363">
        <v>18</v>
      </c>
      <c r="Q320" s="195"/>
      <c r="R320" s="198" t="s">
        <v>7</v>
      </c>
      <c r="S320" s="103">
        <f t="shared" si="96"/>
        <v>0</v>
      </c>
      <c r="T320" s="83">
        <f t="shared" si="97"/>
        <v>0</v>
      </c>
      <c r="U320" s="9" t="str">
        <f t="shared" si="107"/>
        <v>SEM VALOR</v>
      </c>
      <c r="V320" s="1" t="str">
        <f ca="1">IF(OR($A320=0,$A320="S",$A320&gt;CFF!$A$9),"",MAX(V$12:OFFSET(V320,-1,0))+1)</f>
        <v/>
      </c>
      <c r="W320" s="4" t="str">
        <f t="shared" si="108"/>
        <v>SINAPI-89987</v>
      </c>
      <c r="X320" s="1">
        <f t="shared" ca="1" si="98"/>
        <v>15118</v>
      </c>
      <c r="Y320" s="103">
        <v>151.04</v>
      </c>
      <c r="Z320" s="113">
        <f ca="1">ROUND(IF(ISNUMBER(R320),R320,IF(LEFT(R320,3)="BDI",HLOOKUP(R320,DADOS!$T$37:$X$38,2,FALSE),0)),15-11*$X$5)</f>
        <v>0.23130000000000001</v>
      </c>
      <c r="AA320" s="1"/>
    </row>
    <row r="321" spans="1:27" ht="25.5" x14ac:dyDescent="0.2">
      <c r="A321" t="str">
        <f t="shared" si="99"/>
        <v>S</v>
      </c>
      <c r="B321">
        <f t="shared" si="100"/>
        <v>0</v>
      </c>
      <c r="C321">
        <f t="shared" ca="1" si="101"/>
        <v>1</v>
      </c>
      <c r="D321">
        <f t="shared" ca="1" si="102"/>
        <v>10</v>
      </c>
      <c r="E321">
        <f t="shared" ca="1" si="103"/>
        <v>3</v>
      </c>
      <c r="F321">
        <f t="shared" ca="1" si="104"/>
        <v>0</v>
      </c>
      <c r="G321">
        <f t="shared" ca="1" si="105"/>
        <v>22</v>
      </c>
      <c r="H321">
        <f t="shared" ca="1" si="94"/>
        <v>0</v>
      </c>
      <c r="I321">
        <f t="shared" ca="1" si="95"/>
        <v>0</v>
      </c>
      <c r="J321" s="355" t="s">
        <v>103</v>
      </c>
      <c r="K321" s="138" t="str">
        <f t="shared" ca="1" si="106"/>
        <v>1.10.3.0.22.</v>
      </c>
      <c r="L321" s="356" t="s">
        <v>230</v>
      </c>
      <c r="M321" s="356" t="s">
        <v>488</v>
      </c>
      <c r="N321" s="360" t="s">
        <v>852</v>
      </c>
      <c r="O321" s="362" t="s">
        <v>944</v>
      </c>
      <c r="P321" s="363">
        <v>1</v>
      </c>
      <c r="Q321" s="195"/>
      <c r="R321" s="198" t="s">
        <v>7</v>
      </c>
      <c r="S321" s="103">
        <f t="shared" si="96"/>
        <v>0</v>
      </c>
      <c r="T321" s="83">
        <f t="shared" si="97"/>
        <v>0</v>
      </c>
      <c r="U321" s="9" t="str">
        <f t="shared" si="107"/>
        <v>SEM VALOR</v>
      </c>
      <c r="V321" s="1" t="str">
        <f ca="1">IF(OR($A321=0,$A321="S",$A321&gt;CFF!$A$9),"",MAX(V$12:OFFSET(V321,-1,0))+1)</f>
        <v/>
      </c>
      <c r="W321" s="4" t="str">
        <f t="shared" si="108"/>
        <v>SINAPI-89985</v>
      </c>
      <c r="X321" s="1">
        <f t="shared" ca="1" si="98"/>
        <v>15122</v>
      </c>
      <c r="Y321" s="103">
        <v>143.32</v>
      </c>
      <c r="Z321" s="113">
        <f ca="1">ROUND(IF(ISNUMBER(R321),R321,IF(LEFT(R321,3)="BDI",HLOOKUP(R321,DADOS!$T$37:$X$38,2,FALSE),0)),15-11*$X$5)</f>
        <v>0.23130000000000001</v>
      </c>
      <c r="AA321" s="1"/>
    </row>
    <row r="322" spans="1:27" x14ac:dyDescent="0.2">
      <c r="A322" t="str">
        <f t="shared" si="99"/>
        <v>S</v>
      </c>
      <c r="B322">
        <f t="shared" si="100"/>
        <v>0</v>
      </c>
      <c r="C322">
        <f t="shared" ca="1" si="101"/>
        <v>1</v>
      </c>
      <c r="D322">
        <f t="shared" ca="1" si="102"/>
        <v>10</v>
      </c>
      <c r="E322">
        <f t="shared" ca="1" si="103"/>
        <v>3</v>
      </c>
      <c r="F322">
        <f t="shared" ca="1" si="104"/>
        <v>0</v>
      </c>
      <c r="G322">
        <f t="shared" ca="1" si="105"/>
        <v>23</v>
      </c>
      <c r="H322">
        <f t="shared" ca="1" si="94"/>
        <v>0</v>
      </c>
      <c r="I322">
        <f t="shared" ca="1" si="95"/>
        <v>0</v>
      </c>
      <c r="J322" s="355" t="s">
        <v>103</v>
      </c>
      <c r="K322" s="138" t="str">
        <f t="shared" ca="1" si="106"/>
        <v>1.10.3.0.23.</v>
      </c>
      <c r="L322" s="356" t="s">
        <v>370</v>
      </c>
      <c r="M322" s="356" t="s">
        <v>489</v>
      </c>
      <c r="N322" s="360" t="s">
        <v>853</v>
      </c>
      <c r="O322" s="362" t="s">
        <v>951</v>
      </c>
      <c r="P322" s="363">
        <v>17</v>
      </c>
      <c r="Q322" s="195"/>
      <c r="R322" s="198" t="s">
        <v>7</v>
      </c>
      <c r="S322" s="103">
        <f t="shared" si="96"/>
        <v>0</v>
      </c>
      <c r="T322" s="83">
        <f t="shared" si="97"/>
        <v>0</v>
      </c>
      <c r="U322" s="9" t="str">
        <f t="shared" si="107"/>
        <v>SEM VALOR</v>
      </c>
      <c r="V322" s="1" t="str">
        <f ca="1">IF(OR($A322=0,$A322="S",$A322&gt;CFF!$A$9),"",MAX(V$12:OFFSET(V322,-1,0))+1)</f>
        <v/>
      </c>
      <c r="W322" s="4" t="str">
        <f t="shared" si="108"/>
        <v>COTAÇÃO-147</v>
      </c>
      <c r="X322" s="1">
        <f t="shared" ca="1" si="98"/>
        <v>141</v>
      </c>
      <c r="Y322" s="103">
        <v>30.66</v>
      </c>
      <c r="Z322" s="113">
        <f ca="1">ROUND(IF(ISNUMBER(R322),R322,IF(LEFT(R322,3)="BDI",HLOOKUP(R322,DADOS!$T$37:$X$38,2,FALSE),0)),15-11*$X$5)</f>
        <v>0.23130000000000001</v>
      </c>
      <c r="AA322" s="1"/>
    </row>
    <row r="323" spans="1:27" x14ac:dyDescent="0.2">
      <c r="A323" t="str">
        <f t="shared" si="99"/>
        <v>S</v>
      </c>
      <c r="B323">
        <f t="shared" si="100"/>
        <v>0</v>
      </c>
      <c r="C323">
        <f t="shared" ca="1" si="101"/>
        <v>1</v>
      </c>
      <c r="D323">
        <f t="shared" ca="1" si="102"/>
        <v>10</v>
      </c>
      <c r="E323">
        <f t="shared" ca="1" si="103"/>
        <v>3</v>
      </c>
      <c r="F323">
        <f t="shared" ca="1" si="104"/>
        <v>0</v>
      </c>
      <c r="G323">
        <f t="shared" ca="1" si="105"/>
        <v>24</v>
      </c>
      <c r="H323">
        <f t="shared" ca="1" si="94"/>
        <v>0</v>
      </c>
      <c r="I323">
        <f t="shared" ca="1" si="95"/>
        <v>0</v>
      </c>
      <c r="J323" s="355" t="s">
        <v>103</v>
      </c>
      <c r="K323" s="138" t="str">
        <f t="shared" ca="1" si="106"/>
        <v>1.10.3.0.24.</v>
      </c>
      <c r="L323" s="356" t="s">
        <v>235</v>
      </c>
      <c r="M323" s="356" t="s">
        <v>490</v>
      </c>
      <c r="N323" s="360" t="s">
        <v>854</v>
      </c>
      <c r="O323" s="362" t="s">
        <v>944</v>
      </c>
      <c r="P323" s="363">
        <v>4</v>
      </c>
      <c r="Q323" s="195"/>
      <c r="R323" s="198" t="s">
        <v>7</v>
      </c>
      <c r="S323" s="103">
        <f t="shared" si="96"/>
        <v>0</v>
      </c>
      <c r="T323" s="83">
        <f t="shared" si="97"/>
        <v>0</v>
      </c>
      <c r="U323" s="9" t="str">
        <f t="shared" si="107"/>
        <v>SEM VALOR</v>
      </c>
      <c r="V323" s="1" t="str">
        <f ca="1">IF(OR($A323=0,$A323="S",$A323&gt;CFF!$A$9),"",MAX(V$12:OFFSET(V323,-1,0))+1)</f>
        <v/>
      </c>
      <c r="W323" s="4" t="str">
        <f t="shared" si="108"/>
        <v>PM BENTO-40</v>
      </c>
      <c r="X323" s="1">
        <f t="shared" ca="1" si="98"/>
        <v>46</v>
      </c>
      <c r="Y323" s="103">
        <v>169.82</v>
      </c>
      <c r="Z323" s="113">
        <f ca="1">ROUND(IF(ISNUMBER(R323),R323,IF(LEFT(R323,3)="BDI",HLOOKUP(R323,DADOS!$T$37:$X$38,2,FALSE),0)),15-11*$X$5)</f>
        <v>0.23130000000000001</v>
      </c>
      <c r="AA323" s="1"/>
    </row>
    <row r="324" spans="1:27" x14ac:dyDescent="0.2">
      <c r="A324">
        <f t="shared" si="99"/>
        <v>2</v>
      </c>
      <c r="B324">
        <f t="shared" ca="1" si="100"/>
        <v>44</v>
      </c>
      <c r="C324">
        <f t="shared" ca="1" si="101"/>
        <v>1</v>
      </c>
      <c r="D324">
        <f t="shared" ca="1" si="102"/>
        <v>11</v>
      </c>
      <c r="E324">
        <f t="shared" ca="1" si="103"/>
        <v>0</v>
      </c>
      <c r="F324">
        <f t="shared" ca="1" si="104"/>
        <v>0</v>
      </c>
      <c r="G324">
        <f t="shared" ca="1" si="105"/>
        <v>0</v>
      </c>
      <c r="H324">
        <f t="shared" ca="1" si="94"/>
        <v>98</v>
      </c>
      <c r="I324">
        <f t="shared" ca="1" si="95"/>
        <v>44</v>
      </c>
      <c r="J324" s="355" t="s">
        <v>100</v>
      </c>
      <c r="K324" s="138" t="str">
        <f t="shared" ca="1" si="106"/>
        <v>1.11.</v>
      </c>
      <c r="L324" s="356" t="s">
        <v>230</v>
      </c>
      <c r="M324" s="356"/>
      <c r="N324" s="360" t="s">
        <v>607</v>
      </c>
      <c r="O324" s="362" t="s">
        <v>106</v>
      </c>
      <c r="P324" s="363"/>
      <c r="Q324" s="195"/>
      <c r="R324" s="198" t="s">
        <v>7</v>
      </c>
      <c r="S324" s="103">
        <f t="shared" si="96"/>
        <v>0</v>
      </c>
      <c r="T324" s="83">
        <f t="shared" ca="1" si="97"/>
        <v>0</v>
      </c>
      <c r="U324" s="9" t="str">
        <f t="shared" ca="1" si="107"/>
        <v>SEM VALOR</v>
      </c>
      <c r="V324" s="1">
        <f ca="1">IF(OR($A324=0,$A324="S",$A324&gt;CFF!$A$9),"",MAX(V$12:OFFSET(V324,-1,0))+1)</f>
        <v>12</v>
      </c>
      <c r="W324" s="4" t="b">
        <f t="shared" si="108"/>
        <v>0</v>
      </c>
      <c r="X324" s="1" t="str">
        <f t="shared" ca="1" si="98"/>
        <v>X</v>
      </c>
      <c r="Y324" s="103">
        <v>0</v>
      </c>
      <c r="Z324" s="113">
        <f ca="1">ROUND(IF(ISNUMBER(R324),R324,IF(LEFT(R324,3)="BDI",HLOOKUP(R324,DADOS!$T$37:$X$38,2,FALSE),0)),15-11*$X$5)</f>
        <v>0.23130000000000001</v>
      </c>
      <c r="AA324" s="1"/>
    </row>
    <row r="325" spans="1:27" x14ac:dyDescent="0.2">
      <c r="A325">
        <f t="shared" si="99"/>
        <v>3</v>
      </c>
      <c r="B325">
        <f t="shared" ca="1" si="100"/>
        <v>33</v>
      </c>
      <c r="C325">
        <f t="shared" ca="1" si="101"/>
        <v>1</v>
      </c>
      <c r="D325">
        <f t="shared" ca="1" si="102"/>
        <v>11</v>
      </c>
      <c r="E325">
        <f t="shared" ca="1" si="103"/>
        <v>1</v>
      </c>
      <c r="F325">
        <f t="shared" ca="1" si="104"/>
        <v>0</v>
      </c>
      <c r="G325">
        <f t="shared" ca="1" si="105"/>
        <v>0</v>
      </c>
      <c r="H325">
        <f t="shared" ca="1" si="94"/>
        <v>43</v>
      </c>
      <c r="I325">
        <f t="shared" ca="1" si="95"/>
        <v>33</v>
      </c>
      <c r="J325" s="355" t="s">
        <v>101</v>
      </c>
      <c r="K325" s="138" t="str">
        <f t="shared" ca="1" si="106"/>
        <v>1.11.1.</v>
      </c>
      <c r="L325" s="356" t="s">
        <v>230</v>
      </c>
      <c r="M325" s="356"/>
      <c r="N325" s="360" t="s">
        <v>607</v>
      </c>
      <c r="O325" s="362" t="s">
        <v>106</v>
      </c>
      <c r="P325" s="363"/>
      <c r="Q325" s="195"/>
      <c r="R325" s="198" t="s">
        <v>7</v>
      </c>
      <c r="S325" s="103">
        <f t="shared" si="96"/>
        <v>0</v>
      </c>
      <c r="T325" s="83">
        <f t="shared" ca="1" si="97"/>
        <v>0</v>
      </c>
      <c r="U325" s="9" t="str">
        <f t="shared" ca="1" si="107"/>
        <v>SEM VALOR</v>
      </c>
      <c r="V325" s="1" t="str">
        <f ca="1">IF(OR($A325=0,$A325="S",$A325&gt;CFF!$A$9),"",MAX(V$12:OFFSET(V325,-1,0))+1)</f>
        <v/>
      </c>
      <c r="W325" s="4" t="b">
        <f t="shared" si="108"/>
        <v>0</v>
      </c>
      <c r="X325" s="1" t="str">
        <f t="shared" ca="1" si="98"/>
        <v>X</v>
      </c>
      <c r="Y325" s="103">
        <v>0</v>
      </c>
      <c r="Z325" s="113">
        <f ca="1">ROUND(IF(ISNUMBER(R325),R325,IF(LEFT(R325,3)="BDI",HLOOKUP(R325,DADOS!$T$37:$X$38,2,FALSE),0)),15-11*$X$5)</f>
        <v>0.23130000000000001</v>
      </c>
      <c r="AA325" s="1"/>
    </row>
    <row r="326" spans="1:27" ht="25.5" x14ac:dyDescent="0.2">
      <c r="A326" t="str">
        <f t="shared" si="99"/>
        <v>S</v>
      </c>
      <c r="B326">
        <f t="shared" si="100"/>
        <v>0</v>
      </c>
      <c r="C326">
        <f t="shared" ca="1" si="101"/>
        <v>1</v>
      </c>
      <c r="D326">
        <f t="shared" ca="1" si="102"/>
        <v>11</v>
      </c>
      <c r="E326">
        <f t="shared" ca="1" si="103"/>
        <v>1</v>
      </c>
      <c r="F326">
        <f t="shared" ca="1" si="104"/>
        <v>0</v>
      </c>
      <c r="G326">
        <f t="shared" ca="1" si="105"/>
        <v>1</v>
      </c>
      <c r="H326">
        <f t="shared" ca="1" si="94"/>
        <v>0</v>
      </c>
      <c r="I326">
        <f t="shared" ca="1" si="95"/>
        <v>0</v>
      </c>
      <c r="J326" s="355" t="s">
        <v>103</v>
      </c>
      <c r="K326" s="138" t="str">
        <f t="shared" ca="1" si="106"/>
        <v>1.11.1.0.1.</v>
      </c>
      <c r="L326" s="356" t="s">
        <v>230</v>
      </c>
      <c r="M326" s="356" t="s">
        <v>491</v>
      </c>
      <c r="N326" s="360" t="s">
        <v>855</v>
      </c>
      <c r="O326" s="362" t="s">
        <v>945</v>
      </c>
      <c r="P326" s="363">
        <v>715</v>
      </c>
      <c r="Q326" s="195"/>
      <c r="R326" s="198" t="s">
        <v>7</v>
      </c>
      <c r="S326" s="103">
        <f t="shared" si="96"/>
        <v>0</v>
      </c>
      <c r="T326" s="83">
        <f t="shared" si="97"/>
        <v>0</v>
      </c>
      <c r="U326" s="9" t="str">
        <f t="shared" si="107"/>
        <v>SEM VALOR</v>
      </c>
      <c r="V326" s="1" t="str">
        <f ca="1">IF(OR($A326=0,$A326="S",$A326&gt;CFF!$A$9),"",MAX(V$12:OFFSET(V326,-1,0))+1)</f>
        <v/>
      </c>
      <c r="W326" s="4" t="str">
        <f t="shared" si="108"/>
        <v>SINAPI-91924</v>
      </c>
      <c r="X326" s="1">
        <f t="shared" ca="1" si="98"/>
        <v>9553</v>
      </c>
      <c r="Y326" s="103">
        <v>3.95</v>
      </c>
      <c r="Z326" s="113">
        <f ca="1">ROUND(IF(ISNUMBER(R326),R326,IF(LEFT(R326,3)="BDI",HLOOKUP(R326,DADOS!$T$37:$X$38,2,FALSE),0)),15-11*$X$5)</f>
        <v>0.23130000000000001</v>
      </c>
      <c r="AA326" s="1"/>
    </row>
    <row r="327" spans="1:27" ht="25.5" x14ac:dyDescent="0.2">
      <c r="A327" t="str">
        <f t="shared" si="99"/>
        <v>S</v>
      </c>
      <c r="B327">
        <f t="shared" si="100"/>
        <v>0</v>
      </c>
      <c r="C327">
        <f t="shared" ca="1" si="101"/>
        <v>1</v>
      </c>
      <c r="D327">
        <f t="shared" ca="1" si="102"/>
        <v>11</v>
      </c>
      <c r="E327">
        <f t="shared" ca="1" si="103"/>
        <v>1</v>
      </c>
      <c r="F327">
        <f t="shared" ca="1" si="104"/>
        <v>0</v>
      </c>
      <c r="G327">
        <f t="shared" ca="1" si="105"/>
        <v>2</v>
      </c>
      <c r="H327">
        <f t="shared" ca="1" si="94"/>
        <v>0</v>
      </c>
      <c r="I327">
        <f t="shared" ca="1" si="95"/>
        <v>0</v>
      </c>
      <c r="J327" s="355" t="s">
        <v>103</v>
      </c>
      <c r="K327" s="138" t="str">
        <f t="shared" ca="1" si="106"/>
        <v>1.11.1.0.2.</v>
      </c>
      <c r="L327" s="356" t="s">
        <v>230</v>
      </c>
      <c r="M327" s="356" t="s">
        <v>492</v>
      </c>
      <c r="N327" s="360" t="s">
        <v>856</v>
      </c>
      <c r="O327" s="362" t="s">
        <v>945</v>
      </c>
      <c r="P327" s="363">
        <v>440</v>
      </c>
      <c r="Q327" s="195"/>
      <c r="R327" s="198" t="s">
        <v>7</v>
      </c>
      <c r="S327" s="103">
        <f t="shared" si="96"/>
        <v>0</v>
      </c>
      <c r="T327" s="83">
        <f t="shared" si="97"/>
        <v>0</v>
      </c>
      <c r="U327" s="9" t="str">
        <f t="shared" si="107"/>
        <v>SEM VALOR</v>
      </c>
      <c r="V327" s="1" t="str">
        <f ca="1">IF(OR($A327=0,$A327="S",$A327&gt;CFF!$A$9),"",MAX(V$12:OFFSET(V327,-1,0))+1)</f>
        <v/>
      </c>
      <c r="W327" s="4" t="str">
        <f t="shared" si="108"/>
        <v>SINAPI-91926</v>
      </c>
      <c r="X327" s="1">
        <f t="shared" ca="1" si="98"/>
        <v>9559</v>
      </c>
      <c r="Y327" s="103">
        <v>5.69</v>
      </c>
      <c r="Z327" s="113">
        <f ca="1">ROUND(IF(ISNUMBER(R327),R327,IF(LEFT(R327,3)="BDI",HLOOKUP(R327,DADOS!$T$37:$X$38,2,FALSE),0)),15-11*$X$5)</f>
        <v>0.23130000000000001</v>
      </c>
      <c r="AA327" s="1"/>
    </row>
    <row r="328" spans="1:27" ht="25.5" x14ac:dyDescent="0.2">
      <c r="A328" t="str">
        <f t="shared" si="99"/>
        <v>S</v>
      </c>
      <c r="B328">
        <f t="shared" si="100"/>
        <v>0</v>
      </c>
      <c r="C328">
        <f t="shared" ca="1" si="101"/>
        <v>1</v>
      </c>
      <c r="D328">
        <f t="shared" ca="1" si="102"/>
        <v>11</v>
      </c>
      <c r="E328">
        <f t="shared" ca="1" si="103"/>
        <v>1</v>
      </c>
      <c r="F328">
        <f t="shared" ca="1" si="104"/>
        <v>0</v>
      </c>
      <c r="G328">
        <f t="shared" ca="1" si="105"/>
        <v>3</v>
      </c>
      <c r="H328">
        <f t="shared" ca="1" si="94"/>
        <v>0</v>
      </c>
      <c r="I328">
        <f t="shared" ca="1" si="95"/>
        <v>0</v>
      </c>
      <c r="J328" s="355" t="s">
        <v>103</v>
      </c>
      <c r="K328" s="138" t="str">
        <f t="shared" ca="1" si="106"/>
        <v>1.11.1.0.3.</v>
      </c>
      <c r="L328" s="356" t="s">
        <v>230</v>
      </c>
      <c r="M328" s="356" t="s">
        <v>493</v>
      </c>
      <c r="N328" s="360" t="s">
        <v>857</v>
      </c>
      <c r="O328" s="362" t="s">
        <v>945</v>
      </c>
      <c r="P328" s="363">
        <v>660</v>
      </c>
      <c r="Q328" s="195"/>
      <c r="R328" s="198" t="s">
        <v>7</v>
      </c>
      <c r="S328" s="103">
        <f t="shared" si="96"/>
        <v>0</v>
      </c>
      <c r="T328" s="83">
        <f t="shared" si="97"/>
        <v>0</v>
      </c>
      <c r="U328" s="9" t="str">
        <f t="shared" si="107"/>
        <v>SEM VALOR</v>
      </c>
      <c r="V328" s="1" t="str">
        <f ca="1">IF(OR($A328=0,$A328="S",$A328&gt;CFF!$A$9),"",MAX(V$12:OFFSET(V328,-1,0))+1)</f>
        <v/>
      </c>
      <c r="W328" s="4" t="str">
        <f t="shared" si="108"/>
        <v>SINAPI-91930</v>
      </c>
      <c r="X328" s="1">
        <f t="shared" ca="1" si="98"/>
        <v>9563</v>
      </c>
      <c r="Y328" s="103">
        <v>12.25</v>
      </c>
      <c r="Z328" s="113">
        <f ca="1">ROUND(IF(ISNUMBER(R328),R328,IF(LEFT(R328,3)="BDI",HLOOKUP(R328,DADOS!$T$37:$X$38,2,FALSE),0)),15-11*$X$5)</f>
        <v>0.23130000000000001</v>
      </c>
      <c r="AA328" s="1"/>
    </row>
    <row r="329" spans="1:27" ht="25.5" x14ac:dyDescent="0.2">
      <c r="A329" t="str">
        <f t="shared" si="99"/>
        <v>S</v>
      </c>
      <c r="B329">
        <f t="shared" si="100"/>
        <v>0</v>
      </c>
      <c r="C329">
        <f t="shared" ca="1" si="101"/>
        <v>1</v>
      </c>
      <c r="D329">
        <f t="shared" ca="1" si="102"/>
        <v>11</v>
      </c>
      <c r="E329">
        <f t="shared" ca="1" si="103"/>
        <v>1</v>
      </c>
      <c r="F329">
        <f t="shared" ca="1" si="104"/>
        <v>0</v>
      </c>
      <c r="G329">
        <f t="shared" ca="1" si="105"/>
        <v>4</v>
      </c>
      <c r="H329">
        <f t="shared" ca="1" si="94"/>
        <v>0</v>
      </c>
      <c r="I329">
        <f t="shared" ca="1" si="95"/>
        <v>0</v>
      </c>
      <c r="J329" s="355" t="s">
        <v>103</v>
      </c>
      <c r="K329" s="138" t="str">
        <f t="shared" ca="1" si="106"/>
        <v>1.11.1.0.4.</v>
      </c>
      <c r="L329" s="356" t="s">
        <v>230</v>
      </c>
      <c r="M329" s="356" t="s">
        <v>494</v>
      </c>
      <c r="N329" s="360" t="s">
        <v>858</v>
      </c>
      <c r="O329" s="362" t="s">
        <v>945</v>
      </c>
      <c r="P329" s="363">
        <v>55</v>
      </c>
      <c r="Q329" s="195"/>
      <c r="R329" s="198" t="s">
        <v>7</v>
      </c>
      <c r="S329" s="103">
        <f t="shared" si="96"/>
        <v>0</v>
      </c>
      <c r="T329" s="83">
        <f t="shared" si="97"/>
        <v>0</v>
      </c>
      <c r="U329" s="9" t="str">
        <f t="shared" si="107"/>
        <v>SEM VALOR</v>
      </c>
      <c r="V329" s="1" t="str">
        <f ca="1">IF(OR($A329=0,$A329="S",$A329&gt;CFF!$A$9),"",MAX(V$12:OFFSET(V329,-1,0))+1)</f>
        <v/>
      </c>
      <c r="W329" s="4" t="str">
        <f t="shared" si="108"/>
        <v>SINAPI-91932</v>
      </c>
      <c r="X329" s="1">
        <f t="shared" ca="1" si="98"/>
        <v>9555</v>
      </c>
      <c r="Y329" s="103">
        <v>21.83</v>
      </c>
      <c r="Z329" s="113">
        <f ca="1">ROUND(IF(ISNUMBER(R329),R329,IF(LEFT(R329,3)="BDI",HLOOKUP(R329,DADOS!$T$37:$X$38,2,FALSE),0)),15-11*$X$5)</f>
        <v>0.23130000000000001</v>
      </c>
      <c r="AA329" s="1"/>
    </row>
    <row r="330" spans="1:27" ht="25.5" x14ac:dyDescent="0.2">
      <c r="A330" t="str">
        <f t="shared" si="99"/>
        <v>S</v>
      </c>
      <c r="B330">
        <f t="shared" si="100"/>
        <v>0</v>
      </c>
      <c r="C330">
        <f t="shared" ca="1" si="101"/>
        <v>1</v>
      </c>
      <c r="D330">
        <f t="shared" ca="1" si="102"/>
        <v>11</v>
      </c>
      <c r="E330">
        <f t="shared" ca="1" si="103"/>
        <v>1</v>
      </c>
      <c r="F330">
        <f t="shared" ca="1" si="104"/>
        <v>0</v>
      </c>
      <c r="G330">
        <f t="shared" ca="1" si="105"/>
        <v>5</v>
      </c>
      <c r="H330">
        <f t="shared" ca="1" si="94"/>
        <v>0</v>
      </c>
      <c r="I330">
        <f t="shared" ca="1" si="95"/>
        <v>0</v>
      </c>
      <c r="J330" s="355" t="s">
        <v>103</v>
      </c>
      <c r="K330" s="138" t="str">
        <f t="shared" ca="1" si="106"/>
        <v>1.11.1.0.5.</v>
      </c>
      <c r="L330" s="356" t="s">
        <v>230</v>
      </c>
      <c r="M330" s="356" t="s">
        <v>495</v>
      </c>
      <c r="N330" s="360" t="s">
        <v>859</v>
      </c>
      <c r="O330" s="362" t="s">
        <v>945</v>
      </c>
      <c r="P330" s="363">
        <v>275</v>
      </c>
      <c r="Q330" s="195"/>
      <c r="R330" s="198" t="s">
        <v>7</v>
      </c>
      <c r="S330" s="103">
        <f t="shared" si="96"/>
        <v>0</v>
      </c>
      <c r="T330" s="83">
        <f t="shared" si="97"/>
        <v>0</v>
      </c>
      <c r="U330" s="9" t="str">
        <f t="shared" si="107"/>
        <v>SEM VALOR</v>
      </c>
      <c r="V330" s="1" t="str">
        <f ca="1">IF(OR($A330=0,$A330="S",$A330&gt;CFF!$A$9),"",MAX(V$12:OFFSET(V330,-1,0))+1)</f>
        <v/>
      </c>
      <c r="W330" s="4" t="str">
        <f t="shared" si="108"/>
        <v>SINAPI-91934</v>
      </c>
      <c r="X330" s="1">
        <f t="shared" ca="1" si="98"/>
        <v>9557</v>
      </c>
      <c r="Y330" s="103">
        <v>31.57</v>
      </c>
      <c r="Z330" s="113">
        <f ca="1">ROUND(IF(ISNUMBER(R330),R330,IF(LEFT(R330,3)="BDI",HLOOKUP(R330,DADOS!$T$37:$X$38,2,FALSE),0)),15-11*$X$5)</f>
        <v>0.23130000000000001</v>
      </c>
      <c r="AA330" s="1"/>
    </row>
    <row r="331" spans="1:27" ht="25.5" x14ac:dyDescent="0.2">
      <c r="A331" t="str">
        <f t="shared" si="99"/>
        <v>S</v>
      </c>
      <c r="B331">
        <f t="shared" si="100"/>
        <v>0</v>
      </c>
      <c r="C331">
        <f t="shared" ca="1" si="101"/>
        <v>1</v>
      </c>
      <c r="D331">
        <f t="shared" ca="1" si="102"/>
        <v>11</v>
      </c>
      <c r="E331">
        <f t="shared" ca="1" si="103"/>
        <v>1</v>
      </c>
      <c r="F331">
        <f t="shared" ca="1" si="104"/>
        <v>0</v>
      </c>
      <c r="G331">
        <f t="shared" ca="1" si="105"/>
        <v>6</v>
      </c>
      <c r="H331">
        <f t="shared" ca="1" si="94"/>
        <v>0</v>
      </c>
      <c r="I331">
        <f t="shared" ca="1" si="95"/>
        <v>0</v>
      </c>
      <c r="J331" s="355" t="s">
        <v>103</v>
      </c>
      <c r="K331" s="138" t="str">
        <f t="shared" ca="1" si="106"/>
        <v>1.11.1.0.6.</v>
      </c>
      <c r="L331" s="356" t="s">
        <v>230</v>
      </c>
      <c r="M331" s="356" t="s">
        <v>496</v>
      </c>
      <c r="N331" s="360" t="s">
        <v>860</v>
      </c>
      <c r="O331" s="362" t="s">
        <v>945</v>
      </c>
      <c r="P331" s="363">
        <v>385</v>
      </c>
      <c r="Q331" s="195"/>
      <c r="R331" s="198" t="s">
        <v>7</v>
      </c>
      <c r="S331" s="103">
        <f t="shared" si="96"/>
        <v>0</v>
      </c>
      <c r="T331" s="83">
        <f t="shared" si="97"/>
        <v>0</v>
      </c>
      <c r="U331" s="9" t="str">
        <f t="shared" si="107"/>
        <v>SEM VALOR</v>
      </c>
      <c r="V331" s="1" t="str">
        <f ca="1">IF(OR($A331=0,$A331="S",$A331&gt;CFF!$A$9),"",MAX(V$12:OFFSET(V331,-1,0))+1)</f>
        <v/>
      </c>
      <c r="W331" s="4" t="str">
        <f t="shared" si="108"/>
        <v>SINAPI-92986</v>
      </c>
      <c r="X331" s="1">
        <f t="shared" ca="1" si="98"/>
        <v>13946</v>
      </c>
      <c r="Y331" s="103">
        <v>49.38</v>
      </c>
      <c r="Z331" s="113">
        <f ca="1">ROUND(IF(ISNUMBER(R331),R331,IF(LEFT(R331,3)="BDI",HLOOKUP(R331,DADOS!$T$37:$X$38,2,FALSE),0)),15-11*$X$5)</f>
        <v>0.23130000000000001</v>
      </c>
      <c r="AA331" s="1"/>
    </row>
    <row r="332" spans="1:27" ht="25.5" x14ac:dyDescent="0.2">
      <c r="A332" t="str">
        <f t="shared" si="99"/>
        <v>S</v>
      </c>
      <c r="B332">
        <f t="shared" si="100"/>
        <v>0</v>
      </c>
      <c r="C332">
        <f t="shared" ca="1" si="101"/>
        <v>1</v>
      </c>
      <c r="D332">
        <f t="shared" ca="1" si="102"/>
        <v>11</v>
      </c>
      <c r="E332">
        <f t="shared" ca="1" si="103"/>
        <v>1</v>
      </c>
      <c r="F332">
        <f t="shared" ca="1" si="104"/>
        <v>0</v>
      </c>
      <c r="G332">
        <f t="shared" ca="1" si="105"/>
        <v>7</v>
      </c>
      <c r="H332">
        <f t="shared" ca="1" si="94"/>
        <v>0</v>
      </c>
      <c r="I332">
        <f t="shared" ca="1" si="95"/>
        <v>0</v>
      </c>
      <c r="J332" s="355" t="s">
        <v>103</v>
      </c>
      <c r="K332" s="138" t="str">
        <f t="shared" ca="1" si="106"/>
        <v>1.11.1.0.7.</v>
      </c>
      <c r="L332" s="356" t="s">
        <v>230</v>
      </c>
      <c r="M332" s="356" t="s">
        <v>497</v>
      </c>
      <c r="N332" s="360" t="s">
        <v>861</v>
      </c>
      <c r="O332" s="362" t="s">
        <v>945</v>
      </c>
      <c r="P332" s="363">
        <v>495</v>
      </c>
      <c r="Q332" s="195"/>
      <c r="R332" s="198" t="s">
        <v>7</v>
      </c>
      <c r="S332" s="103">
        <f t="shared" si="96"/>
        <v>0</v>
      </c>
      <c r="T332" s="83">
        <f t="shared" si="97"/>
        <v>0</v>
      </c>
      <c r="U332" s="9" t="str">
        <f t="shared" si="107"/>
        <v>SEM VALOR</v>
      </c>
      <c r="V332" s="1" t="str">
        <f ca="1">IF(OR($A332=0,$A332="S",$A332&gt;CFF!$A$9),"",MAX(V$12:OFFSET(V332,-1,0))+1)</f>
        <v/>
      </c>
      <c r="W332" s="4" t="str">
        <f t="shared" si="108"/>
        <v>SINAPI-91845</v>
      </c>
      <c r="X332" s="1">
        <f t="shared" ca="1" si="98"/>
        <v>9621</v>
      </c>
      <c r="Y332" s="103">
        <v>12.81</v>
      </c>
      <c r="Z332" s="113">
        <f ca="1">ROUND(IF(ISNUMBER(R332),R332,IF(LEFT(R332,3)="BDI",HLOOKUP(R332,DADOS!$T$37:$X$38,2,FALSE),0)),15-11*$X$5)</f>
        <v>0.23130000000000001</v>
      </c>
      <c r="AA332" s="1"/>
    </row>
    <row r="333" spans="1:27" ht="25.5" x14ac:dyDescent="0.2">
      <c r="A333" t="str">
        <f t="shared" si="99"/>
        <v>S</v>
      </c>
      <c r="B333">
        <f t="shared" si="100"/>
        <v>0</v>
      </c>
      <c r="C333">
        <f t="shared" ca="1" si="101"/>
        <v>1</v>
      </c>
      <c r="D333">
        <f t="shared" ca="1" si="102"/>
        <v>11</v>
      </c>
      <c r="E333">
        <f t="shared" ca="1" si="103"/>
        <v>1</v>
      </c>
      <c r="F333">
        <f t="shared" ca="1" si="104"/>
        <v>0</v>
      </c>
      <c r="G333">
        <f t="shared" ca="1" si="105"/>
        <v>8</v>
      </c>
      <c r="H333">
        <f t="shared" ref="H333:H396" ca="1" si="109">IF(OR($A333="S",$A333=0),0,MATCH(0,OFFSET($B333,1,$A333,ROW($A$422)-ROW($A333)),0))</f>
        <v>0</v>
      </c>
      <c r="I333">
        <f t="shared" ref="I333:I396" ca="1" si="110">IF(OR($A333="S",$A333=0),0,MATCH(OFFSET($B333,0,$A333)+1,OFFSET($B333,1,$A333,ROW($A$422)-ROW($A333)),0))</f>
        <v>0</v>
      </c>
      <c r="J333" s="355" t="s">
        <v>103</v>
      </c>
      <c r="K333" s="138" t="str">
        <f t="shared" ca="1" si="106"/>
        <v>1.11.1.0.8.</v>
      </c>
      <c r="L333" s="356" t="s">
        <v>230</v>
      </c>
      <c r="M333" s="356" t="s">
        <v>498</v>
      </c>
      <c r="N333" s="360" t="s">
        <v>862</v>
      </c>
      <c r="O333" s="362" t="s">
        <v>945</v>
      </c>
      <c r="P333" s="363">
        <v>104.5</v>
      </c>
      <c r="Q333" s="195"/>
      <c r="R333" s="198" t="s">
        <v>7</v>
      </c>
      <c r="S333" s="103">
        <f t="shared" si="96"/>
        <v>0</v>
      </c>
      <c r="T333" s="83">
        <f t="shared" si="97"/>
        <v>0</v>
      </c>
      <c r="U333" s="9" t="str">
        <f t="shared" si="107"/>
        <v>SEM VALOR</v>
      </c>
      <c r="V333" s="1" t="str">
        <f ca="1">IF(OR($A333=0,$A333="S",$A333&gt;CFF!$A$9),"",MAX(V$12:OFFSET(V333,-1,0))+1)</f>
        <v/>
      </c>
      <c r="W333" s="4" t="str">
        <f t="shared" si="108"/>
        <v>SINAPI-91857</v>
      </c>
      <c r="X333" s="1">
        <f t="shared" ca="1" si="98"/>
        <v>9625</v>
      </c>
      <c r="Y333" s="103">
        <v>24.36</v>
      </c>
      <c r="Z333" s="113">
        <f ca="1">ROUND(IF(ISNUMBER(R333),R333,IF(LEFT(R333,3)="BDI",HLOOKUP(R333,DADOS!$T$37:$X$38,2,FALSE),0)),15-11*$X$5)</f>
        <v>0.23130000000000001</v>
      </c>
      <c r="AA333" s="1"/>
    </row>
    <row r="334" spans="1:27" ht="25.5" x14ac:dyDescent="0.2">
      <c r="A334" t="str">
        <f t="shared" si="99"/>
        <v>S</v>
      </c>
      <c r="B334">
        <f t="shared" si="100"/>
        <v>0</v>
      </c>
      <c r="C334">
        <f t="shared" ca="1" si="101"/>
        <v>1</v>
      </c>
      <c r="D334">
        <f t="shared" ca="1" si="102"/>
        <v>11</v>
      </c>
      <c r="E334">
        <f t="shared" ca="1" si="103"/>
        <v>1</v>
      </c>
      <c r="F334">
        <f t="shared" ca="1" si="104"/>
        <v>0</v>
      </c>
      <c r="G334">
        <f t="shared" ca="1" si="105"/>
        <v>9</v>
      </c>
      <c r="H334">
        <f t="shared" ca="1" si="109"/>
        <v>0</v>
      </c>
      <c r="I334">
        <f t="shared" ca="1" si="110"/>
        <v>0</v>
      </c>
      <c r="J334" s="355" t="s">
        <v>103</v>
      </c>
      <c r="K334" s="138" t="str">
        <f t="shared" ca="1" si="106"/>
        <v>1.11.1.0.9.</v>
      </c>
      <c r="L334" s="356" t="s">
        <v>230</v>
      </c>
      <c r="M334" s="356" t="s">
        <v>259</v>
      </c>
      <c r="N334" s="360" t="s">
        <v>863</v>
      </c>
      <c r="O334" s="362" t="s">
        <v>945</v>
      </c>
      <c r="P334" s="363">
        <v>264</v>
      </c>
      <c r="Q334" s="195"/>
      <c r="R334" s="198" t="s">
        <v>7</v>
      </c>
      <c r="S334" s="103">
        <f t="shared" si="96"/>
        <v>0</v>
      </c>
      <c r="T334" s="83">
        <f t="shared" si="97"/>
        <v>0</v>
      </c>
      <c r="U334" s="9" t="str">
        <f t="shared" si="107"/>
        <v>SEM VALOR</v>
      </c>
      <c r="V334" s="1" t="str">
        <f ca="1">IF(OR($A334=0,$A334="S",$A334&gt;CFF!$A$9),"",MAX(V$12:OFFSET(V334,-1,0))+1)</f>
        <v/>
      </c>
      <c r="W334" s="4" t="str">
        <f t="shared" si="108"/>
        <v>SINAPI-97668</v>
      </c>
      <c r="X334" s="1">
        <f t="shared" ca="1" si="98"/>
        <v>13962</v>
      </c>
      <c r="Y334" s="103">
        <v>20.29</v>
      </c>
      <c r="Z334" s="113">
        <f ca="1">ROUND(IF(ISNUMBER(R334),R334,IF(LEFT(R334,3)="BDI",HLOOKUP(R334,DADOS!$T$37:$X$38,2,FALSE),0)),15-11*$X$5)</f>
        <v>0.23130000000000001</v>
      </c>
      <c r="AA334" s="1"/>
    </row>
    <row r="335" spans="1:27" x14ac:dyDescent="0.2">
      <c r="A335" t="str">
        <f t="shared" si="99"/>
        <v>S</v>
      </c>
      <c r="B335">
        <f t="shared" si="100"/>
        <v>0</v>
      </c>
      <c r="C335">
        <f t="shared" ca="1" si="101"/>
        <v>1</v>
      </c>
      <c r="D335">
        <f t="shared" ca="1" si="102"/>
        <v>11</v>
      </c>
      <c r="E335">
        <f t="shared" ca="1" si="103"/>
        <v>1</v>
      </c>
      <c r="F335">
        <f t="shared" ca="1" si="104"/>
        <v>0</v>
      </c>
      <c r="G335">
        <f t="shared" ca="1" si="105"/>
        <v>10</v>
      </c>
      <c r="H335">
        <f t="shared" ca="1" si="109"/>
        <v>0</v>
      </c>
      <c r="I335">
        <f t="shared" ca="1" si="110"/>
        <v>0</v>
      </c>
      <c r="J335" s="355" t="s">
        <v>103</v>
      </c>
      <c r="K335" s="138" t="str">
        <f t="shared" ca="1" si="106"/>
        <v>1.11.1.0.10.</v>
      </c>
      <c r="L335" s="356" t="s">
        <v>230</v>
      </c>
      <c r="M335" s="356" t="s">
        <v>245</v>
      </c>
      <c r="N335" s="360" t="s">
        <v>630</v>
      </c>
      <c r="O335" s="362" t="s">
        <v>947</v>
      </c>
      <c r="P335" s="363">
        <v>12.8</v>
      </c>
      <c r="Q335" s="195"/>
      <c r="R335" s="198" t="s">
        <v>7</v>
      </c>
      <c r="S335" s="103">
        <f t="shared" si="96"/>
        <v>0</v>
      </c>
      <c r="T335" s="83">
        <f t="shared" si="97"/>
        <v>0</v>
      </c>
      <c r="U335" s="9" t="str">
        <f t="shared" si="107"/>
        <v>SEM VALOR</v>
      </c>
      <c r="V335" s="1" t="str">
        <f ca="1">IF(OR($A335=0,$A335="S",$A335&gt;CFF!$A$9),"",MAX(V$12:OFFSET(V335,-1,0))+1)</f>
        <v/>
      </c>
      <c r="W335" s="4" t="str">
        <f t="shared" si="108"/>
        <v>SINAPI-93358</v>
      </c>
      <c r="X335" s="1">
        <f t="shared" ca="1" si="98"/>
        <v>8440</v>
      </c>
      <c r="Y335" s="103">
        <v>120.94</v>
      </c>
      <c r="Z335" s="113">
        <f ca="1">ROUND(IF(ISNUMBER(R335),R335,IF(LEFT(R335,3)="BDI",HLOOKUP(R335,DADOS!$T$37:$X$38,2,FALSE),0)),15-11*$X$5)</f>
        <v>0.23130000000000001</v>
      </c>
      <c r="AA335" s="1"/>
    </row>
    <row r="336" spans="1:27" ht="25.5" x14ac:dyDescent="0.2">
      <c r="A336" t="str">
        <f t="shared" si="99"/>
        <v>S</v>
      </c>
      <c r="B336">
        <f t="shared" si="100"/>
        <v>0</v>
      </c>
      <c r="C336">
        <f t="shared" ca="1" si="101"/>
        <v>1</v>
      </c>
      <c r="D336">
        <f t="shared" ca="1" si="102"/>
        <v>11</v>
      </c>
      <c r="E336">
        <f t="shared" ca="1" si="103"/>
        <v>1</v>
      </c>
      <c r="F336">
        <f t="shared" ca="1" si="104"/>
        <v>0</v>
      </c>
      <c r="G336">
        <f t="shared" ca="1" si="105"/>
        <v>11</v>
      </c>
      <c r="H336">
        <f t="shared" ca="1" si="109"/>
        <v>0</v>
      </c>
      <c r="I336">
        <f t="shared" ca="1" si="110"/>
        <v>0</v>
      </c>
      <c r="J336" s="355" t="s">
        <v>103</v>
      </c>
      <c r="K336" s="138" t="str">
        <f t="shared" ca="1" si="106"/>
        <v>1.11.1.0.11.</v>
      </c>
      <c r="L336" s="356" t="s">
        <v>230</v>
      </c>
      <c r="M336" s="356" t="s">
        <v>499</v>
      </c>
      <c r="N336" s="360" t="s">
        <v>864</v>
      </c>
      <c r="O336" s="362" t="s">
        <v>944</v>
      </c>
      <c r="P336" s="363">
        <v>4</v>
      </c>
      <c r="Q336" s="195"/>
      <c r="R336" s="198" t="s">
        <v>7</v>
      </c>
      <c r="S336" s="103">
        <f t="shared" si="96"/>
        <v>0</v>
      </c>
      <c r="T336" s="83">
        <f t="shared" si="97"/>
        <v>0</v>
      </c>
      <c r="U336" s="9" t="str">
        <f t="shared" si="107"/>
        <v>SEM VALOR</v>
      </c>
      <c r="V336" s="1" t="str">
        <f ca="1">IF(OR($A336=0,$A336="S",$A336&gt;CFF!$A$9),"",MAX(V$12:OFFSET(V336,-1,0))+1)</f>
        <v/>
      </c>
      <c r="W336" s="4" t="str">
        <f t="shared" si="108"/>
        <v>SINAPI-97892</v>
      </c>
      <c r="X336" s="1">
        <f t="shared" ca="1" si="98"/>
        <v>6100</v>
      </c>
      <c r="Y336" s="103">
        <v>524.71</v>
      </c>
      <c r="Z336" s="113">
        <f ca="1">ROUND(IF(ISNUMBER(R336),R336,IF(LEFT(R336,3)="BDI",HLOOKUP(R336,DADOS!$T$37:$X$38,2,FALSE),0)),15-11*$X$5)</f>
        <v>0.23130000000000001</v>
      </c>
      <c r="AA336" s="1"/>
    </row>
    <row r="337" spans="1:27" ht="25.5" x14ac:dyDescent="0.2">
      <c r="A337" t="str">
        <f t="shared" si="99"/>
        <v>S</v>
      </c>
      <c r="B337">
        <f t="shared" si="100"/>
        <v>0</v>
      </c>
      <c r="C337">
        <f t="shared" ca="1" si="101"/>
        <v>1</v>
      </c>
      <c r="D337">
        <f t="shared" ca="1" si="102"/>
        <v>11</v>
      </c>
      <c r="E337">
        <f t="shared" ca="1" si="103"/>
        <v>1</v>
      </c>
      <c r="F337">
        <f t="shared" ca="1" si="104"/>
        <v>0</v>
      </c>
      <c r="G337">
        <f t="shared" ca="1" si="105"/>
        <v>12</v>
      </c>
      <c r="H337">
        <f t="shared" ca="1" si="109"/>
        <v>0</v>
      </c>
      <c r="I337">
        <f t="shared" ca="1" si="110"/>
        <v>0</v>
      </c>
      <c r="J337" s="355" t="s">
        <v>103</v>
      </c>
      <c r="K337" s="138" t="str">
        <f t="shared" ca="1" si="106"/>
        <v>1.11.1.0.12.</v>
      </c>
      <c r="L337" s="356" t="s">
        <v>230</v>
      </c>
      <c r="M337" s="356" t="s">
        <v>500</v>
      </c>
      <c r="N337" s="360" t="s">
        <v>865</v>
      </c>
      <c r="O337" s="362" t="s">
        <v>944</v>
      </c>
      <c r="P337" s="363">
        <v>153</v>
      </c>
      <c r="Q337" s="195"/>
      <c r="R337" s="198" t="s">
        <v>7</v>
      </c>
      <c r="S337" s="103">
        <f t="shared" si="96"/>
        <v>0</v>
      </c>
      <c r="T337" s="83">
        <f t="shared" si="97"/>
        <v>0</v>
      </c>
      <c r="U337" s="9" t="str">
        <f t="shared" si="107"/>
        <v>SEM VALOR</v>
      </c>
      <c r="V337" s="1" t="str">
        <f ca="1">IF(OR($A337=0,$A337="S",$A337&gt;CFF!$A$9),"",MAX(V$12:OFFSET(V337,-1,0))+1)</f>
        <v/>
      </c>
      <c r="W337" s="4" t="str">
        <f t="shared" si="108"/>
        <v>SINAPI-91941</v>
      </c>
      <c r="X337" s="1">
        <f t="shared" ca="1" si="98"/>
        <v>9576</v>
      </c>
      <c r="Y337" s="103">
        <v>16.170000000000002</v>
      </c>
      <c r="Z337" s="113">
        <f ca="1">ROUND(IF(ISNUMBER(R337),R337,IF(LEFT(R337,3)="BDI",HLOOKUP(R337,DADOS!$T$37:$X$38,2,FALSE),0)),15-11*$X$5)</f>
        <v>0.23130000000000001</v>
      </c>
      <c r="AA337" s="1"/>
    </row>
    <row r="338" spans="1:27" x14ac:dyDescent="0.2">
      <c r="A338" t="str">
        <f t="shared" si="99"/>
        <v>S</v>
      </c>
      <c r="B338">
        <f t="shared" si="100"/>
        <v>0</v>
      </c>
      <c r="C338">
        <f t="shared" ca="1" si="101"/>
        <v>1</v>
      </c>
      <c r="D338">
        <f t="shared" ca="1" si="102"/>
        <v>11</v>
      </c>
      <c r="E338">
        <f t="shared" ca="1" si="103"/>
        <v>1</v>
      </c>
      <c r="F338">
        <f t="shared" ca="1" si="104"/>
        <v>0</v>
      </c>
      <c r="G338">
        <f t="shared" ca="1" si="105"/>
        <v>13</v>
      </c>
      <c r="H338">
        <f t="shared" ca="1" si="109"/>
        <v>0</v>
      </c>
      <c r="I338">
        <f t="shared" ca="1" si="110"/>
        <v>0</v>
      </c>
      <c r="J338" s="355" t="s">
        <v>103</v>
      </c>
      <c r="K338" s="138" t="str">
        <f t="shared" ca="1" si="106"/>
        <v>1.11.1.0.13.</v>
      </c>
      <c r="L338" s="356" t="s">
        <v>230</v>
      </c>
      <c r="M338" s="356" t="s">
        <v>501</v>
      </c>
      <c r="N338" s="360" t="s">
        <v>866</v>
      </c>
      <c r="O338" s="362" t="s">
        <v>944</v>
      </c>
      <c r="P338" s="363">
        <v>71</v>
      </c>
      <c r="Q338" s="195"/>
      <c r="R338" s="198" t="s">
        <v>7</v>
      </c>
      <c r="S338" s="103">
        <f t="shared" si="96"/>
        <v>0</v>
      </c>
      <c r="T338" s="83">
        <f t="shared" si="97"/>
        <v>0</v>
      </c>
      <c r="U338" s="9" t="str">
        <f t="shared" si="107"/>
        <v>SEM VALOR</v>
      </c>
      <c r="V338" s="1" t="str">
        <f ca="1">IF(OR($A338=0,$A338="S",$A338&gt;CFF!$A$9),"",MAX(V$12:OFFSET(V338,-1,0))+1)</f>
        <v/>
      </c>
      <c r="W338" s="4" t="str">
        <f t="shared" si="108"/>
        <v>SINAPI-91936</v>
      </c>
      <c r="X338" s="1">
        <f t="shared" ca="1" si="98"/>
        <v>9572</v>
      </c>
      <c r="Y338" s="103">
        <v>25.13</v>
      </c>
      <c r="Z338" s="113">
        <f ca="1">ROUND(IF(ISNUMBER(R338),R338,IF(LEFT(R338,3)="BDI",HLOOKUP(R338,DADOS!$T$37:$X$38,2,FALSE),0)),15-11*$X$5)</f>
        <v>0.23130000000000001</v>
      </c>
      <c r="AA338" s="1"/>
    </row>
    <row r="339" spans="1:27" x14ac:dyDescent="0.2">
      <c r="A339" t="str">
        <f t="shared" si="99"/>
        <v>S</v>
      </c>
      <c r="B339">
        <f t="shared" si="100"/>
        <v>0</v>
      </c>
      <c r="C339">
        <f t="shared" ca="1" si="101"/>
        <v>1</v>
      </c>
      <c r="D339">
        <f t="shared" ca="1" si="102"/>
        <v>11</v>
      </c>
      <c r="E339">
        <f t="shared" ca="1" si="103"/>
        <v>1</v>
      </c>
      <c r="F339">
        <f t="shared" ca="1" si="104"/>
        <v>0</v>
      </c>
      <c r="G339">
        <f t="shared" ca="1" si="105"/>
        <v>14</v>
      </c>
      <c r="H339">
        <f t="shared" ca="1" si="109"/>
        <v>0</v>
      </c>
      <c r="I339">
        <f t="shared" ca="1" si="110"/>
        <v>0</v>
      </c>
      <c r="J339" s="355" t="s">
        <v>103</v>
      </c>
      <c r="K339" s="138" t="str">
        <f t="shared" ca="1" si="106"/>
        <v>1.11.1.0.14.</v>
      </c>
      <c r="L339" s="356" t="s">
        <v>230</v>
      </c>
      <c r="M339" s="356" t="s">
        <v>501</v>
      </c>
      <c r="N339" s="360" t="s">
        <v>866</v>
      </c>
      <c r="O339" s="362" t="s">
        <v>944</v>
      </c>
      <c r="P339" s="363">
        <v>10</v>
      </c>
      <c r="Q339" s="195"/>
      <c r="R339" s="198" t="s">
        <v>7</v>
      </c>
      <c r="S339" s="103">
        <f t="shared" si="96"/>
        <v>0</v>
      </c>
      <c r="T339" s="83">
        <f t="shared" si="97"/>
        <v>0</v>
      </c>
      <c r="U339" s="9" t="str">
        <f t="shared" si="107"/>
        <v>SEM VALOR</v>
      </c>
      <c r="V339" s="1" t="str">
        <f ca="1">IF(OR($A339=0,$A339="S",$A339&gt;CFF!$A$9),"",MAX(V$12:OFFSET(V339,-1,0))+1)</f>
        <v/>
      </c>
      <c r="W339" s="4" t="str">
        <f t="shared" si="108"/>
        <v>SINAPI-91936</v>
      </c>
      <c r="X339" s="1">
        <f t="shared" ca="1" si="98"/>
        <v>9572</v>
      </c>
      <c r="Y339" s="103">
        <v>25.13</v>
      </c>
      <c r="Z339" s="113">
        <f ca="1">ROUND(IF(ISNUMBER(R339),R339,IF(LEFT(R339,3)="BDI",HLOOKUP(R339,DADOS!$T$37:$X$38,2,FALSE),0)),15-11*$X$5)</f>
        <v>0.23130000000000001</v>
      </c>
      <c r="AA339" s="1"/>
    </row>
    <row r="340" spans="1:27" ht="25.5" x14ac:dyDescent="0.2">
      <c r="A340" t="str">
        <f t="shared" si="99"/>
        <v>S</v>
      </c>
      <c r="B340">
        <f t="shared" si="100"/>
        <v>0</v>
      </c>
      <c r="C340">
        <f t="shared" ca="1" si="101"/>
        <v>1</v>
      </c>
      <c r="D340">
        <f t="shared" ca="1" si="102"/>
        <v>11</v>
      </c>
      <c r="E340">
        <f t="shared" ca="1" si="103"/>
        <v>1</v>
      </c>
      <c r="F340">
        <f t="shared" ca="1" si="104"/>
        <v>0</v>
      </c>
      <c r="G340">
        <f t="shared" ca="1" si="105"/>
        <v>15</v>
      </c>
      <c r="H340">
        <f t="shared" ca="1" si="109"/>
        <v>0</v>
      </c>
      <c r="I340">
        <f t="shared" ca="1" si="110"/>
        <v>0</v>
      </c>
      <c r="J340" s="355" t="s">
        <v>103</v>
      </c>
      <c r="K340" s="138" t="str">
        <f t="shared" ca="1" si="106"/>
        <v>1.11.1.0.15.</v>
      </c>
      <c r="L340" s="356" t="s">
        <v>230</v>
      </c>
      <c r="M340" s="356" t="s">
        <v>502</v>
      </c>
      <c r="N340" s="360" t="s">
        <v>867</v>
      </c>
      <c r="O340" s="362" t="s">
        <v>944</v>
      </c>
      <c r="P340" s="363">
        <v>15</v>
      </c>
      <c r="Q340" s="195"/>
      <c r="R340" s="198" t="s">
        <v>7</v>
      </c>
      <c r="S340" s="103">
        <f t="shared" si="96"/>
        <v>0</v>
      </c>
      <c r="T340" s="83">
        <f t="shared" si="97"/>
        <v>0</v>
      </c>
      <c r="U340" s="9" t="str">
        <f t="shared" si="107"/>
        <v>SEM VALOR</v>
      </c>
      <c r="V340" s="1" t="str">
        <f ca="1">IF(OR($A340=0,$A340="S",$A340&gt;CFF!$A$9),"",MAX(V$12:OFFSET(V340,-1,0))+1)</f>
        <v/>
      </c>
      <c r="W340" s="4" t="str">
        <f t="shared" si="108"/>
        <v>SINAPI-91953</v>
      </c>
      <c r="X340" s="1">
        <f t="shared" ca="1" si="98"/>
        <v>9684</v>
      </c>
      <c r="Y340" s="103">
        <v>42.63</v>
      </c>
      <c r="Z340" s="113">
        <f ca="1">ROUND(IF(ISNUMBER(R340),R340,IF(LEFT(R340,3)="BDI",HLOOKUP(R340,DADOS!$T$37:$X$38,2,FALSE),0)),15-11*$X$5)</f>
        <v>0.23130000000000001</v>
      </c>
      <c r="AA340" s="1"/>
    </row>
    <row r="341" spans="1:27" ht="25.5" x14ac:dyDescent="0.2">
      <c r="A341" t="str">
        <f t="shared" si="99"/>
        <v>S</v>
      </c>
      <c r="B341">
        <f t="shared" si="100"/>
        <v>0</v>
      </c>
      <c r="C341">
        <f t="shared" ca="1" si="101"/>
        <v>1</v>
      </c>
      <c r="D341">
        <f t="shared" ca="1" si="102"/>
        <v>11</v>
      </c>
      <c r="E341">
        <f t="shared" ca="1" si="103"/>
        <v>1</v>
      </c>
      <c r="F341">
        <f t="shared" ca="1" si="104"/>
        <v>0</v>
      </c>
      <c r="G341">
        <f t="shared" ca="1" si="105"/>
        <v>16</v>
      </c>
      <c r="H341">
        <f t="shared" ca="1" si="109"/>
        <v>0</v>
      </c>
      <c r="I341">
        <f t="shared" ca="1" si="110"/>
        <v>0</v>
      </c>
      <c r="J341" s="355" t="s">
        <v>103</v>
      </c>
      <c r="K341" s="138" t="str">
        <f t="shared" ca="1" si="106"/>
        <v>1.11.1.0.16.</v>
      </c>
      <c r="L341" s="356" t="s">
        <v>230</v>
      </c>
      <c r="M341" s="356" t="s">
        <v>503</v>
      </c>
      <c r="N341" s="360" t="s">
        <v>868</v>
      </c>
      <c r="O341" s="362" t="s">
        <v>944</v>
      </c>
      <c r="P341" s="363">
        <v>9</v>
      </c>
      <c r="Q341" s="195"/>
      <c r="R341" s="198" t="s">
        <v>7</v>
      </c>
      <c r="S341" s="103">
        <f t="shared" si="96"/>
        <v>0</v>
      </c>
      <c r="T341" s="83">
        <f t="shared" si="97"/>
        <v>0</v>
      </c>
      <c r="U341" s="9" t="str">
        <f t="shared" si="107"/>
        <v>SEM VALOR</v>
      </c>
      <c r="V341" s="1" t="str">
        <f ca="1">IF(OR($A341=0,$A341="S",$A341&gt;CFF!$A$9),"",MAX(V$12:OFFSET(V341,-1,0))+1)</f>
        <v/>
      </c>
      <c r="W341" s="4" t="str">
        <f t="shared" si="108"/>
        <v>SINAPI-91955</v>
      </c>
      <c r="X341" s="1">
        <f t="shared" ca="1" si="98"/>
        <v>9664</v>
      </c>
      <c r="Y341" s="103">
        <v>51.84</v>
      </c>
      <c r="Z341" s="113">
        <f ca="1">ROUND(IF(ISNUMBER(R341),R341,IF(LEFT(R341,3)="BDI",HLOOKUP(R341,DADOS!$T$37:$X$38,2,FALSE),0)),15-11*$X$5)</f>
        <v>0.23130000000000001</v>
      </c>
      <c r="AA341" s="1"/>
    </row>
    <row r="342" spans="1:27" ht="25.5" x14ac:dyDescent="0.2">
      <c r="A342" t="str">
        <f t="shared" si="99"/>
        <v>S</v>
      </c>
      <c r="B342">
        <f t="shared" si="100"/>
        <v>0</v>
      </c>
      <c r="C342">
        <f t="shared" ca="1" si="101"/>
        <v>1</v>
      </c>
      <c r="D342">
        <f t="shared" ca="1" si="102"/>
        <v>11</v>
      </c>
      <c r="E342">
        <f t="shared" ca="1" si="103"/>
        <v>1</v>
      </c>
      <c r="F342">
        <f t="shared" ca="1" si="104"/>
        <v>0</v>
      </c>
      <c r="G342">
        <f t="shared" ca="1" si="105"/>
        <v>17</v>
      </c>
      <c r="H342">
        <f t="shared" ca="1" si="109"/>
        <v>0</v>
      </c>
      <c r="I342">
        <f t="shared" ca="1" si="110"/>
        <v>0</v>
      </c>
      <c r="J342" s="355" t="s">
        <v>103</v>
      </c>
      <c r="K342" s="138" t="str">
        <f t="shared" ca="1" si="106"/>
        <v>1.11.1.0.17.</v>
      </c>
      <c r="L342" s="356" t="s">
        <v>230</v>
      </c>
      <c r="M342" s="356" t="s">
        <v>504</v>
      </c>
      <c r="N342" s="360" t="s">
        <v>869</v>
      </c>
      <c r="O342" s="362" t="s">
        <v>944</v>
      </c>
      <c r="P342" s="363">
        <v>13</v>
      </c>
      <c r="Q342" s="195"/>
      <c r="R342" s="198" t="s">
        <v>7</v>
      </c>
      <c r="S342" s="103">
        <f t="shared" si="96"/>
        <v>0</v>
      </c>
      <c r="T342" s="83">
        <f t="shared" si="97"/>
        <v>0</v>
      </c>
      <c r="U342" s="9" t="str">
        <f t="shared" si="107"/>
        <v>SEM VALOR</v>
      </c>
      <c r="V342" s="1" t="str">
        <f ca="1">IF(OR($A342=0,$A342="S",$A342&gt;CFF!$A$9),"",MAX(V$12:OFFSET(V342,-1,0))+1)</f>
        <v/>
      </c>
      <c r="W342" s="4" t="str">
        <f t="shared" si="108"/>
        <v>SINAPI-92023</v>
      </c>
      <c r="X342" s="1">
        <f t="shared" ca="1" si="98"/>
        <v>9676</v>
      </c>
      <c r="Y342" s="103">
        <v>72.5</v>
      </c>
      <c r="Z342" s="113">
        <f ca="1">ROUND(IF(ISNUMBER(R342),R342,IF(LEFT(R342,3)="BDI",HLOOKUP(R342,DADOS!$T$37:$X$38,2,FALSE),0)),15-11*$X$5)</f>
        <v>0.23130000000000001</v>
      </c>
      <c r="AA342" s="1"/>
    </row>
    <row r="343" spans="1:27" ht="25.5" x14ac:dyDescent="0.2">
      <c r="A343" t="str">
        <f t="shared" si="99"/>
        <v>S</v>
      </c>
      <c r="B343">
        <f t="shared" si="100"/>
        <v>0</v>
      </c>
      <c r="C343">
        <f t="shared" ca="1" si="101"/>
        <v>1</v>
      </c>
      <c r="D343">
        <f t="shared" ca="1" si="102"/>
        <v>11</v>
      </c>
      <c r="E343">
        <f t="shared" ca="1" si="103"/>
        <v>1</v>
      </c>
      <c r="F343">
        <f t="shared" ca="1" si="104"/>
        <v>0</v>
      </c>
      <c r="G343">
        <f t="shared" ca="1" si="105"/>
        <v>18</v>
      </c>
      <c r="H343">
        <f t="shared" ca="1" si="109"/>
        <v>0</v>
      </c>
      <c r="I343">
        <f t="shared" ca="1" si="110"/>
        <v>0</v>
      </c>
      <c r="J343" s="355" t="s">
        <v>103</v>
      </c>
      <c r="K343" s="138" t="str">
        <f t="shared" ca="1" si="106"/>
        <v>1.11.1.0.18.</v>
      </c>
      <c r="L343" s="356" t="s">
        <v>230</v>
      </c>
      <c r="M343" s="356" t="s">
        <v>505</v>
      </c>
      <c r="N343" s="360" t="s">
        <v>870</v>
      </c>
      <c r="O343" s="362" t="s">
        <v>944</v>
      </c>
      <c r="P343" s="363">
        <v>2</v>
      </c>
      <c r="Q343" s="195"/>
      <c r="R343" s="198" t="s">
        <v>7</v>
      </c>
      <c r="S343" s="103">
        <f t="shared" si="96"/>
        <v>0</v>
      </c>
      <c r="T343" s="83">
        <f t="shared" si="97"/>
        <v>0</v>
      </c>
      <c r="U343" s="9" t="str">
        <f t="shared" si="107"/>
        <v>SEM VALOR</v>
      </c>
      <c r="V343" s="1" t="str">
        <f ca="1">IF(OR($A343=0,$A343="S",$A343&gt;CFF!$A$9),"",MAX(V$12:OFFSET(V343,-1,0))+1)</f>
        <v/>
      </c>
      <c r="W343" s="4" t="str">
        <f t="shared" si="108"/>
        <v>SINAPI-91959</v>
      </c>
      <c r="X343" s="1">
        <f t="shared" ca="1" si="98"/>
        <v>9694</v>
      </c>
      <c r="Y343" s="103">
        <v>65.010000000000005</v>
      </c>
      <c r="Z343" s="113">
        <f ca="1">ROUND(IF(ISNUMBER(R343),R343,IF(LEFT(R343,3)="BDI",HLOOKUP(R343,DADOS!$T$37:$X$38,2,FALSE),0)),15-11*$X$5)</f>
        <v>0.23130000000000001</v>
      </c>
      <c r="AA343" s="1"/>
    </row>
    <row r="344" spans="1:27" ht="25.5" x14ac:dyDescent="0.2">
      <c r="A344" t="str">
        <f t="shared" si="99"/>
        <v>S</v>
      </c>
      <c r="B344">
        <f t="shared" si="100"/>
        <v>0</v>
      </c>
      <c r="C344">
        <f t="shared" ca="1" si="101"/>
        <v>1</v>
      </c>
      <c r="D344">
        <f t="shared" ca="1" si="102"/>
        <v>11</v>
      </c>
      <c r="E344">
        <f t="shared" ca="1" si="103"/>
        <v>1</v>
      </c>
      <c r="F344">
        <f t="shared" ca="1" si="104"/>
        <v>0</v>
      </c>
      <c r="G344">
        <f t="shared" ca="1" si="105"/>
        <v>19</v>
      </c>
      <c r="H344">
        <f t="shared" ca="1" si="109"/>
        <v>0</v>
      </c>
      <c r="I344">
        <f t="shared" ca="1" si="110"/>
        <v>0</v>
      </c>
      <c r="J344" s="355" t="s">
        <v>103</v>
      </c>
      <c r="K344" s="138" t="str">
        <f t="shared" ca="1" si="106"/>
        <v>1.11.1.0.19.</v>
      </c>
      <c r="L344" s="356" t="s">
        <v>230</v>
      </c>
      <c r="M344" s="356" t="s">
        <v>506</v>
      </c>
      <c r="N344" s="360" t="s">
        <v>871</v>
      </c>
      <c r="O344" s="362" t="s">
        <v>944</v>
      </c>
      <c r="P344" s="363">
        <v>95</v>
      </c>
      <c r="Q344" s="195"/>
      <c r="R344" s="198" t="s">
        <v>7</v>
      </c>
      <c r="S344" s="103">
        <f t="shared" si="96"/>
        <v>0</v>
      </c>
      <c r="T344" s="83">
        <f t="shared" si="97"/>
        <v>0</v>
      </c>
      <c r="U344" s="9" t="str">
        <f t="shared" si="107"/>
        <v>SEM VALOR</v>
      </c>
      <c r="V344" s="1" t="str">
        <f ca="1">IF(OR($A344=0,$A344="S",$A344&gt;CFF!$A$9),"",MAX(V$12:OFFSET(V344,-1,0))+1)</f>
        <v/>
      </c>
      <c r="W344" s="4" t="str">
        <f t="shared" si="108"/>
        <v>SINAPI-91993</v>
      </c>
      <c r="X344" s="1">
        <f t="shared" ca="1" si="98"/>
        <v>9724</v>
      </c>
      <c r="Y344" s="103">
        <v>67.39</v>
      </c>
      <c r="Z344" s="113">
        <f ca="1">ROUND(IF(ISNUMBER(R344),R344,IF(LEFT(R344,3)="BDI",HLOOKUP(R344,DADOS!$T$37:$X$38,2,FALSE),0)),15-11*$X$5)</f>
        <v>0.23130000000000001</v>
      </c>
      <c r="AA344" s="1"/>
    </row>
    <row r="345" spans="1:27" x14ac:dyDescent="0.2">
      <c r="A345" t="str">
        <f t="shared" si="99"/>
        <v>S</v>
      </c>
      <c r="B345">
        <f t="shared" si="100"/>
        <v>0</v>
      </c>
      <c r="C345">
        <f t="shared" ca="1" si="101"/>
        <v>1</v>
      </c>
      <c r="D345">
        <f t="shared" ca="1" si="102"/>
        <v>11</v>
      </c>
      <c r="E345">
        <f t="shared" ca="1" si="103"/>
        <v>1</v>
      </c>
      <c r="F345">
        <f t="shared" ca="1" si="104"/>
        <v>0</v>
      </c>
      <c r="G345">
        <f t="shared" ca="1" si="105"/>
        <v>20</v>
      </c>
      <c r="H345">
        <f t="shared" ca="1" si="109"/>
        <v>0</v>
      </c>
      <c r="I345">
        <f t="shared" ca="1" si="110"/>
        <v>0</v>
      </c>
      <c r="J345" s="355" t="s">
        <v>103</v>
      </c>
      <c r="K345" s="138" t="str">
        <f t="shared" ca="1" si="106"/>
        <v>1.11.1.0.20.</v>
      </c>
      <c r="L345" s="356" t="s">
        <v>230</v>
      </c>
      <c r="M345" s="356" t="s">
        <v>507</v>
      </c>
      <c r="N345" s="360" t="s">
        <v>872</v>
      </c>
      <c r="O345" s="362" t="s">
        <v>944</v>
      </c>
      <c r="P345" s="363">
        <v>4</v>
      </c>
      <c r="Q345" s="195"/>
      <c r="R345" s="198" t="s">
        <v>7</v>
      </c>
      <c r="S345" s="103">
        <f t="shared" si="96"/>
        <v>0</v>
      </c>
      <c r="T345" s="83">
        <f t="shared" si="97"/>
        <v>0</v>
      </c>
      <c r="U345" s="9" t="str">
        <f t="shared" si="107"/>
        <v>SEM VALOR</v>
      </c>
      <c r="V345" s="1" t="str">
        <f ca="1">IF(OR($A345=0,$A345="S",$A345&gt;CFF!$A$9),"",MAX(V$12:OFFSET(V345,-1,0))+1)</f>
        <v/>
      </c>
      <c r="W345" s="4" t="str">
        <f t="shared" si="108"/>
        <v>SINAPI-93653</v>
      </c>
      <c r="X345" s="1">
        <f t="shared" ca="1" si="98"/>
        <v>9872</v>
      </c>
      <c r="Y345" s="103">
        <v>14.55</v>
      </c>
      <c r="Z345" s="113">
        <f ca="1">ROUND(IF(ISNUMBER(R345),R345,IF(LEFT(R345,3)="BDI",HLOOKUP(R345,DADOS!$T$37:$X$38,2,FALSE),0)),15-11*$X$5)</f>
        <v>0.23130000000000001</v>
      </c>
      <c r="AA345" s="1"/>
    </row>
    <row r="346" spans="1:27" x14ac:dyDescent="0.2">
      <c r="A346" t="str">
        <f t="shared" si="99"/>
        <v>S</v>
      </c>
      <c r="B346">
        <f t="shared" si="100"/>
        <v>0</v>
      </c>
      <c r="C346">
        <f t="shared" ca="1" si="101"/>
        <v>1</v>
      </c>
      <c r="D346">
        <f t="shared" ca="1" si="102"/>
        <v>11</v>
      </c>
      <c r="E346">
        <f t="shared" ca="1" si="103"/>
        <v>1</v>
      </c>
      <c r="F346">
        <f t="shared" ca="1" si="104"/>
        <v>0</v>
      </c>
      <c r="G346">
        <f t="shared" ca="1" si="105"/>
        <v>21</v>
      </c>
      <c r="H346">
        <f t="shared" ca="1" si="109"/>
        <v>0</v>
      </c>
      <c r="I346">
        <f t="shared" ca="1" si="110"/>
        <v>0</v>
      </c>
      <c r="J346" s="355" t="s">
        <v>103</v>
      </c>
      <c r="K346" s="138" t="str">
        <f t="shared" ca="1" si="106"/>
        <v>1.11.1.0.21.</v>
      </c>
      <c r="L346" s="356" t="s">
        <v>230</v>
      </c>
      <c r="M346" s="356" t="s">
        <v>508</v>
      </c>
      <c r="N346" s="360" t="s">
        <v>873</v>
      </c>
      <c r="O346" s="362" t="s">
        <v>944</v>
      </c>
      <c r="P346" s="363">
        <v>2</v>
      </c>
      <c r="Q346" s="195"/>
      <c r="R346" s="198" t="s">
        <v>7</v>
      </c>
      <c r="S346" s="103">
        <f t="shared" si="96"/>
        <v>0</v>
      </c>
      <c r="T346" s="83">
        <f t="shared" si="97"/>
        <v>0</v>
      </c>
      <c r="U346" s="9" t="str">
        <f t="shared" si="107"/>
        <v>SEM VALOR</v>
      </c>
      <c r="V346" s="1" t="str">
        <f ca="1">IF(OR($A346=0,$A346="S",$A346&gt;CFF!$A$9),"",MAX(V$12:OFFSET(V346,-1,0))+1)</f>
        <v/>
      </c>
      <c r="W346" s="4" t="str">
        <f t="shared" si="108"/>
        <v>SINAPI-93654</v>
      </c>
      <c r="X346" s="1">
        <f t="shared" ca="1" si="98"/>
        <v>9873</v>
      </c>
      <c r="Y346" s="103">
        <v>14.55</v>
      </c>
      <c r="Z346" s="113">
        <f ca="1">ROUND(IF(ISNUMBER(R346),R346,IF(LEFT(R346,3)="BDI",HLOOKUP(R346,DADOS!$T$37:$X$38,2,FALSE),0)),15-11*$X$5)</f>
        <v>0.23130000000000001</v>
      </c>
      <c r="AA346" s="1"/>
    </row>
    <row r="347" spans="1:27" x14ac:dyDescent="0.2">
      <c r="A347" t="str">
        <f t="shared" si="99"/>
        <v>S</v>
      </c>
      <c r="B347">
        <f t="shared" si="100"/>
        <v>0</v>
      </c>
      <c r="C347">
        <f t="shared" ca="1" si="101"/>
        <v>1</v>
      </c>
      <c r="D347">
        <f t="shared" ca="1" si="102"/>
        <v>11</v>
      </c>
      <c r="E347">
        <f t="shared" ca="1" si="103"/>
        <v>1</v>
      </c>
      <c r="F347">
        <f t="shared" ca="1" si="104"/>
        <v>0</v>
      </c>
      <c r="G347">
        <f t="shared" ca="1" si="105"/>
        <v>22</v>
      </c>
      <c r="H347">
        <f t="shared" ca="1" si="109"/>
        <v>0</v>
      </c>
      <c r="I347">
        <f t="shared" ca="1" si="110"/>
        <v>0</v>
      </c>
      <c r="J347" s="355" t="s">
        <v>103</v>
      </c>
      <c r="K347" s="138" t="str">
        <f t="shared" ca="1" si="106"/>
        <v>1.11.1.0.22.</v>
      </c>
      <c r="L347" s="356" t="s">
        <v>230</v>
      </c>
      <c r="M347" s="356" t="s">
        <v>509</v>
      </c>
      <c r="N347" s="360" t="s">
        <v>874</v>
      </c>
      <c r="O347" s="362" t="s">
        <v>944</v>
      </c>
      <c r="P347" s="363">
        <v>1</v>
      </c>
      <c r="Q347" s="195"/>
      <c r="R347" s="198" t="s">
        <v>7</v>
      </c>
      <c r="S347" s="103">
        <f t="shared" si="96"/>
        <v>0</v>
      </c>
      <c r="T347" s="83">
        <f t="shared" si="97"/>
        <v>0</v>
      </c>
      <c r="U347" s="9" t="str">
        <f t="shared" si="107"/>
        <v>SEM VALOR</v>
      </c>
      <c r="V347" s="1" t="str">
        <f ca="1">IF(OR($A347=0,$A347="S",$A347&gt;CFF!$A$9),"",MAX(V$12:OFFSET(V347,-1,0))+1)</f>
        <v/>
      </c>
      <c r="W347" s="4" t="str">
        <f t="shared" si="108"/>
        <v>SINAPI-93656</v>
      </c>
      <c r="X347" s="1">
        <f t="shared" ca="1" si="98"/>
        <v>9875</v>
      </c>
      <c r="Y347" s="103">
        <v>17.05</v>
      </c>
      <c r="Z347" s="113">
        <f ca="1">ROUND(IF(ISNUMBER(R347),R347,IF(LEFT(R347,3)="BDI",HLOOKUP(R347,DADOS!$T$37:$X$38,2,FALSE),0)),15-11*$X$5)</f>
        <v>0.23130000000000001</v>
      </c>
      <c r="AA347" s="1"/>
    </row>
    <row r="348" spans="1:27" x14ac:dyDescent="0.2">
      <c r="A348" t="str">
        <f t="shared" si="99"/>
        <v>S</v>
      </c>
      <c r="B348">
        <f t="shared" si="100"/>
        <v>0</v>
      </c>
      <c r="C348">
        <f t="shared" ca="1" si="101"/>
        <v>1</v>
      </c>
      <c r="D348">
        <f t="shared" ca="1" si="102"/>
        <v>11</v>
      </c>
      <c r="E348">
        <f t="shared" ca="1" si="103"/>
        <v>1</v>
      </c>
      <c r="F348">
        <f t="shared" ca="1" si="104"/>
        <v>0</v>
      </c>
      <c r="G348">
        <f t="shared" ca="1" si="105"/>
        <v>23</v>
      </c>
      <c r="H348">
        <f t="shared" ca="1" si="109"/>
        <v>0</v>
      </c>
      <c r="I348">
        <f t="shared" ca="1" si="110"/>
        <v>0</v>
      </c>
      <c r="J348" s="355" t="s">
        <v>103</v>
      </c>
      <c r="K348" s="138" t="str">
        <f t="shared" ca="1" si="106"/>
        <v>1.11.1.0.23.</v>
      </c>
      <c r="L348" s="356" t="s">
        <v>230</v>
      </c>
      <c r="M348" s="356" t="s">
        <v>510</v>
      </c>
      <c r="N348" s="360" t="s">
        <v>875</v>
      </c>
      <c r="O348" s="362" t="s">
        <v>944</v>
      </c>
      <c r="P348" s="363">
        <v>16</v>
      </c>
      <c r="Q348" s="195"/>
      <c r="R348" s="198" t="s">
        <v>7</v>
      </c>
      <c r="S348" s="103">
        <f t="shared" si="96"/>
        <v>0</v>
      </c>
      <c r="T348" s="83">
        <f t="shared" si="97"/>
        <v>0</v>
      </c>
      <c r="U348" s="9" t="str">
        <f t="shared" si="107"/>
        <v>SEM VALOR</v>
      </c>
      <c r="V348" s="1" t="str">
        <f ca="1">IF(OR($A348=0,$A348="S",$A348&gt;CFF!$A$9),"",MAX(V$12:OFFSET(V348,-1,0))+1)</f>
        <v/>
      </c>
      <c r="W348" s="4" t="str">
        <f t="shared" si="108"/>
        <v>SINAPI-93657</v>
      </c>
      <c r="X348" s="1">
        <f t="shared" ca="1" si="98"/>
        <v>9876</v>
      </c>
      <c r="Y348" s="103">
        <v>19.13</v>
      </c>
      <c r="Z348" s="113">
        <f ca="1">ROUND(IF(ISNUMBER(R348),R348,IF(LEFT(R348,3)="BDI",HLOOKUP(R348,DADOS!$T$37:$X$38,2,FALSE),0)),15-11*$X$5)</f>
        <v>0.23130000000000001</v>
      </c>
      <c r="AA348" s="1"/>
    </row>
    <row r="349" spans="1:27" x14ac:dyDescent="0.2">
      <c r="A349" t="str">
        <f t="shared" si="99"/>
        <v>S</v>
      </c>
      <c r="B349">
        <f t="shared" si="100"/>
        <v>0</v>
      </c>
      <c r="C349">
        <f t="shared" ca="1" si="101"/>
        <v>1</v>
      </c>
      <c r="D349">
        <f t="shared" ca="1" si="102"/>
        <v>11</v>
      </c>
      <c r="E349">
        <f t="shared" ca="1" si="103"/>
        <v>1</v>
      </c>
      <c r="F349">
        <f t="shared" ca="1" si="104"/>
        <v>0</v>
      </c>
      <c r="G349">
        <f t="shared" ca="1" si="105"/>
        <v>24</v>
      </c>
      <c r="H349">
        <f t="shared" ca="1" si="109"/>
        <v>0</v>
      </c>
      <c r="I349">
        <f t="shared" ca="1" si="110"/>
        <v>0</v>
      </c>
      <c r="J349" s="355" t="s">
        <v>103</v>
      </c>
      <c r="K349" s="138" t="str">
        <f t="shared" ca="1" si="106"/>
        <v>1.11.1.0.24.</v>
      </c>
      <c r="L349" s="356" t="s">
        <v>235</v>
      </c>
      <c r="M349" s="356" t="s">
        <v>511</v>
      </c>
      <c r="N349" s="360" t="s">
        <v>876</v>
      </c>
      <c r="O349" s="362" t="s">
        <v>955</v>
      </c>
      <c r="P349" s="363">
        <v>3</v>
      </c>
      <c r="Q349" s="195"/>
      <c r="R349" s="198" t="s">
        <v>7</v>
      </c>
      <c r="S349" s="103">
        <f t="shared" si="96"/>
        <v>0</v>
      </c>
      <c r="T349" s="83">
        <f t="shared" si="97"/>
        <v>0</v>
      </c>
      <c r="U349" s="9" t="str">
        <f t="shared" si="107"/>
        <v>SEM VALOR</v>
      </c>
      <c r="V349" s="1" t="str">
        <f ca="1">IF(OR($A349=0,$A349="S",$A349&gt;CFF!$A$9),"",MAX(V$12:OFFSET(V349,-1,0))+1)</f>
        <v/>
      </c>
      <c r="W349" s="4" t="str">
        <f t="shared" si="108"/>
        <v>PM BENTO-04</v>
      </c>
      <c r="X349" s="1">
        <f t="shared" ca="1" si="98"/>
        <v>10</v>
      </c>
      <c r="Y349" s="103">
        <v>202.14</v>
      </c>
      <c r="Z349" s="113">
        <f ca="1">ROUND(IF(ISNUMBER(R349),R349,IF(LEFT(R349,3)="BDI",HLOOKUP(R349,DADOS!$T$37:$X$38,2,FALSE),0)),15-11*$X$5)</f>
        <v>0.23130000000000001</v>
      </c>
      <c r="AA349" s="1"/>
    </row>
    <row r="350" spans="1:27" x14ac:dyDescent="0.2">
      <c r="A350" t="str">
        <f t="shared" si="99"/>
        <v>S</v>
      </c>
      <c r="B350">
        <f t="shared" si="100"/>
        <v>0</v>
      </c>
      <c r="C350">
        <f t="shared" ca="1" si="101"/>
        <v>1</v>
      </c>
      <c r="D350">
        <f t="shared" ca="1" si="102"/>
        <v>11</v>
      </c>
      <c r="E350">
        <f t="shared" ca="1" si="103"/>
        <v>1</v>
      </c>
      <c r="F350">
        <f t="shared" ca="1" si="104"/>
        <v>0</v>
      </c>
      <c r="G350">
        <f t="shared" ca="1" si="105"/>
        <v>25</v>
      </c>
      <c r="H350">
        <f t="shared" ca="1" si="109"/>
        <v>0</v>
      </c>
      <c r="I350">
        <f t="shared" ca="1" si="110"/>
        <v>0</v>
      </c>
      <c r="J350" s="355" t="s">
        <v>103</v>
      </c>
      <c r="K350" s="138" t="str">
        <f t="shared" ca="1" si="106"/>
        <v>1.11.1.0.25.</v>
      </c>
      <c r="L350" s="356" t="s">
        <v>235</v>
      </c>
      <c r="M350" s="356" t="s">
        <v>512</v>
      </c>
      <c r="N350" s="360" t="s">
        <v>877</v>
      </c>
      <c r="O350" s="362" t="s">
        <v>955</v>
      </c>
      <c r="P350" s="363">
        <v>1</v>
      </c>
      <c r="Q350" s="195"/>
      <c r="R350" s="198" t="s">
        <v>7</v>
      </c>
      <c r="S350" s="103">
        <f t="shared" si="96"/>
        <v>0</v>
      </c>
      <c r="T350" s="83">
        <f t="shared" si="97"/>
        <v>0</v>
      </c>
      <c r="U350" s="9" t="str">
        <f t="shared" si="107"/>
        <v>SEM VALOR</v>
      </c>
      <c r="V350" s="1" t="str">
        <f ca="1">IF(OR($A350=0,$A350="S",$A350&gt;CFF!$A$9),"",MAX(V$12:OFFSET(V350,-1,0))+1)</f>
        <v/>
      </c>
      <c r="W350" s="4" t="str">
        <f t="shared" si="108"/>
        <v>PM BENTO-05</v>
      </c>
      <c r="X350" s="1">
        <f t="shared" ca="1" si="98"/>
        <v>11</v>
      </c>
      <c r="Y350" s="103">
        <v>248.73</v>
      </c>
      <c r="Z350" s="113">
        <f ca="1">ROUND(IF(ISNUMBER(R350),R350,IF(LEFT(R350,3)="BDI",HLOOKUP(R350,DADOS!$T$37:$X$38,2,FALSE),0)),15-11*$X$5)</f>
        <v>0.23130000000000001</v>
      </c>
      <c r="AA350" s="1"/>
    </row>
    <row r="351" spans="1:27" ht="25.5" x14ac:dyDescent="0.2">
      <c r="A351" t="str">
        <f t="shared" si="99"/>
        <v>S</v>
      </c>
      <c r="B351">
        <f t="shared" si="100"/>
        <v>0</v>
      </c>
      <c r="C351">
        <f t="shared" ca="1" si="101"/>
        <v>1</v>
      </c>
      <c r="D351">
        <f t="shared" ca="1" si="102"/>
        <v>11</v>
      </c>
      <c r="E351">
        <f t="shared" ca="1" si="103"/>
        <v>1</v>
      </c>
      <c r="F351">
        <f t="shared" ca="1" si="104"/>
        <v>0</v>
      </c>
      <c r="G351">
        <f t="shared" ca="1" si="105"/>
        <v>26</v>
      </c>
      <c r="H351">
        <f t="shared" ca="1" si="109"/>
        <v>0</v>
      </c>
      <c r="I351">
        <f t="shared" ca="1" si="110"/>
        <v>0</v>
      </c>
      <c r="J351" s="355" t="s">
        <v>103</v>
      </c>
      <c r="K351" s="138" t="str">
        <f t="shared" ca="1" si="106"/>
        <v>1.11.1.0.26.</v>
      </c>
      <c r="L351" s="356" t="s">
        <v>235</v>
      </c>
      <c r="M351" s="356" t="s">
        <v>513</v>
      </c>
      <c r="N351" s="360" t="s">
        <v>878</v>
      </c>
      <c r="O351" s="362" t="s">
        <v>944</v>
      </c>
      <c r="P351" s="363">
        <v>42</v>
      </c>
      <c r="Q351" s="195"/>
      <c r="R351" s="198" t="s">
        <v>7</v>
      </c>
      <c r="S351" s="103">
        <f t="shared" si="96"/>
        <v>0</v>
      </c>
      <c r="T351" s="83">
        <f t="shared" si="97"/>
        <v>0</v>
      </c>
      <c r="U351" s="9" t="str">
        <f t="shared" si="107"/>
        <v>SEM VALOR</v>
      </c>
      <c r="V351" s="1" t="str">
        <f ca="1">IF(OR($A351=0,$A351="S",$A351&gt;CFF!$A$9),"",MAX(V$12:OFFSET(V351,-1,0))+1)</f>
        <v/>
      </c>
      <c r="W351" s="4" t="str">
        <f t="shared" si="108"/>
        <v>PM BENTO-42</v>
      </c>
      <c r="X351" s="1">
        <f t="shared" ca="1" si="98"/>
        <v>48</v>
      </c>
      <c r="Y351" s="103">
        <v>312.11</v>
      </c>
      <c r="Z351" s="113">
        <f ca="1">ROUND(IF(ISNUMBER(R351),R351,IF(LEFT(R351,3)="BDI",HLOOKUP(R351,DADOS!$T$37:$X$38,2,FALSE),0)),15-11*$X$5)</f>
        <v>0.23130000000000001</v>
      </c>
      <c r="AA351" s="1"/>
    </row>
    <row r="352" spans="1:27" ht="25.5" x14ac:dyDescent="0.2">
      <c r="A352" t="str">
        <f t="shared" si="99"/>
        <v>S</v>
      </c>
      <c r="B352">
        <f t="shared" si="100"/>
        <v>0</v>
      </c>
      <c r="C352">
        <f t="shared" ca="1" si="101"/>
        <v>1</v>
      </c>
      <c r="D352">
        <f t="shared" ca="1" si="102"/>
        <v>11</v>
      </c>
      <c r="E352">
        <f t="shared" ca="1" si="103"/>
        <v>1</v>
      </c>
      <c r="F352">
        <f t="shared" ca="1" si="104"/>
        <v>0</v>
      </c>
      <c r="G352">
        <f t="shared" ca="1" si="105"/>
        <v>27</v>
      </c>
      <c r="H352">
        <f t="shared" ca="1" si="109"/>
        <v>0</v>
      </c>
      <c r="I352">
        <f t="shared" ca="1" si="110"/>
        <v>0</v>
      </c>
      <c r="J352" s="355" t="s">
        <v>103</v>
      </c>
      <c r="K352" s="138" t="str">
        <f t="shared" ca="1" si="106"/>
        <v>1.11.1.0.27.</v>
      </c>
      <c r="L352" s="356" t="s">
        <v>230</v>
      </c>
      <c r="M352" s="356" t="s">
        <v>514</v>
      </c>
      <c r="N352" s="360" t="s">
        <v>879</v>
      </c>
      <c r="O352" s="362" t="s">
        <v>944</v>
      </c>
      <c r="P352" s="363">
        <v>10</v>
      </c>
      <c r="Q352" s="195"/>
      <c r="R352" s="198" t="s">
        <v>7</v>
      </c>
      <c r="S352" s="103">
        <f t="shared" ref="S352:S415" si="111">IF($A352="S",IF($Q$10="Preço Unitário (R$)",PO.CustoUnitario,ROUND(PO.CustoUnitario*(1+$Z352),15-13*$X$6)),0)</f>
        <v>0</v>
      </c>
      <c r="T352" s="83">
        <f t="shared" ref="T352:T415" si="112">IF($A352="S",VTOTAL1,IF($A352=0,0,ROUND(SomaAgrup,15-13*$X$7)))</f>
        <v>0</v>
      </c>
      <c r="U352" s="9" t="str">
        <f t="shared" si="107"/>
        <v>SEM VALOR</v>
      </c>
      <c r="V352" s="1" t="str">
        <f ca="1">IF(OR($A352=0,$A352="S",$A352&gt;CFF!$A$9),"",MAX(V$12:OFFSET(V352,-1,0))+1)</f>
        <v/>
      </c>
      <c r="W352" s="4" t="str">
        <f t="shared" si="108"/>
        <v>SINAPI-97605</v>
      </c>
      <c r="X352" s="1">
        <f t="shared" ref="X352:X415" ca="1" si="113">IF(AND(Fonte&lt;&gt;"",Código&lt;&gt;""),MATCH(Fonte&amp;" "&amp;IF(Fonte="sinapi",SUBSTITUTE(SUBSTITUTE(Código,"/00","/"),"/0","/"),Código),INDIRECT("'[Referência "&amp;_xlnm.Database&amp;".xls]Banco'!$a:$a"),0),"X")</f>
        <v>9487</v>
      </c>
      <c r="Y352" s="103">
        <v>96.58</v>
      </c>
      <c r="Z352" s="113">
        <f ca="1">ROUND(IF(ISNUMBER(R352),R352,IF(LEFT(R352,3)="BDI",HLOOKUP(R352,DADOS!$T$37:$X$38,2,FALSE),0)),15-11*$X$5)</f>
        <v>0.23130000000000001</v>
      </c>
      <c r="AA352" s="1"/>
    </row>
    <row r="353" spans="1:27" ht="25.5" x14ac:dyDescent="0.2">
      <c r="A353" t="str">
        <f t="shared" ref="A353:A416" si="114">CHOOSE(1+LOG(1+2*(J353="Meta")+4*(J353="Nível 2")+8*(J353="Nível 3")+16*(J353="Nível 4")+32*(J353="Serviço"),2),0,1,2,3,4,"S")</f>
        <v>S</v>
      </c>
      <c r="B353">
        <f t="shared" ref="B353:B416" si="115">IF(OR(A353="S",A353=0),0,IF(ISERROR(I353),H353,SMALL(H353:I353,1)))</f>
        <v>0</v>
      </c>
      <c r="C353">
        <f t="shared" ref="C353:C416" ca="1" si="116">IF($A353=1,OFFSET(C353,-1,0)+1,OFFSET(C353,-1,0))</f>
        <v>1</v>
      </c>
      <c r="D353">
        <f t="shared" ref="D353:D416" ca="1" si="117">IF($A353=1,0,IF($A353=2,OFFSET(D353,-1,0)+1,OFFSET(D353,-1,0)))</f>
        <v>11</v>
      </c>
      <c r="E353">
        <f t="shared" ref="E353:E416" ca="1" si="118">IF(AND($A353&lt;=2,$A353&lt;&gt;0),0,IF($A353=3,OFFSET(E353,-1,0)+1,OFFSET(E353,-1,0)))</f>
        <v>1</v>
      </c>
      <c r="F353">
        <f t="shared" ref="F353:F416" ca="1" si="119">IF(AND($A353&lt;=3,$A353&lt;&gt;0),0,IF($A353=4,OFFSET(F353,-1,0)+1,OFFSET(F353,-1,0)))</f>
        <v>0</v>
      </c>
      <c r="G353">
        <f t="shared" ref="G353:G416" ca="1" si="120">IF(AND($A353&lt;=4,$A353&lt;&gt;0),0,IF($A353="S",OFFSET(G353,-1,0)+1,OFFSET(G353,-1,0)))</f>
        <v>28</v>
      </c>
      <c r="H353">
        <f t="shared" ca="1" si="109"/>
        <v>0</v>
      </c>
      <c r="I353">
        <f t="shared" ca="1" si="110"/>
        <v>0</v>
      </c>
      <c r="J353" s="355" t="s">
        <v>103</v>
      </c>
      <c r="K353" s="138" t="str">
        <f t="shared" ref="K353:K416" ca="1" si="121">IF($A353=0,"-",CONCATENATE(C353&amp;".",IF(AND($A$5&gt;=2,$A353&gt;=2),D353&amp;".",""),IF(AND($A$5&gt;=3,$A353&gt;=3),E353&amp;".",""),IF(AND($A$5&gt;=4,$A353&gt;=4),F353&amp;".",""),IF($A353="S",G353&amp;".","")))</f>
        <v>1.11.1.0.28.</v>
      </c>
      <c r="L353" s="356" t="s">
        <v>235</v>
      </c>
      <c r="M353" s="356" t="s">
        <v>515</v>
      </c>
      <c r="N353" s="360" t="s">
        <v>880</v>
      </c>
      <c r="O353" s="362" t="s">
        <v>944</v>
      </c>
      <c r="P353" s="363">
        <v>12</v>
      </c>
      <c r="Q353" s="195"/>
      <c r="R353" s="198" t="s">
        <v>7</v>
      </c>
      <c r="S353" s="103">
        <f t="shared" si="111"/>
        <v>0</v>
      </c>
      <c r="T353" s="83">
        <f t="shared" si="112"/>
        <v>0</v>
      </c>
      <c r="U353" s="9" t="str">
        <f t="shared" ref="U353:U416" si="122">IF($J353="","",IF($N353="","DESCRIÇÃO",IF(AND($J353="Serviço",$O353=""),"UNIDADE",IF($T353&lt;=0,"SEM VALOR",IF(AND($Y353&lt;&gt;"",$Q353&gt;$Y353),"ACIMA REF.","")))))</f>
        <v>SEM VALOR</v>
      </c>
      <c r="V353" s="1" t="str">
        <f ca="1">IF(OR($A353=0,$A353="S",$A353&gt;CFF!$A$9),"",MAX(V$12:OFFSET(V353,-1,0))+1)</f>
        <v/>
      </c>
      <c r="W353" s="4" t="str">
        <f t="shared" ref="W353:W416" si="123">IF(AND($J353="Serviço",$M353&lt;&gt;""),IF($L353="",$M353,CONCATENATE($L353,"-",$M353)))</f>
        <v>PM BENTO-43</v>
      </c>
      <c r="X353" s="1">
        <f t="shared" ca="1" si="113"/>
        <v>49</v>
      </c>
      <c r="Y353" s="103">
        <v>73.83</v>
      </c>
      <c r="Z353" s="113">
        <f ca="1">ROUND(IF(ISNUMBER(R353),R353,IF(LEFT(R353,3)="BDI",HLOOKUP(R353,DADOS!$T$37:$X$38,2,FALSE),0)),15-11*$X$5)</f>
        <v>0.23130000000000001</v>
      </c>
      <c r="AA353" s="1"/>
    </row>
    <row r="354" spans="1:27" ht="25.5" x14ac:dyDescent="0.2">
      <c r="A354" t="str">
        <f t="shared" si="114"/>
        <v>S</v>
      </c>
      <c r="B354">
        <f t="shared" si="115"/>
        <v>0</v>
      </c>
      <c r="C354">
        <f t="shared" ca="1" si="116"/>
        <v>1</v>
      </c>
      <c r="D354">
        <f t="shared" ca="1" si="117"/>
        <v>11</v>
      </c>
      <c r="E354">
        <f t="shared" ca="1" si="118"/>
        <v>1</v>
      </c>
      <c r="F354">
        <f t="shared" ca="1" si="119"/>
        <v>0</v>
      </c>
      <c r="G354">
        <f t="shared" ca="1" si="120"/>
        <v>29</v>
      </c>
      <c r="H354">
        <f t="shared" ca="1" si="109"/>
        <v>0</v>
      </c>
      <c r="I354">
        <f t="shared" ca="1" si="110"/>
        <v>0</v>
      </c>
      <c r="J354" s="355" t="s">
        <v>103</v>
      </c>
      <c r="K354" s="138" t="str">
        <f t="shared" ca="1" si="121"/>
        <v>1.11.1.0.29.</v>
      </c>
      <c r="L354" s="356" t="s">
        <v>235</v>
      </c>
      <c r="M354" s="356" t="s">
        <v>516</v>
      </c>
      <c r="N354" s="360" t="s">
        <v>881</v>
      </c>
      <c r="O354" s="362" t="s">
        <v>944</v>
      </c>
      <c r="P354" s="363">
        <v>4</v>
      </c>
      <c r="Q354" s="195"/>
      <c r="R354" s="198" t="s">
        <v>7</v>
      </c>
      <c r="S354" s="103">
        <f t="shared" si="111"/>
        <v>0</v>
      </c>
      <c r="T354" s="83">
        <f t="shared" si="112"/>
        <v>0</v>
      </c>
      <c r="U354" s="9" t="str">
        <f t="shared" si="122"/>
        <v>SEM VALOR</v>
      </c>
      <c r="V354" s="1" t="str">
        <f ca="1">IF(OR($A354=0,$A354="S",$A354&gt;CFF!$A$9),"",MAX(V$12:OFFSET(V354,-1,0))+1)</f>
        <v/>
      </c>
      <c r="W354" s="4" t="str">
        <f t="shared" si="123"/>
        <v>PM BENTO-44</v>
      </c>
      <c r="X354" s="1">
        <f t="shared" ca="1" si="113"/>
        <v>50</v>
      </c>
      <c r="Y354" s="103">
        <v>181.78</v>
      </c>
      <c r="Z354" s="113">
        <f ca="1">ROUND(IF(ISNUMBER(R354),R354,IF(LEFT(R354,3)="BDI",HLOOKUP(R354,DADOS!$T$37:$X$38,2,FALSE),0)),15-11*$X$5)</f>
        <v>0.23130000000000001</v>
      </c>
      <c r="AA354" s="1"/>
    </row>
    <row r="355" spans="1:27" ht="25.5" x14ac:dyDescent="0.2">
      <c r="A355" t="str">
        <f t="shared" si="114"/>
        <v>S</v>
      </c>
      <c r="B355">
        <f t="shared" si="115"/>
        <v>0</v>
      </c>
      <c r="C355">
        <f t="shared" ca="1" si="116"/>
        <v>1</v>
      </c>
      <c r="D355">
        <f t="shared" ca="1" si="117"/>
        <v>11</v>
      </c>
      <c r="E355">
        <f t="shared" ca="1" si="118"/>
        <v>1</v>
      </c>
      <c r="F355">
        <f t="shared" ca="1" si="119"/>
        <v>0</v>
      </c>
      <c r="G355">
        <f t="shared" ca="1" si="120"/>
        <v>30</v>
      </c>
      <c r="H355">
        <f t="shared" ca="1" si="109"/>
        <v>0</v>
      </c>
      <c r="I355">
        <f t="shared" ca="1" si="110"/>
        <v>0</v>
      </c>
      <c r="J355" s="355" t="s">
        <v>103</v>
      </c>
      <c r="K355" s="138" t="str">
        <f t="shared" ca="1" si="121"/>
        <v>1.11.1.0.30.</v>
      </c>
      <c r="L355" s="356" t="s">
        <v>235</v>
      </c>
      <c r="M355" s="356" t="s">
        <v>517</v>
      </c>
      <c r="N355" s="360" t="s">
        <v>882</v>
      </c>
      <c r="O355" s="362" t="s">
        <v>944</v>
      </c>
      <c r="P355" s="363">
        <v>1</v>
      </c>
      <c r="Q355" s="195"/>
      <c r="R355" s="198" t="s">
        <v>7</v>
      </c>
      <c r="S355" s="103">
        <f t="shared" si="111"/>
        <v>0</v>
      </c>
      <c r="T355" s="83">
        <f t="shared" si="112"/>
        <v>0</v>
      </c>
      <c r="U355" s="9" t="str">
        <f t="shared" si="122"/>
        <v>SEM VALOR</v>
      </c>
      <c r="V355" s="1" t="str">
        <f ca="1">IF(OR($A355=0,$A355="S",$A355&gt;CFF!$A$9),"",MAX(V$12:OFFSET(V355,-1,0))+1)</f>
        <v/>
      </c>
      <c r="W355" s="4" t="str">
        <f t="shared" si="123"/>
        <v>PM BENTO-45</v>
      </c>
      <c r="X355" s="1">
        <f t="shared" ca="1" si="113"/>
        <v>51</v>
      </c>
      <c r="Y355" s="103">
        <v>676.91</v>
      </c>
      <c r="Z355" s="113">
        <f ca="1">ROUND(IF(ISNUMBER(R355),R355,IF(LEFT(R355,3)="BDI",HLOOKUP(R355,DADOS!$T$37:$X$38,2,FALSE),0)),15-11*$X$5)</f>
        <v>0.23130000000000001</v>
      </c>
      <c r="AA355" s="1"/>
    </row>
    <row r="356" spans="1:27" x14ac:dyDescent="0.2">
      <c r="A356" t="str">
        <f t="shared" si="114"/>
        <v>S</v>
      </c>
      <c r="B356">
        <f t="shared" si="115"/>
        <v>0</v>
      </c>
      <c r="C356">
        <f t="shared" ca="1" si="116"/>
        <v>1</v>
      </c>
      <c r="D356">
        <f t="shared" ca="1" si="117"/>
        <v>11</v>
      </c>
      <c r="E356">
        <f t="shared" ca="1" si="118"/>
        <v>1</v>
      </c>
      <c r="F356">
        <f t="shared" ca="1" si="119"/>
        <v>0</v>
      </c>
      <c r="G356">
        <f t="shared" ca="1" si="120"/>
        <v>31</v>
      </c>
      <c r="H356">
        <f t="shared" ca="1" si="109"/>
        <v>0</v>
      </c>
      <c r="I356">
        <f t="shared" ca="1" si="110"/>
        <v>0</v>
      </c>
      <c r="J356" s="355" t="s">
        <v>103</v>
      </c>
      <c r="K356" s="138" t="str">
        <f t="shared" ca="1" si="121"/>
        <v>1.11.1.0.31.</v>
      </c>
      <c r="L356" s="356" t="s">
        <v>230</v>
      </c>
      <c r="M356" s="356" t="s">
        <v>518</v>
      </c>
      <c r="N356" s="360" t="s">
        <v>883</v>
      </c>
      <c r="O356" s="362" t="s">
        <v>944</v>
      </c>
      <c r="P356" s="363">
        <v>12</v>
      </c>
      <c r="Q356" s="195"/>
      <c r="R356" s="198" t="s">
        <v>7</v>
      </c>
      <c r="S356" s="103">
        <f t="shared" si="111"/>
        <v>0</v>
      </c>
      <c r="T356" s="83">
        <f t="shared" si="112"/>
        <v>0</v>
      </c>
      <c r="U356" s="9" t="str">
        <f t="shared" si="122"/>
        <v>SEM VALOR</v>
      </c>
      <c r="V356" s="1" t="str">
        <f ca="1">IF(OR($A356=0,$A356="S",$A356&gt;CFF!$A$9),"",MAX(V$12:OFFSET(V356,-1,0))+1)</f>
        <v/>
      </c>
      <c r="W356" s="4" t="str">
        <f t="shared" si="123"/>
        <v>SINAPI-96986</v>
      </c>
      <c r="X356" s="1">
        <f t="shared" ca="1" si="113"/>
        <v>14358</v>
      </c>
      <c r="Y356" s="103">
        <v>189.6</v>
      </c>
      <c r="Z356" s="113">
        <f ca="1">ROUND(IF(ISNUMBER(R356),R356,IF(LEFT(R356,3)="BDI",HLOOKUP(R356,DADOS!$T$37:$X$38,2,FALSE),0)),15-11*$X$5)</f>
        <v>0.23130000000000001</v>
      </c>
      <c r="AA356" s="1"/>
    </row>
    <row r="357" spans="1:27" ht="25.5" x14ac:dyDescent="0.2">
      <c r="A357" t="str">
        <f t="shared" si="114"/>
        <v>S</v>
      </c>
      <c r="B357">
        <f t="shared" si="115"/>
        <v>0</v>
      </c>
      <c r="C357">
        <f t="shared" ca="1" si="116"/>
        <v>1</v>
      </c>
      <c r="D357">
        <f t="shared" ca="1" si="117"/>
        <v>11</v>
      </c>
      <c r="E357">
        <f t="shared" ca="1" si="118"/>
        <v>1</v>
      </c>
      <c r="F357">
        <f t="shared" ca="1" si="119"/>
        <v>0</v>
      </c>
      <c r="G357">
        <f t="shared" ca="1" si="120"/>
        <v>32</v>
      </c>
      <c r="H357">
        <f t="shared" ca="1" si="109"/>
        <v>0</v>
      </c>
      <c r="I357">
        <f t="shared" ca="1" si="110"/>
        <v>0</v>
      </c>
      <c r="J357" s="355" t="s">
        <v>103</v>
      </c>
      <c r="K357" s="138" t="str">
        <f t="shared" ca="1" si="121"/>
        <v>1.11.1.0.32.</v>
      </c>
      <c r="L357" s="356" t="s">
        <v>230</v>
      </c>
      <c r="M357" s="356" t="s">
        <v>519</v>
      </c>
      <c r="N357" s="360" t="s">
        <v>884</v>
      </c>
      <c r="O357" s="362" t="s">
        <v>944</v>
      </c>
      <c r="P357" s="363">
        <v>5</v>
      </c>
      <c r="Q357" s="195"/>
      <c r="R357" s="198" t="s">
        <v>7</v>
      </c>
      <c r="S357" s="103">
        <f t="shared" si="111"/>
        <v>0</v>
      </c>
      <c r="T357" s="83">
        <f t="shared" si="112"/>
        <v>0</v>
      </c>
      <c r="U357" s="9" t="str">
        <f t="shared" si="122"/>
        <v>SEM VALOR</v>
      </c>
      <c r="V357" s="1" t="str">
        <f ca="1">IF(OR($A357=0,$A357="S",$A357&gt;CFF!$A$9),"",MAX(V$12:OFFSET(V357,-1,0))+1)</f>
        <v/>
      </c>
      <c r="W357" s="4" t="str">
        <f t="shared" si="123"/>
        <v>SINAPI-101875</v>
      </c>
      <c r="X357" s="1">
        <f t="shared" ca="1" si="113"/>
        <v>9913</v>
      </c>
      <c r="Y357" s="103">
        <v>576.1</v>
      </c>
      <c r="Z357" s="113">
        <f ca="1">ROUND(IF(ISNUMBER(R357),R357,IF(LEFT(R357,3)="BDI",HLOOKUP(R357,DADOS!$T$37:$X$38,2,FALSE),0)),15-11*$X$5)</f>
        <v>0.23130000000000001</v>
      </c>
      <c r="AA357" s="1"/>
    </row>
    <row r="358" spans="1:27" x14ac:dyDescent="0.2">
      <c r="A358">
        <f t="shared" si="114"/>
        <v>3</v>
      </c>
      <c r="B358">
        <f t="shared" ca="1" si="115"/>
        <v>10</v>
      </c>
      <c r="C358">
        <f t="shared" ca="1" si="116"/>
        <v>1</v>
      </c>
      <c r="D358">
        <f t="shared" ca="1" si="117"/>
        <v>11</v>
      </c>
      <c r="E358">
        <f t="shared" ca="1" si="118"/>
        <v>2</v>
      </c>
      <c r="F358">
        <f t="shared" ca="1" si="119"/>
        <v>0</v>
      </c>
      <c r="G358">
        <f t="shared" ca="1" si="120"/>
        <v>0</v>
      </c>
      <c r="H358">
        <f t="shared" ca="1" si="109"/>
        <v>10</v>
      </c>
      <c r="I358">
        <f t="shared" ca="1" si="110"/>
        <v>39</v>
      </c>
      <c r="J358" s="355" t="s">
        <v>101</v>
      </c>
      <c r="K358" s="138" t="str">
        <f t="shared" ca="1" si="121"/>
        <v>1.11.2.</v>
      </c>
      <c r="L358" s="356" t="s">
        <v>230</v>
      </c>
      <c r="M358" s="356"/>
      <c r="N358" s="360" t="s">
        <v>608</v>
      </c>
      <c r="O358" s="362" t="s">
        <v>106</v>
      </c>
      <c r="P358" s="363"/>
      <c r="Q358" s="195"/>
      <c r="R358" s="198" t="s">
        <v>7</v>
      </c>
      <c r="S358" s="103">
        <f t="shared" si="111"/>
        <v>0</v>
      </c>
      <c r="T358" s="83">
        <f t="shared" ca="1" si="112"/>
        <v>0</v>
      </c>
      <c r="U358" s="9" t="str">
        <f t="shared" ca="1" si="122"/>
        <v>SEM VALOR</v>
      </c>
      <c r="V358" s="1" t="str">
        <f ca="1">IF(OR($A358=0,$A358="S",$A358&gt;CFF!$A$9),"",MAX(V$12:OFFSET(V358,-1,0))+1)</f>
        <v/>
      </c>
      <c r="W358" s="4" t="b">
        <f t="shared" si="123"/>
        <v>0</v>
      </c>
      <c r="X358" s="1" t="str">
        <f t="shared" ca="1" si="113"/>
        <v>X</v>
      </c>
      <c r="Y358" s="103">
        <v>0</v>
      </c>
      <c r="Z358" s="113">
        <f ca="1">ROUND(IF(ISNUMBER(R358),R358,IF(LEFT(R358,3)="BDI",HLOOKUP(R358,DADOS!$T$37:$X$38,2,FALSE),0)),15-11*$X$5)</f>
        <v>0.23130000000000001</v>
      </c>
      <c r="AA358" s="1"/>
    </row>
    <row r="359" spans="1:27" ht="25.5" x14ac:dyDescent="0.2">
      <c r="A359" t="str">
        <f t="shared" si="114"/>
        <v>S</v>
      </c>
      <c r="B359">
        <f t="shared" si="115"/>
        <v>0</v>
      </c>
      <c r="C359">
        <f t="shared" ca="1" si="116"/>
        <v>1</v>
      </c>
      <c r="D359">
        <f t="shared" ca="1" si="117"/>
        <v>11</v>
      </c>
      <c r="E359">
        <f t="shared" ca="1" si="118"/>
        <v>2</v>
      </c>
      <c r="F359">
        <f t="shared" ca="1" si="119"/>
        <v>0</v>
      </c>
      <c r="G359">
        <f t="shared" ca="1" si="120"/>
        <v>1</v>
      </c>
      <c r="H359">
        <f t="shared" ca="1" si="109"/>
        <v>0</v>
      </c>
      <c r="I359">
        <f t="shared" ca="1" si="110"/>
        <v>0</v>
      </c>
      <c r="J359" s="355" t="s">
        <v>103</v>
      </c>
      <c r="K359" s="138" t="str">
        <f t="shared" ca="1" si="121"/>
        <v>1.11.2.0.1.</v>
      </c>
      <c r="L359" s="356" t="s">
        <v>230</v>
      </c>
      <c r="M359" s="356" t="s">
        <v>520</v>
      </c>
      <c r="N359" s="360" t="s">
        <v>885</v>
      </c>
      <c r="O359" s="362" t="s">
        <v>945</v>
      </c>
      <c r="P359" s="363">
        <v>829.95</v>
      </c>
      <c r="Q359" s="195"/>
      <c r="R359" s="198" t="s">
        <v>7</v>
      </c>
      <c r="S359" s="103">
        <f t="shared" si="111"/>
        <v>0</v>
      </c>
      <c r="T359" s="83">
        <f t="shared" si="112"/>
        <v>0</v>
      </c>
      <c r="U359" s="9" t="str">
        <f t="shared" si="122"/>
        <v>SEM VALOR</v>
      </c>
      <c r="V359" s="1" t="str">
        <f ca="1">IF(OR($A359=0,$A359="S",$A359&gt;CFF!$A$9),"",MAX(V$12:OFFSET(V359,-1,0))+1)</f>
        <v/>
      </c>
      <c r="W359" s="4" t="str">
        <f t="shared" si="123"/>
        <v>SINAPI-98295</v>
      </c>
      <c r="X359" s="1">
        <f t="shared" ca="1" si="113"/>
        <v>13981</v>
      </c>
      <c r="Y359" s="103">
        <v>7.83</v>
      </c>
      <c r="Z359" s="113">
        <f ca="1">ROUND(IF(ISNUMBER(R359),R359,IF(LEFT(R359,3)="BDI",HLOOKUP(R359,DADOS!$T$37:$X$38,2,FALSE),0)),15-11*$X$5)</f>
        <v>0.23130000000000001</v>
      </c>
      <c r="AA359" s="1"/>
    </row>
    <row r="360" spans="1:27" x14ac:dyDescent="0.2">
      <c r="A360" t="str">
        <f t="shared" si="114"/>
        <v>S</v>
      </c>
      <c r="B360">
        <f t="shared" si="115"/>
        <v>0</v>
      </c>
      <c r="C360">
        <f t="shared" ca="1" si="116"/>
        <v>1</v>
      </c>
      <c r="D360">
        <f t="shared" ca="1" si="117"/>
        <v>11</v>
      </c>
      <c r="E360">
        <f t="shared" ca="1" si="118"/>
        <v>2</v>
      </c>
      <c r="F360">
        <f t="shared" ca="1" si="119"/>
        <v>0</v>
      </c>
      <c r="G360">
        <f t="shared" ca="1" si="120"/>
        <v>2</v>
      </c>
      <c r="H360">
        <f t="shared" ca="1" si="109"/>
        <v>0</v>
      </c>
      <c r="I360">
        <f t="shared" ca="1" si="110"/>
        <v>0</v>
      </c>
      <c r="J360" s="355" t="s">
        <v>103</v>
      </c>
      <c r="K360" s="138" t="str">
        <f t="shared" ca="1" si="121"/>
        <v>1.11.2.0.2.</v>
      </c>
      <c r="L360" s="356" t="s">
        <v>230</v>
      </c>
      <c r="M360" s="356" t="s">
        <v>521</v>
      </c>
      <c r="N360" s="360" t="s">
        <v>886</v>
      </c>
      <c r="O360" s="362" t="s">
        <v>944</v>
      </c>
      <c r="P360" s="363">
        <v>1</v>
      </c>
      <c r="Q360" s="195"/>
      <c r="R360" s="198" t="s">
        <v>8</v>
      </c>
      <c r="S360" s="103">
        <f t="shared" si="111"/>
        <v>0</v>
      </c>
      <c r="T360" s="83">
        <f t="shared" si="112"/>
        <v>0</v>
      </c>
      <c r="U360" s="9" t="str">
        <f t="shared" si="122"/>
        <v>SEM VALOR</v>
      </c>
      <c r="V360" s="1" t="str">
        <f ca="1">IF(OR($A360=0,$A360="S",$A360&gt;CFF!$A$9),"",MAX(V$12:OFFSET(V360,-1,0))+1)</f>
        <v/>
      </c>
      <c r="W360" s="4" t="str">
        <f t="shared" si="123"/>
        <v>SINAPI-98593</v>
      </c>
      <c r="X360" s="1">
        <f t="shared" ca="1" si="113"/>
        <v>14031</v>
      </c>
      <c r="Y360" s="103">
        <v>3002.29</v>
      </c>
      <c r="Z360" s="113">
        <f ca="1">ROUND(IF(ISNUMBER(R360),R360,IF(LEFT(R360,3)="BDI",HLOOKUP(R360,DADOS!$T$37:$X$38,2,FALSE),0)),15-11*$X$5)</f>
        <v>0.12470000000000001</v>
      </c>
      <c r="AA360" s="1"/>
    </row>
    <row r="361" spans="1:27" x14ac:dyDescent="0.2">
      <c r="A361" t="str">
        <f t="shared" si="114"/>
        <v>S</v>
      </c>
      <c r="B361">
        <f t="shared" si="115"/>
        <v>0</v>
      </c>
      <c r="C361">
        <f t="shared" ca="1" si="116"/>
        <v>1</v>
      </c>
      <c r="D361">
        <f t="shared" ca="1" si="117"/>
        <v>11</v>
      </c>
      <c r="E361">
        <f t="shared" ca="1" si="118"/>
        <v>2</v>
      </c>
      <c r="F361">
        <f t="shared" ca="1" si="119"/>
        <v>0</v>
      </c>
      <c r="G361">
        <f t="shared" ca="1" si="120"/>
        <v>3</v>
      </c>
      <c r="H361">
        <f t="shared" ca="1" si="109"/>
        <v>0</v>
      </c>
      <c r="I361">
        <f t="shared" ca="1" si="110"/>
        <v>0</v>
      </c>
      <c r="J361" s="355" t="s">
        <v>103</v>
      </c>
      <c r="K361" s="138" t="str">
        <f t="shared" ca="1" si="121"/>
        <v>1.11.2.0.3.</v>
      </c>
      <c r="L361" s="356" t="s">
        <v>230</v>
      </c>
      <c r="M361" s="356" t="s">
        <v>522</v>
      </c>
      <c r="N361" s="360" t="s">
        <v>887</v>
      </c>
      <c r="O361" s="362" t="s">
        <v>944</v>
      </c>
      <c r="P361" s="363">
        <v>30</v>
      </c>
      <c r="Q361" s="195"/>
      <c r="R361" s="198" t="s">
        <v>7</v>
      </c>
      <c r="S361" s="103">
        <f t="shared" si="111"/>
        <v>0</v>
      </c>
      <c r="T361" s="83">
        <f t="shared" si="112"/>
        <v>0</v>
      </c>
      <c r="U361" s="9" t="str">
        <f t="shared" si="122"/>
        <v>SEM VALOR</v>
      </c>
      <c r="V361" s="1" t="str">
        <f ca="1">IF(OR($A361=0,$A361="S",$A361&gt;CFF!$A$9),"",MAX(V$12:OFFSET(V361,-1,0))+1)</f>
        <v/>
      </c>
      <c r="W361" s="4" t="str">
        <f t="shared" si="123"/>
        <v>SINAPI-98307</v>
      </c>
      <c r="X361" s="1">
        <f t="shared" ca="1" si="113"/>
        <v>14044</v>
      </c>
      <c r="Y361" s="103">
        <v>80.33</v>
      </c>
      <c r="Z361" s="113">
        <f ca="1">ROUND(IF(ISNUMBER(R361),R361,IF(LEFT(R361,3)="BDI",HLOOKUP(R361,DADOS!$T$37:$X$38,2,FALSE),0)),15-11*$X$5)</f>
        <v>0.23130000000000001</v>
      </c>
      <c r="AA361" s="1"/>
    </row>
    <row r="362" spans="1:27" ht="25.5" x14ac:dyDescent="0.2">
      <c r="A362" t="str">
        <f t="shared" si="114"/>
        <v>S</v>
      </c>
      <c r="B362">
        <f t="shared" si="115"/>
        <v>0</v>
      </c>
      <c r="C362">
        <f t="shared" ca="1" si="116"/>
        <v>1</v>
      </c>
      <c r="D362">
        <f t="shared" ca="1" si="117"/>
        <v>11</v>
      </c>
      <c r="E362">
        <f t="shared" ca="1" si="118"/>
        <v>2</v>
      </c>
      <c r="F362">
        <f t="shared" ca="1" si="119"/>
        <v>0</v>
      </c>
      <c r="G362">
        <f t="shared" ca="1" si="120"/>
        <v>4</v>
      </c>
      <c r="H362">
        <f t="shared" ca="1" si="109"/>
        <v>0</v>
      </c>
      <c r="I362">
        <f t="shared" ca="1" si="110"/>
        <v>0</v>
      </c>
      <c r="J362" s="355" t="s">
        <v>103</v>
      </c>
      <c r="K362" s="138" t="str">
        <f t="shared" ca="1" si="121"/>
        <v>1.11.2.0.4.</v>
      </c>
      <c r="L362" s="356" t="s">
        <v>234</v>
      </c>
      <c r="M362" s="356" t="s">
        <v>523</v>
      </c>
      <c r="N362" s="360" t="s">
        <v>888</v>
      </c>
      <c r="O362" s="362" t="s">
        <v>944</v>
      </c>
      <c r="P362" s="363">
        <v>8</v>
      </c>
      <c r="Q362" s="195"/>
      <c r="R362" s="198" t="s">
        <v>7</v>
      </c>
      <c r="S362" s="103">
        <f t="shared" si="111"/>
        <v>0</v>
      </c>
      <c r="T362" s="83">
        <f t="shared" si="112"/>
        <v>0</v>
      </c>
      <c r="U362" s="9" t="str">
        <f t="shared" si="122"/>
        <v>SEM VALOR</v>
      </c>
      <c r="V362" s="1" t="str">
        <f ca="1">IF(OR($A362=0,$A362="S",$A362&gt;CFF!$A$9),"",MAX(V$12:OFFSET(V362,-1,0))+1)</f>
        <v/>
      </c>
      <c r="W362" s="4" t="str">
        <f t="shared" si="123"/>
        <v>SINAPI-I-43102</v>
      </c>
      <c r="X362" s="1">
        <f t="shared" ca="1" si="113"/>
        <v>1010</v>
      </c>
      <c r="Y362" s="103">
        <v>179.18</v>
      </c>
      <c r="Z362" s="113">
        <f ca="1">ROUND(IF(ISNUMBER(R362),R362,IF(LEFT(R362,3)="BDI",HLOOKUP(R362,DADOS!$T$37:$X$38,2,FALSE),0)),15-11*$X$5)</f>
        <v>0.23130000000000001</v>
      </c>
      <c r="AA362" s="1"/>
    </row>
    <row r="363" spans="1:27" ht="25.5" x14ac:dyDescent="0.2">
      <c r="A363" t="str">
        <f t="shared" si="114"/>
        <v>S</v>
      </c>
      <c r="B363">
        <f t="shared" si="115"/>
        <v>0</v>
      </c>
      <c r="C363">
        <f t="shared" ca="1" si="116"/>
        <v>1</v>
      </c>
      <c r="D363">
        <f t="shared" ca="1" si="117"/>
        <v>11</v>
      </c>
      <c r="E363">
        <f t="shared" ca="1" si="118"/>
        <v>2</v>
      </c>
      <c r="F363">
        <f t="shared" ca="1" si="119"/>
        <v>0</v>
      </c>
      <c r="G363">
        <f t="shared" ca="1" si="120"/>
        <v>5</v>
      </c>
      <c r="H363">
        <f t="shared" ca="1" si="109"/>
        <v>0</v>
      </c>
      <c r="I363">
        <f t="shared" ca="1" si="110"/>
        <v>0</v>
      </c>
      <c r="J363" s="355" t="s">
        <v>103</v>
      </c>
      <c r="K363" s="138" t="str">
        <f t="shared" ca="1" si="121"/>
        <v>1.11.2.0.5.</v>
      </c>
      <c r="L363" s="356" t="s">
        <v>230</v>
      </c>
      <c r="M363" s="356" t="s">
        <v>524</v>
      </c>
      <c r="N363" s="360" t="s">
        <v>889</v>
      </c>
      <c r="O363" s="362" t="s">
        <v>945</v>
      </c>
      <c r="P363" s="363">
        <v>63.7</v>
      </c>
      <c r="Q363" s="195"/>
      <c r="R363" s="198" t="s">
        <v>7</v>
      </c>
      <c r="S363" s="103">
        <f t="shared" si="111"/>
        <v>0</v>
      </c>
      <c r="T363" s="83">
        <f t="shared" si="112"/>
        <v>0</v>
      </c>
      <c r="U363" s="9" t="str">
        <f t="shared" si="122"/>
        <v>SEM VALOR</v>
      </c>
      <c r="V363" s="1" t="str">
        <f ca="1">IF(OR($A363=0,$A363="S",$A363&gt;CFF!$A$9),"",MAX(V$12:OFFSET(V363,-1,0))+1)</f>
        <v/>
      </c>
      <c r="W363" s="4" t="str">
        <f t="shared" si="123"/>
        <v>SINAPI-91835</v>
      </c>
      <c r="X363" s="1">
        <f t="shared" ca="1" si="113"/>
        <v>9620</v>
      </c>
      <c r="Y363" s="103">
        <v>28.14</v>
      </c>
      <c r="Z363" s="113">
        <f ca="1">ROUND(IF(ISNUMBER(R363),R363,IF(LEFT(R363,3)="BDI",HLOOKUP(R363,DADOS!$T$37:$X$38,2,FALSE),0)),15-11*$X$5)</f>
        <v>0.23130000000000001</v>
      </c>
      <c r="AA363" s="1"/>
    </row>
    <row r="364" spans="1:27" ht="25.5" x14ac:dyDescent="0.2">
      <c r="A364" t="str">
        <f t="shared" si="114"/>
        <v>S</v>
      </c>
      <c r="B364">
        <f t="shared" si="115"/>
        <v>0</v>
      </c>
      <c r="C364">
        <f t="shared" ca="1" si="116"/>
        <v>1</v>
      </c>
      <c r="D364">
        <f t="shared" ca="1" si="117"/>
        <v>11</v>
      </c>
      <c r="E364">
        <f t="shared" ca="1" si="118"/>
        <v>2</v>
      </c>
      <c r="F364">
        <f t="shared" ca="1" si="119"/>
        <v>0</v>
      </c>
      <c r="G364">
        <f t="shared" ca="1" si="120"/>
        <v>6</v>
      </c>
      <c r="H364">
        <f t="shared" ca="1" si="109"/>
        <v>0</v>
      </c>
      <c r="I364">
        <f t="shared" ca="1" si="110"/>
        <v>0</v>
      </c>
      <c r="J364" s="355" t="s">
        <v>103</v>
      </c>
      <c r="K364" s="138" t="str">
        <f t="shared" ca="1" si="121"/>
        <v>1.11.2.0.6.</v>
      </c>
      <c r="L364" s="356" t="s">
        <v>230</v>
      </c>
      <c r="M364" s="356" t="s">
        <v>525</v>
      </c>
      <c r="N364" s="360" t="s">
        <v>890</v>
      </c>
      <c r="O364" s="362" t="s">
        <v>945</v>
      </c>
      <c r="P364" s="363">
        <v>78.599999999999994</v>
      </c>
      <c r="Q364" s="195"/>
      <c r="R364" s="198" t="s">
        <v>7</v>
      </c>
      <c r="S364" s="103">
        <f t="shared" si="111"/>
        <v>0</v>
      </c>
      <c r="T364" s="83">
        <f t="shared" si="112"/>
        <v>0</v>
      </c>
      <c r="U364" s="9" t="str">
        <f t="shared" si="122"/>
        <v>SEM VALOR</v>
      </c>
      <c r="V364" s="1" t="str">
        <f ca="1">IF(OR($A364=0,$A364="S",$A364&gt;CFF!$A$9),"",MAX(V$12:OFFSET(V364,-1,0))+1)</f>
        <v/>
      </c>
      <c r="W364" s="4" t="str">
        <f t="shared" si="123"/>
        <v>SINAPI-91837</v>
      </c>
      <c r="X364" s="1">
        <f t="shared" ca="1" si="113"/>
        <v>9623</v>
      </c>
      <c r="Y364" s="103">
        <v>36.21</v>
      </c>
      <c r="Z364" s="113">
        <f ca="1">ROUND(IF(ISNUMBER(R364),R364,IF(LEFT(R364,3)="BDI",HLOOKUP(R364,DADOS!$T$37:$X$38,2,FALSE),0)),15-11*$X$5)</f>
        <v>0.23130000000000001</v>
      </c>
      <c r="AA364" s="1"/>
    </row>
    <row r="365" spans="1:27" ht="25.5" x14ac:dyDescent="0.2">
      <c r="A365" t="str">
        <f t="shared" si="114"/>
        <v>S</v>
      </c>
      <c r="B365">
        <f t="shared" si="115"/>
        <v>0</v>
      </c>
      <c r="C365">
        <f t="shared" ca="1" si="116"/>
        <v>1</v>
      </c>
      <c r="D365">
        <f t="shared" ca="1" si="117"/>
        <v>11</v>
      </c>
      <c r="E365">
        <f t="shared" ca="1" si="118"/>
        <v>2</v>
      </c>
      <c r="F365">
        <f t="shared" ca="1" si="119"/>
        <v>0</v>
      </c>
      <c r="G365">
        <f t="shared" ca="1" si="120"/>
        <v>7</v>
      </c>
      <c r="H365">
        <f t="shared" ca="1" si="109"/>
        <v>0</v>
      </c>
      <c r="I365">
        <f t="shared" ca="1" si="110"/>
        <v>0</v>
      </c>
      <c r="J365" s="355" t="s">
        <v>103</v>
      </c>
      <c r="K365" s="138" t="str">
        <f t="shared" ca="1" si="121"/>
        <v>1.11.2.0.7.</v>
      </c>
      <c r="L365" s="356" t="s">
        <v>230</v>
      </c>
      <c r="M365" s="356" t="s">
        <v>526</v>
      </c>
      <c r="N365" s="360" t="s">
        <v>891</v>
      </c>
      <c r="O365" s="362" t="s">
        <v>945</v>
      </c>
      <c r="P365" s="363">
        <v>57.6</v>
      </c>
      <c r="Q365" s="195"/>
      <c r="R365" s="198" t="s">
        <v>7</v>
      </c>
      <c r="S365" s="103">
        <f t="shared" si="111"/>
        <v>0</v>
      </c>
      <c r="T365" s="83">
        <f t="shared" si="112"/>
        <v>0</v>
      </c>
      <c r="U365" s="9" t="str">
        <f t="shared" si="122"/>
        <v>SEM VALOR</v>
      </c>
      <c r="V365" s="1" t="str">
        <f ca="1">IF(OR($A365=0,$A365="S",$A365&gt;CFF!$A$9),"",MAX(V$12:OFFSET(V365,-1,0))+1)</f>
        <v/>
      </c>
      <c r="W365" s="4" t="str">
        <f t="shared" si="123"/>
        <v>SINAPI-91855</v>
      </c>
      <c r="X365" s="1">
        <f t="shared" ca="1" si="113"/>
        <v>9622</v>
      </c>
      <c r="Y365" s="103">
        <v>16.73</v>
      </c>
      <c r="Z365" s="113">
        <f ca="1">ROUND(IF(ISNUMBER(R365),R365,IF(LEFT(R365,3)="BDI",HLOOKUP(R365,DADOS!$T$37:$X$38,2,FALSE),0)),15-11*$X$5)</f>
        <v>0.23130000000000001</v>
      </c>
      <c r="AA365" s="1"/>
    </row>
    <row r="366" spans="1:27" ht="25.5" x14ac:dyDescent="0.2">
      <c r="A366" t="str">
        <f t="shared" si="114"/>
        <v>S</v>
      </c>
      <c r="B366">
        <f t="shared" si="115"/>
        <v>0</v>
      </c>
      <c r="C366">
        <f t="shared" ca="1" si="116"/>
        <v>1</v>
      </c>
      <c r="D366">
        <f t="shared" ca="1" si="117"/>
        <v>11</v>
      </c>
      <c r="E366">
        <f t="shared" ca="1" si="118"/>
        <v>2</v>
      </c>
      <c r="F366">
        <f t="shared" ca="1" si="119"/>
        <v>0</v>
      </c>
      <c r="G366">
        <f t="shared" ca="1" si="120"/>
        <v>8</v>
      </c>
      <c r="H366">
        <f t="shared" ca="1" si="109"/>
        <v>0</v>
      </c>
      <c r="I366">
        <f t="shared" ca="1" si="110"/>
        <v>0</v>
      </c>
      <c r="J366" s="355" t="s">
        <v>103</v>
      </c>
      <c r="K366" s="138" t="str">
        <f t="shared" ca="1" si="121"/>
        <v>1.11.2.0.8.</v>
      </c>
      <c r="L366" s="356" t="s">
        <v>230</v>
      </c>
      <c r="M366" s="356" t="s">
        <v>498</v>
      </c>
      <c r="N366" s="360" t="s">
        <v>862</v>
      </c>
      <c r="O366" s="362" t="s">
        <v>945</v>
      </c>
      <c r="P366" s="363">
        <v>9</v>
      </c>
      <c r="Q366" s="195"/>
      <c r="R366" s="198" t="s">
        <v>7</v>
      </c>
      <c r="S366" s="103">
        <f t="shared" si="111"/>
        <v>0</v>
      </c>
      <c r="T366" s="83">
        <f t="shared" si="112"/>
        <v>0</v>
      </c>
      <c r="U366" s="9" t="str">
        <f t="shared" si="122"/>
        <v>SEM VALOR</v>
      </c>
      <c r="V366" s="1" t="str">
        <f ca="1">IF(OR($A366=0,$A366="S",$A366&gt;CFF!$A$9),"",MAX(V$12:OFFSET(V366,-1,0))+1)</f>
        <v/>
      </c>
      <c r="W366" s="4" t="str">
        <f t="shared" si="123"/>
        <v>SINAPI-91857</v>
      </c>
      <c r="X366" s="1">
        <f t="shared" ca="1" si="113"/>
        <v>9625</v>
      </c>
      <c r="Y366" s="103">
        <v>24.36</v>
      </c>
      <c r="Z366" s="113">
        <f ca="1">ROUND(IF(ISNUMBER(R366),R366,IF(LEFT(R366,3)="BDI",HLOOKUP(R366,DADOS!$T$37:$X$38,2,FALSE),0)),15-11*$X$5)</f>
        <v>0.23130000000000001</v>
      </c>
      <c r="AA366" s="1"/>
    </row>
    <row r="367" spans="1:27" x14ac:dyDescent="0.2">
      <c r="A367" t="str">
        <f t="shared" si="114"/>
        <v>S</v>
      </c>
      <c r="B367">
        <f t="shared" si="115"/>
        <v>0</v>
      </c>
      <c r="C367">
        <f t="shared" ca="1" si="116"/>
        <v>1</v>
      </c>
      <c r="D367">
        <f t="shared" ca="1" si="117"/>
        <v>11</v>
      </c>
      <c r="E367">
        <f t="shared" ca="1" si="118"/>
        <v>2</v>
      </c>
      <c r="F367">
        <f t="shared" ca="1" si="119"/>
        <v>0</v>
      </c>
      <c r="G367">
        <f t="shared" ca="1" si="120"/>
        <v>9</v>
      </c>
      <c r="H367">
        <f t="shared" ca="1" si="109"/>
        <v>0</v>
      </c>
      <c r="I367">
        <f t="shared" ca="1" si="110"/>
        <v>0</v>
      </c>
      <c r="J367" s="355" t="s">
        <v>103</v>
      </c>
      <c r="K367" s="138" t="str">
        <f t="shared" ca="1" si="121"/>
        <v>1.11.2.0.9.</v>
      </c>
      <c r="L367" s="356" t="s">
        <v>230</v>
      </c>
      <c r="M367" s="356" t="s">
        <v>527</v>
      </c>
      <c r="N367" s="360" t="s">
        <v>892</v>
      </c>
      <c r="O367" s="362" t="s">
        <v>944</v>
      </c>
      <c r="P367" s="363">
        <v>1</v>
      </c>
      <c r="Q367" s="195"/>
      <c r="R367" s="198" t="s">
        <v>8</v>
      </c>
      <c r="S367" s="103">
        <f t="shared" si="111"/>
        <v>0</v>
      </c>
      <c r="T367" s="83">
        <f t="shared" si="112"/>
        <v>0</v>
      </c>
      <c r="U367" s="9" t="str">
        <f t="shared" si="122"/>
        <v>SEM VALOR</v>
      </c>
      <c r="V367" s="1" t="str">
        <f ca="1">IF(OR($A367=0,$A367="S",$A367&gt;CFF!$A$9),"",MAX(V$12:OFFSET(V367,-1,0))+1)</f>
        <v/>
      </c>
      <c r="W367" s="4" t="str">
        <f t="shared" si="123"/>
        <v>SINAPI-98305</v>
      </c>
      <c r="X367" s="1">
        <f t="shared" ca="1" si="113"/>
        <v>14043</v>
      </c>
      <c r="Y367" s="103">
        <v>3206.59</v>
      </c>
      <c r="Z367" s="113">
        <f ca="1">ROUND(IF(ISNUMBER(R367),R367,IF(LEFT(R367,3)="BDI",HLOOKUP(R367,DADOS!$T$37:$X$38,2,FALSE),0)),15-11*$X$5)</f>
        <v>0.12470000000000001</v>
      </c>
      <c r="AA367" s="1"/>
    </row>
    <row r="368" spans="1:27" x14ac:dyDescent="0.2">
      <c r="A368">
        <f t="shared" si="114"/>
        <v>2</v>
      </c>
      <c r="B368">
        <f t="shared" ca="1" si="115"/>
        <v>45</v>
      </c>
      <c r="C368">
        <f t="shared" ca="1" si="116"/>
        <v>1</v>
      </c>
      <c r="D368">
        <f t="shared" ca="1" si="117"/>
        <v>12</v>
      </c>
      <c r="E368">
        <f t="shared" ca="1" si="118"/>
        <v>0</v>
      </c>
      <c r="F368">
        <f t="shared" ca="1" si="119"/>
        <v>0</v>
      </c>
      <c r="G368">
        <f t="shared" ca="1" si="120"/>
        <v>0</v>
      </c>
      <c r="H368">
        <f t="shared" ca="1" si="109"/>
        <v>54</v>
      </c>
      <c r="I368">
        <f t="shared" ca="1" si="110"/>
        <v>45</v>
      </c>
      <c r="J368" s="355" t="s">
        <v>100</v>
      </c>
      <c r="K368" s="138" t="str">
        <f t="shared" ca="1" si="121"/>
        <v>1.12.</v>
      </c>
      <c r="L368" s="356"/>
      <c r="M368" s="356"/>
      <c r="N368" s="360" t="s">
        <v>609</v>
      </c>
      <c r="O368" s="362" t="s">
        <v>106</v>
      </c>
      <c r="P368" s="363"/>
      <c r="Q368" s="195"/>
      <c r="R368" s="198" t="s">
        <v>7</v>
      </c>
      <c r="S368" s="103">
        <f t="shared" si="111"/>
        <v>0</v>
      </c>
      <c r="T368" s="83">
        <f t="shared" ca="1" si="112"/>
        <v>0</v>
      </c>
      <c r="U368" s="9" t="str">
        <f t="shared" ca="1" si="122"/>
        <v>SEM VALOR</v>
      </c>
      <c r="V368" s="1">
        <f ca="1">IF(OR($A368=0,$A368="S",$A368&gt;CFF!$A$9),"",MAX(V$12:OFFSET(V368,-1,0))+1)</f>
        <v>13</v>
      </c>
      <c r="W368" s="4" t="b">
        <f t="shared" si="123"/>
        <v>0</v>
      </c>
      <c r="X368" s="1" t="str">
        <f t="shared" ca="1" si="113"/>
        <v>X</v>
      </c>
      <c r="Y368" s="103">
        <v>0</v>
      </c>
      <c r="Z368" s="113">
        <f ca="1">ROUND(IF(ISNUMBER(R368),R368,IF(LEFT(R368,3)="BDI",HLOOKUP(R368,DADOS!$T$37:$X$38,2,FALSE),0)),15-11*$X$5)</f>
        <v>0.23130000000000001</v>
      </c>
      <c r="AA368" s="1"/>
    </row>
    <row r="369" spans="1:27" x14ac:dyDescent="0.2">
      <c r="A369">
        <f t="shared" si="114"/>
        <v>3</v>
      </c>
      <c r="B369">
        <f t="shared" ca="1" si="115"/>
        <v>9</v>
      </c>
      <c r="C369">
        <f t="shared" ca="1" si="116"/>
        <v>1</v>
      </c>
      <c r="D369">
        <f t="shared" ca="1" si="117"/>
        <v>12</v>
      </c>
      <c r="E369">
        <f t="shared" ca="1" si="118"/>
        <v>1</v>
      </c>
      <c r="F369">
        <f t="shared" ca="1" si="119"/>
        <v>0</v>
      </c>
      <c r="G369">
        <f t="shared" ca="1" si="120"/>
        <v>0</v>
      </c>
      <c r="H369">
        <f t="shared" ca="1" si="109"/>
        <v>44</v>
      </c>
      <c r="I369">
        <f t="shared" ca="1" si="110"/>
        <v>9</v>
      </c>
      <c r="J369" s="355" t="s">
        <v>101</v>
      </c>
      <c r="K369" s="138" t="str">
        <f t="shared" ca="1" si="121"/>
        <v>1.12.1.</v>
      </c>
      <c r="L369" s="356"/>
      <c r="M369" s="356"/>
      <c r="N369" s="360" t="s">
        <v>610</v>
      </c>
      <c r="O369" s="362" t="s">
        <v>106</v>
      </c>
      <c r="P369" s="363"/>
      <c r="Q369" s="195"/>
      <c r="R369" s="198" t="s">
        <v>7</v>
      </c>
      <c r="S369" s="103">
        <f t="shared" si="111"/>
        <v>0</v>
      </c>
      <c r="T369" s="83">
        <f t="shared" ca="1" si="112"/>
        <v>0</v>
      </c>
      <c r="U369" s="9" t="str">
        <f t="shared" ca="1" si="122"/>
        <v>SEM VALOR</v>
      </c>
      <c r="V369" s="1" t="str">
        <f ca="1">IF(OR($A369=0,$A369="S",$A369&gt;CFF!$A$9),"",MAX(V$12:OFFSET(V369,-1,0))+1)</f>
        <v/>
      </c>
      <c r="W369" s="4" t="b">
        <f t="shared" si="123"/>
        <v>0</v>
      </c>
      <c r="X369" s="1" t="str">
        <f t="shared" ca="1" si="113"/>
        <v>X</v>
      </c>
      <c r="Y369" s="103">
        <v>0</v>
      </c>
      <c r="Z369" s="113">
        <f ca="1">ROUND(IF(ISNUMBER(R369),R369,IF(LEFT(R369,3)="BDI",HLOOKUP(R369,DADOS!$T$37:$X$38,2,FALSE),0)),15-11*$X$5)</f>
        <v>0.23130000000000001</v>
      </c>
      <c r="AA369" s="1"/>
    </row>
    <row r="370" spans="1:27" ht="63.75" x14ac:dyDescent="0.2">
      <c r="A370" t="str">
        <f t="shared" si="114"/>
        <v>S</v>
      </c>
      <c r="B370">
        <f t="shared" si="115"/>
        <v>0</v>
      </c>
      <c r="C370">
        <f t="shared" ca="1" si="116"/>
        <v>1</v>
      </c>
      <c r="D370">
        <f t="shared" ca="1" si="117"/>
        <v>12</v>
      </c>
      <c r="E370">
        <f t="shared" ca="1" si="118"/>
        <v>1</v>
      </c>
      <c r="F370">
        <f t="shared" ca="1" si="119"/>
        <v>0</v>
      </c>
      <c r="G370">
        <f t="shared" ca="1" si="120"/>
        <v>1</v>
      </c>
      <c r="H370">
        <f t="shared" ca="1" si="109"/>
        <v>0</v>
      </c>
      <c r="I370">
        <f t="shared" ca="1" si="110"/>
        <v>0</v>
      </c>
      <c r="J370" s="355" t="s">
        <v>103</v>
      </c>
      <c r="K370" s="138" t="str">
        <f t="shared" ca="1" si="121"/>
        <v>1.12.1.0.1.</v>
      </c>
      <c r="L370" s="356" t="s">
        <v>370</v>
      </c>
      <c r="M370" s="356" t="s">
        <v>528</v>
      </c>
      <c r="N370" s="360" t="s">
        <v>893</v>
      </c>
      <c r="O370" s="362" t="s">
        <v>951</v>
      </c>
      <c r="P370" s="363">
        <v>1</v>
      </c>
      <c r="Q370" s="195"/>
      <c r="R370" s="198" t="s">
        <v>8</v>
      </c>
      <c r="S370" s="103">
        <f t="shared" si="111"/>
        <v>0</v>
      </c>
      <c r="T370" s="83">
        <f t="shared" si="112"/>
        <v>0</v>
      </c>
      <c r="U370" s="9" t="str">
        <f t="shared" si="122"/>
        <v>SEM VALOR</v>
      </c>
      <c r="V370" s="1" t="str">
        <f ca="1">IF(OR($A370=0,$A370="S",$A370&gt;CFF!$A$9),"",MAX(V$12:OFFSET(V370,-1,0))+1)</f>
        <v/>
      </c>
      <c r="W370" s="4" t="str">
        <f t="shared" si="123"/>
        <v>COTAÇÃO-005</v>
      </c>
      <c r="X370" s="1">
        <f t="shared" ca="1" si="113"/>
        <v>55</v>
      </c>
      <c r="Y370" s="103">
        <v>94868.45</v>
      </c>
      <c r="Z370" s="113">
        <f ca="1">ROUND(IF(ISNUMBER(R370),R370,IF(LEFT(R370,3)="BDI",HLOOKUP(R370,DADOS!$T$37:$X$38,2,FALSE),0)),15-11*$X$5)</f>
        <v>0.12470000000000001</v>
      </c>
      <c r="AA370" s="1"/>
    </row>
    <row r="371" spans="1:27" ht="63.75" x14ac:dyDescent="0.2">
      <c r="A371" t="str">
        <f t="shared" si="114"/>
        <v>S</v>
      </c>
      <c r="B371">
        <f t="shared" si="115"/>
        <v>0</v>
      </c>
      <c r="C371">
        <f t="shared" ca="1" si="116"/>
        <v>1</v>
      </c>
      <c r="D371">
        <f t="shared" ca="1" si="117"/>
        <v>12</v>
      </c>
      <c r="E371">
        <f t="shared" ca="1" si="118"/>
        <v>1</v>
      </c>
      <c r="F371">
        <f t="shared" ca="1" si="119"/>
        <v>0</v>
      </c>
      <c r="G371">
        <f t="shared" ca="1" si="120"/>
        <v>2</v>
      </c>
      <c r="H371">
        <f t="shared" ca="1" si="109"/>
        <v>0</v>
      </c>
      <c r="I371">
        <f t="shared" ca="1" si="110"/>
        <v>0</v>
      </c>
      <c r="J371" s="355" t="s">
        <v>103</v>
      </c>
      <c r="K371" s="138" t="str">
        <f t="shared" ca="1" si="121"/>
        <v>1.12.1.0.2.</v>
      </c>
      <c r="L371" s="356" t="s">
        <v>370</v>
      </c>
      <c r="M371" s="356" t="s">
        <v>529</v>
      </c>
      <c r="N371" s="360" t="s">
        <v>894</v>
      </c>
      <c r="O371" s="362" t="s">
        <v>951</v>
      </c>
      <c r="P371" s="363">
        <v>1</v>
      </c>
      <c r="Q371" s="195"/>
      <c r="R371" s="198" t="s">
        <v>8</v>
      </c>
      <c r="S371" s="103">
        <f t="shared" si="111"/>
        <v>0</v>
      </c>
      <c r="T371" s="83">
        <f t="shared" si="112"/>
        <v>0</v>
      </c>
      <c r="U371" s="9" t="str">
        <f t="shared" si="122"/>
        <v>SEM VALOR</v>
      </c>
      <c r="V371" s="1" t="str">
        <f ca="1">IF(OR($A371=0,$A371="S",$A371&gt;CFF!$A$9),"",MAX(V$12:OFFSET(V371,-1,0))+1)</f>
        <v/>
      </c>
      <c r="W371" s="4" t="str">
        <f t="shared" si="123"/>
        <v>COTAÇÃO-006</v>
      </c>
      <c r="X371" s="1">
        <f t="shared" ca="1" si="113"/>
        <v>56</v>
      </c>
      <c r="Y371" s="103">
        <v>99497.71</v>
      </c>
      <c r="Z371" s="113">
        <f ca="1">ROUND(IF(ISNUMBER(R371),R371,IF(LEFT(R371,3)="BDI",HLOOKUP(R371,DADOS!$T$37:$X$38,2,FALSE),0)),15-11*$X$5)</f>
        <v>0.12470000000000001</v>
      </c>
      <c r="AA371" s="1"/>
    </row>
    <row r="372" spans="1:27" ht="63.75" x14ac:dyDescent="0.2">
      <c r="A372" t="str">
        <f t="shared" si="114"/>
        <v>S</v>
      </c>
      <c r="B372">
        <f t="shared" si="115"/>
        <v>0</v>
      </c>
      <c r="C372">
        <f t="shared" ca="1" si="116"/>
        <v>1</v>
      </c>
      <c r="D372">
        <f t="shared" ca="1" si="117"/>
        <v>12</v>
      </c>
      <c r="E372">
        <f t="shared" ca="1" si="118"/>
        <v>1</v>
      </c>
      <c r="F372">
        <f t="shared" ca="1" si="119"/>
        <v>0</v>
      </c>
      <c r="G372">
        <f t="shared" ca="1" si="120"/>
        <v>3</v>
      </c>
      <c r="H372">
        <f t="shared" ca="1" si="109"/>
        <v>0</v>
      </c>
      <c r="I372">
        <f t="shared" ca="1" si="110"/>
        <v>0</v>
      </c>
      <c r="J372" s="355" t="s">
        <v>103</v>
      </c>
      <c r="K372" s="138" t="str">
        <f t="shared" ca="1" si="121"/>
        <v>1.12.1.0.3.</v>
      </c>
      <c r="L372" s="356" t="s">
        <v>370</v>
      </c>
      <c r="M372" s="356" t="s">
        <v>530</v>
      </c>
      <c r="N372" s="360" t="s">
        <v>895</v>
      </c>
      <c r="O372" s="362" t="s">
        <v>951</v>
      </c>
      <c r="P372" s="363">
        <v>1</v>
      </c>
      <c r="Q372" s="195"/>
      <c r="R372" s="198" t="s">
        <v>8</v>
      </c>
      <c r="S372" s="103">
        <f t="shared" si="111"/>
        <v>0</v>
      </c>
      <c r="T372" s="83">
        <f t="shared" si="112"/>
        <v>0</v>
      </c>
      <c r="U372" s="9" t="str">
        <f t="shared" si="122"/>
        <v>SEM VALOR</v>
      </c>
      <c r="V372" s="1" t="str">
        <f ca="1">IF(OR($A372=0,$A372="S",$A372&gt;CFF!$A$9),"",MAX(V$12:OFFSET(V372,-1,0))+1)</f>
        <v/>
      </c>
      <c r="W372" s="4" t="str">
        <f t="shared" si="123"/>
        <v>COTAÇÃO-007</v>
      </c>
      <c r="X372" s="1">
        <f t="shared" ca="1" si="113"/>
        <v>57</v>
      </c>
      <c r="Y372" s="103">
        <v>108000.44</v>
      </c>
      <c r="Z372" s="113">
        <f ca="1">ROUND(IF(ISNUMBER(R372),R372,IF(LEFT(R372,3)="BDI",HLOOKUP(R372,DADOS!$T$37:$X$38,2,FALSE),0)),15-11*$X$5)</f>
        <v>0.12470000000000001</v>
      </c>
      <c r="AA372" s="1"/>
    </row>
    <row r="373" spans="1:27" ht="63.75" x14ac:dyDescent="0.2">
      <c r="A373" t="str">
        <f t="shared" si="114"/>
        <v>S</v>
      </c>
      <c r="B373">
        <f t="shared" si="115"/>
        <v>0</v>
      </c>
      <c r="C373">
        <f t="shared" ca="1" si="116"/>
        <v>1</v>
      </c>
      <c r="D373">
        <f t="shared" ca="1" si="117"/>
        <v>12</v>
      </c>
      <c r="E373">
        <f t="shared" ca="1" si="118"/>
        <v>1</v>
      </c>
      <c r="F373">
        <f t="shared" ca="1" si="119"/>
        <v>0</v>
      </c>
      <c r="G373">
        <f t="shared" ca="1" si="120"/>
        <v>4</v>
      </c>
      <c r="H373">
        <f t="shared" ca="1" si="109"/>
        <v>0</v>
      </c>
      <c r="I373">
        <f t="shared" ca="1" si="110"/>
        <v>0</v>
      </c>
      <c r="J373" s="355" t="s">
        <v>103</v>
      </c>
      <c r="K373" s="138" t="str">
        <f t="shared" ca="1" si="121"/>
        <v>1.12.1.0.4.</v>
      </c>
      <c r="L373" s="356" t="s">
        <v>370</v>
      </c>
      <c r="M373" s="356" t="s">
        <v>531</v>
      </c>
      <c r="N373" s="360" t="s">
        <v>896</v>
      </c>
      <c r="O373" s="362" t="s">
        <v>951</v>
      </c>
      <c r="P373" s="363">
        <v>1</v>
      </c>
      <c r="Q373" s="195"/>
      <c r="R373" s="198" t="s">
        <v>8</v>
      </c>
      <c r="S373" s="103">
        <f t="shared" si="111"/>
        <v>0</v>
      </c>
      <c r="T373" s="83">
        <f t="shared" si="112"/>
        <v>0</v>
      </c>
      <c r="U373" s="9" t="str">
        <f t="shared" si="122"/>
        <v>SEM VALOR</v>
      </c>
      <c r="V373" s="1" t="str">
        <f ca="1">IF(OR($A373=0,$A373="S",$A373&gt;CFF!$A$9),"",MAX(V$12:OFFSET(V373,-1,0))+1)</f>
        <v/>
      </c>
      <c r="W373" s="4" t="str">
        <f t="shared" si="123"/>
        <v>COTAÇÃO-008</v>
      </c>
      <c r="X373" s="1">
        <f t="shared" ca="1" si="113"/>
        <v>58</v>
      </c>
      <c r="Y373" s="103">
        <v>125021.65</v>
      </c>
      <c r="Z373" s="113">
        <f ca="1">ROUND(IF(ISNUMBER(R373),R373,IF(LEFT(R373,3)="BDI",HLOOKUP(R373,DADOS!$T$37:$X$38,2,FALSE),0)),15-11*$X$5)</f>
        <v>0.12470000000000001</v>
      </c>
      <c r="AA373" s="1"/>
    </row>
    <row r="374" spans="1:27" ht="25.5" x14ac:dyDescent="0.2">
      <c r="A374" t="str">
        <f t="shared" si="114"/>
        <v>S</v>
      </c>
      <c r="B374">
        <f t="shared" si="115"/>
        <v>0</v>
      </c>
      <c r="C374">
        <f t="shared" ca="1" si="116"/>
        <v>1</v>
      </c>
      <c r="D374">
        <f t="shared" ca="1" si="117"/>
        <v>12</v>
      </c>
      <c r="E374">
        <f t="shared" ca="1" si="118"/>
        <v>1</v>
      </c>
      <c r="F374">
        <f t="shared" ca="1" si="119"/>
        <v>0</v>
      </c>
      <c r="G374">
        <f t="shared" ca="1" si="120"/>
        <v>5</v>
      </c>
      <c r="H374">
        <f t="shared" ca="1" si="109"/>
        <v>0</v>
      </c>
      <c r="I374">
        <f t="shared" ca="1" si="110"/>
        <v>0</v>
      </c>
      <c r="J374" s="355" t="s">
        <v>103</v>
      </c>
      <c r="K374" s="138" t="str">
        <f t="shared" ca="1" si="121"/>
        <v>1.12.1.0.5.</v>
      </c>
      <c r="L374" s="356" t="s">
        <v>370</v>
      </c>
      <c r="M374" s="356" t="s">
        <v>532</v>
      </c>
      <c r="N374" s="360" t="s">
        <v>897</v>
      </c>
      <c r="O374" s="362" t="s">
        <v>951</v>
      </c>
      <c r="P374" s="363">
        <v>1</v>
      </c>
      <c r="Q374" s="195"/>
      <c r="R374" s="198" t="s">
        <v>8</v>
      </c>
      <c r="S374" s="103">
        <f t="shared" si="111"/>
        <v>0</v>
      </c>
      <c r="T374" s="83">
        <f t="shared" si="112"/>
        <v>0</v>
      </c>
      <c r="U374" s="9" t="str">
        <f t="shared" si="122"/>
        <v>SEM VALOR</v>
      </c>
      <c r="V374" s="1" t="str">
        <f ca="1">IF(OR($A374=0,$A374="S",$A374&gt;CFF!$A$9),"",MAX(V$12:OFFSET(V374,-1,0))+1)</f>
        <v/>
      </c>
      <c r="W374" s="4" t="str">
        <f t="shared" si="123"/>
        <v>COTAÇÃO-013</v>
      </c>
      <c r="X374" s="1">
        <f t="shared" ca="1" si="113"/>
        <v>63</v>
      </c>
      <c r="Y374" s="103">
        <v>48024.69</v>
      </c>
      <c r="Z374" s="113">
        <f ca="1">ROUND(IF(ISNUMBER(R374),R374,IF(LEFT(R374,3)="BDI",HLOOKUP(R374,DADOS!$T$37:$X$38,2,FALSE),0)),15-11*$X$5)</f>
        <v>0.12470000000000001</v>
      </c>
      <c r="AA374" s="1"/>
    </row>
    <row r="375" spans="1:27" ht="25.5" x14ac:dyDescent="0.2">
      <c r="A375" t="str">
        <f t="shared" si="114"/>
        <v>S</v>
      </c>
      <c r="B375">
        <f t="shared" si="115"/>
        <v>0</v>
      </c>
      <c r="C375">
        <f t="shared" ca="1" si="116"/>
        <v>1</v>
      </c>
      <c r="D375">
        <f t="shared" ca="1" si="117"/>
        <v>12</v>
      </c>
      <c r="E375">
        <f t="shared" ca="1" si="118"/>
        <v>1</v>
      </c>
      <c r="F375">
        <f t="shared" ca="1" si="119"/>
        <v>0</v>
      </c>
      <c r="G375">
        <f t="shared" ca="1" si="120"/>
        <v>6</v>
      </c>
      <c r="H375">
        <f t="shared" ca="1" si="109"/>
        <v>0</v>
      </c>
      <c r="I375">
        <f t="shared" ca="1" si="110"/>
        <v>0</v>
      </c>
      <c r="J375" s="355" t="s">
        <v>103</v>
      </c>
      <c r="K375" s="138" t="str">
        <f t="shared" ca="1" si="121"/>
        <v>1.12.1.0.6.</v>
      </c>
      <c r="L375" s="356" t="s">
        <v>370</v>
      </c>
      <c r="M375" s="356" t="s">
        <v>533</v>
      </c>
      <c r="N375" s="360" t="s">
        <v>898</v>
      </c>
      <c r="O375" s="362" t="s">
        <v>951</v>
      </c>
      <c r="P375" s="363">
        <v>1</v>
      </c>
      <c r="Q375" s="195"/>
      <c r="R375" s="198" t="s">
        <v>8</v>
      </c>
      <c r="S375" s="103">
        <f t="shared" si="111"/>
        <v>0</v>
      </c>
      <c r="T375" s="83">
        <f t="shared" si="112"/>
        <v>0</v>
      </c>
      <c r="U375" s="9" t="str">
        <f t="shared" si="122"/>
        <v>SEM VALOR</v>
      </c>
      <c r="V375" s="1" t="str">
        <f ca="1">IF(OR($A375=0,$A375="S",$A375&gt;CFF!$A$9),"",MAX(V$12:OFFSET(V375,-1,0))+1)</f>
        <v/>
      </c>
      <c r="W375" s="4" t="str">
        <f t="shared" si="123"/>
        <v>COTAÇÃO-014</v>
      </c>
      <c r="X375" s="1">
        <f t="shared" ca="1" si="113"/>
        <v>64</v>
      </c>
      <c r="Y375" s="103">
        <v>95262.09</v>
      </c>
      <c r="Z375" s="113">
        <f ca="1">ROUND(IF(ISNUMBER(R375),R375,IF(LEFT(R375,3)="BDI",HLOOKUP(R375,DADOS!$T$37:$X$38,2,FALSE),0)),15-11*$X$5)</f>
        <v>0.12470000000000001</v>
      </c>
      <c r="AA375" s="1"/>
    </row>
    <row r="376" spans="1:27" ht="25.5" x14ac:dyDescent="0.2">
      <c r="A376" t="str">
        <f t="shared" si="114"/>
        <v>S</v>
      </c>
      <c r="B376">
        <f t="shared" si="115"/>
        <v>0</v>
      </c>
      <c r="C376">
        <f t="shared" ca="1" si="116"/>
        <v>1</v>
      </c>
      <c r="D376">
        <f t="shared" ca="1" si="117"/>
        <v>12</v>
      </c>
      <c r="E376">
        <f t="shared" ca="1" si="118"/>
        <v>1</v>
      </c>
      <c r="F376">
        <f t="shared" ca="1" si="119"/>
        <v>0</v>
      </c>
      <c r="G376">
        <f t="shared" ca="1" si="120"/>
        <v>7</v>
      </c>
      <c r="H376">
        <f t="shared" ca="1" si="109"/>
        <v>0</v>
      </c>
      <c r="I376">
        <f t="shared" ca="1" si="110"/>
        <v>0</v>
      </c>
      <c r="J376" s="355" t="s">
        <v>103</v>
      </c>
      <c r="K376" s="138" t="str">
        <f t="shared" ca="1" si="121"/>
        <v>1.12.1.0.7.</v>
      </c>
      <c r="L376" s="356" t="s">
        <v>370</v>
      </c>
      <c r="M376" s="356" t="s">
        <v>534</v>
      </c>
      <c r="N376" s="360" t="s">
        <v>899</v>
      </c>
      <c r="O376" s="362" t="s">
        <v>951</v>
      </c>
      <c r="P376" s="363">
        <v>1</v>
      </c>
      <c r="Q376" s="195"/>
      <c r="R376" s="198" t="s">
        <v>8</v>
      </c>
      <c r="S376" s="103">
        <f t="shared" si="111"/>
        <v>0</v>
      </c>
      <c r="T376" s="83">
        <f t="shared" si="112"/>
        <v>0</v>
      </c>
      <c r="U376" s="9" t="str">
        <f t="shared" si="122"/>
        <v>SEM VALOR</v>
      </c>
      <c r="V376" s="1" t="str">
        <f ca="1">IF(OR($A376=0,$A376="S",$A376&gt;CFF!$A$9),"",MAX(V$12:OFFSET(V376,-1,0))+1)</f>
        <v/>
      </c>
      <c r="W376" s="4" t="str">
        <f t="shared" si="123"/>
        <v>COTAÇÃO-015</v>
      </c>
      <c r="X376" s="1">
        <f t="shared" ca="1" si="113"/>
        <v>65</v>
      </c>
      <c r="Y376" s="103">
        <v>37002.629999999997</v>
      </c>
      <c r="Z376" s="113">
        <f ca="1">ROUND(IF(ISNUMBER(R376),R376,IF(LEFT(R376,3)="BDI",HLOOKUP(R376,DADOS!$T$37:$X$38,2,FALSE),0)),15-11*$X$5)</f>
        <v>0.12470000000000001</v>
      </c>
      <c r="AA376" s="1"/>
    </row>
    <row r="377" spans="1:27" ht="25.5" x14ac:dyDescent="0.2">
      <c r="A377" t="str">
        <f t="shared" si="114"/>
        <v>S</v>
      </c>
      <c r="B377">
        <f t="shared" si="115"/>
        <v>0</v>
      </c>
      <c r="C377">
        <f t="shared" ca="1" si="116"/>
        <v>1</v>
      </c>
      <c r="D377">
        <f t="shared" ca="1" si="117"/>
        <v>12</v>
      </c>
      <c r="E377">
        <f t="shared" ca="1" si="118"/>
        <v>1</v>
      </c>
      <c r="F377">
        <f t="shared" ca="1" si="119"/>
        <v>0</v>
      </c>
      <c r="G377">
        <f t="shared" ca="1" si="120"/>
        <v>8</v>
      </c>
      <c r="H377">
        <f t="shared" ca="1" si="109"/>
        <v>0</v>
      </c>
      <c r="I377">
        <f t="shared" ca="1" si="110"/>
        <v>0</v>
      </c>
      <c r="J377" s="355" t="s">
        <v>103</v>
      </c>
      <c r="K377" s="138" t="str">
        <f t="shared" ca="1" si="121"/>
        <v>1.12.1.0.8.</v>
      </c>
      <c r="L377" s="356" t="s">
        <v>370</v>
      </c>
      <c r="M377" s="356" t="s">
        <v>535</v>
      </c>
      <c r="N377" s="360" t="s">
        <v>900</v>
      </c>
      <c r="O377" s="362" t="s">
        <v>951</v>
      </c>
      <c r="P377" s="363">
        <v>1</v>
      </c>
      <c r="Q377" s="195"/>
      <c r="R377" s="198" t="s">
        <v>8</v>
      </c>
      <c r="S377" s="103">
        <f t="shared" si="111"/>
        <v>0</v>
      </c>
      <c r="T377" s="83">
        <f t="shared" si="112"/>
        <v>0</v>
      </c>
      <c r="U377" s="9" t="str">
        <f t="shared" si="122"/>
        <v>SEM VALOR</v>
      </c>
      <c r="V377" s="1" t="str">
        <f ca="1">IF(OR($A377=0,$A377="S",$A377&gt;CFF!$A$9),"",MAX(V$12:OFFSET(V377,-1,0))+1)</f>
        <v/>
      </c>
      <c r="W377" s="4" t="str">
        <f t="shared" si="123"/>
        <v>COTAÇÃO-016</v>
      </c>
      <c r="X377" s="1">
        <f t="shared" ca="1" si="113"/>
        <v>66</v>
      </c>
      <c r="Y377" s="103">
        <v>37789.919999999998</v>
      </c>
      <c r="Z377" s="113">
        <f ca="1">ROUND(IF(ISNUMBER(R377),R377,IF(LEFT(R377,3)="BDI",HLOOKUP(R377,DADOS!$T$37:$X$38,2,FALSE),0)),15-11*$X$5)</f>
        <v>0.12470000000000001</v>
      </c>
      <c r="AA377" s="1"/>
    </row>
    <row r="378" spans="1:27" x14ac:dyDescent="0.2">
      <c r="A378">
        <f t="shared" si="114"/>
        <v>3</v>
      </c>
      <c r="B378">
        <f t="shared" ca="1" si="115"/>
        <v>19</v>
      </c>
      <c r="C378">
        <f t="shared" ca="1" si="116"/>
        <v>1</v>
      </c>
      <c r="D378">
        <f t="shared" ca="1" si="117"/>
        <v>12</v>
      </c>
      <c r="E378">
        <f t="shared" ca="1" si="118"/>
        <v>2</v>
      </c>
      <c r="F378">
        <f t="shared" ca="1" si="119"/>
        <v>0</v>
      </c>
      <c r="G378">
        <f t="shared" ca="1" si="120"/>
        <v>0</v>
      </c>
      <c r="H378">
        <f t="shared" ca="1" si="109"/>
        <v>35</v>
      </c>
      <c r="I378">
        <f t="shared" ca="1" si="110"/>
        <v>19</v>
      </c>
      <c r="J378" s="355" t="s">
        <v>101</v>
      </c>
      <c r="K378" s="138" t="str">
        <f t="shared" ca="1" si="121"/>
        <v>1.12.2.</v>
      </c>
      <c r="L378" s="356" t="s">
        <v>370</v>
      </c>
      <c r="M378" s="356"/>
      <c r="N378" s="360" t="s">
        <v>611</v>
      </c>
      <c r="O378" s="362" t="s">
        <v>106</v>
      </c>
      <c r="P378" s="363"/>
      <c r="Q378" s="195"/>
      <c r="R378" s="198" t="s">
        <v>8</v>
      </c>
      <c r="S378" s="103">
        <f t="shared" si="111"/>
        <v>0</v>
      </c>
      <c r="T378" s="83">
        <f t="shared" ca="1" si="112"/>
        <v>0</v>
      </c>
      <c r="U378" s="9" t="str">
        <f t="shared" ca="1" si="122"/>
        <v>SEM VALOR</v>
      </c>
      <c r="V378" s="1" t="str">
        <f ca="1">IF(OR($A378=0,$A378="S",$A378&gt;CFF!$A$9),"",MAX(V$12:OFFSET(V378,-1,0))+1)</f>
        <v/>
      </c>
      <c r="W378" s="4" t="b">
        <f t="shared" si="123"/>
        <v>0</v>
      </c>
      <c r="X378" s="1" t="str">
        <f t="shared" ca="1" si="113"/>
        <v>X</v>
      </c>
      <c r="Y378" s="103">
        <v>0</v>
      </c>
      <c r="Z378" s="113">
        <f ca="1">ROUND(IF(ISNUMBER(R378),R378,IF(LEFT(R378,3)="BDI",HLOOKUP(R378,DADOS!$T$37:$X$38,2,FALSE),0)),15-11*$X$5)</f>
        <v>0.12470000000000001</v>
      </c>
      <c r="AA378" s="1"/>
    </row>
    <row r="379" spans="1:27" x14ac:dyDescent="0.2">
      <c r="A379" t="str">
        <f t="shared" si="114"/>
        <v>S</v>
      </c>
      <c r="B379">
        <f t="shared" si="115"/>
        <v>0</v>
      </c>
      <c r="C379">
        <f t="shared" ca="1" si="116"/>
        <v>1</v>
      </c>
      <c r="D379">
        <f t="shared" ca="1" si="117"/>
        <v>12</v>
      </c>
      <c r="E379">
        <f t="shared" ca="1" si="118"/>
        <v>2</v>
      </c>
      <c r="F379">
        <f t="shared" ca="1" si="119"/>
        <v>0</v>
      </c>
      <c r="G379">
        <f t="shared" ca="1" si="120"/>
        <v>1</v>
      </c>
      <c r="H379">
        <f t="shared" ca="1" si="109"/>
        <v>0</v>
      </c>
      <c r="I379">
        <f t="shared" ca="1" si="110"/>
        <v>0</v>
      </c>
      <c r="J379" s="355" t="s">
        <v>103</v>
      </c>
      <c r="K379" s="138" t="str">
        <f t="shared" ca="1" si="121"/>
        <v>1.12.2.0.1.</v>
      </c>
      <c r="L379" s="356" t="s">
        <v>370</v>
      </c>
      <c r="M379" s="356" t="s">
        <v>536</v>
      </c>
      <c r="N379" s="360" t="s">
        <v>901</v>
      </c>
      <c r="O379" s="362" t="s">
        <v>940</v>
      </c>
      <c r="P379" s="363">
        <v>250</v>
      </c>
      <c r="Q379" s="195"/>
      <c r="R379" s="198" t="s">
        <v>8</v>
      </c>
      <c r="S379" s="103">
        <f t="shared" si="111"/>
        <v>0</v>
      </c>
      <c r="T379" s="83">
        <f t="shared" si="112"/>
        <v>0</v>
      </c>
      <c r="U379" s="9" t="str">
        <f t="shared" si="122"/>
        <v>SEM VALOR</v>
      </c>
      <c r="V379" s="1" t="str">
        <f ca="1">IF(OR($A379=0,$A379="S",$A379&gt;CFF!$A$9),"",MAX(V$12:OFFSET(V379,-1,0))+1)</f>
        <v/>
      </c>
      <c r="W379" s="4" t="str">
        <f t="shared" si="123"/>
        <v>COTAÇÃO-017</v>
      </c>
      <c r="X379" s="1">
        <f t="shared" ca="1" si="113"/>
        <v>67</v>
      </c>
      <c r="Y379" s="103">
        <v>614.09</v>
      </c>
      <c r="Z379" s="113">
        <f ca="1">ROUND(IF(ISNUMBER(R379),R379,IF(LEFT(R379,3)="BDI",HLOOKUP(R379,DADOS!$T$37:$X$38,2,FALSE),0)),15-11*$X$5)</f>
        <v>0.12470000000000001</v>
      </c>
      <c r="AA379" s="1"/>
    </row>
    <row r="380" spans="1:27" x14ac:dyDescent="0.2">
      <c r="A380" t="str">
        <f t="shared" si="114"/>
        <v>S</v>
      </c>
      <c r="B380">
        <f t="shared" si="115"/>
        <v>0</v>
      </c>
      <c r="C380">
        <f t="shared" ca="1" si="116"/>
        <v>1</v>
      </c>
      <c r="D380">
        <f t="shared" ca="1" si="117"/>
        <v>12</v>
      </c>
      <c r="E380">
        <f t="shared" ca="1" si="118"/>
        <v>2</v>
      </c>
      <c r="F380">
        <f t="shared" ca="1" si="119"/>
        <v>0</v>
      </c>
      <c r="G380">
        <f t="shared" ca="1" si="120"/>
        <v>2</v>
      </c>
      <c r="H380">
        <f t="shared" ca="1" si="109"/>
        <v>0</v>
      </c>
      <c r="I380">
        <f t="shared" ca="1" si="110"/>
        <v>0</v>
      </c>
      <c r="J380" s="355" t="s">
        <v>103</v>
      </c>
      <c r="K380" s="138" t="str">
        <f t="shared" ca="1" si="121"/>
        <v>1.12.2.0.2.</v>
      </c>
      <c r="L380" s="356" t="s">
        <v>235</v>
      </c>
      <c r="M380" s="356" t="s">
        <v>537</v>
      </c>
      <c r="N380" s="360" t="s">
        <v>902</v>
      </c>
      <c r="O380" s="362" t="s">
        <v>956</v>
      </c>
      <c r="P380" s="363">
        <v>256</v>
      </c>
      <c r="Q380" s="195"/>
      <c r="R380" s="198" t="s">
        <v>8</v>
      </c>
      <c r="S380" s="103">
        <f t="shared" si="111"/>
        <v>0</v>
      </c>
      <c r="T380" s="83">
        <f t="shared" si="112"/>
        <v>0</v>
      </c>
      <c r="U380" s="9" t="str">
        <f t="shared" si="122"/>
        <v>SEM VALOR</v>
      </c>
      <c r="V380" s="1" t="str">
        <f ca="1">IF(OR($A380=0,$A380="S",$A380&gt;CFF!$A$9),"",MAX(V$12:OFFSET(V380,-1,0))+1)</f>
        <v/>
      </c>
      <c r="W380" s="4" t="str">
        <f t="shared" si="123"/>
        <v>PM BENTO-33</v>
      </c>
      <c r="X380" s="1">
        <f t="shared" ca="1" si="113"/>
        <v>39</v>
      </c>
      <c r="Y380" s="103">
        <v>30.66</v>
      </c>
      <c r="Z380" s="113">
        <f ca="1">ROUND(IF(ISNUMBER(R380),R380,IF(LEFT(R380,3)="BDI",HLOOKUP(R380,DADOS!$T$37:$X$38,2,FALSE),0)),15-11*$X$5)</f>
        <v>0.12470000000000001</v>
      </c>
      <c r="AA380" s="1"/>
    </row>
    <row r="381" spans="1:27" x14ac:dyDescent="0.2">
      <c r="A381" t="str">
        <f t="shared" si="114"/>
        <v>S</v>
      </c>
      <c r="B381">
        <f t="shared" si="115"/>
        <v>0</v>
      </c>
      <c r="C381">
        <f t="shared" ca="1" si="116"/>
        <v>1</v>
      </c>
      <c r="D381">
        <f t="shared" ca="1" si="117"/>
        <v>12</v>
      </c>
      <c r="E381">
        <f t="shared" ca="1" si="118"/>
        <v>2</v>
      </c>
      <c r="F381">
        <f t="shared" ca="1" si="119"/>
        <v>0</v>
      </c>
      <c r="G381">
        <f t="shared" ca="1" si="120"/>
        <v>3</v>
      </c>
      <c r="H381">
        <f t="shared" ca="1" si="109"/>
        <v>0</v>
      </c>
      <c r="I381">
        <f t="shared" ca="1" si="110"/>
        <v>0</v>
      </c>
      <c r="J381" s="355" t="s">
        <v>103</v>
      </c>
      <c r="K381" s="138" t="str">
        <f t="shared" ca="1" si="121"/>
        <v>1.12.2.0.3.</v>
      </c>
      <c r="L381" s="356" t="s">
        <v>370</v>
      </c>
      <c r="M381" s="356" t="s">
        <v>538</v>
      </c>
      <c r="N381" s="360" t="s">
        <v>903</v>
      </c>
      <c r="O381" s="362" t="s">
        <v>951</v>
      </c>
      <c r="P381" s="363">
        <v>15</v>
      </c>
      <c r="Q381" s="195"/>
      <c r="R381" s="198" t="s">
        <v>8</v>
      </c>
      <c r="S381" s="103">
        <f t="shared" si="111"/>
        <v>0</v>
      </c>
      <c r="T381" s="83">
        <f t="shared" si="112"/>
        <v>0</v>
      </c>
      <c r="U381" s="9" t="str">
        <f t="shared" si="122"/>
        <v>SEM VALOR</v>
      </c>
      <c r="V381" s="1" t="str">
        <f ca="1">IF(OR($A381=0,$A381="S",$A381&gt;CFF!$A$9),"",MAX(V$12:OFFSET(V381,-1,0))+1)</f>
        <v/>
      </c>
      <c r="W381" s="4" t="str">
        <f t="shared" si="123"/>
        <v>COTAÇÃO-018</v>
      </c>
      <c r="X381" s="1">
        <f t="shared" ca="1" si="113"/>
        <v>68</v>
      </c>
      <c r="Y381" s="103">
        <v>1133.7</v>
      </c>
      <c r="Z381" s="113">
        <f ca="1">ROUND(IF(ISNUMBER(R381),R381,IF(LEFT(R381,3)="BDI",HLOOKUP(R381,DADOS!$T$37:$X$38,2,FALSE),0)),15-11*$X$5)</f>
        <v>0.12470000000000001</v>
      </c>
      <c r="AA381" s="1"/>
    </row>
    <row r="382" spans="1:27" x14ac:dyDescent="0.2">
      <c r="A382" t="str">
        <f t="shared" si="114"/>
        <v>S</v>
      </c>
      <c r="B382">
        <f t="shared" si="115"/>
        <v>0</v>
      </c>
      <c r="C382">
        <f t="shared" ca="1" si="116"/>
        <v>1</v>
      </c>
      <c r="D382">
        <f t="shared" ca="1" si="117"/>
        <v>12</v>
      </c>
      <c r="E382">
        <f t="shared" ca="1" si="118"/>
        <v>2</v>
      </c>
      <c r="F382">
        <f t="shared" ca="1" si="119"/>
        <v>0</v>
      </c>
      <c r="G382">
        <f t="shared" ca="1" si="120"/>
        <v>4</v>
      </c>
      <c r="H382">
        <f t="shared" ca="1" si="109"/>
        <v>0</v>
      </c>
      <c r="I382">
        <f t="shared" ca="1" si="110"/>
        <v>0</v>
      </c>
      <c r="J382" s="355" t="s">
        <v>103</v>
      </c>
      <c r="K382" s="138" t="str">
        <f t="shared" ca="1" si="121"/>
        <v>1.12.2.0.4.</v>
      </c>
      <c r="L382" s="356" t="s">
        <v>370</v>
      </c>
      <c r="M382" s="356" t="s">
        <v>539</v>
      </c>
      <c r="N382" s="360" t="s">
        <v>904</v>
      </c>
      <c r="O382" s="362" t="s">
        <v>951</v>
      </c>
      <c r="P382" s="363">
        <v>12</v>
      </c>
      <c r="Q382" s="195"/>
      <c r="R382" s="198" t="s">
        <v>8</v>
      </c>
      <c r="S382" s="103">
        <f t="shared" si="111"/>
        <v>0</v>
      </c>
      <c r="T382" s="83">
        <f t="shared" si="112"/>
        <v>0</v>
      </c>
      <c r="U382" s="9" t="str">
        <f t="shared" si="122"/>
        <v>SEM VALOR</v>
      </c>
      <c r="V382" s="1" t="str">
        <f ca="1">IF(OR($A382=0,$A382="S",$A382&gt;CFF!$A$9),"",MAX(V$12:OFFSET(V382,-1,0))+1)</f>
        <v/>
      </c>
      <c r="W382" s="4" t="str">
        <f t="shared" si="123"/>
        <v>COTAÇÃO-019</v>
      </c>
      <c r="X382" s="1">
        <f t="shared" ca="1" si="113"/>
        <v>69</v>
      </c>
      <c r="Y382" s="103">
        <v>1354.14</v>
      </c>
      <c r="Z382" s="113">
        <f ca="1">ROUND(IF(ISNUMBER(R382),R382,IF(LEFT(R382,3)="BDI",HLOOKUP(R382,DADOS!$T$37:$X$38,2,FALSE),0)),15-11*$X$5)</f>
        <v>0.12470000000000001</v>
      </c>
      <c r="AA382" s="1"/>
    </row>
    <row r="383" spans="1:27" x14ac:dyDescent="0.2">
      <c r="A383" t="str">
        <f t="shared" si="114"/>
        <v>S</v>
      </c>
      <c r="B383">
        <f t="shared" si="115"/>
        <v>0</v>
      </c>
      <c r="C383">
        <f t="shared" ca="1" si="116"/>
        <v>1</v>
      </c>
      <c r="D383">
        <f t="shared" ca="1" si="117"/>
        <v>12</v>
      </c>
      <c r="E383">
        <f t="shared" ca="1" si="118"/>
        <v>2</v>
      </c>
      <c r="F383">
        <f t="shared" ca="1" si="119"/>
        <v>0</v>
      </c>
      <c r="G383">
        <f t="shared" ca="1" si="120"/>
        <v>5</v>
      </c>
      <c r="H383">
        <f t="shared" ca="1" si="109"/>
        <v>0</v>
      </c>
      <c r="I383">
        <f t="shared" ca="1" si="110"/>
        <v>0</v>
      </c>
      <c r="J383" s="355" t="s">
        <v>103</v>
      </c>
      <c r="K383" s="138" t="str">
        <f t="shared" ca="1" si="121"/>
        <v>1.12.2.0.5.</v>
      </c>
      <c r="L383" s="356" t="s">
        <v>370</v>
      </c>
      <c r="M383" s="356" t="s">
        <v>540</v>
      </c>
      <c r="N383" s="360" t="s">
        <v>905</v>
      </c>
      <c r="O383" s="362" t="s">
        <v>951</v>
      </c>
      <c r="P383" s="363">
        <v>2</v>
      </c>
      <c r="Q383" s="195"/>
      <c r="R383" s="198" t="s">
        <v>8</v>
      </c>
      <c r="S383" s="103">
        <f t="shared" si="111"/>
        <v>0</v>
      </c>
      <c r="T383" s="83">
        <f t="shared" si="112"/>
        <v>0</v>
      </c>
      <c r="U383" s="9" t="str">
        <f t="shared" si="122"/>
        <v>SEM VALOR</v>
      </c>
      <c r="V383" s="1" t="str">
        <f ca="1">IF(OR($A383=0,$A383="S",$A383&gt;CFF!$A$9),"",MAX(V$12:OFFSET(V383,-1,0))+1)</f>
        <v/>
      </c>
      <c r="W383" s="4" t="str">
        <f t="shared" si="123"/>
        <v>COTAÇÃO-020</v>
      </c>
      <c r="X383" s="1">
        <f t="shared" ca="1" si="113"/>
        <v>70</v>
      </c>
      <c r="Y383" s="103">
        <v>740.05</v>
      </c>
      <c r="Z383" s="113">
        <f ca="1">ROUND(IF(ISNUMBER(R383),R383,IF(LEFT(R383,3)="BDI",HLOOKUP(R383,DADOS!$T$37:$X$38,2,FALSE),0)),15-11*$X$5)</f>
        <v>0.12470000000000001</v>
      </c>
      <c r="AA383" s="1"/>
    </row>
    <row r="384" spans="1:27" x14ac:dyDescent="0.2">
      <c r="A384" t="str">
        <f t="shared" si="114"/>
        <v>S</v>
      </c>
      <c r="B384">
        <f t="shared" si="115"/>
        <v>0</v>
      </c>
      <c r="C384">
        <f t="shared" ca="1" si="116"/>
        <v>1</v>
      </c>
      <c r="D384">
        <f t="shared" ca="1" si="117"/>
        <v>12</v>
      </c>
      <c r="E384">
        <f t="shared" ca="1" si="118"/>
        <v>2</v>
      </c>
      <c r="F384">
        <f t="shared" ca="1" si="119"/>
        <v>0</v>
      </c>
      <c r="G384">
        <f t="shared" ca="1" si="120"/>
        <v>6</v>
      </c>
      <c r="H384">
        <f t="shared" ca="1" si="109"/>
        <v>0</v>
      </c>
      <c r="I384">
        <f t="shared" ca="1" si="110"/>
        <v>0</v>
      </c>
      <c r="J384" s="355" t="s">
        <v>103</v>
      </c>
      <c r="K384" s="138" t="str">
        <f t="shared" ca="1" si="121"/>
        <v>1.12.2.0.6.</v>
      </c>
      <c r="L384" s="356" t="s">
        <v>370</v>
      </c>
      <c r="M384" s="356" t="s">
        <v>541</v>
      </c>
      <c r="N384" s="360" t="s">
        <v>906</v>
      </c>
      <c r="O384" s="362" t="s">
        <v>951</v>
      </c>
      <c r="P384" s="363">
        <v>3</v>
      </c>
      <c r="Q384" s="195"/>
      <c r="R384" s="198" t="s">
        <v>8</v>
      </c>
      <c r="S384" s="103">
        <f t="shared" si="111"/>
        <v>0</v>
      </c>
      <c r="T384" s="83">
        <f t="shared" si="112"/>
        <v>0</v>
      </c>
      <c r="U384" s="9" t="str">
        <f t="shared" si="122"/>
        <v>SEM VALOR</v>
      </c>
      <c r="V384" s="1" t="str">
        <f ca="1">IF(OR($A384=0,$A384="S",$A384&gt;CFF!$A$9),"",MAX(V$12:OFFSET(V384,-1,0))+1)</f>
        <v/>
      </c>
      <c r="W384" s="4" t="str">
        <f t="shared" si="123"/>
        <v>COTAÇÃO-021</v>
      </c>
      <c r="X384" s="1">
        <f t="shared" ca="1" si="113"/>
        <v>71</v>
      </c>
      <c r="Y384" s="103">
        <v>771.54</v>
      </c>
      <c r="Z384" s="113">
        <f ca="1">ROUND(IF(ISNUMBER(R384),R384,IF(LEFT(R384,3)="BDI",HLOOKUP(R384,DADOS!$T$37:$X$38,2,FALSE),0)),15-11*$X$5)</f>
        <v>0.12470000000000001</v>
      </c>
      <c r="AA384" s="1"/>
    </row>
    <row r="385" spans="1:27" x14ac:dyDescent="0.2">
      <c r="A385" t="str">
        <f t="shared" si="114"/>
        <v>S</v>
      </c>
      <c r="B385">
        <f t="shared" si="115"/>
        <v>0</v>
      </c>
      <c r="C385">
        <f t="shared" ca="1" si="116"/>
        <v>1</v>
      </c>
      <c r="D385">
        <f t="shared" ca="1" si="117"/>
        <v>12</v>
      </c>
      <c r="E385">
        <f t="shared" ca="1" si="118"/>
        <v>2</v>
      </c>
      <c r="F385">
        <f t="shared" ca="1" si="119"/>
        <v>0</v>
      </c>
      <c r="G385">
        <f t="shared" ca="1" si="120"/>
        <v>7</v>
      </c>
      <c r="H385">
        <f t="shared" ca="1" si="109"/>
        <v>0</v>
      </c>
      <c r="I385">
        <f t="shared" ca="1" si="110"/>
        <v>0</v>
      </c>
      <c r="J385" s="355" t="s">
        <v>103</v>
      </c>
      <c r="K385" s="138" t="str">
        <f t="shared" ca="1" si="121"/>
        <v>1.12.2.0.7.</v>
      </c>
      <c r="L385" s="356" t="s">
        <v>370</v>
      </c>
      <c r="M385" s="356" t="s">
        <v>542</v>
      </c>
      <c r="N385" s="360" t="s">
        <v>907</v>
      </c>
      <c r="O385" s="362" t="s">
        <v>951</v>
      </c>
      <c r="P385" s="363">
        <v>2</v>
      </c>
      <c r="Q385" s="195"/>
      <c r="R385" s="198" t="s">
        <v>8</v>
      </c>
      <c r="S385" s="103">
        <f t="shared" si="111"/>
        <v>0</v>
      </c>
      <c r="T385" s="83">
        <f t="shared" si="112"/>
        <v>0</v>
      </c>
      <c r="U385" s="9" t="str">
        <f t="shared" si="122"/>
        <v>SEM VALOR</v>
      </c>
      <c r="V385" s="1" t="str">
        <f ca="1">IF(OR($A385=0,$A385="S",$A385&gt;CFF!$A$9),"",MAX(V$12:OFFSET(V385,-1,0))+1)</f>
        <v/>
      </c>
      <c r="W385" s="4" t="str">
        <f t="shared" si="123"/>
        <v>COTAÇÃO-022</v>
      </c>
      <c r="X385" s="1">
        <f t="shared" ca="1" si="113"/>
        <v>72</v>
      </c>
      <c r="Y385" s="103">
        <v>1007.73</v>
      </c>
      <c r="Z385" s="113">
        <f ca="1">ROUND(IF(ISNUMBER(R385),R385,IF(LEFT(R385,3)="BDI",HLOOKUP(R385,DADOS!$T$37:$X$38,2,FALSE),0)),15-11*$X$5)</f>
        <v>0.12470000000000001</v>
      </c>
      <c r="AA385" s="1"/>
    </row>
    <row r="386" spans="1:27" x14ac:dyDescent="0.2">
      <c r="A386" t="str">
        <f t="shared" si="114"/>
        <v>S</v>
      </c>
      <c r="B386">
        <f t="shared" si="115"/>
        <v>0</v>
      </c>
      <c r="C386">
        <f t="shared" ca="1" si="116"/>
        <v>1</v>
      </c>
      <c r="D386">
        <f t="shared" ca="1" si="117"/>
        <v>12</v>
      </c>
      <c r="E386">
        <f t="shared" ca="1" si="118"/>
        <v>2</v>
      </c>
      <c r="F386">
        <f t="shared" ca="1" si="119"/>
        <v>0</v>
      </c>
      <c r="G386">
        <f t="shared" ca="1" si="120"/>
        <v>8</v>
      </c>
      <c r="H386">
        <f t="shared" ca="1" si="109"/>
        <v>0</v>
      </c>
      <c r="I386">
        <f t="shared" ca="1" si="110"/>
        <v>0</v>
      </c>
      <c r="J386" s="355" t="s">
        <v>103</v>
      </c>
      <c r="K386" s="138" t="str">
        <f t="shared" ca="1" si="121"/>
        <v>1.12.2.0.8.</v>
      </c>
      <c r="L386" s="356" t="s">
        <v>370</v>
      </c>
      <c r="M386" s="356" t="s">
        <v>543</v>
      </c>
      <c r="N386" s="360" t="s">
        <v>908</v>
      </c>
      <c r="O386" s="362" t="s">
        <v>951</v>
      </c>
      <c r="P386" s="363">
        <v>18</v>
      </c>
      <c r="Q386" s="195"/>
      <c r="R386" s="198" t="s">
        <v>8</v>
      </c>
      <c r="S386" s="103">
        <f t="shared" si="111"/>
        <v>0</v>
      </c>
      <c r="T386" s="83">
        <f t="shared" si="112"/>
        <v>0</v>
      </c>
      <c r="U386" s="9" t="str">
        <f t="shared" si="122"/>
        <v>SEM VALOR</v>
      </c>
      <c r="V386" s="1" t="str">
        <f ca="1">IF(OR($A386=0,$A386="S",$A386&gt;CFF!$A$9),"",MAX(V$12:OFFSET(V386,-1,0))+1)</f>
        <v/>
      </c>
      <c r="W386" s="4" t="str">
        <f t="shared" si="123"/>
        <v>COTAÇÃO-023</v>
      </c>
      <c r="X386" s="1">
        <f t="shared" ca="1" si="113"/>
        <v>73</v>
      </c>
      <c r="Y386" s="103">
        <v>1070.71</v>
      </c>
      <c r="Z386" s="113">
        <f ca="1">ROUND(IF(ISNUMBER(R386),R386,IF(LEFT(R386,3)="BDI",HLOOKUP(R386,DADOS!$T$37:$X$38,2,FALSE),0)),15-11*$X$5)</f>
        <v>0.12470000000000001</v>
      </c>
      <c r="AA386" s="1"/>
    </row>
    <row r="387" spans="1:27" x14ac:dyDescent="0.2">
      <c r="A387" t="str">
        <f t="shared" si="114"/>
        <v>S</v>
      </c>
      <c r="B387">
        <f t="shared" si="115"/>
        <v>0</v>
      </c>
      <c r="C387">
        <f t="shared" ca="1" si="116"/>
        <v>1</v>
      </c>
      <c r="D387">
        <f t="shared" ca="1" si="117"/>
        <v>12</v>
      </c>
      <c r="E387">
        <f t="shared" ca="1" si="118"/>
        <v>2</v>
      </c>
      <c r="F387">
        <f t="shared" ca="1" si="119"/>
        <v>0</v>
      </c>
      <c r="G387">
        <f t="shared" ca="1" si="120"/>
        <v>9</v>
      </c>
      <c r="H387">
        <f t="shared" ca="1" si="109"/>
        <v>0</v>
      </c>
      <c r="I387">
        <f t="shared" ca="1" si="110"/>
        <v>0</v>
      </c>
      <c r="J387" s="355" t="s">
        <v>103</v>
      </c>
      <c r="K387" s="138" t="str">
        <f t="shared" ca="1" si="121"/>
        <v>1.12.2.0.9.</v>
      </c>
      <c r="L387" s="356" t="s">
        <v>370</v>
      </c>
      <c r="M387" s="356" t="s">
        <v>544</v>
      </c>
      <c r="N387" s="360" t="s">
        <v>909</v>
      </c>
      <c r="O387" s="362" t="s">
        <v>951</v>
      </c>
      <c r="P387" s="363">
        <v>9</v>
      </c>
      <c r="Q387" s="195"/>
      <c r="R387" s="198" t="s">
        <v>8</v>
      </c>
      <c r="S387" s="103">
        <f t="shared" si="111"/>
        <v>0</v>
      </c>
      <c r="T387" s="83">
        <f t="shared" si="112"/>
        <v>0</v>
      </c>
      <c r="U387" s="9" t="str">
        <f t="shared" si="122"/>
        <v>SEM VALOR</v>
      </c>
      <c r="V387" s="1" t="str">
        <f ca="1">IF(OR($A387=0,$A387="S",$A387&gt;CFF!$A$9),"",MAX(V$12:OFFSET(V387,-1,0))+1)</f>
        <v/>
      </c>
      <c r="W387" s="4" t="str">
        <f t="shared" si="123"/>
        <v>COTAÇÃO-024</v>
      </c>
      <c r="X387" s="1">
        <f t="shared" ca="1" si="113"/>
        <v>74</v>
      </c>
      <c r="Y387" s="103">
        <v>850.27</v>
      </c>
      <c r="Z387" s="113">
        <f ca="1">ROUND(IF(ISNUMBER(R387),R387,IF(LEFT(R387,3)="BDI",HLOOKUP(R387,DADOS!$T$37:$X$38,2,FALSE),0)),15-11*$X$5)</f>
        <v>0.12470000000000001</v>
      </c>
      <c r="AA387" s="1"/>
    </row>
    <row r="388" spans="1:27" x14ac:dyDescent="0.2">
      <c r="A388" t="str">
        <f t="shared" si="114"/>
        <v>S</v>
      </c>
      <c r="B388">
        <f t="shared" si="115"/>
        <v>0</v>
      </c>
      <c r="C388">
        <f t="shared" ca="1" si="116"/>
        <v>1</v>
      </c>
      <c r="D388">
        <f t="shared" ca="1" si="117"/>
        <v>12</v>
      </c>
      <c r="E388">
        <f t="shared" ca="1" si="118"/>
        <v>2</v>
      </c>
      <c r="F388">
        <f t="shared" ca="1" si="119"/>
        <v>0</v>
      </c>
      <c r="G388">
        <f t="shared" ca="1" si="120"/>
        <v>10</v>
      </c>
      <c r="H388">
        <f t="shared" ca="1" si="109"/>
        <v>0</v>
      </c>
      <c r="I388">
        <f t="shared" ca="1" si="110"/>
        <v>0</v>
      </c>
      <c r="J388" s="355" t="s">
        <v>103</v>
      </c>
      <c r="K388" s="138" t="str">
        <f t="shared" ca="1" si="121"/>
        <v>1.12.2.0.10.</v>
      </c>
      <c r="L388" s="356" t="s">
        <v>370</v>
      </c>
      <c r="M388" s="356" t="s">
        <v>545</v>
      </c>
      <c r="N388" s="360" t="s">
        <v>910</v>
      </c>
      <c r="O388" s="362" t="s">
        <v>951</v>
      </c>
      <c r="P388" s="363">
        <v>1</v>
      </c>
      <c r="Q388" s="195"/>
      <c r="R388" s="198" t="s">
        <v>8</v>
      </c>
      <c r="S388" s="103">
        <f t="shared" si="111"/>
        <v>0</v>
      </c>
      <c r="T388" s="83">
        <f t="shared" si="112"/>
        <v>0</v>
      </c>
      <c r="U388" s="9" t="str">
        <f t="shared" si="122"/>
        <v>SEM VALOR</v>
      </c>
      <c r="V388" s="1" t="str">
        <f ca="1">IF(OR($A388=0,$A388="S",$A388&gt;CFF!$A$9),"",MAX(V$12:OFFSET(V388,-1,0))+1)</f>
        <v/>
      </c>
      <c r="W388" s="4" t="str">
        <f t="shared" si="123"/>
        <v>COTAÇÃO-025</v>
      </c>
      <c r="X388" s="1">
        <f t="shared" ca="1" si="113"/>
        <v>75</v>
      </c>
      <c r="Y388" s="103">
        <v>551.1</v>
      </c>
      <c r="Z388" s="113">
        <f ca="1">ROUND(IF(ISNUMBER(R388),R388,IF(LEFT(R388,3)="BDI",HLOOKUP(R388,DADOS!$T$37:$X$38,2,FALSE),0)),15-11*$X$5)</f>
        <v>0.12470000000000001</v>
      </c>
      <c r="AA388" s="1"/>
    </row>
    <row r="389" spans="1:27" x14ac:dyDescent="0.2">
      <c r="A389" t="str">
        <f t="shared" si="114"/>
        <v>S</v>
      </c>
      <c r="B389">
        <f t="shared" si="115"/>
        <v>0</v>
      </c>
      <c r="C389">
        <f t="shared" ca="1" si="116"/>
        <v>1</v>
      </c>
      <c r="D389">
        <f t="shared" ca="1" si="117"/>
        <v>12</v>
      </c>
      <c r="E389">
        <f t="shared" ca="1" si="118"/>
        <v>2</v>
      </c>
      <c r="F389">
        <f t="shared" ca="1" si="119"/>
        <v>0</v>
      </c>
      <c r="G389">
        <f t="shared" ca="1" si="120"/>
        <v>11</v>
      </c>
      <c r="H389">
        <f t="shared" ca="1" si="109"/>
        <v>0</v>
      </c>
      <c r="I389">
        <f t="shared" ca="1" si="110"/>
        <v>0</v>
      </c>
      <c r="J389" s="355" t="s">
        <v>103</v>
      </c>
      <c r="K389" s="138" t="str">
        <f t="shared" ca="1" si="121"/>
        <v>1.12.2.0.11.</v>
      </c>
      <c r="L389" s="356" t="s">
        <v>370</v>
      </c>
      <c r="M389" s="356" t="s">
        <v>546</v>
      </c>
      <c r="N389" s="360" t="s">
        <v>911</v>
      </c>
      <c r="O389" s="362" t="s">
        <v>951</v>
      </c>
      <c r="P389" s="363">
        <v>1</v>
      </c>
      <c r="Q389" s="195"/>
      <c r="R389" s="198" t="s">
        <v>8</v>
      </c>
      <c r="S389" s="103">
        <f t="shared" si="111"/>
        <v>0</v>
      </c>
      <c r="T389" s="83">
        <f t="shared" si="112"/>
        <v>0</v>
      </c>
      <c r="U389" s="9" t="str">
        <f t="shared" si="122"/>
        <v>SEM VALOR</v>
      </c>
      <c r="V389" s="1" t="str">
        <f ca="1">IF(OR($A389=0,$A389="S",$A389&gt;CFF!$A$9),"",MAX(V$12:OFFSET(V389,-1,0))+1)</f>
        <v/>
      </c>
      <c r="W389" s="4" t="str">
        <f t="shared" si="123"/>
        <v>COTAÇÃO-026</v>
      </c>
      <c r="X389" s="1">
        <f t="shared" ca="1" si="113"/>
        <v>76</v>
      </c>
      <c r="Y389" s="103">
        <v>566.85</v>
      </c>
      <c r="Z389" s="113">
        <f ca="1">ROUND(IF(ISNUMBER(R389),R389,IF(LEFT(R389,3)="BDI",HLOOKUP(R389,DADOS!$T$37:$X$38,2,FALSE),0)),15-11*$X$5)</f>
        <v>0.12470000000000001</v>
      </c>
      <c r="AA389" s="1"/>
    </row>
    <row r="390" spans="1:27" x14ac:dyDescent="0.2">
      <c r="A390" t="str">
        <f t="shared" si="114"/>
        <v>S</v>
      </c>
      <c r="B390">
        <f t="shared" si="115"/>
        <v>0</v>
      </c>
      <c r="C390">
        <f t="shared" ca="1" si="116"/>
        <v>1</v>
      </c>
      <c r="D390">
        <f t="shared" ca="1" si="117"/>
        <v>12</v>
      </c>
      <c r="E390">
        <f t="shared" ca="1" si="118"/>
        <v>2</v>
      </c>
      <c r="F390">
        <f t="shared" ca="1" si="119"/>
        <v>0</v>
      </c>
      <c r="G390">
        <f t="shared" ca="1" si="120"/>
        <v>12</v>
      </c>
      <c r="H390">
        <f t="shared" ca="1" si="109"/>
        <v>0</v>
      </c>
      <c r="I390">
        <f t="shared" ca="1" si="110"/>
        <v>0</v>
      </c>
      <c r="J390" s="355" t="s">
        <v>103</v>
      </c>
      <c r="K390" s="138" t="str">
        <f t="shared" ca="1" si="121"/>
        <v>1.12.2.0.12.</v>
      </c>
      <c r="L390" s="356" t="s">
        <v>370</v>
      </c>
      <c r="M390" s="356" t="s">
        <v>547</v>
      </c>
      <c r="N390" s="360" t="s">
        <v>912</v>
      </c>
      <c r="O390" s="362" t="s">
        <v>951</v>
      </c>
      <c r="P390" s="363">
        <v>1</v>
      </c>
      <c r="Q390" s="195"/>
      <c r="R390" s="198" t="s">
        <v>8</v>
      </c>
      <c r="S390" s="103">
        <f t="shared" si="111"/>
        <v>0</v>
      </c>
      <c r="T390" s="83">
        <f t="shared" si="112"/>
        <v>0</v>
      </c>
      <c r="U390" s="9" t="str">
        <f t="shared" si="122"/>
        <v>SEM VALOR</v>
      </c>
      <c r="V390" s="1" t="str">
        <f ca="1">IF(OR($A390=0,$A390="S",$A390&gt;CFF!$A$9),"",MAX(V$12:OFFSET(V390,-1,0))+1)</f>
        <v/>
      </c>
      <c r="W390" s="4" t="str">
        <f t="shared" si="123"/>
        <v>COTAÇÃO-027</v>
      </c>
      <c r="X390" s="1">
        <f t="shared" ca="1" si="113"/>
        <v>77</v>
      </c>
      <c r="Y390" s="103">
        <v>645.58000000000004</v>
      </c>
      <c r="Z390" s="113">
        <f ca="1">ROUND(IF(ISNUMBER(R390),R390,IF(LEFT(R390,3)="BDI",HLOOKUP(R390,DADOS!$T$37:$X$38,2,FALSE),0)),15-11*$X$5)</f>
        <v>0.12470000000000001</v>
      </c>
      <c r="AA390" s="1"/>
    </row>
    <row r="391" spans="1:27" x14ac:dyDescent="0.2">
      <c r="A391" t="str">
        <f t="shared" si="114"/>
        <v>S</v>
      </c>
      <c r="B391">
        <f t="shared" si="115"/>
        <v>0</v>
      </c>
      <c r="C391">
        <f t="shared" ca="1" si="116"/>
        <v>1</v>
      </c>
      <c r="D391">
        <f t="shared" ca="1" si="117"/>
        <v>12</v>
      </c>
      <c r="E391">
        <f t="shared" ca="1" si="118"/>
        <v>2</v>
      </c>
      <c r="F391">
        <f t="shared" ca="1" si="119"/>
        <v>0</v>
      </c>
      <c r="G391">
        <f t="shared" ca="1" si="120"/>
        <v>13</v>
      </c>
      <c r="H391">
        <f t="shared" ca="1" si="109"/>
        <v>0</v>
      </c>
      <c r="I391">
        <f t="shared" ca="1" si="110"/>
        <v>0</v>
      </c>
      <c r="J391" s="355" t="s">
        <v>103</v>
      </c>
      <c r="K391" s="138" t="str">
        <f t="shared" ca="1" si="121"/>
        <v>1.12.2.0.13.</v>
      </c>
      <c r="L391" s="356" t="s">
        <v>370</v>
      </c>
      <c r="M391" s="356" t="s">
        <v>548</v>
      </c>
      <c r="N391" s="360" t="s">
        <v>913</v>
      </c>
      <c r="O391" s="362" t="s">
        <v>951</v>
      </c>
      <c r="P391" s="363">
        <v>1</v>
      </c>
      <c r="Q391" s="195"/>
      <c r="R391" s="198" t="s">
        <v>8</v>
      </c>
      <c r="S391" s="103">
        <f t="shared" si="111"/>
        <v>0</v>
      </c>
      <c r="T391" s="83">
        <f t="shared" si="112"/>
        <v>0</v>
      </c>
      <c r="U391" s="9" t="str">
        <f t="shared" si="122"/>
        <v>SEM VALOR</v>
      </c>
      <c r="V391" s="1" t="str">
        <f ca="1">IF(OR($A391=0,$A391="S",$A391&gt;CFF!$A$9),"",MAX(V$12:OFFSET(V391,-1,0))+1)</f>
        <v/>
      </c>
      <c r="W391" s="4" t="str">
        <f t="shared" si="123"/>
        <v>COTAÇÃO-028</v>
      </c>
      <c r="X391" s="1">
        <f t="shared" ca="1" si="113"/>
        <v>78</v>
      </c>
      <c r="Y391" s="103">
        <v>692.82</v>
      </c>
      <c r="Z391" s="113">
        <f ca="1">ROUND(IF(ISNUMBER(R391),R391,IF(LEFT(R391,3)="BDI",HLOOKUP(R391,DADOS!$T$37:$X$38,2,FALSE),0)),15-11*$X$5)</f>
        <v>0.12470000000000001</v>
      </c>
      <c r="AA391" s="1"/>
    </row>
    <row r="392" spans="1:27" x14ac:dyDescent="0.2">
      <c r="A392" t="str">
        <f t="shared" si="114"/>
        <v>S</v>
      </c>
      <c r="B392">
        <f t="shared" si="115"/>
        <v>0</v>
      </c>
      <c r="C392">
        <f t="shared" ca="1" si="116"/>
        <v>1</v>
      </c>
      <c r="D392">
        <f t="shared" ca="1" si="117"/>
        <v>12</v>
      </c>
      <c r="E392">
        <f t="shared" ca="1" si="118"/>
        <v>2</v>
      </c>
      <c r="F392">
        <f t="shared" ca="1" si="119"/>
        <v>0</v>
      </c>
      <c r="G392">
        <f t="shared" ca="1" si="120"/>
        <v>14</v>
      </c>
      <c r="H392">
        <f t="shared" ca="1" si="109"/>
        <v>0</v>
      </c>
      <c r="I392">
        <f t="shared" ca="1" si="110"/>
        <v>0</v>
      </c>
      <c r="J392" s="355" t="s">
        <v>103</v>
      </c>
      <c r="K392" s="138" t="str">
        <f t="shared" ca="1" si="121"/>
        <v>1.12.2.0.14.</v>
      </c>
      <c r="L392" s="356" t="s">
        <v>370</v>
      </c>
      <c r="M392" s="356" t="s">
        <v>549</v>
      </c>
      <c r="N392" s="360" t="s">
        <v>914</v>
      </c>
      <c r="O392" s="362" t="s">
        <v>951</v>
      </c>
      <c r="P392" s="363">
        <v>1</v>
      </c>
      <c r="Q392" s="195"/>
      <c r="R392" s="198" t="s">
        <v>8</v>
      </c>
      <c r="S392" s="103">
        <f t="shared" si="111"/>
        <v>0</v>
      </c>
      <c r="T392" s="83">
        <f t="shared" si="112"/>
        <v>0</v>
      </c>
      <c r="U392" s="9" t="str">
        <f t="shared" si="122"/>
        <v>SEM VALOR</v>
      </c>
      <c r="V392" s="1" t="str">
        <f ca="1">IF(OR($A392=0,$A392="S",$A392&gt;CFF!$A$9),"",MAX(V$12:OFFSET(V392,-1,0))+1)</f>
        <v/>
      </c>
      <c r="W392" s="4" t="str">
        <f t="shared" si="123"/>
        <v>COTAÇÃO-009</v>
      </c>
      <c r="X392" s="1">
        <f t="shared" ca="1" si="113"/>
        <v>59</v>
      </c>
      <c r="Y392" s="103">
        <v>5038.66</v>
      </c>
      <c r="Z392" s="113">
        <f ca="1">ROUND(IF(ISNUMBER(R392),R392,IF(LEFT(R392,3)="BDI",HLOOKUP(R392,DADOS!$T$37:$X$38,2,FALSE),0)),15-11*$X$5)</f>
        <v>0.12470000000000001</v>
      </c>
      <c r="AA392" s="1"/>
    </row>
    <row r="393" spans="1:27" x14ac:dyDescent="0.2">
      <c r="A393" t="str">
        <f t="shared" si="114"/>
        <v>S</v>
      </c>
      <c r="B393">
        <f t="shared" si="115"/>
        <v>0</v>
      </c>
      <c r="C393">
        <f t="shared" ca="1" si="116"/>
        <v>1</v>
      </c>
      <c r="D393">
        <f t="shared" ca="1" si="117"/>
        <v>12</v>
      </c>
      <c r="E393">
        <f t="shared" ca="1" si="118"/>
        <v>2</v>
      </c>
      <c r="F393">
        <f t="shared" ca="1" si="119"/>
        <v>0</v>
      </c>
      <c r="G393">
        <f t="shared" ca="1" si="120"/>
        <v>15</v>
      </c>
      <c r="H393">
        <f t="shared" ca="1" si="109"/>
        <v>0</v>
      </c>
      <c r="I393">
        <f t="shared" ca="1" si="110"/>
        <v>0</v>
      </c>
      <c r="J393" s="355" t="s">
        <v>103</v>
      </c>
      <c r="K393" s="138" t="str">
        <f t="shared" ca="1" si="121"/>
        <v>1.12.2.0.15.</v>
      </c>
      <c r="L393" s="356" t="s">
        <v>370</v>
      </c>
      <c r="M393" s="356" t="s">
        <v>550</v>
      </c>
      <c r="N393" s="360" t="s">
        <v>915</v>
      </c>
      <c r="O393" s="362" t="s">
        <v>951</v>
      </c>
      <c r="P393" s="363">
        <v>2</v>
      </c>
      <c r="Q393" s="195"/>
      <c r="R393" s="198" t="s">
        <v>8</v>
      </c>
      <c r="S393" s="103">
        <f t="shared" si="111"/>
        <v>0</v>
      </c>
      <c r="T393" s="83">
        <f t="shared" si="112"/>
        <v>0</v>
      </c>
      <c r="U393" s="9" t="str">
        <f t="shared" si="122"/>
        <v>SEM VALOR</v>
      </c>
      <c r="V393" s="1" t="str">
        <f ca="1">IF(OR($A393=0,$A393="S",$A393&gt;CFF!$A$9),"",MAX(V$12:OFFSET(V393,-1,0))+1)</f>
        <v/>
      </c>
      <c r="W393" s="4" t="str">
        <f t="shared" si="123"/>
        <v>COTAÇÃO-010</v>
      </c>
      <c r="X393" s="1">
        <f t="shared" ca="1" si="113"/>
        <v>60</v>
      </c>
      <c r="Y393" s="103">
        <v>4723.74</v>
      </c>
      <c r="Z393" s="113">
        <f ca="1">ROUND(IF(ISNUMBER(R393),R393,IF(LEFT(R393,3)="BDI",HLOOKUP(R393,DADOS!$T$37:$X$38,2,FALSE),0)),15-11*$X$5)</f>
        <v>0.12470000000000001</v>
      </c>
      <c r="AA393" s="1"/>
    </row>
    <row r="394" spans="1:27" x14ac:dyDescent="0.2">
      <c r="A394" t="str">
        <f t="shared" si="114"/>
        <v>S</v>
      </c>
      <c r="B394">
        <f t="shared" si="115"/>
        <v>0</v>
      </c>
      <c r="C394">
        <f t="shared" ca="1" si="116"/>
        <v>1</v>
      </c>
      <c r="D394">
        <f t="shared" ca="1" si="117"/>
        <v>12</v>
      </c>
      <c r="E394">
        <f t="shared" ca="1" si="118"/>
        <v>2</v>
      </c>
      <c r="F394">
        <f t="shared" ca="1" si="119"/>
        <v>0</v>
      </c>
      <c r="G394">
        <f t="shared" ca="1" si="120"/>
        <v>16</v>
      </c>
      <c r="H394">
        <f t="shared" ca="1" si="109"/>
        <v>0</v>
      </c>
      <c r="I394">
        <f t="shared" ca="1" si="110"/>
        <v>0</v>
      </c>
      <c r="J394" s="355" t="s">
        <v>103</v>
      </c>
      <c r="K394" s="138" t="str">
        <f t="shared" ca="1" si="121"/>
        <v>1.12.2.0.16.</v>
      </c>
      <c r="L394" s="356" t="s">
        <v>370</v>
      </c>
      <c r="M394" s="356" t="s">
        <v>551</v>
      </c>
      <c r="N394" s="360" t="s">
        <v>916</v>
      </c>
      <c r="O394" s="362" t="s">
        <v>951</v>
      </c>
      <c r="P394" s="363">
        <v>1</v>
      </c>
      <c r="Q394" s="195"/>
      <c r="R394" s="198" t="s">
        <v>8</v>
      </c>
      <c r="S394" s="103">
        <f t="shared" si="111"/>
        <v>0</v>
      </c>
      <c r="T394" s="83">
        <f t="shared" si="112"/>
        <v>0</v>
      </c>
      <c r="U394" s="9" t="str">
        <f t="shared" si="122"/>
        <v>SEM VALOR</v>
      </c>
      <c r="V394" s="1" t="str">
        <f ca="1">IF(OR($A394=0,$A394="S",$A394&gt;CFF!$A$9),"",MAX(V$12:OFFSET(V394,-1,0))+1)</f>
        <v/>
      </c>
      <c r="W394" s="4" t="str">
        <f t="shared" si="123"/>
        <v>COTAÇÃO-011</v>
      </c>
      <c r="X394" s="1">
        <f t="shared" ca="1" si="113"/>
        <v>61</v>
      </c>
      <c r="Y394" s="103">
        <v>4251.37</v>
      </c>
      <c r="Z394" s="113">
        <f ca="1">ROUND(IF(ISNUMBER(R394),R394,IF(LEFT(R394,3)="BDI",HLOOKUP(R394,DADOS!$T$37:$X$38,2,FALSE),0)),15-11*$X$5)</f>
        <v>0.12470000000000001</v>
      </c>
      <c r="AA394" s="1"/>
    </row>
    <row r="395" spans="1:27" x14ac:dyDescent="0.2">
      <c r="A395" t="str">
        <f t="shared" si="114"/>
        <v>S</v>
      </c>
      <c r="B395">
        <f t="shared" si="115"/>
        <v>0</v>
      </c>
      <c r="C395">
        <f t="shared" ca="1" si="116"/>
        <v>1</v>
      </c>
      <c r="D395">
        <f t="shared" ca="1" si="117"/>
        <v>12</v>
      </c>
      <c r="E395">
        <f t="shared" ca="1" si="118"/>
        <v>2</v>
      </c>
      <c r="F395">
        <f t="shared" ca="1" si="119"/>
        <v>0</v>
      </c>
      <c r="G395">
        <f t="shared" ca="1" si="120"/>
        <v>17</v>
      </c>
      <c r="H395">
        <f t="shared" ca="1" si="109"/>
        <v>0</v>
      </c>
      <c r="I395">
        <f t="shared" ca="1" si="110"/>
        <v>0</v>
      </c>
      <c r="J395" s="355" t="s">
        <v>103</v>
      </c>
      <c r="K395" s="138" t="str">
        <f t="shared" ca="1" si="121"/>
        <v>1.12.2.0.17.</v>
      </c>
      <c r="L395" s="356" t="s">
        <v>370</v>
      </c>
      <c r="M395" s="356" t="s">
        <v>552</v>
      </c>
      <c r="N395" s="360" t="s">
        <v>917</v>
      </c>
      <c r="O395" s="362" t="s">
        <v>951</v>
      </c>
      <c r="P395" s="363">
        <v>1</v>
      </c>
      <c r="Q395" s="195"/>
      <c r="R395" s="198" t="s">
        <v>8</v>
      </c>
      <c r="S395" s="103">
        <f t="shared" si="111"/>
        <v>0</v>
      </c>
      <c r="T395" s="83">
        <f t="shared" si="112"/>
        <v>0</v>
      </c>
      <c r="U395" s="9" t="str">
        <f t="shared" si="122"/>
        <v>SEM VALOR</v>
      </c>
      <c r="V395" s="1" t="str">
        <f ca="1">IF(OR($A395=0,$A395="S",$A395&gt;CFF!$A$9),"",MAX(V$12:OFFSET(V395,-1,0))+1)</f>
        <v/>
      </c>
      <c r="W395" s="4" t="str">
        <f t="shared" si="123"/>
        <v>COTAÇÃO-012</v>
      </c>
      <c r="X395" s="1">
        <f t="shared" ca="1" si="113"/>
        <v>62</v>
      </c>
      <c r="Y395" s="103">
        <v>3936.45</v>
      </c>
      <c r="Z395" s="113">
        <f ca="1">ROUND(IF(ISNUMBER(R395),R395,IF(LEFT(R395,3)="BDI",HLOOKUP(R395,DADOS!$T$37:$X$38,2,FALSE),0)),15-11*$X$5)</f>
        <v>0.12470000000000001</v>
      </c>
      <c r="AA395" s="1"/>
    </row>
    <row r="396" spans="1:27" ht="25.5" x14ac:dyDescent="0.2">
      <c r="A396" t="str">
        <f t="shared" si="114"/>
        <v>S</v>
      </c>
      <c r="B396">
        <f t="shared" si="115"/>
        <v>0</v>
      </c>
      <c r="C396">
        <f t="shared" ca="1" si="116"/>
        <v>1</v>
      </c>
      <c r="D396">
        <f t="shared" ca="1" si="117"/>
        <v>12</v>
      </c>
      <c r="E396">
        <f t="shared" ca="1" si="118"/>
        <v>2</v>
      </c>
      <c r="F396">
        <f t="shared" ca="1" si="119"/>
        <v>0</v>
      </c>
      <c r="G396">
        <f t="shared" ca="1" si="120"/>
        <v>18</v>
      </c>
      <c r="H396">
        <f t="shared" ca="1" si="109"/>
        <v>0</v>
      </c>
      <c r="I396">
        <f t="shared" ca="1" si="110"/>
        <v>0</v>
      </c>
      <c r="J396" s="355" t="s">
        <v>103</v>
      </c>
      <c r="K396" s="138" t="str">
        <f t="shared" ca="1" si="121"/>
        <v>1.12.2.0.18.</v>
      </c>
      <c r="L396" s="356" t="s">
        <v>370</v>
      </c>
      <c r="M396" s="356" t="s">
        <v>553</v>
      </c>
      <c r="N396" s="360" t="s">
        <v>918</v>
      </c>
      <c r="O396" s="362" t="s">
        <v>951</v>
      </c>
      <c r="P396" s="363">
        <v>1</v>
      </c>
      <c r="Q396" s="195"/>
      <c r="R396" s="198" t="s">
        <v>8</v>
      </c>
      <c r="S396" s="103">
        <f t="shared" si="111"/>
        <v>0</v>
      </c>
      <c r="T396" s="83">
        <f t="shared" si="112"/>
        <v>0</v>
      </c>
      <c r="U396" s="9" t="str">
        <f t="shared" si="122"/>
        <v>SEM VALOR</v>
      </c>
      <c r="V396" s="1" t="str">
        <f ca="1">IF(OR($A396=0,$A396="S",$A396&gt;CFF!$A$9),"",MAX(V$12:OFFSET(V396,-1,0))+1)</f>
        <v/>
      </c>
      <c r="W396" s="4" t="str">
        <f t="shared" si="123"/>
        <v>COTAÇÃO-029</v>
      </c>
      <c r="X396" s="1">
        <f t="shared" ca="1" si="113"/>
        <v>79</v>
      </c>
      <c r="Y396" s="103">
        <v>8345.27</v>
      </c>
      <c r="Z396" s="113">
        <f ca="1">ROUND(IF(ISNUMBER(R396),R396,IF(LEFT(R396,3)="BDI",HLOOKUP(R396,DADOS!$T$37:$X$38,2,FALSE),0)),15-11*$X$5)</f>
        <v>0.12470000000000001</v>
      </c>
      <c r="AA396" s="1"/>
    </row>
    <row r="397" spans="1:27" x14ac:dyDescent="0.2">
      <c r="A397">
        <f t="shared" si="114"/>
        <v>3</v>
      </c>
      <c r="B397">
        <f t="shared" ca="1" si="115"/>
        <v>16</v>
      </c>
      <c r="C397">
        <f t="shared" ca="1" si="116"/>
        <v>1</v>
      </c>
      <c r="D397">
        <f t="shared" ca="1" si="117"/>
        <v>12</v>
      </c>
      <c r="E397">
        <f t="shared" ca="1" si="118"/>
        <v>3</v>
      </c>
      <c r="F397">
        <f t="shared" ca="1" si="119"/>
        <v>0</v>
      </c>
      <c r="G397">
        <f t="shared" ca="1" si="120"/>
        <v>0</v>
      </c>
      <c r="H397">
        <f t="shared" ref="H397:H421" ca="1" si="124">IF(OR($A397="S",$A397=0),0,MATCH(0,OFFSET($B397,1,$A397,ROW($A$422)-ROW($A397)),0))</f>
        <v>16</v>
      </c>
      <c r="I397" t="e">
        <f t="shared" ref="I397:I421" ca="1" si="125">IF(OR($A397="S",$A397=0),0,MATCH(OFFSET($B397,0,$A397)+1,OFFSET($B397,1,$A397,ROW($A$422)-ROW($A397)),0))</f>
        <v>#N/A</v>
      </c>
      <c r="J397" s="355" t="s">
        <v>101</v>
      </c>
      <c r="K397" s="138" t="str">
        <f t="shared" ca="1" si="121"/>
        <v>1.12.3.</v>
      </c>
      <c r="L397" s="356" t="s">
        <v>370</v>
      </c>
      <c r="M397" s="356"/>
      <c r="N397" s="360" t="s">
        <v>612</v>
      </c>
      <c r="O397" s="362" t="s">
        <v>106</v>
      </c>
      <c r="P397" s="363"/>
      <c r="Q397" s="195"/>
      <c r="R397" s="198" t="s">
        <v>8</v>
      </c>
      <c r="S397" s="103">
        <f t="shared" si="111"/>
        <v>0</v>
      </c>
      <c r="T397" s="83">
        <f t="shared" ca="1" si="112"/>
        <v>0</v>
      </c>
      <c r="U397" s="9" t="str">
        <f t="shared" ca="1" si="122"/>
        <v>SEM VALOR</v>
      </c>
      <c r="V397" s="1" t="str">
        <f ca="1">IF(OR($A397=0,$A397="S",$A397&gt;CFF!$A$9),"",MAX(V$12:OFFSET(V397,-1,0))+1)</f>
        <v/>
      </c>
      <c r="W397" s="4" t="b">
        <f t="shared" si="123"/>
        <v>0</v>
      </c>
      <c r="X397" s="1" t="str">
        <f t="shared" ca="1" si="113"/>
        <v>X</v>
      </c>
      <c r="Y397" s="103">
        <v>0</v>
      </c>
      <c r="Z397" s="113">
        <f ca="1">ROUND(IF(ISNUMBER(R397),R397,IF(LEFT(R397,3)="BDI",HLOOKUP(R397,DADOS!$T$37:$X$38,2,FALSE),0)),15-11*$X$5)</f>
        <v>0.12470000000000001</v>
      </c>
      <c r="AA397" s="1"/>
    </row>
    <row r="398" spans="1:27" x14ac:dyDescent="0.2">
      <c r="A398" t="str">
        <f t="shared" si="114"/>
        <v>S</v>
      </c>
      <c r="B398">
        <f t="shared" si="115"/>
        <v>0</v>
      </c>
      <c r="C398">
        <f t="shared" ca="1" si="116"/>
        <v>1</v>
      </c>
      <c r="D398">
        <f t="shared" ca="1" si="117"/>
        <v>12</v>
      </c>
      <c r="E398">
        <f t="shared" ca="1" si="118"/>
        <v>3</v>
      </c>
      <c r="F398">
        <f t="shared" ca="1" si="119"/>
        <v>0</v>
      </c>
      <c r="G398">
        <f t="shared" ca="1" si="120"/>
        <v>1</v>
      </c>
      <c r="H398">
        <f t="shared" ca="1" si="124"/>
        <v>0</v>
      </c>
      <c r="I398">
        <f t="shared" ca="1" si="125"/>
        <v>0</v>
      </c>
      <c r="J398" s="355" t="s">
        <v>103</v>
      </c>
      <c r="K398" s="138" t="str">
        <f t="shared" ca="1" si="121"/>
        <v>1.12.3.0.1.</v>
      </c>
      <c r="L398" s="356" t="s">
        <v>370</v>
      </c>
      <c r="M398" s="356" t="s">
        <v>554</v>
      </c>
      <c r="N398" s="360" t="s">
        <v>919</v>
      </c>
      <c r="O398" s="362" t="s">
        <v>945</v>
      </c>
      <c r="P398" s="363">
        <v>40</v>
      </c>
      <c r="Q398" s="195"/>
      <c r="R398" s="198" t="s">
        <v>8</v>
      </c>
      <c r="S398" s="103">
        <f t="shared" si="111"/>
        <v>0</v>
      </c>
      <c r="T398" s="83">
        <f t="shared" si="112"/>
        <v>0</v>
      </c>
      <c r="U398" s="9" t="str">
        <f t="shared" si="122"/>
        <v>SEM VALOR</v>
      </c>
      <c r="V398" s="1" t="str">
        <f ca="1">IF(OR($A398=0,$A398="S",$A398&gt;CFF!$A$9),"",MAX(V$12:OFFSET(V398,-1,0))+1)</f>
        <v/>
      </c>
      <c r="W398" s="4" t="str">
        <f t="shared" si="123"/>
        <v>COTAÇÃO-030</v>
      </c>
      <c r="X398" s="1">
        <f t="shared" ca="1" si="113"/>
        <v>80</v>
      </c>
      <c r="Y398" s="103">
        <v>314.92</v>
      </c>
      <c r="Z398" s="113">
        <f ca="1">ROUND(IF(ISNUMBER(R398),R398,IF(LEFT(R398,3)="BDI",HLOOKUP(R398,DADOS!$T$37:$X$38,2,FALSE),0)),15-11*$X$5)</f>
        <v>0.12470000000000001</v>
      </c>
      <c r="AA398" s="1"/>
    </row>
    <row r="399" spans="1:27" x14ac:dyDescent="0.2">
      <c r="A399" t="str">
        <f t="shared" si="114"/>
        <v>S</v>
      </c>
      <c r="B399">
        <f t="shared" si="115"/>
        <v>0</v>
      </c>
      <c r="C399">
        <f t="shared" ca="1" si="116"/>
        <v>1</v>
      </c>
      <c r="D399">
        <f t="shared" ca="1" si="117"/>
        <v>12</v>
      </c>
      <c r="E399">
        <f t="shared" ca="1" si="118"/>
        <v>3</v>
      </c>
      <c r="F399">
        <f t="shared" ca="1" si="119"/>
        <v>0</v>
      </c>
      <c r="G399">
        <f t="shared" ca="1" si="120"/>
        <v>2</v>
      </c>
      <c r="H399">
        <f t="shared" ca="1" si="124"/>
        <v>0</v>
      </c>
      <c r="I399">
        <f t="shared" ca="1" si="125"/>
        <v>0</v>
      </c>
      <c r="J399" s="355" t="s">
        <v>103</v>
      </c>
      <c r="K399" s="138" t="str">
        <f t="shared" ca="1" si="121"/>
        <v>1.12.3.0.2.</v>
      </c>
      <c r="L399" s="356" t="s">
        <v>370</v>
      </c>
      <c r="M399" s="356" t="s">
        <v>555</v>
      </c>
      <c r="N399" s="360" t="s">
        <v>920</v>
      </c>
      <c r="O399" s="362" t="s">
        <v>945</v>
      </c>
      <c r="P399" s="363">
        <v>8</v>
      </c>
      <c r="Q399" s="195"/>
      <c r="R399" s="198" t="s">
        <v>8</v>
      </c>
      <c r="S399" s="103">
        <f t="shared" si="111"/>
        <v>0</v>
      </c>
      <c r="T399" s="83">
        <f t="shared" si="112"/>
        <v>0</v>
      </c>
      <c r="U399" s="9" t="str">
        <f t="shared" si="122"/>
        <v>SEM VALOR</v>
      </c>
      <c r="V399" s="1" t="str">
        <f ca="1">IF(OR($A399=0,$A399="S",$A399&gt;CFF!$A$9),"",MAX(V$12:OFFSET(V399,-1,0))+1)</f>
        <v/>
      </c>
      <c r="W399" s="4" t="str">
        <f t="shared" si="123"/>
        <v>COTAÇÃO-031</v>
      </c>
      <c r="X399" s="1">
        <f t="shared" ca="1" si="113"/>
        <v>81</v>
      </c>
      <c r="Y399" s="103">
        <v>314.92</v>
      </c>
      <c r="Z399" s="113">
        <f ca="1">ROUND(IF(ISNUMBER(R399),R399,IF(LEFT(R399,3)="BDI",HLOOKUP(R399,DADOS!$T$37:$X$38,2,FALSE),0)),15-11*$X$5)</f>
        <v>0.12470000000000001</v>
      </c>
      <c r="AA399" s="1"/>
    </row>
    <row r="400" spans="1:27" x14ac:dyDescent="0.2">
      <c r="A400" t="str">
        <f t="shared" si="114"/>
        <v>S</v>
      </c>
      <c r="B400">
        <f t="shared" si="115"/>
        <v>0</v>
      </c>
      <c r="C400">
        <f t="shared" ca="1" si="116"/>
        <v>1</v>
      </c>
      <c r="D400">
        <f t="shared" ca="1" si="117"/>
        <v>12</v>
      </c>
      <c r="E400">
        <f t="shared" ca="1" si="118"/>
        <v>3</v>
      </c>
      <c r="F400">
        <f t="shared" ca="1" si="119"/>
        <v>0</v>
      </c>
      <c r="G400">
        <f t="shared" ca="1" si="120"/>
        <v>3</v>
      </c>
      <c r="H400">
        <f t="shared" ca="1" si="124"/>
        <v>0</v>
      </c>
      <c r="I400">
        <f t="shared" ca="1" si="125"/>
        <v>0</v>
      </c>
      <c r="J400" s="355" t="s">
        <v>103</v>
      </c>
      <c r="K400" s="138" t="str">
        <f t="shared" ca="1" si="121"/>
        <v>1.12.3.0.3.</v>
      </c>
      <c r="L400" s="356" t="s">
        <v>370</v>
      </c>
      <c r="M400" s="356" t="s">
        <v>556</v>
      </c>
      <c r="N400" s="360" t="s">
        <v>921</v>
      </c>
      <c r="O400" s="362" t="s">
        <v>945</v>
      </c>
      <c r="P400" s="363">
        <v>26</v>
      </c>
      <c r="Q400" s="195"/>
      <c r="R400" s="198" t="s">
        <v>8</v>
      </c>
      <c r="S400" s="103">
        <f t="shared" si="111"/>
        <v>0</v>
      </c>
      <c r="T400" s="83">
        <f t="shared" si="112"/>
        <v>0</v>
      </c>
      <c r="U400" s="9" t="str">
        <f t="shared" si="122"/>
        <v>SEM VALOR</v>
      </c>
      <c r="V400" s="1" t="str">
        <f ca="1">IF(OR($A400=0,$A400="S",$A400&gt;CFF!$A$9),"",MAX(V$12:OFFSET(V400,-1,0))+1)</f>
        <v/>
      </c>
      <c r="W400" s="4" t="str">
        <f t="shared" si="123"/>
        <v>COTAÇÃO-032</v>
      </c>
      <c r="X400" s="1">
        <f t="shared" ca="1" si="113"/>
        <v>82</v>
      </c>
      <c r="Y400" s="103">
        <v>330.66</v>
      </c>
      <c r="Z400" s="113">
        <f ca="1">ROUND(IF(ISNUMBER(R400),R400,IF(LEFT(R400,3)="BDI",HLOOKUP(R400,DADOS!$T$37:$X$38,2,FALSE),0)),15-11*$X$5)</f>
        <v>0.12470000000000001</v>
      </c>
      <c r="AA400" s="1"/>
    </row>
    <row r="401" spans="1:27" x14ac:dyDescent="0.2">
      <c r="A401" t="str">
        <f t="shared" si="114"/>
        <v>S</v>
      </c>
      <c r="B401">
        <f t="shared" si="115"/>
        <v>0</v>
      </c>
      <c r="C401">
        <f t="shared" ca="1" si="116"/>
        <v>1</v>
      </c>
      <c r="D401">
        <f t="shared" ca="1" si="117"/>
        <v>12</v>
      </c>
      <c r="E401">
        <f t="shared" ca="1" si="118"/>
        <v>3</v>
      </c>
      <c r="F401">
        <f t="shared" ca="1" si="119"/>
        <v>0</v>
      </c>
      <c r="G401">
        <f t="shared" ca="1" si="120"/>
        <v>4</v>
      </c>
      <c r="H401">
        <f t="shared" ca="1" si="124"/>
        <v>0</v>
      </c>
      <c r="I401">
        <f t="shared" ca="1" si="125"/>
        <v>0</v>
      </c>
      <c r="J401" s="355" t="s">
        <v>103</v>
      </c>
      <c r="K401" s="138" t="str">
        <f t="shared" ca="1" si="121"/>
        <v>1.12.3.0.4.</v>
      </c>
      <c r="L401" s="356" t="s">
        <v>370</v>
      </c>
      <c r="M401" s="356" t="s">
        <v>557</v>
      </c>
      <c r="N401" s="360" t="s">
        <v>922</v>
      </c>
      <c r="O401" s="362" t="s">
        <v>945</v>
      </c>
      <c r="P401" s="363">
        <v>14</v>
      </c>
      <c r="Q401" s="195"/>
      <c r="R401" s="198" t="s">
        <v>8</v>
      </c>
      <c r="S401" s="103">
        <f t="shared" si="111"/>
        <v>0</v>
      </c>
      <c r="T401" s="83">
        <f t="shared" si="112"/>
        <v>0</v>
      </c>
      <c r="U401" s="9" t="str">
        <f t="shared" si="122"/>
        <v>SEM VALOR</v>
      </c>
      <c r="V401" s="1" t="str">
        <f ca="1">IF(OR($A401=0,$A401="S",$A401&gt;CFF!$A$9),"",MAX(V$12:OFFSET(V401,-1,0))+1)</f>
        <v/>
      </c>
      <c r="W401" s="4" t="str">
        <f t="shared" si="123"/>
        <v>COTAÇÃO-033</v>
      </c>
      <c r="X401" s="1">
        <f t="shared" ca="1" si="113"/>
        <v>83</v>
      </c>
      <c r="Y401" s="103">
        <v>346.41</v>
      </c>
      <c r="Z401" s="113">
        <f ca="1">ROUND(IF(ISNUMBER(R401),R401,IF(LEFT(R401,3)="BDI",HLOOKUP(R401,DADOS!$T$37:$X$38,2,FALSE),0)),15-11*$X$5)</f>
        <v>0.12470000000000001</v>
      </c>
      <c r="AA401" s="1"/>
    </row>
    <row r="402" spans="1:27" x14ac:dyDescent="0.2">
      <c r="A402" t="str">
        <f t="shared" si="114"/>
        <v>S</v>
      </c>
      <c r="B402">
        <f t="shared" si="115"/>
        <v>0</v>
      </c>
      <c r="C402">
        <f t="shared" ca="1" si="116"/>
        <v>1</v>
      </c>
      <c r="D402">
        <f t="shared" ca="1" si="117"/>
        <v>12</v>
      </c>
      <c r="E402">
        <f t="shared" ca="1" si="118"/>
        <v>3</v>
      </c>
      <c r="F402">
        <f t="shared" ca="1" si="119"/>
        <v>0</v>
      </c>
      <c r="G402">
        <f t="shared" ca="1" si="120"/>
        <v>5</v>
      </c>
      <c r="H402">
        <f t="shared" ca="1" si="124"/>
        <v>0</v>
      </c>
      <c r="I402">
        <f t="shared" ca="1" si="125"/>
        <v>0</v>
      </c>
      <c r="J402" s="355" t="s">
        <v>103</v>
      </c>
      <c r="K402" s="138" t="str">
        <f t="shared" ca="1" si="121"/>
        <v>1.12.3.0.5.</v>
      </c>
      <c r="L402" s="356" t="s">
        <v>370</v>
      </c>
      <c r="M402" s="356" t="s">
        <v>558</v>
      </c>
      <c r="N402" s="360" t="s">
        <v>923</v>
      </c>
      <c r="O402" s="362" t="s">
        <v>945</v>
      </c>
      <c r="P402" s="363">
        <v>8</v>
      </c>
      <c r="Q402" s="195"/>
      <c r="R402" s="198" t="s">
        <v>8</v>
      </c>
      <c r="S402" s="103">
        <f t="shared" si="111"/>
        <v>0</v>
      </c>
      <c r="T402" s="83">
        <f t="shared" si="112"/>
        <v>0</v>
      </c>
      <c r="U402" s="9" t="str">
        <f t="shared" si="122"/>
        <v>SEM VALOR</v>
      </c>
      <c r="V402" s="1" t="str">
        <f ca="1">IF(OR($A402=0,$A402="S",$A402&gt;CFF!$A$9),"",MAX(V$12:OFFSET(V402,-1,0))+1)</f>
        <v/>
      </c>
      <c r="W402" s="4" t="str">
        <f t="shared" si="123"/>
        <v>COTAÇÃO-034</v>
      </c>
      <c r="X402" s="1">
        <f t="shared" ca="1" si="113"/>
        <v>84</v>
      </c>
      <c r="Y402" s="103">
        <v>440.88</v>
      </c>
      <c r="Z402" s="113">
        <f ca="1">ROUND(IF(ISNUMBER(R402),R402,IF(LEFT(R402,3)="BDI",HLOOKUP(R402,DADOS!$T$37:$X$38,2,FALSE),0)),15-11*$X$5)</f>
        <v>0.12470000000000001</v>
      </c>
      <c r="AA402" s="1"/>
    </row>
    <row r="403" spans="1:27" x14ac:dyDescent="0.2">
      <c r="A403" t="str">
        <f t="shared" si="114"/>
        <v>S</v>
      </c>
      <c r="B403">
        <f t="shared" si="115"/>
        <v>0</v>
      </c>
      <c r="C403">
        <f t="shared" ca="1" si="116"/>
        <v>1</v>
      </c>
      <c r="D403">
        <f t="shared" ca="1" si="117"/>
        <v>12</v>
      </c>
      <c r="E403">
        <f t="shared" ca="1" si="118"/>
        <v>3</v>
      </c>
      <c r="F403">
        <f t="shared" ca="1" si="119"/>
        <v>0</v>
      </c>
      <c r="G403">
        <f t="shared" ca="1" si="120"/>
        <v>6</v>
      </c>
      <c r="H403">
        <f t="shared" ca="1" si="124"/>
        <v>0</v>
      </c>
      <c r="I403">
        <f t="shared" ca="1" si="125"/>
        <v>0</v>
      </c>
      <c r="J403" s="355" t="s">
        <v>103</v>
      </c>
      <c r="K403" s="138" t="str">
        <f t="shared" ca="1" si="121"/>
        <v>1.12.3.0.6.</v>
      </c>
      <c r="L403" s="356" t="s">
        <v>370</v>
      </c>
      <c r="M403" s="356" t="s">
        <v>559</v>
      </c>
      <c r="N403" s="360" t="s">
        <v>924</v>
      </c>
      <c r="O403" s="362" t="s">
        <v>945</v>
      </c>
      <c r="P403" s="363">
        <v>40</v>
      </c>
      <c r="Q403" s="195"/>
      <c r="R403" s="198" t="s">
        <v>8</v>
      </c>
      <c r="S403" s="103">
        <f t="shared" si="111"/>
        <v>0</v>
      </c>
      <c r="T403" s="83">
        <f t="shared" si="112"/>
        <v>0</v>
      </c>
      <c r="U403" s="9" t="str">
        <f t="shared" si="122"/>
        <v>SEM VALOR</v>
      </c>
      <c r="V403" s="1" t="str">
        <f ca="1">IF(OR($A403=0,$A403="S",$A403&gt;CFF!$A$9),"",MAX(V$12:OFFSET(V403,-1,0))+1)</f>
        <v/>
      </c>
      <c r="W403" s="4" t="str">
        <f t="shared" si="123"/>
        <v>COTAÇÃO-035</v>
      </c>
      <c r="X403" s="1">
        <f t="shared" ca="1" si="113"/>
        <v>85</v>
      </c>
      <c r="Y403" s="103">
        <v>78.73</v>
      </c>
      <c r="Z403" s="113">
        <f ca="1">ROUND(IF(ISNUMBER(R403),R403,IF(LEFT(R403,3)="BDI",HLOOKUP(R403,DADOS!$T$37:$X$38,2,FALSE),0)),15-11*$X$5)</f>
        <v>0.12470000000000001</v>
      </c>
      <c r="AA403" s="1"/>
    </row>
    <row r="404" spans="1:27" x14ac:dyDescent="0.2">
      <c r="A404" t="str">
        <f t="shared" si="114"/>
        <v>S</v>
      </c>
      <c r="B404">
        <f t="shared" si="115"/>
        <v>0</v>
      </c>
      <c r="C404">
        <f t="shared" ca="1" si="116"/>
        <v>1</v>
      </c>
      <c r="D404">
        <f t="shared" ca="1" si="117"/>
        <v>12</v>
      </c>
      <c r="E404">
        <f t="shared" ca="1" si="118"/>
        <v>3</v>
      </c>
      <c r="F404">
        <f t="shared" ca="1" si="119"/>
        <v>0</v>
      </c>
      <c r="G404">
        <f t="shared" ca="1" si="120"/>
        <v>7</v>
      </c>
      <c r="H404">
        <f t="shared" ca="1" si="124"/>
        <v>0</v>
      </c>
      <c r="I404">
        <f t="shared" ca="1" si="125"/>
        <v>0</v>
      </c>
      <c r="J404" s="355" t="s">
        <v>103</v>
      </c>
      <c r="K404" s="138" t="str">
        <f t="shared" ca="1" si="121"/>
        <v>1.12.3.0.7.</v>
      </c>
      <c r="L404" s="356" t="s">
        <v>370</v>
      </c>
      <c r="M404" s="356" t="s">
        <v>560</v>
      </c>
      <c r="N404" s="360" t="s">
        <v>925</v>
      </c>
      <c r="O404" s="362" t="s">
        <v>945</v>
      </c>
      <c r="P404" s="363">
        <v>8</v>
      </c>
      <c r="Q404" s="195"/>
      <c r="R404" s="198" t="s">
        <v>8</v>
      </c>
      <c r="S404" s="103">
        <f t="shared" si="111"/>
        <v>0</v>
      </c>
      <c r="T404" s="83">
        <f t="shared" si="112"/>
        <v>0</v>
      </c>
      <c r="U404" s="9" t="str">
        <f t="shared" si="122"/>
        <v>SEM VALOR</v>
      </c>
      <c r="V404" s="1" t="str">
        <f ca="1">IF(OR($A404=0,$A404="S",$A404&gt;CFF!$A$9),"",MAX(V$12:OFFSET(V404,-1,0))+1)</f>
        <v/>
      </c>
      <c r="W404" s="4" t="str">
        <f t="shared" si="123"/>
        <v>COTAÇÃO-036</v>
      </c>
      <c r="X404" s="1">
        <f t="shared" ca="1" si="113"/>
        <v>86</v>
      </c>
      <c r="Y404" s="103">
        <v>83.45</v>
      </c>
      <c r="Z404" s="113">
        <f ca="1">ROUND(IF(ISNUMBER(R404),R404,IF(LEFT(R404,3)="BDI",HLOOKUP(R404,DADOS!$T$37:$X$38,2,FALSE),0)),15-11*$X$5)</f>
        <v>0.12470000000000001</v>
      </c>
      <c r="AA404" s="1"/>
    </row>
    <row r="405" spans="1:27" x14ac:dyDescent="0.2">
      <c r="A405" t="str">
        <f t="shared" si="114"/>
        <v>S</v>
      </c>
      <c r="B405">
        <f t="shared" si="115"/>
        <v>0</v>
      </c>
      <c r="C405">
        <f t="shared" ca="1" si="116"/>
        <v>1</v>
      </c>
      <c r="D405">
        <f t="shared" ca="1" si="117"/>
        <v>12</v>
      </c>
      <c r="E405">
        <f t="shared" ca="1" si="118"/>
        <v>3</v>
      </c>
      <c r="F405">
        <f t="shared" ca="1" si="119"/>
        <v>0</v>
      </c>
      <c r="G405">
        <f t="shared" ca="1" si="120"/>
        <v>8</v>
      </c>
      <c r="H405">
        <f t="shared" ca="1" si="124"/>
        <v>0</v>
      </c>
      <c r="I405">
        <f t="shared" ca="1" si="125"/>
        <v>0</v>
      </c>
      <c r="J405" s="355" t="s">
        <v>103</v>
      </c>
      <c r="K405" s="138" t="str">
        <f t="shared" ca="1" si="121"/>
        <v>1.12.3.0.8.</v>
      </c>
      <c r="L405" s="356" t="s">
        <v>370</v>
      </c>
      <c r="M405" s="356" t="s">
        <v>561</v>
      </c>
      <c r="N405" s="360" t="s">
        <v>926</v>
      </c>
      <c r="O405" s="362" t="s">
        <v>945</v>
      </c>
      <c r="P405" s="363">
        <v>26</v>
      </c>
      <c r="Q405" s="195"/>
      <c r="R405" s="198" t="s">
        <v>8</v>
      </c>
      <c r="S405" s="103">
        <f t="shared" si="111"/>
        <v>0</v>
      </c>
      <c r="T405" s="83">
        <f t="shared" si="112"/>
        <v>0</v>
      </c>
      <c r="U405" s="9" t="str">
        <f t="shared" si="122"/>
        <v>SEM VALOR</v>
      </c>
      <c r="V405" s="1" t="str">
        <f ca="1">IF(OR($A405=0,$A405="S",$A405&gt;CFF!$A$9),"",MAX(V$12:OFFSET(V405,-1,0))+1)</f>
        <v/>
      </c>
      <c r="W405" s="4" t="str">
        <f t="shared" si="123"/>
        <v>COTAÇÃO-037</v>
      </c>
      <c r="X405" s="1">
        <f t="shared" ca="1" si="113"/>
        <v>87</v>
      </c>
      <c r="Y405" s="103">
        <v>78.73</v>
      </c>
      <c r="Z405" s="113">
        <f ca="1">ROUND(IF(ISNUMBER(R405),R405,IF(LEFT(R405,3)="BDI",HLOOKUP(R405,DADOS!$T$37:$X$38,2,FALSE),0)),15-11*$X$5)</f>
        <v>0.12470000000000001</v>
      </c>
      <c r="AA405" s="1"/>
    </row>
    <row r="406" spans="1:27" x14ac:dyDescent="0.2">
      <c r="A406" t="str">
        <f t="shared" si="114"/>
        <v>S</v>
      </c>
      <c r="B406">
        <f t="shared" si="115"/>
        <v>0</v>
      </c>
      <c r="C406">
        <f t="shared" ca="1" si="116"/>
        <v>1</v>
      </c>
      <c r="D406">
        <f t="shared" ca="1" si="117"/>
        <v>12</v>
      </c>
      <c r="E406">
        <f t="shared" ca="1" si="118"/>
        <v>3</v>
      </c>
      <c r="F406">
        <f t="shared" ca="1" si="119"/>
        <v>0</v>
      </c>
      <c r="G406">
        <f t="shared" ca="1" si="120"/>
        <v>9</v>
      </c>
      <c r="H406">
        <f t="shared" ca="1" si="124"/>
        <v>0</v>
      </c>
      <c r="I406">
        <f t="shared" ca="1" si="125"/>
        <v>0</v>
      </c>
      <c r="J406" s="355" t="s">
        <v>103</v>
      </c>
      <c r="K406" s="138" t="str">
        <f t="shared" ca="1" si="121"/>
        <v>1.12.3.0.9.</v>
      </c>
      <c r="L406" s="356" t="s">
        <v>370</v>
      </c>
      <c r="M406" s="356" t="s">
        <v>562</v>
      </c>
      <c r="N406" s="360" t="s">
        <v>927</v>
      </c>
      <c r="O406" s="362" t="s">
        <v>945</v>
      </c>
      <c r="P406" s="363">
        <v>14</v>
      </c>
      <c r="Q406" s="195"/>
      <c r="R406" s="198" t="s">
        <v>8</v>
      </c>
      <c r="S406" s="103">
        <f t="shared" si="111"/>
        <v>0</v>
      </c>
      <c r="T406" s="83">
        <f t="shared" si="112"/>
        <v>0</v>
      </c>
      <c r="U406" s="9" t="str">
        <f t="shared" si="122"/>
        <v>SEM VALOR</v>
      </c>
      <c r="V406" s="1" t="str">
        <f ca="1">IF(OR($A406=0,$A406="S",$A406&gt;CFF!$A$9),"",MAX(V$12:OFFSET(V406,-1,0))+1)</f>
        <v/>
      </c>
      <c r="W406" s="4" t="str">
        <f t="shared" si="123"/>
        <v>COTAÇÃO-038</v>
      </c>
      <c r="X406" s="1">
        <f t="shared" ca="1" si="113"/>
        <v>88</v>
      </c>
      <c r="Y406" s="103">
        <v>83.45</v>
      </c>
      <c r="Z406" s="113">
        <f ca="1">ROUND(IF(ISNUMBER(R406),R406,IF(LEFT(R406,3)="BDI",HLOOKUP(R406,DADOS!$T$37:$X$38,2,FALSE),0)),15-11*$X$5)</f>
        <v>0.12470000000000001</v>
      </c>
      <c r="AA406" s="1"/>
    </row>
    <row r="407" spans="1:27" x14ac:dyDescent="0.2">
      <c r="A407" t="str">
        <f t="shared" si="114"/>
        <v>S</v>
      </c>
      <c r="B407">
        <f t="shared" si="115"/>
        <v>0</v>
      </c>
      <c r="C407">
        <f t="shared" ca="1" si="116"/>
        <v>1</v>
      </c>
      <c r="D407">
        <f t="shared" ca="1" si="117"/>
        <v>12</v>
      </c>
      <c r="E407">
        <f t="shared" ca="1" si="118"/>
        <v>3</v>
      </c>
      <c r="F407">
        <f t="shared" ca="1" si="119"/>
        <v>0</v>
      </c>
      <c r="G407">
        <f t="shared" ca="1" si="120"/>
        <v>10</v>
      </c>
      <c r="H407">
        <f t="shared" ca="1" si="124"/>
        <v>0</v>
      </c>
      <c r="I407">
        <f t="shared" ca="1" si="125"/>
        <v>0</v>
      </c>
      <c r="J407" s="355" t="s">
        <v>103</v>
      </c>
      <c r="K407" s="138" t="str">
        <f t="shared" ca="1" si="121"/>
        <v>1.12.3.0.10.</v>
      </c>
      <c r="L407" s="356" t="s">
        <v>370</v>
      </c>
      <c r="M407" s="356" t="s">
        <v>563</v>
      </c>
      <c r="N407" s="360" t="s">
        <v>928</v>
      </c>
      <c r="O407" s="362" t="s">
        <v>945</v>
      </c>
      <c r="P407" s="363">
        <v>8</v>
      </c>
      <c r="Q407" s="195"/>
      <c r="R407" s="198" t="s">
        <v>8</v>
      </c>
      <c r="S407" s="103">
        <f t="shared" si="111"/>
        <v>0</v>
      </c>
      <c r="T407" s="83">
        <f t="shared" si="112"/>
        <v>0</v>
      </c>
      <c r="U407" s="9" t="str">
        <f t="shared" si="122"/>
        <v>SEM VALOR</v>
      </c>
      <c r="V407" s="1" t="str">
        <f ca="1">IF(OR($A407=0,$A407="S",$A407&gt;CFF!$A$9),"",MAX(V$12:OFFSET(V407,-1,0))+1)</f>
        <v/>
      </c>
      <c r="W407" s="4" t="str">
        <f t="shared" si="123"/>
        <v>COTAÇÃO-039</v>
      </c>
      <c r="X407" s="1">
        <f t="shared" ca="1" si="113"/>
        <v>89</v>
      </c>
      <c r="Y407" s="103">
        <v>102.35</v>
      </c>
      <c r="Z407" s="113">
        <f ca="1">ROUND(IF(ISNUMBER(R407),R407,IF(LEFT(R407,3)="BDI",HLOOKUP(R407,DADOS!$T$37:$X$38,2,FALSE),0)),15-11*$X$5)</f>
        <v>0.12470000000000001</v>
      </c>
      <c r="AA407" s="1"/>
    </row>
    <row r="408" spans="1:27" x14ac:dyDescent="0.2">
      <c r="A408" t="str">
        <f t="shared" si="114"/>
        <v>S</v>
      </c>
      <c r="B408">
        <f t="shared" si="115"/>
        <v>0</v>
      </c>
      <c r="C408">
        <f t="shared" ca="1" si="116"/>
        <v>1</v>
      </c>
      <c r="D408">
        <f t="shared" ca="1" si="117"/>
        <v>12</v>
      </c>
      <c r="E408">
        <f t="shared" ca="1" si="118"/>
        <v>3</v>
      </c>
      <c r="F408">
        <f t="shared" ca="1" si="119"/>
        <v>0</v>
      </c>
      <c r="G408">
        <f t="shared" ca="1" si="120"/>
        <v>11</v>
      </c>
      <c r="H408">
        <f t="shared" ca="1" si="124"/>
        <v>0</v>
      </c>
      <c r="I408">
        <f t="shared" ca="1" si="125"/>
        <v>0</v>
      </c>
      <c r="J408" s="355" t="s">
        <v>103</v>
      </c>
      <c r="K408" s="138" t="str">
        <f t="shared" ca="1" si="121"/>
        <v>1.12.3.0.11.</v>
      </c>
      <c r="L408" s="356" t="s">
        <v>370</v>
      </c>
      <c r="M408" s="356" t="s">
        <v>564</v>
      </c>
      <c r="N408" s="360" t="s">
        <v>929</v>
      </c>
      <c r="O408" s="362" t="s">
        <v>947</v>
      </c>
      <c r="P408" s="363">
        <v>6</v>
      </c>
      <c r="Q408" s="195"/>
      <c r="R408" s="198" t="s">
        <v>8</v>
      </c>
      <c r="S408" s="103">
        <f t="shared" si="111"/>
        <v>0</v>
      </c>
      <c r="T408" s="83">
        <f t="shared" si="112"/>
        <v>0</v>
      </c>
      <c r="U408" s="9" t="str">
        <f t="shared" si="122"/>
        <v>SEM VALOR</v>
      </c>
      <c r="V408" s="1" t="str">
        <f ca="1">IF(OR($A408=0,$A408="S",$A408&gt;CFF!$A$9),"",MAX(V$12:OFFSET(V408,-1,0))+1)</f>
        <v/>
      </c>
      <c r="W408" s="4" t="str">
        <f t="shared" si="123"/>
        <v>COTAÇÃO-040</v>
      </c>
      <c r="X408" s="1">
        <f t="shared" ca="1" si="113"/>
        <v>90</v>
      </c>
      <c r="Y408" s="103">
        <v>299.17</v>
      </c>
      <c r="Z408" s="113">
        <f ca="1">ROUND(IF(ISNUMBER(R408),R408,IF(LEFT(R408,3)="BDI",HLOOKUP(R408,DADOS!$T$37:$X$38,2,FALSE),0)),15-11*$X$5)</f>
        <v>0.12470000000000001</v>
      </c>
      <c r="AA408" s="1"/>
    </row>
    <row r="409" spans="1:27" x14ac:dyDescent="0.2">
      <c r="A409" t="str">
        <f t="shared" si="114"/>
        <v>S</v>
      </c>
      <c r="B409">
        <f t="shared" si="115"/>
        <v>0</v>
      </c>
      <c r="C409">
        <f t="shared" ca="1" si="116"/>
        <v>1</v>
      </c>
      <c r="D409">
        <f t="shared" ca="1" si="117"/>
        <v>12</v>
      </c>
      <c r="E409">
        <f t="shared" ca="1" si="118"/>
        <v>3</v>
      </c>
      <c r="F409">
        <f t="shared" ca="1" si="119"/>
        <v>0</v>
      </c>
      <c r="G409">
        <f t="shared" ca="1" si="120"/>
        <v>12</v>
      </c>
      <c r="H409">
        <f t="shared" ca="1" si="124"/>
        <v>0</v>
      </c>
      <c r="I409">
        <f t="shared" ca="1" si="125"/>
        <v>0</v>
      </c>
      <c r="J409" s="355" t="s">
        <v>103</v>
      </c>
      <c r="K409" s="138" t="str">
        <f t="shared" ca="1" si="121"/>
        <v>1.12.3.0.12.</v>
      </c>
      <c r="L409" s="356" t="s">
        <v>370</v>
      </c>
      <c r="M409" s="356" t="s">
        <v>565</v>
      </c>
      <c r="N409" s="360" t="s">
        <v>930</v>
      </c>
      <c r="O409" s="362" t="s">
        <v>952</v>
      </c>
      <c r="P409" s="363">
        <v>40</v>
      </c>
      <c r="Q409" s="195"/>
      <c r="R409" s="198" t="s">
        <v>8</v>
      </c>
      <c r="S409" s="103">
        <f t="shared" si="111"/>
        <v>0</v>
      </c>
      <c r="T409" s="83">
        <f t="shared" si="112"/>
        <v>0</v>
      </c>
      <c r="U409" s="9" t="str">
        <f t="shared" si="122"/>
        <v>SEM VALOR</v>
      </c>
      <c r="V409" s="1" t="str">
        <f ca="1">IF(OR($A409=0,$A409="S",$A409&gt;CFF!$A$9),"",MAX(V$12:OFFSET(V409,-1,0))+1)</f>
        <v/>
      </c>
      <c r="W409" s="4" t="str">
        <f t="shared" si="123"/>
        <v>COTAÇÃO-041</v>
      </c>
      <c r="X409" s="1">
        <f t="shared" ca="1" si="113"/>
        <v>91</v>
      </c>
      <c r="Y409" s="103">
        <v>94.47</v>
      </c>
      <c r="Z409" s="113">
        <f ca="1">ROUND(IF(ISNUMBER(R409),R409,IF(LEFT(R409,3)="BDI",HLOOKUP(R409,DADOS!$T$37:$X$38,2,FALSE),0)),15-11*$X$5)</f>
        <v>0.12470000000000001</v>
      </c>
      <c r="AA409" s="1"/>
    </row>
    <row r="410" spans="1:27" x14ac:dyDescent="0.2">
      <c r="A410" t="str">
        <f t="shared" si="114"/>
        <v>S</v>
      </c>
      <c r="B410">
        <f t="shared" si="115"/>
        <v>0</v>
      </c>
      <c r="C410">
        <f t="shared" ca="1" si="116"/>
        <v>1</v>
      </c>
      <c r="D410">
        <f t="shared" ca="1" si="117"/>
        <v>12</v>
      </c>
      <c r="E410">
        <f t="shared" ca="1" si="118"/>
        <v>3</v>
      </c>
      <c r="F410">
        <f t="shared" ca="1" si="119"/>
        <v>0</v>
      </c>
      <c r="G410">
        <f t="shared" ca="1" si="120"/>
        <v>13</v>
      </c>
      <c r="H410">
        <f t="shared" ca="1" si="124"/>
        <v>0</v>
      </c>
      <c r="I410">
        <f t="shared" ca="1" si="125"/>
        <v>0</v>
      </c>
      <c r="J410" s="355" t="s">
        <v>103</v>
      </c>
      <c r="K410" s="138" t="str">
        <f t="shared" ca="1" si="121"/>
        <v>1.12.3.0.13.</v>
      </c>
      <c r="L410" s="356" t="s">
        <v>370</v>
      </c>
      <c r="M410" s="356" t="s">
        <v>566</v>
      </c>
      <c r="N410" s="360" t="s">
        <v>931</v>
      </c>
      <c r="O410" s="362" t="s">
        <v>949</v>
      </c>
      <c r="P410" s="363">
        <v>20</v>
      </c>
      <c r="Q410" s="195"/>
      <c r="R410" s="198" t="s">
        <v>8</v>
      </c>
      <c r="S410" s="103">
        <f t="shared" si="111"/>
        <v>0</v>
      </c>
      <c r="T410" s="83">
        <f t="shared" si="112"/>
        <v>0</v>
      </c>
      <c r="U410" s="9" t="str">
        <f t="shared" si="122"/>
        <v>SEM VALOR</v>
      </c>
      <c r="V410" s="1" t="str">
        <f ca="1">IF(OR($A410=0,$A410="S",$A410&gt;CFF!$A$9),"",MAX(V$12:OFFSET(V410,-1,0))+1)</f>
        <v/>
      </c>
      <c r="W410" s="4" t="str">
        <f t="shared" si="123"/>
        <v>COTAÇÃO-042</v>
      </c>
      <c r="X410" s="1">
        <f t="shared" ca="1" si="113"/>
        <v>92</v>
      </c>
      <c r="Y410" s="103">
        <v>503.87</v>
      </c>
      <c r="Z410" s="113">
        <f ca="1">ROUND(IF(ISNUMBER(R410),R410,IF(LEFT(R410,3)="BDI",HLOOKUP(R410,DADOS!$T$37:$X$38,2,FALSE),0)),15-11*$X$5)</f>
        <v>0.12470000000000001</v>
      </c>
      <c r="AA410" s="1"/>
    </row>
    <row r="411" spans="1:27" x14ac:dyDescent="0.2">
      <c r="A411" t="str">
        <f t="shared" si="114"/>
        <v>S</v>
      </c>
      <c r="B411">
        <f t="shared" si="115"/>
        <v>0</v>
      </c>
      <c r="C411">
        <f t="shared" ca="1" si="116"/>
        <v>1</v>
      </c>
      <c r="D411">
        <f t="shared" ca="1" si="117"/>
        <v>12</v>
      </c>
      <c r="E411">
        <f t="shared" ca="1" si="118"/>
        <v>3</v>
      </c>
      <c r="F411">
        <f t="shared" ca="1" si="119"/>
        <v>0</v>
      </c>
      <c r="G411">
        <f t="shared" ca="1" si="120"/>
        <v>14</v>
      </c>
      <c r="H411">
        <f t="shared" ca="1" si="124"/>
        <v>0</v>
      </c>
      <c r="I411">
        <f t="shared" ca="1" si="125"/>
        <v>0</v>
      </c>
      <c r="J411" s="355" t="s">
        <v>103</v>
      </c>
      <c r="K411" s="138" t="str">
        <f t="shared" ca="1" si="121"/>
        <v>1.12.3.0.14.</v>
      </c>
      <c r="L411" s="356" t="s">
        <v>370</v>
      </c>
      <c r="M411" s="356" t="s">
        <v>567</v>
      </c>
      <c r="N411" s="360" t="s">
        <v>932</v>
      </c>
      <c r="O411" s="362" t="s">
        <v>951</v>
      </c>
      <c r="P411" s="363">
        <v>12</v>
      </c>
      <c r="Q411" s="195"/>
      <c r="R411" s="198" t="s">
        <v>8</v>
      </c>
      <c r="S411" s="103">
        <f t="shared" si="111"/>
        <v>0</v>
      </c>
      <c r="T411" s="83">
        <f t="shared" si="112"/>
        <v>0</v>
      </c>
      <c r="U411" s="9" t="str">
        <f t="shared" si="122"/>
        <v>SEM VALOR</v>
      </c>
      <c r="V411" s="1" t="str">
        <f ca="1">IF(OR($A411=0,$A411="S",$A411&gt;CFF!$A$9),"",MAX(V$12:OFFSET(V411,-1,0))+1)</f>
        <v/>
      </c>
      <c r="W411" s="4" t="str">
        <f t="shared" si="123"/>
        <v>COTAÇÃO-043</v>
      </c>
      <c r="X411" s="1">
        <f t="shared" ca="1" si="113"/>
        <v>93</v>
      </c>
      <c r="Y411" s="103">
        <v>598.34</v>
      </c>
      <c r="Z411" s="113">
        <f ca="1">ROUND(IF(ISNUMBER(R411),R411,IF(LEFT(R411,3)="BDI",HLOOKUP(R411,DADOS!$T$37:$X$38,2,FALSE),0)),15-11*$X$5)</f>
        <v>0.12470000000000001</v>
      </c>
      <c r="AA411" s="1"/>
    </row>
    <row r="412" spans="1:27" x14ac:dyDescent="0.2">
      <c r="A412" t="str">
        <f t="shared" si="114"/>
        <v>S</v>
      </c>
      <c r="B412">
        <f t="shared" si="115"/>
        <v>0</v>
      </c>
      <c r="C412">
        <f t="shared" ca="1" si="116"/>
        <v>1</v>
      </c>
      <c r="D412">
        <f t="shared" ca="1" si="117"/>
        <v>12</v>
      </c>
      <c r="E412">
        <f t="shared" ca="1" si="118"/>
        <v>3</v>
      </c>
      <c r="F412">
        <f t="shared" ca="1" si="119"/>
        <v>0</v>
      </c>
      <c r="G412">
        <f t="shared" ca="1" si="120"/>
        <v>15</v>
      </c>
      <c r="H412">
        <f t="shared" ca="1" si="124"/>
        <v>0</v>
      </c>
      <c r="I412">
        <f t="shared" ca="1" si="125"/>
        <v>0</v>
      </c>
      <c r="J412" s="355" t="s">
        <v>103</v>
      </c>
      <c r="K412" s="138" t="str">
        <f t="shared" ca="1" si="121"/>
        <v>1.12.3.0.15.</v>
      </c>
      <c r="L412" s="356" t="s">
        <v>370</v>
      </c>
      <c r="M412" s="356" t="s">
        <v>568</v>
      </c>
      <c r="N412" s="360" t="s">
        <v>933</v>
      </c>
      <c r="O412" s="362" t="s">
        <v>945</v>
      </c>
      <c r="P412" s="363">
        <v>200</v>
      </c>
      <c r="Q412" s="195"/>
      <c r="R412" s="198" t="s">
        <v>8</v>
      </c>
      <c r="S412" s="103">
        <f t="shared" si="111"/>
        <v>0</v>
      </c>
      <c r="T412" s="83">
        <f t="shared" si="112"/>
        <v>0</v>
      </c>
      <c r="U412" s="9" t="str">
        <f t="shared" si="122"/>
        <v>SEM VALOR</v>
      </c>
      <c r="V412" s="1" t="str">
        <f ca="1">IF(OR($A412=0,$A412="S",$A412&gt;CFF!$A$9),"",MAX(V$12:OFFSET(V412,-1,0))+1)</f>
        <v/>
      </c>
      <c r="W412" s="4" t="str">
        <f t="shared" si="123"/>
        <v>COTAÇÃO-044</v>
      </c>
      <c r="X412" s="1">
        <f t="shared" ca="1" si="113"/>
        <v>94</v>
      </c>
      <c r="Y412" s="103">
        <v>39.36</v>
      </c>
      <c r="Z412" s="113">
        <f ca="1">ROUND(IF(ISNUMBER(R412),R412,IF(LEFT(R412,3)="BDI",HLOOKUP(R412,DADOS!$T$37:$X$38,2,FALSE),0)),15-11*$X$5)</f>
        <v>0.12470000000000001</v>
      </c>
      <c r="AA412" s="1"/>
    </row>
    <row r="413" spans="1:27" x14ac:dyDescent="0.2">
      <c r="A413">
        <f t="shared" si="114"/>
        <v>2</v>
      </c>
      <c r="B413">
        <f t="shared" ca="1" si="115"/>
        <v>9</v>
      </c>
      <c r="C413">
        <f t="shared" ca="1" si="116"/>
        <v>1</v>
      </c>
      <c r="D413">
        <f t="shared" ca="1" si="117"/>
        <v>13</v>
      </c>
      <c r="E413">
        <f t="shared" ca="1" si="118"/>
        <v>0</v>
      </c>
      <c r="F413">
        <f t="shared" ca="1" si="119"/>
        <v>0</v>
      </c>
      <c r="G413">
        <f t="shared" ca="1" si="120"/>
        <v>0</v>
      </c>
      <c r="H413">
        <f t="shared" ca="1" si="124"/>
        <v>9</v>
      </c>
      <c r="I413" t="e">
        <f t="shared" ca="1" si="125"/>
        <v>#N/A</v>
      </c>
      <c r="J413" s="355" t="s">
        <v>100</v>
      </c>
      <c r="K413" s="138" t="str">
        <f t="shared" ca="1" si="121"/>
        <v>1.13.</v>
      </c>
      <c r="L413" s="356"/>
      <c r="M413" s="356"/>
      <c r="N413" s="360" t="s">
        <v>238</v>
      </c>
      <c r="O413" s="362" t="s">
        <v>106</v>
      </c>
      <c r="P413" s="363"/>
      <c r="Q413" s="195"/>
      <c r="R413" s="198" t="s">
        <v>7</v>
      </c>
      <c r="S413" s="103">
        <f t="shared" si="111"/>
        <v>0</v>
      </c>
      <c r="T413" s="83">
        <f t="shared" ca="1" si="112"/>
        <v>0</v>
      </c>
      <c r="U413" s="9" t="str">
        <f t="shared" ca="1" si="122"/>
        <v>SEM VALOR</v>
      </c>
      <c r="V413" s="1">
        <f ca="1">IF(OR($A413=0,$A413="S",$A413&gt;CFF!$A$9),"",MAX(V$12:OFFSET(V413,-1,0))+1)</f>
        <v>14</v>
      </c>
      <c r="W413" s="4" t="b">
        <f t="shared" si="123"/>
        <v>0</v>
      </c>
      <c r="X413" s="1" t="str">
        <f t="shared" ca="1" si="113"/>
        <v>X</v>
      </c>
      <c r="Y413" s="103">
        <v>0</v>
      </c>
      <c r="Z413" s="113">
        <f ca="1">ROUND(IF(ISNUMBER(R413),R413,IF(LEFT(R413,3)="BDI",HLOOKUP(R413,DADOS!$T$37:$X$38,2,FALSE),0)),15-11*$X$5)</f>
        <v>0.23130000000000001</v>
      </c>
      <c r="AA413" s="1"/>
    </row>
    <row r="414" spans="1:27" x14ac:dyDescent="0.2">
      <c r="A414">
        <f t="shared" si="114"/>
        <v>3</v>
      </c>
      <c r="B414">
        <f t="shared" ca="1" si="115"/>
        <v>4</v>
      </c>
      <c r="C414">
        <f t="shared" ca="1" si="116"/>
        <v>1</v>
      </c>
      <c r="D414">
        <f t="shared" ca="1" si="117"/>
        <v>13</v>
      </c>
      <c r="E414">
        <f t="shared" ca="1" si="118"/>
        <v>1</v>
      </c>
      <c r="F414">
        <f t="shared" ca="1" si="119"/>
        <v>0</v>
      </c>
      <c r="G414">
        <f t="shared" ca="1" si="120"/>
        <v>0</v>
      </c>
      <c r="H414">
        <f t="shared" ca="1" si="124"/>
        <v>8</v>
      </c>
      <c r="I414">
        <f t="shared" ca="1" si="125"/>
        <v>4</v>
      </c>
      <c r="J414" s="355" t="s">
        <v>101</v>
      </c>
      <c r="K414" s="138" t="str">
        <f t="shared" ca="1" si="121"/>
        <v>1.13.1.</v>
      </c>
      <c r="L414" s="356"/>
      <c r="M414" s="356"/>
      <c r="N414" s="360" t="s">
        <v>613</v>
      </c>
      <c r="O414" s="362" t="s">
        <v>106</v>
      </c>
      <c r="P414" s="363"/>
      <c r="Q414" s="195"/>
      <c r="R414" s="198" t="s">
        <v>7</v>
      </c>
      <c r="S414" s="103">
        <f t="shared" si="111"/>
        <v>0</v>
      </c>
      <c r="T414" s="83">
        <f t="shared" ca="1" si="112"/>
        <v>0</v>
      </c>
      <c r="U414" s="9" t="str">
        <f t="shared" ca="1" si="122"/>
        <v>SEM VALOR</v>
      </c>
      <c r="V414" s="1" t="str">
        <f ca="1">IF(OR($A414=0,$A414="S",$A414&gt;CFF!$A$9),"",MAX(V$12:OFFSET(V414,-1,0))+1)</f>
        <v/>
      </c>
      <c r="W414" s="4" t="b">
        <f t="shared" si="123"/>
        <v>0</v>
      </c>
      <c r="X414" s="1" t="str">
        <f t="shared" ca="1" si="113"/>
        <v>X</v>
      </c>
      <c r="Y414" s="103">
        <v>0</v>
      </c>
      <c r="Z414" s="113">
        <f ca="1">ROUND(IF(ISNUMBER(R414),R414,IF(LEFT(R414,3)="BDI",HLOOKUP(R414,DADOS!$T$37:$X$38,2,FALSE),0)),15-11*$X$5)</f>
        <v>0.23130000000000001</v>
      </c>
      <c r="AA414" s="1"/>
    </row>
    <row r="415" spans="1:27" x14ac:dyDescent="0.2">
      <c r="A415" t="str">
        <f t="shared" si="114"/>
        <v>S</v>
      </c>
      <c r="B415">
        <f t="shared" si="115"/>
        <v>0</v>
      </c>
      <c r="C415">
        <f t="shared" ca="1" si="116"/>
        <v>1</v>
      </c>
      <c r="D415">
        <f t="shared" ca="1" si="117"/>
        <v>13</v>
      </c>
      <c r="E415">
        <f t="shared" ca="1" si="118"/>
        <v>1</v>
      </c>
      <c r="F415">
        <f t="shared" ca="1" si="119"/>
        <v>0</v>
      </c>
      <c r="G415">
        <f t="shared" ca="1" si="120"/>
        <v>1</v>
      </c>
      <c r="H415">
        <f t="shared" ca="1" si="124"/>
        <v>0</v>
      </c>
      <c r="I415">
        <f t="shared" ca="1" si="125"/>
        <v>0</v>
      </c>
      <c r="J415" s="355" t="s">
        <v>103</v>
      </c>
      <c r="K415" s="138" t="str">
        <f t="shared" ca="1" si="121"/>
        <v>1.13.1.0.1.</v>
      </c>
      <c r="L415" s="356" t="s">
        <v>235</v>
      </c>
      <c r="M415" s="356" t="s">
        <v>569</v>
      </c>
      <c r="N415" s="360" t="s">
        <v>934</v>
      </c>
      <c r="O415" s="362" t="s">
        <v>944</v>
      </c>
      <c r="P415" s="363">
        <v>53</v>
      </c>
      <c r="Q415" s="195"/>
      <c r="R415" s="198" t="s">
        <v>8</v>
      </c>
      <c r="S415" s="103">
        <f t="shared" si="111"/>
        <v>0</v>
      </c>
      <c r="T415" s="83">
        <f t="shared" si="112"/>
        <v>0</v>
      </c>
      <c r="U415" s="9" t="str">
        <f t="shared" si="122"/>
        <v>SEM VALOR</v>
      </c>
      <c r="V415" s="1" t="str">
        <f ca="1">IF(OR($A415=0,$A415="S",$A415&gt;CFF!$A$9),"",MAX(V$12:OFFSET(V415,-1,0))+1)</f>
        <v/>
      </c>
      <c r="W415" s="4" t="str">
        <f t="shared" si="123"/>
        <v>PM BENTO-02</v>
      </c>
      <c r="X415" s="1">
        <f t="shared" ca="1" si="113"/>
        <v>8</v>
      </c>
      <c r="Y415" s="103">
        <v>40.53</v>
      </c>
      <c r="Z415" s="113">
        <f ca="1">ROUND(IF(ISNUMBER(R415),R415,IF(LEFT(R415,3)="BDI",HLOOKUP(R415,DADOS!$T$37:$X$38,2,FALSE),0)),15-11*$X$5)</f>
        <v>0.12470000000000001</v>
      </c>
      <c r="AA415" s="1"/>
    </row>
    <row r="416" spans="1:27" ht="25.5" x14ac:dyDescent="0.2">
      <c r="A416" t="str">
        <f t="shared" si="114"/>
        <v>S</v>
      </c>
      <c r="B416">
        <f t="shared" si="115"/>
        <v>0</v>
      </c>
      <c r="C416">
        <f t="shared" ca="1" si="116"/>
        <v>1</v>
      </c>
      <c r="D416">
        <f t="shared" ca="1" si="117"/>
        <v>13</v>
      </c>
      <c r="E416">
        <f t="shared" ca="1" si="118"/>
        <v>1</v>
      </c>
      <c r="F416">
        <f t="shared" ca="1" si="119"/>
        <v>0</v>
      </c>
      <c r="G416">
        <f t="shared" ca="1" si="120"/>
        <v>2</v>
      </c>
      <c r="H416">
        <f t="shared" ca="1" si="124"/>
        <v>0</v>
      </c>
      <c r="I416">
        <f t="shared" ca="1" si="125"/>
        <v>0</v>
      </c>
      <c r="J416" s="355" t="s">
        <v>103</v>
      </c>
      <c r="K416" s="138" t="str">
        <f t="shared" ca="1" si="121"/>
        <v>1.13.1.0.2.</v>
      </c>
      <c r="L416" s="356" t="s">
        <v>230</v>
      </c>
      <c r="M416" s="356" t="s">
        <v>570</v>
      </c>
      <c r="N416" s="360" t="s">
        <v>935</v>
      </c>
      <c r="O416" s="362" t="s">
        <v>944</v>
      </c>
      <c r="P416" s="363">
        <v>46</v>
      </c>
      <c r="Q416" s="195"/>
      <c r="R416" s="198" t="s">
        <v>8</v>
      </c>
      <c r="S416" s="103">
        <f t="shared" ref="S416:S421" si="126">IF($A416="S",IF($Q$10="Preço Unitário (R$)",PO.CustoUnitario,ROUND(PO.CustoUnitario*(1+$Z416),15-13*$X$6)),0)</f>
        <v>0</v>
      </c>
      <c r="T416" s="83">
        <f t="shared" ref="T416:T421" si="127">IF($A416="S",VTOTAL1,IF($A416=0,0,ROUND(SomaAgrup,15-13*$X$7)))</f>
        <v>0</v>
      </c>
      <c r="U416" s="9" t="str">
        <f t="shared" si="122"/>
        <v>SEM VALOR</v>
      </c>
      <c r="V416" s="1" t="str">
        <f ca="1">IF(OR($A416=0,$A416="S",$A416&gt;CFF!$A$9),"",MAX(V$12:OFFSET(V416,-1,0))+1)</f>
        <v/>
      </c>
      <c r="W416" s="4" t="str">
        <f t="shared" si="123"/>
        <v>SINAPI-97599</v>
      </c>
      <c r="X416" s="1">
        <f t="shared" ref="X416:X421" ca="1" si="128">IF(AND(Fonte&lt;&gt;"",Código&lt;&gt;""),MATCH(Fonte&amp;" "&amp;IF(Fonte="sinapi",SUBSTITUTE(SUBSTITUTE(Código,"/00","/"),"/0","/"),Código),INDIRECT("'[Referência "&amp;_xlnm.Database&amp;".xls]Banco'!$a:$a"),0),"X")</f>
        <v>9489</v>
      </c>
      <c r="Y416" s="103">
        <v>21.13</v>
      </c>
      <c r="Z416" s="113">
        <f ca="1">ROUND(IF(ISNUMBER(R416),R416,IF(LEFT(R416,3)="BDI",HLOOKUP(R416,DADOS!$T$37:$X$38,2,FALSE),0)),15-11*$X$5)</f>
        <v>0.12470000000000001</v>
      </c>
      <c r="AA416" s="1"/>
    </row>
    <row r="417" spans="1:27" ht="25.5" x14ac:dyDescent="0.2">
      <c r="A417" t="str">
        <f t="shared" ref="A417:A421" si="129">CHOOSE(1+LOG(1+2*(J417="Meta")+4*(J417="Nível 2")+8*(J417="Nível 3")+16*(J417="Nível 4")+32*(J417="Serviço"),2),0,1,2,3,4,"S")</f>
        <v>S</v>
      </c>
      <c r="B417">
        <f t="shared" ref="B417:B421" si="130">IF(OR(A417="S",A417=0),0,IF(ISERROR(I417),H417,SMALL(H417:I417,1)))</f>
        <v>0</v>
      </c>
      <c r="C417">
        <f t="shared" ref="C417:C421" ca="1" si="131">IF($A417=1,OFFSET(C417,-1,0)+1,OFFSET(C417,-1,0))</f>
        <v>1</v>
      </c>
      <c r="D417">
        <f t="shared" ref="D417:D421" ca="1" si="132">IF($A417=1,0,IF($A417=2,OFFSET(D417,-1,0)+1,OFFSET(D417,-1,0)))</f>
        <v>13</v>
      </c>
      <c r="E417">
        <f t="shared" ref="E417:E421" ca="1" si="133">IF(AND($A417&lt;=2,$A417&lt;&gt;0),0,IF($A417=3,OFFSET(E417,-1,0)+1,OFFSET(E417,-1,0)))</f>
        <v>1</v>
      </c>
      <c r="F417">
        <f t="shared" ref="F417:F421" ca="1" si="134">IF(AND($A417&lt;=3,$A417&lt;&gt;0),0,IF($A417=4,OFFSET(F417,-1,0)+1,OFFSET(F417,-1,0)))</f>
        <v>0</v>
      </c>
      <c r="G417">
        <f t="shared" ref="G417:G421" ca="1" si="135">IF(AND($A417&lt;=4,$A417&lt;&gt;0),0,IF($A417="S",OFFSET(G417,-1,0)+1,OFFSET(G417,-1,0)))</f>
        <v>3</v>
      </c>
      <c r="H417">
        <f t="shared" ca="1" si="124"/>
        <v>0</v>
      </c>
      <c r="I417">
        <f t="shared" ca="1" si="125"/>
        <v>0</v>
      </c>
      <c r="J417" s="355" t="s">
        <v>103</v>
      </c>
      <c r="K417" s="138" t="str">
        <f t="shared" ref="K417:K421" ca="1" si="136">IF($A417=0,"-",CONCATENATE(C417&amp;".",IF(AND($A$5&gt;=2,$A417&gt;=2),D417&amp;".",""),IF(AND($A$5&gt;=3,$A417&gt;=3),E417&amp;".",""),IF(AND($A$5&gt;=4,$A417&gt;=4),F417&amp;".",""),IF($A417="S",G417&amp;".","")))</f>
        <v>1.13.1.0.3.</v>
      </c>
      <c r="L417" s="356" t="s">
        <v>230</v>
      </c>
      <c r="M417" s="356" t="s">
        <v>571</v>
      </c>
      <c r="N417" s="360" t="s">
        <v>936</v>
      </c>
      <c r="O417" s="362" t="s">
        <v>944</v>
      </c>
      <c r="P417" s="363">
        <v>7</v>
      </c>
      <c r="Q417" s="195"/>
      <c r="R417" s="198" t="s">
        <v>8</v>
      </c>
      <c r="S417" s="103">
        <f t="shared" si="126"/>
        <v>0</v>
      </c>
      <c r="T417" s="83">
        <f t="shared" si="127"/>
        <v>0</v>
      </c>
      <c r="U417" s="9" t="str">
        <f t="shared" ref="U417:U421" si="137">IF($J417="","",IF($N417="","DESCRIÇÃO",IF(AND($J417="Serviço",$O417=""),"UNIDADE",IF($T417&lt;=0,"SEM VALOR",IF(AND($Y417&lt;&gt;"",$Q417&gt;$Y417),"ACIMA REF.","")))))</f>
        <v>SEM VALOR</v>
      </c>
      <c r="V417" s="1" t="str">
        <f ca="1">IF(OR($A417=0,$A417="S",$A417&gt;CFF!$A$9),"",MAX(V$12:OFFSET(V417,-1,0))+1)</f>
        <v/>
      </c>
      <c r="W417" s="4" t="str">
        <f t="shared" ref="W417:W421" si="138">IF(AND($J417="Serviço",$M417&lt;&gt;""),IF($L417="",$M417,CONCATENATE($L417,"-",$M417)))</f>
        <v>SINAPI-101909</v>
      </c>
      <c r="X417" s="1">
        <f t="shared" ca="1" si="128"/>
        <v>11215</v>
      </c>
      <c r="Y417" s="103">
        <v>301.32</v>
      </c>
      <c r="Z417" s="113">
        <f ca="1">ROUND(IF(ISNUMBER(R417),R417,IF(LEFT(R417,3)="BDI",HLOOKUP(R417,DADOS!$T$37:$X$38,2,FALSE),0)),15-11*$X$5)</f>
        <v>0.12470000000000001</v>
      </c>
      <c r="AA417" s="1"/>
    </row>
    <row r="418" spans="1:27" x14ac:dyDescent="0.2">
      <c r="A418">
        <f t="shared" si="129"/>
        <v>3</v>
      </c>
      <c r="B418">
        <f t="shared" ca="1" si="130"/>
        <v>4</v>
      </c>
      <c r="C418">
        <f t="shared" ca="1" si="131"/>
        <v>1</v>
      </c>
      <c r="D418">
        <f t="shared" ca="1" si="132"/>
        <v>13</v>
      </c>
      <c r="E418">
        <f t="shared" ca="1" si="133"/>
        <v>2</v>
      </c>
      <c r="F418">
        <f t="shared" ca="1" si="134"/>
        <v>0</v>
      </c>
      <c r="G418">
        <f t="shared" ca="1" si="135"/>
        <v>0</v>
      </c>
      <c r="H418">
        <f t="shared" ca="1" si="124"/>
        <v>4</v>
      </c>
      <c r="I418" t="e">
        <f t="shared" ca="1" si="125"/>
        <v>#N/A</v>
      </c>
      <c r="J418" s="355" t="s">
        <v>101</v>
      </c>
      <c r="K418" s="138" t="str">
        <f t="shared" ca="1" si="136"/>
        <v>1.13.2.</v>
      </c>
      <c r="L418" s="356"/>
      <c r="M418" s="356"/>
      <c r="N418" s="360" t="s">
        <v>614</v>
      </c>
      <c r="O418" s="362" t="s">
        <v>106</v>
      </c>
      <c r="P418" s="363"/>
      <c r="Q418" s="195"/>
      <c r="R418" s="198" t="s">
        <v>7</v>
      </c>
      <c r="S418" s="103">
        <f t="shared" si="126"/>
        <v>0</v>
      </c>
      <c r="T418" s="83">
        <f t="shared" ca="1" si="127"/>
        <v>0</v>
      </c>
      <c r="U418" s="9" t="str">
        <f t="shared" ca="1" si="137"/>
        <v>SEM VALOR</v>
      </c>
      <c r="V418" s="1" t="str">
        <f ca="1">IF(OR($A418=0,$A418="S",$A418&gt;CFF!$A$9),"",MAX(V$12:OFFSET(V418,-1,0))+1)</f>
        <v/>
      </c>
      <c r="W418" s="4" t="b">
        <f t="shared" si="138"/>
        <v>0</v>
      </c>
      <c r="X418" s="1" t="str">
        <f t="shared" ca="1" si="128"/>
        <v>X</v>
      </c>
      <c r="Y418" s="103">
        <v>0</v>
      </c>
      <c r="Z418" s="113">
        <f ca="1">ROUND(IF(ISNUMBER(R418),R418,IF(LEFT(R418,3)="BDI",HLOOKUP(R418,DADOS!$T$37:$X$38,2,FALSE),0)),15-11*$X$5)</f>
        <v>0.23130000000000001</v>
      </c>
      <c r="AA418" s="1"/>
    </row>
    <row r="419" spans="1:27" ht="25.5" x14ac:dyDescent="0.2">
      <c r="A419" t="str">
        <f t="shared" si="129"/>
        <v>S</v>
      </c>
      <c r="B419">
        <f t="shared" si="130"/>
        <v>0</v>
      </c>
      <c r="C419">
        <f t="shared" ca="1" si="131"/>
        <v>1</v>
      </c>
      <c r="D419">
        <f t="shared" ca="1" si="132"/>
        <v>13</v>
      </c>
      <c r="E419">
        <f t="shared" ca="1" si="133"/>
        <v>2</v>
      </c>
      <c r="F419">
        <f t="shared" ca="1" si="134"/>
        <v>0</v>
      </c>
      <c r="G419">
        <f t="shared" ca="1" si="135"/>
        <v>1</v>
      </c>
      <c r="H419">
        <f t="shared" ca="1" si="124"/>
        <v>0</v>
      </c>
      <c r="I419">
        <f t="shared" ca="1" si="125"/>
        <v>0</v>
      </c>
      <c r="J419" s="355" t="s">
        <v>103</v>
      </c>
      <c r="K419" s="138" t="str">
        <f t="shared" ca="1" si="136"/>
        <v>1.13.2.0.1.</v>
      </c>
      <c r="L419" s="356" t="s">
        <v>230</v>
      </c>
      <c r="M419" s="356" t="s">
        <v>263</v>
      </c>
      <c r="N419" s="360" t="s">
        <v>937</v>
      </c>
      <c r="O419" s="362" t="s">
        <v>940</v>
      </c>
      <c r="P419" s="363">
        <v>30</v>
      </c>
      <c r="Q419" s="195"/>
      <c r="R419" s="198" t="s">
        <v>7</v>
      </c>
      <c r="S419" s="103">
        <f t="shared" si="126"/>
        <v>0</v>
      </c>
      <c r="T419" s="83">
        <f t="shared" si="127"/>
        <v>0</v>
      </c>
      <c r="U419" s="9" t="str">
        <f t="shared" si="137"/>
        <v>SEM VALOR</v>
      </c>
      <c r="V419" s="1" t="str">
        <f ca="1">IF(OR($A419=0,$A419="S",$A419&gt;CFF!$A$9),"",MAX(V$12:OFFSET(V419,-1,0))+1)</f>
        <v/>
      </c>
      <c r="W419" s="4" t="str">
        <f t="shared" si="138"/>
        <v>SINAPI-97637</v>
      </c>
      <c r="X419" s="1">
        <f t="shared" ca="1" si="128"/>
        <v>6943</v>
      </c>
      <c r="Y419" s="103">
        <v>4.1900000000000004</v>
      </c>
      <c r="Z419" s="113">
        <f ca="1">ROUND(IF(ISNUMBER(R419),R419,IF(LEFT(R419,3)="BDI",HLOOKUP(R419,DADOS!$T$37:$X$38,2,FALSE),0)),15-11*$X$5)</f>
        <v>0.23130000000000001</v>
      </c>
      <c r="AA419" s="1"/>
    </row>
    <row r="420" spans="1:27" ht="25.5" x14ac:dyDescent="0.2">
      <c r="A420" t="str">
        <f t="shared" si="129"/>
        <v>S</v>
      </c>
      <c r="B420">
        <f t="shared" si="130"/>
        <v>0</v>
      </c>
      <c r="C420">
        <f t="shared" ca="1" si="131"/>
        <v>1</v>
      </c>
      <c r="D420">
        <f t="shared" ca="1" si="132"/>
        <v>13</v>
      </c>
      <c r="E420">
        <f t="shared" ca="1" si="133"/>
        <v>2</v>
      </c>
      <c r="F420">
        <f t="shared" ca="1" si="134"/>
        <v>0</v>
      </c>
      <c r="G420">
        <f t="shared" ca="1" si="135"/>
        <v>2</v>
      </c>
      <c r="H420">
        <f t="shared" ca="1" si="124"/>
        <v>0</v>
      </c>
      <c r="I420">
        <f t="shared" ca="1" si="125"/>
        <v>0</v>
      </c>
      <c r="J420" s="355" t="s">
        <v>103</v>
      </c>
      <c r="K420" s="138" t="str">
        <f t="shared" ca="1" si="136"/>
        <v>1.13.2.0.2.</v>
      </c>
      <c r="L420" s="356" t="s">
        <v>230</v>
      </c>
      <c r="M420" s="356" t="s">
        <v>572</v>
      </c>
      <c r="N420" s="360" t="s">
        <v>938</v>
      </c>
      <c r="O420" s="362" t="s">
        <v>940</v>
      </c>
      <c r="P420" s="363">
        <v>127.14</v>
      </c>
      <c r="Q420" s="195"/>
      <c r="R420" s="198" t="s">
        <v>7</v>
      </c>
      <c r="S420" s="103">
        <f t="shared" si="126"/>
        <v>0</v>
      </c>
      <c r="T420" s="83">
        <f t="shared" si="127"/>
        <v>0</v>
      </c>
      <c r="U420" s="9" t="str">
        <f t="shared" si="137"/>
        <v>SEM VALOR</v>
      </c>
      <c r="V420" s="1" t="str">
        <f ca="1">IF(OR($A420=0,$A420="S",$A420&gt;CFF!$A$9),"",MAX(V$12:OFFSET(V420,-1,0))+1)</f>
        <v/>
      </c>
      <c r="W420" s="4" t="str">
        <f t="shared" si="138"/>
        <v>SINAPI-99813</v>
      </c>
      <c r="X420" s="1">
        <f t="shared" ca="1" si="128"/>
        <v>12012</v>
      </c>
      <c r="Y420" s="103">
        <v>4.0999999999999996</v>
      </c>
      <c r="Z420" s="113">
        <f ca="1">ROUND(IF(ISNUMBER(R420),R420,IF(LEFT(R420,3)="BDI",HLOOKUP(R420,DADOS!$T$37:$X$38,2,FALSE),0)),15-11*$X$5)</f>
        <v>0.23130000000000001</v>
      </c>
      <c r="AA420" s="1"/>
    </row>
    <row r="421" spans="1:27" x14ac:dyDescent="0.2">
      <c r="A421" t="str">
        <f t="shared" si="129"/>
        <v>S</v>
      </c>
      <c r="B421">
        <f t="shared" si="130"/>
        <v>0</v>
      </c>
      <c r="C421">
        <f t="shared" ca="1" si="131"/>
        <v>1</v>
      </c>
      <c r="D421">
        <f t="shared" ca="1" si="132"/>
        <v>13</v>
      </c>
      <c r="E421">
        <f t="shared" ca="1" si="133"/>
        <v>2</v>
      </c>
      <c r="F421">
        <f t="shared" ca="1" si="134"/>
        <v>0</v>
      </c>
      <c r="G421">
        <f t="shared" ca="1" si="135"/>
        <v>3</v>
      </c>
      <c r="H421">
        <f t="shared" ca="1" si="124"/>
        <v>0</v>
      </c>
      <c r="I421">
        <f t="shared" ca="1" si="125"/>
        <v>0</v>
      </c>
      <c r="J421" s="355" t="s">
        <v>103</v>
      </c>
      <c r="K421" s="138" t="str">
        <f t="shared" ca="1" si="136"/>
        <v>1.13.2.0.3.</v>
      </c>
      <c r="L421" s="356" t="s">
        <v>235</v>
      </c>
      <c r="M421" s="356" t="s">
        <v>573</v>
      </c>
      <c r="N421" s="360" t="s">
        <v>939</v>
      </c>
      <c r="O421" s="362" t="s">
        <v>940</v>
      </c>
      <c r="P421" s="363">
        <v>374</v>
      </c>
      <c r="Q421" s="195"/>
      <c r="R421" s="198" t="s">
        <v>7</v>
      </c>
      <c r="S421" s="103">
        <f t="shared" si="126"/>
        <v>0</v>
      </c>
      <c r="T421" s="83">
        <f t="shared" si="127"/>
        <v>0</v>
      </c>
      <c r="U421" s="9" t="str">
        <f t="shared" si="137"/>
        <v>SEM VALOR</v>
      </c>
      <c r="V421" s="1" t="str">
        <f ca="1">IF(OR($A421=0,$A421="S",$A421&gt;CFF!$A$9),"",MAX(V$12:OFFSET(V421,-1,0))+1)</f>
        <v/>
      </c>
      <c r="W421" s="4" t="str">
        <f t="shared" si="138"/>
        <v>PM BENTO-03</v>
      </c>
      <c r="X421" s="1">
        <f t="shared" ca="1" si="128"/>
        <v>9</v>
      </c>
      <c r="Y421" s="103">
        <v>7.63</v>
      </c>
      <c r="Z421" s="113">
        <f ca="1">ROUND(IF(ISNUMBER(R421),R421,IF(LEFT(R421,3)="BDI",HLOOKUP(R421,DADOS!$T$37:$X$38,2,FALSE),0)),15-11*$X$5)</f>
        <v>0.23130000000000001</v>
      </c>
      <c r="AA421" s="1"/>
    </row>
    <row r="422" spans="1:27" x14ac:dyDescent="0.2">
      <c r="A422">
        <v>-1</v>
      </c>
      <c r="C422">
        <v>0</v>
      </c>
      <c r="D422">
        <v>0</v>
      </c>
      <c r="E422">
        <v>0</v>
      </c>
      <c r="F422">
        <v>0</v>
      </c>
      <c r="G422">
        <v>0</v>
      </c>
      <c r="J422" s="69"/>
      <c r="K422" s="69"/>
      <c r="L422" s="69"/>
      <c r="M422" s="69"/>
      <c r="N422" s="69"/>
      <c r="O422" s="69"/>
      <c r="P422" s="69"/>
      <c r="Q422" s="69"/>
      <c r="R422" s="69"/>
      <c r="S422" s="69"/>
      <c r="T422" s="69"/>
      <c r="U422" s="1"/>
      <c r="V422" s="1"/>
      <c r="W422" s="1"/>
      <c r="X422" s="1"/>
      <c r="Y422" s="1"/>
      <c r="Z422" s="1"/>
      <c r="AA422" s="1"/>
    </row>
    <row r="423" spans="1:27" ht="14.25" customHeight="1" x14ac:dyDescent="0.2">
      <c r="A423" s="1"/>
      <c r="B423" s="1"/>
      <c r="C423" s="1"/>
      <c r="D423" s="1"/>
      <c r="E423" s="1"/>
      <c r="F423" s="1"/>
      <c r="G423" s="1"/>
      <c r="H423" s="1"/>
      <c r="I423" s="1"/>
      <c r="J423" s="1"/>
      <c r="K423" s="70" t="s">
        <v>62</v>
      </c>
      <c r="L423" s="1"/>
      <c r="M423" s="326" t="s">
        <v>141</v>
      </c>
      <c r="N423" s="327"/>
      <c r="O423" s="327"/>
      <c r="P423" s="327"/>
      <c r="Q423" s="327"/>
      <c r="R423" s="327"/>
      <c r="S423" s="327"/>
      <c r="T423" s="328"/>
      <c r="U423" s="1"/>
      <c r="V423" s="1"/>
      <c r="W423" s="1"/>
      <c r="X423" s="1"/>
      <c r="Y423" s="1"/>
      <c r="Z423" s="1"/>
      <c r="AA423" s="1"/>
    </row>
    <row r="424" spans="1:27"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4.25" x14ac:dyDescent="0.2">
      <c r="A425" s="1"/>
      <c r="B425" s="1"/>
      <c r="C425" s="1"/>
      <c r="D425" s="1"/>
      <c r="E425" s="1"/>
      <c r="F425" s="1"/>
      <c r="G425" s="1"/>
      <c r="H425" s="1"/>
      <c r="I425" s="1"/>
      <c r="J425" s="1"/>
      <c r="K425" s="76" t="s">
        <v>21</v>
      </c>
      <c r="L425" s="1"/>
      <c r="M425" s="1"/>
      <c r="N425" s="1"/>
      <c r="O425" s="1"/>
      <c r="P425" s="1"/>
      <c r="Q425" s="1"/>
      <c r="R425" s="1"/>
      <c r="S425" s="1"/>
      <c r="T425" s="75"/>
      <c r="U425" s="1"/>
      <c r="V425" s="1"/>
      <c r="W425" s="1"/>
      <c r="X425" s="1"/>
      <c r="Y425" s="1"/>
      <c r="Z425" s="1"/>
      <c r="AA425" s="1"/>
    </row>
    <row r="426" spans="1:27" ht="12.75" customHeight="1" x14ac:dyDescent="0.2">
      <c r="A426" s="1"/>
      <c r="B426" s="1"/>
      <c r="C426" s="1"/>
      <c r="D426" s="1"/>
      <c r="E426" s="1"/>
      <c r="F426" s="1"/>
      <c r="G426" s="1"/>
      <c r="H426" s="1"/>
      <c r="I426" s="1"/>
      <c r="J426" s="1"/>
      <c r="K426" s="320" t="s">
        <v>241</v>
      </c>
      <c r="L426" s="321"/>
      <c r="M426" s="321"/>
      <c r="N426" s="321"/>
      <c r="O426" s="321"/>
      <c r="P426" s="321"/>
      <c r="Q426" s="321"/>
      <c r="R426" s="321"/>
      <c r="S426" s="321"/>
      <c r="T426" s="322"/>
      <c r="U426" s="1"/>
      <c r="V426" s="1"/>
      <c r="W426" s="1"/>
      <c r="X426" s="1"/>
      <c r="Y426" s="1"/>
      <c r="Z426" s="1"/>
      <c r="AA426" s="1"/>
    </row>
    <row r="427" spans="1:27" x14ac:dyDescent="0.2">
      <c r="A427" s="1"/>
      <c r="B427" s="1"/>
      <c r="C427" s="1"/>
      <c r="D427" s="1"/>
      <c r="E427" s="1"/>
      <c r="F427" s="1"/>
      <c r="G427" s="1"/>
      <c r="H427" s="1"/>
      <c r="I427" s="1"/>
      <c r="J427" s="1"/>
      <c r="K427" s="320"/>
      <c r="L427" s="321"/>
      <c r="M427" s="321"/>
      <c r="N427" s="321"/>
      <c r="O427" s="321"/>
      <c r="P427" s="321"/>
      <c r="Q427" s="321"/>
      <c r="R427" s="321"/>
      <c r="S427" s="321"/>
      <c r="T427" s="322"/>
      <c r="U427" s="1"/>
      <c r="V427" s="1"/>
      <c r="W427" s="1"/>
      <c r="X427" s="1"/>
      <c r="Y427" s="1"/>
      <c r="Z427" s="1"/>
      <c r="AA427" s="1"/>
    </row>
    <row r="428" spans="1:27" x14ac:dyDescent="0.2">
      <c r="A428" s="1"/>
      <c r="B428" s="1"/>
      <c r="C428" s="1"/>
      <c r="D428" s="1"/>
      <c r="E428" s="1"/>
      <c r="F428" s="1"/>
      <c r="G428" s="1"/>
      <c r="H428" s="1"/>
      <c r="I428" s="1"/>
      <c r="J428" s="1"/>
      <c r="K428" s="323"/>
      <c r="L428" s="324"/>
      <c r="M428" s="324"/>
      <c r="N428" s="324"/>
      <c r="O428" s="324"/>
      <c r="P428" s="324"/>
      <c r="Q428" s="324"/>
      <c r="R428" s="324"/>
      <c r="S428" s="324"/>
      <c r="T428" s="325"/>
      <c r="U428" s="1"/>
      <c r="V428" s="1"/>
      <c r="W428" s="1"/>
      <c r="X428" s="1"/>
      <c r="Y428" s="1"/>
      <c r="Z428" s="1"/>
      <c r="AA428" s="1"/>
    </row>
    <row r="429" spans="1:27" ht="14.25" x14ac:dyDescent="0.2">
      <c r="A429" s="1"/>
      <c r="B429" s="1"/>
      <c r="C429" s="1"/>
      <c r="D429" s="1"/>
      <c r="E429" s="1"/>
      <c r="F429" s="1"/>
      <c r="G429" s="1"/>
      <c r="H429" s="1"/>
      <c r="I429" s="1"/>
      <c r="J429" s="1"/>
      <c r="K429" s="180"/>
      <c r="L429" s="180"/>
      <c r="M429" s="180"/>
      <c r="N429" s="180"/>
      <c r="O429" s="180"/>
      <c r="P429" s="180"/>
      <c r="Q429" s="180"/>
      <c r="R429" s="180"/>
      <c r="S429" s="180"/>
      <c r="T429" s="180"/>
      <c r="U429" s="1"/>
      <c r="V429" s="1"/>
      <c r="W429" s="1"/>
      <c r="X429" s="1"/>
      <c r="Y429" s="1"/>
      <c r="Z429" s="1"/>
      <c r="AA429" s="1"/>
    </row>
    <row r="430" spans="1:27" ht="15" x14ac:dyDescent="0.25">
      <c r="A430" s="1"/>
      <c r="B430" s="1"/>
      <c r="C430" s="1"/>
      <c r="D430" s="1"/>
      <c r="E430" s="1"/>
      <c r="F430" s="1"/>
      <c r="G430" s="1"/>
      <c r="H430" s="1"/>
      <c r="I430" s="1"/>
      <c r="J430" s="1"/>
      <c r="K430" s="31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430" s="318"/>
      <c r="M430" s="318"/>
      <c r="N430" s="318"/>
      <c r="O430" s="318"/>
      <c r="P430" s="318"/>
      <c r="Q430" s="318"/>
      <c r="R430" s="318"/>
      <c r="S430" s="318"/>
      <c r="T430" s="319"/>
      <c r="U430" s="1"/>
      <c r="V430" s="1"/>
      <c r="W430" s="1"/>
      <c r="X430" s="1"/>
      <c r="Y430" s="1"/>
      <c r="Z430" s="1"/>
      <c r="AA430" s="1"/>
    </row>
    <row r="431" spans="1:27"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21"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x14ac:dyDescent="0.2">
      <c r="A433" s="1"/>
      <c r="B433" s="1"/>
      <c r="C433" s="1"/>
      <c r="D433" s="1"/>
      <c r="E433" s="1"/>
      <c r="F433" s="1"/>
      <c r="G433" s="1"/>
      <c r="H433" s="1"/>
      <c r="I433" s="1"/>
      <c r="J433" s="1"/>
      <c r="K433" s="330" t="str">
        <f>Import.Município</f>
        <v>BENTO GONÇALVES/RS</v>
      </c>
      <c r="L433" s="330"/>
      <c r="M433" s="330"/>
      <c r="N433" s="1"/>
      <c r="O433" s="1"/>
      <c r="P433" s="1"/>
      <c r="Q433" s="1"/>
      <c r="R433" s="1"/>
      <c r="S433" s="1"/>
      <c r="T433" s="1"/>
      <c r="U433" s="1"/>
      <c r="V433" s="1"/>
      <c r="W433" s="1"/>
      <c r="X433" s="1"/>
      <c r="Y433" s="1"/>
      <c r="Z433" s="1"/>
      <c r="AA433" s="1"/>
    </row>
    <row r="434" spans="1:27" x14ac:dyDescent="0.2">
      <c r="A434" s="1"/>
      <c r="B434" s="1"/>
      <c r="C434" s="1"/>
      <c r="D434" s="1"/>
      <c r="E434" s="1"/>
      <c r="F434" s="1"/>
      <c r="G434" s="1"/>
      <c r="H434" s="1"/>
      <c r="I434" s="1"/>
      <c r="J434" s="1"/>
      <c r="K434" s="97" t="s">
        <v>120</v>
      </c>
      <c r="L434" s="1"/>
      <c r="M434" s="1"/>
      <c r="N434" s="1"/>
      <c r="O434" s="1"/>
      <c r="P434" s="1"/>
      <c r="Q434" s="1"/>
      <c r="R434" s="1"/>
      <c r="S434" s="1"/>
      <c r="T434" s="1"/>
      <c r="U434" s="1"/>
      <c r="V434" s="1"/>
      <c r="W434" s="1"/>
      <c r="X434" s="1"/>
      <c r="Y434" s="1"/>
      <c r="Z434" s="1"/>
      <c r="AA434" s="1"/>
    </row>
    <row r="435" spans="1:27"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x14ac:dyDescent="0.2">
      <c r="A436" s="1"/>
      <c r="B436" s="1"/>
      <c r="C436" s="1"/>
      <c r="D436" s="1"/>
      <c r="E436" s="1"/>
      <c r="F436" s="1"/>
      <c r="G436" s="1"/>
      <c r="H436" s="1"/>
      <c r="I436" s="1"/>
      <c r="J436" s="1"/>
      <c r="K436" s="329"/>
      <c r="L436" s="329"/>
      <c r="M436" s="329"/>
      <c r="N436" s="1"/>
      <c r="O436" s="1"/>
      <c r="P436" s="1"/>
      <c r="Q436" s="1"/>
      <c r="R436" s="1"/>
      <c r="S436" s="1"/>
      <c r="T436" s="1"/>
      <c r="U436" s="1"/>
      <c r="V436" s="1"/>
      <c r="W436" s="1"/>
      <c r="X436" s="1"/>
      <c r="Y436" s="1"/>
      <c r="Z436" s="1"/>
      <c r="AA436" s="1"/>
    </row>
    <row r="437" spans="1:27" x14ac:dyDescent="0.2">
      <c r="A437" s="1"/>
      <c r="B437" s="1"/>
      <c r="C437" s="1"/>
      <c r="D437" s="1"/>
      <c r="E437" s="1"/>
      <c r="F437" s="1"/>
      <c r="G437" s="1"/>
      <c r="H437" s="1"/>
      <c r="I437" s="1"/>
      <c r="J437" s="1"/>
      <c r="K437" s="119" t="s">
        <v>121</v>
      </c>
      <c r="L437" s="69"/>
      <c r="M437" s="69"/>
      <c r="N437" s="1"/>
      <c r="O437" s="1"/>
      <c r="P437" s="1"/>
      <c r="Q437" s="1"/>
      <c r="R437" s="1"/>
      <c r="S437" s="1"/>
      <c r="T437" s="1"/>
      <c r="U437" s="1"/>
      <c r="V437" s="1"/>
      <c r="W437" s="1"/>
      <c r="X437" s="1"/>
      <c r="Y437" s="1"/>
      <c r="Z437" s="1"/>
      <c r="AA437" s="1"/>
    </row>
  </sheetData>
  <sheetProtection password="C95B" sheet="1" objects="1" scenarios="1"/>
  <mergeCells count="6">
    <mergeCell ref="W2:X2"/>
    <mergeCell ref="K430:T430"/>
    <mergeCell ref="K426:T428"/>
    <mergeCell ref="M423:T423"/>
    <mergeCell ref="K436:M436"/>
    <mergeCell ref="K433:M433"/>
  </mergeCells>
  <phoneticPr fontId="28" type="noConversion"/>
  <conditionalFormatting sqref="O12:R12 L12:M12">
    <cfRule type="expression" dxfId="551" priority="5562" stopIfTrue="1">
      <formula>$J12=$C$2</formula>
    </cfRule>
    <cfRule type="expression" dxfId="550" priority="5563" stopIfTrue="1">
      <formula>UPPER(LEFT($J12,5))="NÍVEL"</formula>
    </cfRule>
    <cfRule type="expression" dxfId="549" priority="5564" stopIfTrue="1">
      <formula>$J12=$C$8</formula>
    </cfRule>
  </conditionalFormatting>
  <conditionalFormatting sqref="Y12:Z12 S12:T12 K12">
    <cfRule type="expression" dxfId="548" priority="5565" stopIfTrue="1">
      <formula>$J12=$C$2</formula>
    </cfRule>
    <cfRule type="expression" dxfId="547" priority="5566" stopIfTrue="1">
      <formula>UPPER(LEFT($J12,5))="NÍVEL"</formula>
    </cfRule>
  </conditionalFormatting>
  <conditionalFormatting sqref="K11 K13 K18:K29 K88:K95 K108 K349:K421">
    <cfRule type="expression" dxfId="546" priority="5578" stopIfTrue="1">
      <formula>$J11=$C$2</formula>
    </cfRule>
    <cfRule type="expression" dxfId="545" priority="5579" stopIfTrue="1">
      <formula>AND($J11&lt;&gt;"",$J11&lt;&gt;"Serviço")</formula>
    </cfRule>
    <cfRule type="expression" dxfId="544" priority="5580" stopIfTrue="1">
      <formula>$J11=""</formula>
    </cfRule>
  </conditionalFormatting>
  <conditionalFormatting sqref="P11 P13 P22:P23 P93:P95 P108 P349:P421">
    <cfRule type="expression" dxfId="543" priority="3905" stopIfTrue="1">
      <formula>$J11=$C$2</formula>
    </cfRule>
    <cfRule type="expression" dxfId="542" priority="5584" stopIfTrue="1">
      <formula>AND($J11&lt;&gt;"Serviço")</formula>
    </cfRule>
    <cfRule type="expression" dxfId="541" priority="5585" stopIfTrue="1">
      <formula>CELL("proteger",P11)</formula>
    </cfRule>
  </conditionalFormatting>
  <conditionalFormatting sqref="Q11:R11 Q13:R13 Q18:R27 R28:R29 R88:R95 Q14:Q17 R108 Q28:Q421 R349:R421">
    <cfRule type="expression" dxfId="540" priority="5586" stopIfTrue="1">
      <formula>$J11=$C$2</formula>
    </cfRule>
    <cfRule type="expression" dxfId="539" priority="5587" stopIfTrue="1">
      <formula>$J11&lt;&gt;"Serviço"</formula>
    </cfRule>
    <cfRule type="expression" dxfId="538" priority="5588" stopIfTrue="1">
      <formula>CELL("proteger",Q11)</formula>
    </cfRule>
  </conditionalFormatting>
  <conditionalFormatting sqref="S11:T11 Y11:Z11 Y13:Z13 S13:T13 S18:T29 Y18:Z29 S88:T95 Y88:Z95 S108:T108 Y108:Z108 S349:T421 Y349:Z421">
    <cfRule type="expression" dxfId="537" priority="5589" stopIfTrue="1">
      <formula>$J11=$C$2</formula>
    </cfRule>
    <cfRule type="expression" dxfId="536" priority="5590" stopIfTrue="1">
      <formula>$J11&lt;&gt;"Serviço"</formula>
    </cfRule>
  </conditionalFormatting>
  <conditionalFormatting sqref="L11:M11 L13:M13 L14 L349:M421">
    <cfRule type="expression" dxfId="535" priority="5610" stopIfTrue="1">
      <formula>$J11=$C$2</formula>
    </cfRule>
    <cfRule type="expression" dxfId="534" priority="5611" stopIfTrue="1">
      <formula>$J11&lt;&gt;"Serviço"</formula>
    </cfRule>
    <cfRule type="expression" dxfId="533" priority="5612" stopIfTrue="1">
      <formula>OR(CELL("proteger",L11),$J11="",TipoOrçamento="Licitado")</formula>
    </cfRule>
  </conditionalFormatting>
  <conditionalFormatting sqref="K423:T423">
    <cfRule type="expression" dxfId="532" priority="5591" stopIfTrue="1">
      <formula>OR(Tipo.Orçamento="LICITADO",Tipo.Orçamento="REPROGRAMADOAC")</formula>
    </cfRule>
    <cfRule type="expression" dxfId="531" priority="5592" stopIfTrue="1">
      <formula>$M$423=""</formula>
    </cfRule>
  </conditionalFormatting>
  <conditionalFormatting sqref="J11 J13">
    <cfRule type="expression" dxfId="530" priority="5619" stopIfTrue="1">
      <formula>TipoOrçamento="Licitado"</formula>
    </cfRule>
  </conditionalFormatting>
  <conditionalFormatting sqref="O11 O13 O18:O29 O88:O95 O108 O349:O421">
    <cfRule type="expression" dxfId="529" priority="3925" stopIfTrue="1">
      <formula>$J11=$C$2</formula>
    </cfRule>
    <cfRule type="expression" dxfId="528" priority="3926" stopIfTrue="1">
      <formula>AND($J11&lt;&gt;"Serviço")</formula>
    </cfRule>
    <cfRule type="expression" dxfId="527" priority="3927" stopIfTrue="1">
      <formula>CELL("proteger",O11)</formula>
    </cfRule>
  </conditionalFormatting>
  <conditionalFormatting sqref="N11 N108 N349:N421">
    <cfRule type="expression" dxfId="526" priority="3928" stopIfTrue="1">
      <formula>$J11=$C$2</formula>
    </cfRule>
    <cfRule type="expression" dxfId="525" priority="3929" stopIfTrue="1">
      <formula>$J11&lt;&gt;"Serviço"</formula>
    </cfRule>
    <cfRule type="expression" dxfId="524" priority="3930" stopIfTrue="1">
      <formula>CELL("proteger",N11)</formula>
    </cfRule>
  </conditionalFormatting>
  <conditionalFormatting sqref="N13">
    <cfRule type="expression" dxfId="523" priority="3794" stopIfTrue="1">
      <formula>$J13=$C$2</formula>
    </cfRule>
    <cfRule type="expression" dxfId="522" priority="3795" stopIfTrue="1">
      <formula>$J13&lt;&gt;"Serviço"</formula>
    </cfRule>
    <cfRule type="expression" dxfId="521" priority="3796" stopIfTrue="1">
      <formula>CELL("proteger",N13)</formula>
    </cfRule>
  </conditionalFormatting>
  <conditionalFormatting sqref="K14">
    <cfRule type="expression" dxfId="520" priority="1704" stopIfTrue="1">
      <formula>$J14=$C$2</formula>
    </cfRule>
    <cfRule type="expression" dxfId="519" priority="1705" stopIfTrue="1">
      <formula>AND($J14&lt;&gt;"",$J14&lt;&gt;"Serviço")</formula>
    </cfRule>
    <cfRule type="expression" dxfId="518" priority="1706" stopIfTrue="1">
      <formula>$J14=""</formula>
    </cfRule>
  </conditionalFormatting>
  <conditionalFormatting sqref="P14">
    <cfRule type="expression" dxfId="517" priority="1697" stopIfTrue="1">
      <formula>$J14=$C$2</formula>
    </cfRule>
    <cfRule type="expression" dxfId="516" priority="1707" stopIfTrue="1">
      <formula>AND($J14&lt;&gt;"Serviço")</formula>
    </cfRule>
    <cfRule type="expression" dxfId="515" priority="1708" stopIfTrue="1">
      <formula>CELL("proteger",P14)</formula>
    </cfRule>
  </conditionalFormatting>
  <conditionalFormatting sqref="R14">
    <cfRule type="expression" dxfId="514" priority="1709" stopIfTrue="1">
      <formula>$J14=$C$2</formula>
    </cfRule>
    <cfRule type="expression" dxfId="513" priority="1710" stopIfTrue="1">
      <formula>$J14&lt;&gt;"Serviço"</formula>
    </cfRule>
    <cfRule type="expression" dxfId="512" priority="1711" stopIfTrue="1">
      <formula>CELL("proteger",R14)</formula>
    </cfRule>
  </conditionalFormatting>
  <conditionalFormatting sqref="S14:T14 Y14:Z14">
    <cfRule type="expression" dxfId="511" priority="1712" stopIfTrue="1">
      <formula>$J14=$C$2</formula>
    </cfRule>
    <cfRule type="expression" dxfId="510" priority="1713" stopIfTrue="1">
      <formula>$J14&lt;&gt;"Serviço"</formula>
    </cfRule>
  </conditionalFormatting>
  <conditionalFormatting sqref="M14">
    <cfRule type="expression" dxfId="509" priority="1714" stopIfTrue="1">
      <formula>$J14=$C$2</formula>
    </cfRule>
    <cfRule type="expression" dxfId="508" priority="1715" stopIfTrue="1">
      <formula>$J14&lt;&gt;"Serviço"</formula>
    </cfRule>
    <cfRule type="expression" dxfId="507" priority="1716" stopIfTrue="1">
      <formula>OR(CELL("proteger",M14),$J14="",TipoOrçamento="Licitado")</formula>
    </cfRule>
  </conditionalFormatting>
  <conditionalFormatting sqref="J14">
    <cfRule type="expression" dxfId="506" priority="1717" stopIfTrue="1">
      <formula>TipoOrçamento="Licitado"</formula>
    </cfRule>
  </conditionalFormatting>
  <conditionalFormatting sqref="O14">
    <cfRule type="expression" dxfId="505" priority="1698" stopIfTrue="1">
      <formula>$J14=$C$2</formula>
    </cfRule>
    <cfRule type="expression" dxfId="504" priority="1699" stopIfTrue="1">
      <formula>AND($J14&lt;&gt;"Serviço")</formula>
    </cfRule>
    <cfRule type="expression" dxfId="503" priority="1700" stopIfTrue="1">
      <formula>CELL("proteger",O14)</formula>
    </cfRule>
  </conditionalFormatting>
  <conditionalFormatting sqref="N14">
    <cfRule type="expression" dxfId="502" priority="1701" stopIfTrue="1">
      <formula>$J14=$C$2</formula>
    </cfRule>
    <cfRule type="expression" dxfId="501" priority="1702" stopIfTrue="1">
      <formula>$J14&lt;&gt;"Serviço"</formula>
    </cfRule>
    <cfRule type="expression" dxfId="500" priority="1703" stopIfTrue="1">
      <formula>CELL("proteger",N14)</formula>
    </cfRule>
  </conditionalFormatting>
  <conditionalFormatting sqref="K16">
    <cfRule type="expression" dxfId="499" priority="1494" stopIfTrue="1">
      <formula>$J16=$C$2</formula>
    </cfRule>
    <cfRule type="expression" dxfId="498" priority="1495" stopIfTrue="1">
      <formula>AND($J16&lt;&gt;"",$J16&lt;&gt;"Serviço")</formula>
    </cfRule>
    <cfRule type="expression" dxfId="497" priority="1496" stopIfTrue="1">
      <formula>$J16=""</formula>
    </cfRule>
  </conditionalFormatting>
  <conditionalFormatting sqref="R16">
    <cfRule type="expression" dxfId="496" priority="1499" stopIfTrue="1">
      <formula>$J16=$C$2</formula>
    </cfRule>
    <cfRule type="expression" dxfId="495" priority="1500" stopIfTrue="1">
      <formula>$J16&lt;&gt;"Serviço"</formula>
    </cfRule>
    <cfRule type="expression" dxfId="494" priority="1501" stopIfTrue="1">
      <formula>CELL("proteger",R16)</formula>
    </cfRule>
  </conditionalFormatting>
  <conditionalFormatting sqref="S16:T16 Y16:Z16">
    <cfRule type="expression" dxfId="493" priority="1502" stopIfTrue="1">
      <formula>$J16=$C$2</formula>
    </cfRule>
    <cfRule type="expression" dxfId="492" priority="1503" stopIfTrue="1">
      <formula>$J16&lt;&gt;"Serviço"</formula>
    </cfRule>
  </conditionalFormatting>
  <conditionalFormatting sqref="O16">
    <cfRule type="expression" dxfId="491" priority="1488" stopIfTrue="1">
      <formula>$J16=$C$2</formula>
    </cfRule>
    <cfRule type="expression" dxfId="490" priority="1489" stopIfTrue="1">
      <formula>AND($J16&lt;&gt;"Serviço")</formula>
    </cfRule>
    <cfRule type="expression" dxfId="489" priority="1490" stopIfTrue="1">
      <formula>CELL("proteger",O16)</formula>
    </cfRule>
  </conditionalFormatting>
  <conditionalFormatting sqref="K17">
    <cfRule type="expression" dxfId="488" priority="1473" stopIfTrue="1">
      <formula>$J17=$C$2</formula>
    </cfRule>
    <cfRule type="expression" dxfId="487" priority="1474" stopIfTrue="1">
      <formula>AND($J17&lt;&gt;"",$J17&lt;&gt;"Serviço")</formula>
    </cfRule>
    <cfRule type="expression" dxfId="486" priority="1475" stopIfTrue="1">
      <formula>$J17=""</formula>
    </cfRule>
  </conditionalFormatting>
  <conditionalFormatting sqref="R17">
    <cfRule type="expression" dxfId="485" priority="1478" stopIfTrue="1">
      <formula>$J17=$C$2</formula>
    </cfRule>
    <cfRule type="expression" dxfId="484" priority="1479" stopIfTrue="1">
      <formula>$J17&lt;&gt;"Serviço"</formula>
    </cfRule>
    <cfRule type="expression" dxfId="483" priority="1480" stopIfTrue="1">
      <formula>CELL("proteger",R17)</formula>
    </cfRule>
  </conditionalFormatting>
  <conditionalFormatting sqref="S17:T17 Y17:Z17">
    <cfRule type="expression" dxfId="482" priority="1481" stopIfTrue="1">
      <formula>$J17=$C$2</formula>
    </cfRule>
    <cfRule type="expression" dxfId="481" priority="1482" stopIfTrue="1">
      <formula>$J17&lt;&gt;"Serviço"</formula>
    </cfRule>
  </conditionalFormatting>
  <conditionalFormatting sqref="O17">
    <cfRule type="expression" dxfId="480" priority="1467" stopIfTrue="1">
      <formula>$J17=$C$2</formula>
    </cfRule>
    <cfRule type="expression" dxfId="479" priority="1468" stopIfTrue="1">
      <formula>AND($J17&lt;&gt;"Serviço")</formula>
    </cfRule>
    <cfRule type="expression" dxfId="478" priority="1469" stopIfTrue="1">
      <formula>CELL("proteger",O17)</formula>
    </cfRule>
  </conditionalFormatting>
  <conditionalFormatting sqref="K15">
    <cfRule type="expression" dxfId="477" priority="452" stopIfTrue="1">
      <formula>$J15=$C$2</formula>
    </cfRule>
    <cfRule type="expression" dxfId="476" priority="453" stopIfTrue="1">
      <formula>AND($J15&lt;&gt;"",$J15&lt;&gt;"Serviço")</formula>
    </cfRule>
    <cfRule type="expression" dxfId="475" priority="454" stopIfTrue="1">
      <formula>$J15=""</formula>
    </cfRule>
  </conditionalFormatting>
  <conditionalFormatting sqref="R15">
    <cfRule type="expression" dxfId="474" priority="457" stopIfTrue="1">
      <formula>$J15=$C$2</formula>
    </cfRule>
    <cfRule type="expression" dxfId="473" priority="458" stopIfTrue="1">
      <formula>$J15&lt;&gt;"Serviço"</formula>
    </cfRule>
    <cfRule type="expression" dxfId="472" priority="459" stopIfTrue="1">
      <formula>CELL("proteger",R15)</formula>
    </cfRule>
  </conditionalFormatting>
  <conditionalFormatting sqref="S15:T15 Y15:Z15">
    <cfRule type="expression" dxfId="471" priority="460" stopIfTrue="1">
      <formula>$J15=$C$2</formula>
    </cfRule>
    <cfRule type="expression" dxfId="470" priority="461" stopIfTrue="1">
      <formula>$J15&lt;&gt;"Serviço"</formula>
    </cfRule>
  </conditionalFormatting>
  <conditionalFormatting sqref="O15">
    <cfRule type="expression" dxfId="469" priority="446" stopIfTrue="1">
      <formula>$J15=$C$2</formula>
    </cfRule>
    <cfRule type="expression" dxfId="468" priority="447" stopIfTrue="1">
      <formula>AND($J15&lt;&gt;"Serviço")</formula>
    </cfRule>
    <cfRule type="expression" dxfId="467" priority="448" stopIfTrue="1">
      <formula>CELL("proteger",O15)</formula>
    </cfRule>
  </conditionalFormatting>
  <conditionalFormatting sqref="N15:N106">
    <cfRule type="expression" dxfId="466" priority="449" stopIfTrue="1">
      <formula>$J15=$C$2</formula>
    </cfRule>
    <cfRule type="expression" dxfId="465" priority="450" stopIfTrue="1">
      <formula>$J15&lt;&gt;"Serviço"</formula>
    </cfRule>
    <cfRule type="expression" dxfId="464" priority="451" stopIfTrue="1">
      <formula>CELL("proteger",N15)</formula>
    </cfRule>
  </conditionalFormatting>
  <conditionalFormatting sqref="M15:M96">
    <cfRule type="expression" dxfId="463" priority="439" stopIfTrue="1">
      <formula>$J15=$C$2</formula>
    </cfRule>
    <cfRule type="expression" dxfId="462" priority="440" stopIfTrue="1">
      <formula>$J15&lt;&gt;"Serviço"</formula>
    </cfRule>
    <cfRule type="expression" dxfId="461" priority="441" stopIfTrue="1">
      <formula>OR(CELL("proteger",M15),$J15="",TipoOrçamento="Licitado")</formula>
    </cfRule>
  </conditionalFormatting>
  <conditionalFormatting sqref="K30:K46 K67:K87">
    <cfRule type="expression" dxfId="460" priority="425" stopIfTrue="1">
      <formula>$J30=$C$2</formula>
    </cfRule>
    <cfRule type="expression" dxfId="459" priority="426" stopIfTrue="1">
      <formula>AND($J30&lt;&gt;"",$J30&lt;&gt;"Serviço")</formula>
    </cfRule>
    <cfRule type="expression" dxfId="458" priority="427" stopIfTrue="1">
      <formula>$J30=""</formula>
    </cfRule>
  </conditionalFormatting>
  <conditionalFormatting sqref="P31 P83 P34">
    <cfRule type="expression" dxfId="457" priority="418" stopIfTrue="1">
      <formula>$J31=$C$2</formula>
    </cfRule>
    <cfRule type="expression" dxfId="456" priority="428" stopIfTrue="1">
      <formula>AND($J31&lt;&gt;"Serviço")</formula>
    </cfRule>
    <cfRule type="expression" dxfId="455" priority="429" stopIfTrue="1">
      <formula>CELL("proteger",P31)</formula>
    </cfRule>
  </conditionalFormatting>
  <conditionalFormatting sqref="R30:R46 R67:R87">
    <cfRule type="expression" dxfId="454" priority="430" stopIfTrue="1">
      <formula>$J30=$C$2</formula>
    </cfRule>
    <cfRule type="expression" dxfId="453" priority="431" stopIfTrue="1">
      <formula>$J30&lt;&gt;"Serviço"</formula>
    </cfRule>
    <cfRule type="expression" dxfId="452" priority="432" stopIfTrue="1">
      <formula>CELL("proteger",R30)</formula>
    </cfRule>
  </conditionalFormatting>
  <conditionalFormatting sqref="S30:T46 Y30:Z46 Y67:Z87 S67:T87">
    <cfRule type="expression" dxfId="451" priority="433" stopIfTrue="1">
      <formula>$J30=$C$2</formula>
    </cfRule>
    <cfRule type="expression" dxfId="450" priority="434" stopIfTrue="1">
      <formula>$J30&lt;&gt;"Serviço"</formula>
    </cfRule>
  </conditionalFormatting>
  <conditionalFormatting sqref="O30:O46 O67:O87">
    <cfRule type="expression" dxfId="449" priority="419" stopIfTrue="1">
      <formula>$J30=$C$2</formula>
    </cfRule>
    <cfRule type="expression" dxfId="448" priority="420" stopIfTrue="1">
      <formula>AND($J30&lt;&gt;"Serviço")</formula>
    </cfRule>
    <cfRule type="expression" dxfId="447" priority="421" stopIfTrue="1">
      <formula>CELL("proteger",O30)</formula>
    </cfRule>
  </conditionalFormatting>
  <conditionalFormatting sqref="K47:K66">
    <cfRule type="expression" dxfId="446" priority="404" stopIfTrue="1">
      <formula>$J47=$C$2</formula>
    </cfRule>
    <cfRule type="expression" dxfId="445" priority="405" stopIfTrue="1">
      <formula>AND($J47&lt;&gt;"",$J47&lt;&gt;"Serviço")</formula>
    </cfRule>
    <cfRule type="expression" dxfId="444" priority="406" stopIfTrue="1">
      <formula>$J47=""</formula>
    </cfRule>
  </conditionalFormatting>
  <conditionalFormatting sqref="R47:R66">
    <cfRule type="expression" dxfId="443" priority="409" stopIfTrue="1">
      <formula>$J47=$C$2</formula>
    </cfRule>
    <cfRule type="expression" dxfId="442" priority="410" stopIfTrue="1">
      <formula>$J47&lt;&gt;"Serviço"</formula>
    </cfRule>
    <cfRule type="expression" dxfId="441" priority="411" stopIfTrue="1">
      <formula>CELL("proteger",R47)</formula>
    </cfRule>
  </conditionalFormatting>
  <conditionalFormatting sqref="S47:T66 Y47:Z66">
    <cfRule type="expression" dxfId="440" priority="412" stopIfTrue="1">
      <formula>$J47=$C$2</formula>
    </cfRule>
    <cfRule type="expression" dxfId="439" priority="413" stopIfTrue="1">
      <formula>$J47&lt;&gt;"Serviço"</formula>
    </cfRule>
  </conditionalFormatting>
  <conditionalFormatting sqref="O47:O66">
    <cfRule type="expression" dxfId="438" priority="398" stopIfTrue="1">
      <formula>$J47=$C$2</formula>
    </cfRule>
    <cfRule type="expression" dxfId="437" priority="399" stopIfTrue="1">
      <formula>AND($J47&lt;&gt;"Serviço")</formula>
    </cfRule>
    <cfRule type="expression" dxfId="436" priority="400" stopIfTrue="1">
      <formula>CELL("proteger",O47)</formula>
    </cfRule>
  </conditionalFormatting>
  <conditionalFormatting sqref="P24:P30">
    <cfRule type="expression" dxfId="435" priority="334" stopIfTrue="1">
      <formula>$J24=$C$2</formula>
    </cfRule>
    <cfRule type="expression" dxfId="434" priority="335" stopIfTrue="1">
      <formula>AND($J24&lt;&gt;"Serviço")</formula>
    </cfRule>
    <cfRule type="expression" dxfId="433" priority="336" stopIfTrue="1">
      <formula>CELL("proteger",P24)</formula>
    </cfRule>
  </conditionalFormatting>
  <conditionalFormatting sqref="P84:P91">
    <cfRule type="expression" dxfId="432" priority="238" stopIfTrue="1">
      <formula>$J84=$C$2</formula>
    </cfRule>
    <cfRule type="expression" dxfId="431" priority="239" stopIfTrue="1">
      <formula>AND($J84&lt;&gt;"Serviço")</formula>
    </cfRule>
    <cfRule type="expression" dxfId="430" priority="240" stopIfTrue="1">
      <formula>CELL("proteger",P84)</formula>
    </cfRule>
  </conditionalFormatting>
  <conditionalFormatting sqref="P92">
    <cfRule type="expression" dxfId="429" priority="235" stopIfTrue="1">
      <formula>$J92=$C$2</formula>
    </cfRule>
    <cfRule type="expression" dxfId="428" priority="236" stopIfTrue="1">
      <formula>AND($J92&lt;&gt;"Serviço")</formula>
    </cfRule>
    <cfRule type="expression" dxfId="427" priority="237" stopIfTrue="1">
      <formula>CELL("proteger",P92)</formula>
    </cfRule>
  </conditionalFormatting>
  <conditionalFormatting sqref="P35:P82">
    <cfRule type="expression" dxfId="426" priority="232" stopIfTrue="1">
      <formula>$J35=$C$2</formula>
    </cfRule>
    <cfRule type="expression" dxfId="425" priority="233" stopIfTrue="1">
      <formula>AND($J35&lt;&gt;"Serviço")</formula>
    </cfRule>
    <cfRule type="expression" dxfId="424" priority="234" stopIfTrue="1">
      <formula>CELL("proteger",P35)</formula>
    </cfRule>
  </conditionalFormatting>
  <conditionalFormatting sqref="P32:P33">
    <cfRule type="expression" dxfId="423" priority="229" stopIfTrue="1">
      <formula>$J32=$C$2</formula>
    </cfRule>
    <cfRule type="expression" dxfId="422" priority="230" stopIfTrue="1">
      <formula>AND($J32&lt;&gt;"Serviço")</formula>
    </cfRule>
    <cfRule type="expression" dxfId="421" priority="231" stopIfTrue="1">
      <formula>CELL("proteger",P32)</formula>
    </cfRule>
  </conditionalFormatting>
  <conditionalFormatting sqref="M97:M107">
    <cfRule type="expression" dxfId="420" priority="148" stopIfTrue="1">
      <formula>$J97=$C$2</formula>
    </cfRule>
    <cfRule type="expression" dxfId="419" priority="149" stopIfTrue="1">
      <formula>$J97&lt;&gt;"Serviço"</formula>
    </cfRule>
    <cfRule type="expression" dxfId="418" priority="150" stopIfTrue="1">
      <formula>OR(CELL("proteger",M97),$J97="",TipoOrçamento="Licitado")</formula>
    </cfRule>
  </conditionalFormatting>
  <conditionalFormatting sqref="P15:P20">
    <cfRule type="expression" dxfId="417" priority="179" stopIfTrue="1">
      <formula>$J15=$C$2</formula>
    </cfRule>
    <cfRule type="expression" dxfId="416" priority="180" stopIfTrue="1">
      <formula>AND($J15&lt;&gt;"Serviço")</formula>
    </cfRule>
    <cfRule type="expression" dxfId="415" priority="181" stopIfTrue="1">
      <formula>CELL("proteger",P15)</formula>
    </cfRule>
  </conditionalFormatting>
  <conditionalFormatting sqref="P21">
    <cfRule type="expression" dxfId="414" priority="176" stopIfTrue="1">
      <formula>$J21=$C$2</formula>
    </cfRule>
    <cfRule type="expression" dxfId="413" priority="177" stopIfTrue="1">
      <formula>AND($J21&lt;&gt;"Serviço")</formula>
    </cfRule>
    <cfRule type="expression" dxfId="412" priority="178" stopIfTrue="1">
      <formula>CELL("proteger",P21)</formula>
    </cfRule>
  </conditionalFormatting>
  <conditionalFormatting sqref="M108">
    <cfRule type="expression" dxfId="411" priority="127" stopIfTrue="1">
      <formula>$J108=$C$2</formula>
    </cfRule>
    <cfRule type="expression" dxfId="410" priority="128" stopIfTrue="1">
      <formula>$J108&lt;&gt;"Serviço"</formula>
    </cfRule>
    <cfRule type="expression" dxfId="409" priority="129" stopIfTrue="1">
      <formula>OR(CELL("proteger",M108),$J108="",TipoOrçamento="Licitado")</formula>
    </cfRule>
  </conditionalFormatting>
  <conditionalFormatting sqref="K96">
    <cfRule type="expression" dxfId="408" priority="159" stopIfTrue="1">
      <formula>$J96=$C$2</formula>
    </cfRule>
    <cfRule type="expression" dxfId="407" priority="160" stopIfTrue="1">
      <formula>AND($J96&lt;&gt;"",$J96&lt;&gt;"Serviço")</formula>
    </cfRule>
    <cfRule type="expression" dxfId="406" priority="161" stopIfTrue="1">
      <formula>$J96=""</formula>
    </cfRule>
  </conditionalFormatting>
  <conditionalFormatting sqref="P96">
    <cfRule type="expression" dxfId="405" priority="152" stopIfTrue="1">
      <formula>$J96=$C$2</formula>
    </cfRule>
    <cfRule type="expression" dxfId="404" priority="162" stopIfTrue="1">
      <formula>AND($J96&lt;&gt;"Serviço")</formula>
    </cfRule>
    <cfRule type="expression" dxfId="403" priority="163" stopIfTrue="1">
      <formula>CELL("proteger",P96)</formula>
    </cfRule>
  </conditionalFormatting>
  <conditionalFormatting sqref="R96">
    <cfRule type="expression" dxfId="402" priority="164" stopIfTrue="1">
      <formula>$J96=$C$2</formula>
    </cfRule>
    <cfRule type="expression" dxfId="401" priority="165" stopIfTrue="1">
      <formula>$J96&lt;&gt;"Serviço"</formula>
    </cfRule>
    <cfRule type="expression" dxfId="400" priority="166" stopIfTrue="1">
      <formula>CELL("proteger",R96)</formula>
    </cfRule>
  </conditionalFormatting>
  <conditionalFormatting sqref="S96:T96 Y96:Z96">
    <cfRule type="expression" dxfId="399" priority="167" stopIfTrue="1">
      <formula>$J96=$C$2</formula>
    </cfRule>
    <cfRule type="expression" dxfId="398" priority="168" stopIfTrue="1">
      <formula>$J96&lt;&gt;"Serviço"</formula>
    </cfRule>
  </conditionalFormatting>
  <conditionalFormatting sqref="O96">
    <cfRule type="expression" dxfId="397" priority="153" stopIfTrue="1">
      <formula>$J96=$C$2</formula>
    </cfRule>
    <cfRule type="expression" dxfId="396" priority="154" stopIfTrue="1">
      <formula>AND($J96&lt;&gt;"Serviço")</formula>
    </cfRule>
    <cfRule type="expression" dxfId="395" priority="155" stopIfTrue="1">
      <formula>CELL("proteger",O96)</formula>
    </cfRule>
  </conditionalFormatting>
  <conditionalFormatting sqref="N107">
    <cfRule type="expression" dxfId="394" priority="135" stopIfTrue="1">
      <formula>$J107=$C$2</formula>
    </cfRule>
    <cfRule type="expression" dxfId="393" priority="136" stopIfTrue="1">
      <formula>$J107&lt;&gt;"Serviço"</formula>
    </cfRule>
    <cfRule type="expression" dxfId="392" priority="137" stopIfTrue="1">
      <formula>CELL("proteger",N107)</formula>
    </cfRule>
  </conditionalFormatting>
  <conditionalFormatting sqref="K97:K107">
    <cfRule type="expression" dxfId="391" priority="138" stopIfTrue="1">
      <formula>$J97=$C$2</formula>
    </cfRule>
    <cfRule type="expression" dxfId="390" priority="139" stopIfTrue="1">
      <formula>AND($J97&lt;&gt;"",$J97&lt;&gt;"Serviço")</formula>
    </cfRule>
    <cfRule type="expression" dxfId="389" priority="140" stopIfTrue="1">
      <formula>$J97=""</formula>
    </cfRule>
  </conditionalFormatting>
  <conditionalFormatting sqref="P97:P107">
    <cfRule type="expression" dxfId="388" priority="131" stopIfTrue="1">
      <formula>$J97=$C$2</formula>
    </cfRule>
    <cfRule type="expression" dxfId="387" priority="141" stopIfTrue="1">
      <formula>AND($J97&lt;&gt;"Serviço")</formula>
    </cfRule>
    <cfRule type="expression" dxfId="386" priority="142" stopIfTrue="1">
      <formula>CELL("proteger",P97)</formula>
    </cfRule>
  </conditionalFormatting>
  <conditionalFormatting sqref="R97:R107">
    <cfRule type="expression" dxfId="385" priority="143" stopIfTrue="1">
      <formula>$J97=$C$2</formula>
    </cfRule>
    <cfRule type="expression" dxfId="384" priority="144" stopIfTrue="1">
      <formula>$J97&lt;&gt;"Serviço"</formula>
    </cfRule>
    <cfRule type="expression" dxfId="383" priority="145" stopIfTrue="1">
      <formula>CELL("proteger",R97)</formula>
    </cfRule>
  </conditionalFormatting>
  <conditionalFormatting sqref="S97:T107 Y97:Z107">
    <cfRule type="expression" dxfId="382" priority="146" stopIfTrue="1">
      <formula>$J97=$C$2</formula>
    </cfRule>
    <cfRule type="expression" dxfId="381" priority="147" stopIfTrue="1">
      <formula>$J97&lt;&gt;"Serviço"</formula>
    </cfRule>
  </conditionalFormatting>
  <conditionalFormatting sqref="O97:O107">
    <cfRule type="expression" dxfId="380" priority="132" stopIfTrue="1">
      <formula>$J97=$C$2</formula>
    </cfRule>
    <cfRule type="expression" dxfId="379" priority="133" stopIfTrue="1">
      <formula>AND($J97&lt;&gt;"Serviço")</formula>
    </cfRule>
    <cfRule type="expression" dxfId="378" priority="134" stopIfTrue="1">
      <formula>CELL("proteger",O97)</formula>
    </cfRule>
  </conditionalFormatting>
  <conditionalFormatting sqref="J15:J108">
    <cfRule type="expression" dxfId="377" priority="109" stopIfTrue="1">
      <formula>TipoOrçamento="Licitado"</formula>
    </cfRule>
  </conditionalFormatting>
  <conditionalFormatting sqref="L15:L108">
    <cfRule type="expression" dxfId="376" priority="106" stopIfTrue="1">
      <formula>$J15=$C$2</formula>
    </cfRule>
    <cfRule type="expression" dxfId="375" priority="107" stopIfTrue="1">
      <formula>$J15&lt;&gt;"Serviço"</formula>
    </cfRule>
    <cfRule type="expression" dxfId="374" priority="108" stopIfTrue="1">
      <formula>OR(CELL("proteger",L15),$J15="",TipoOrçamento="Licitado")</formula>
    </cfRule>
  </conditionalFormatting>
  <conditionalFormatting sqref="K109:K128">
    <cfRule type="expression" dxfId="373" priority="92" stopIfTrue="1">
      <formula>$J109=$C$2</formula>
    </cfRule>
    <cfRule type="expression" dxfId="372" priority="93" stopIfTrue="1">
      <formula>AND($J109&lt;&gt;"",$J109&lt;&gt;"Serviço")</formula>
    </cfRule>
    <cfRule type="expression" dxfId="371" priority="94" stopIfTrue="1">
      <formula>$J109=""</formula>
    </cfRule>
  </conditionalFormatting>
  <conditionalFormatting sqref="P109:P128">
    <cfRule type="expression" dxfId="370" priority="85" stopIfTrue="1">
      <formula>$J109=$C$2</formula>
    </cfRule>
    <cfRule type="expression" dxfId="369" priority="95" stopIfTrue="1">
      <formula>AND($J109&lt;&gt;"Serviço")</formula>
    </cfRule>
    <cfRule type="expression" dxfId="368" priority="96" stopIfTrue="1">
      <formula>CELL("proteger",P109)</formula>
    </cfRule>
  </conditionalFormatting>
  <conditionalFormatting sqref="R109:R128">
    <cfRule type="expression" dxfId="367" priority="97" stopIfTrue="1">
      <formula>$J109=$C$2</formula>
    </cfRule>
    <cfRule type="expression" dxfId="366" priority="98" stopIfTrue="1">
      <formula>$J109&lt;&gt;"Serviço"</formula>
    </cfRule>
    <cfRule type="expression" dxfId="365" priority="99" stopIfTrue="1">
      <formula>CELL("proteger",R109)</formula>
    </cfRule>
  </conditionalFormatting>
  <conditionalFormatting sqref="S109:T128 Y109:Z128">
    <cfRule type="expression" dxfId="364" priority="100" stopIfTrue="1">
      <formula>$J109=$C$2</formula>
    </cfRule>
    <cfRule type="expression" dxfId="363" priority="101" stopIfTrue="1">
      <formula>$J109&lt;&gt;"Serviço"</formula>
    </cfRule>
  </conditionalFormatting>
  <conditionalFormatting sqref="L109:M128">
    <cfRule type="expression" dxfId="362" priority="102" stopIfTrue="1">
      <formula>$J109=$C$2</formula>
    </cfRule>
    <cfRule type="expression" dxfId="361" priority="103" stopIfTrue="1">
      <formula>$J109&lt;&gt;"Serviço"</formula>
    </cfRule>
    <cfRule type="expression" dxfId="360" priority="104" stopIfTrue="1">
      <formula>OR(CELL("proteger",L109),$J109="",TipoOrçamento="Licitado")</formula>
    </cfRule>
  </conditionalFormatting>
  <conditionalFormatting sqref="J109:J128">
    <cfRule type="expression" dxfId="359" priority="105" stopIfTrue="1">
      <formula>TipoOrçamento="Licitado"</formula>
    </cfRule>
  </conditionalFormatting>
  <conditionalFormatting sqref="O109:O128">
    <cfRule type="expression" dxfId="358" priority="86" stopIfTrue="1">
      <formula>$J109=$C$2</formula>
    </cfRule>
    <cfRule type="expression" dxfId="357" priority="87" stopIfTrue="1">
      <formula>AND($J109&lt;&gt;"Serviço")</formula>
    </cfRule>
    <cfRule type="expression" dxfId="356" priority="88" stopIfTrue="1">
      <formula>CELL("proteger",O109)</formula>
    </cfRule>
  </conditionalFormatting>
  <conditionalFormatting sqref="N109:N128">
    <cfRule type="expression" dxfId="355" priority="89" stopIfTrue="1">
      <formula>$J109=$C$2</formula>
    </cfRule>
    <cfRule type="expression" dxfId="354" priority="90" stopIfTrue="1">
      <formula>$J109&lt;&gt;"Serviço"</formula>
    </cfRule>
    <cfRule type="expression" dxfId="353" priority="91" stopIfTrue="1">
      <formula>CELL("proteger",N109)</formula>
    </cfRule>
  </conditionalFormatting>
  <conditionalFormatting sqref="K129:K178">
    <cfRule type="expression" dxfId="352" priority="71" stopIfTrue="1">
      <formula>$J129=$C$2</formula>
    </cfRule>
    <cfRule type="expression" dxfId="351" priority="72" stopIfTrue="1">
      <formula>AND($J129&lt;&gt;"",$J129&lt;&gt;"Serviço")</formula>
    </cfRule>
    <cfRule type="expression" dxfId="350" priority="73" stopIfTrue="1">
      <formula>$J129=""</formula>
    </cfRule>
  </conditionalFormatting>
  <conditionalFormatting sqref="P129:P178">
    <cfRule type="expression" dxfId="349" priority="64" stopIfTrue="1">
      <formula>$J129=$C$2</formula>
    </cfRule>
    <cfRule type="expression" dxfId="348" priority="74" stopIfTrue="1">
      <formula>AND($J129&lt;&gt;"Serviço")</formula>
    </cfRule>
    <cfRule type="expression" dxfId="347" priority="75" stopIfTrue="1">
      <formula>CELL("proteger",P129)</formula>
    </cfRule>
  </conditionalFormatting>
  <conditionalFormatting sqref="R129:R178">
    <cfRule type="expression" dxfId="346" priority="76" stopIfTrue="1">
      <formula>$J129=$C$2</formula>
    </cfRule>
    <cfRule type="expression" dxfId="345" priority="77" stopIfTrue="1">
      <formula>$J129&lt;&gt;"Serviço"</formula>
    </cfRule>
    <cfRule type="expression" dxfId="344" priority="78" stopIfTrue="1">
      <formula>CELL("proteger",R129)</formula>
    </cfRule>
  </conditionalFormatting>
  <conditionalFormatting sqref="S129:T178 Y129:Z178">
    <cfRule type="expression" dxfId="343" priority="79" stopIfTrue="1">
      <formula>$J129=$C$2</formula>
    </cfRule>
    <cfRule type="expression" dxfId="342" priority="80" stopIfTrue="1">
      <formula>$J129&lt;&gt;"Serviço"</formula>
    </cfRule>
  </conditionalFormatting>
  <conditionalFormatting sqref="L129:M178">
    <cfRule type="expression" dxfId="341" priority="81" stopIfTrue="1">
      <formula>$J129=$C$2</formula>
    </cfRule>
    <cfRule type="expression" dxfId="340" priority="82" stopIfTrue="1">
      <formula>$J129&lt;&gt;"Serviço"</formula>
    </cfRule>
    <cfRule type="expression" dxfId="339" priority="83" stopIfTrue="1">
      <formula>OR(CELL("proteger",L129),$J129="",TipoOrçamento="Licitado")</formula>
    </cfRule>
  </conditionalFormatting>
  <conditionalFormatting sqref="J129:J178">
    <cfRule type="expression" dxfId="338" priority="84" stopIfTrue="1">
      <formula>TipoOrçamento="Licitado"</formula>
    </cfRule>
  </conditionalFormatting>
  <conditionalFormatting sqref="O129:O178">
    <cfRule type="expression" dxfId="337" priority="65" stopIfTrue="1">
      <formula>$J129=$C$2</formula>
    </cfRule>
    <cfRule type="expression" dxfId="336" priority="66" stopIfTrue="1">
      <formula>AND($J129&lt;&gt;"Serviço")</formula>
    </cfRule>
    <cfRule type="expression" dxfId="335" priority="67" stopIfTrue="1">
      <formula>CELL("proteger",O129)</formula>
    </cfRule>
  </conditionalFormatting>
  <conditionalFormatting sqref="N129:N178">
    <cfRule type="expression" dxfId="334" priority="68" stopIfTrue="1">
      <formula>$J129=$C$2</formula>
    </cfRule>
    <cfRule type="expression" dxfId="333" priority="69" stopIfTrue="1">
      <formula>$J129&lt;&gt;"Serviço"</formula>
    </cfRule>
    <cfRule type="expression" dxfId="332" priority="70" stopIfTrue="1">
      <formula>CELL("proteger",N129)</formula>
    </cfRule>
  </conditionalFormatting>
  <conditionalFormatting sqref="K179:K248">
    <cfRule type="expression" dxfId="331" priority="50" stopIfTrue="1">
      <formula>$J179=$C$2</formula>
    </cfRule>
    <cfRule type="expression" dxfId="330" priority="51" stopIfTrue="1">
      <formula>AND($J179&lt;&gt;"",$J179&lt;&gt;"Serviço")</formula>
    </cfRule>
    <cfRule type="expression" dxfId="329" priority="52" stopIfTrue="1">
      <formula>$J179=""</formula>
    </cfRule>
  </conditionalFormatting>
  <conditionalFormatting sqref="P179:P248">
    <cfRule type="expression" dxfId="328" priority="43" stopIfTrue="1">
      <formula>$J179=$C$2</formula>
    </cfRule>
    <cfRule type="expression" dxfId="327" priority="53" stopIfTrue="1">
      <formula>AND($J179&lt;&gt;"Serviço")</formula>
    </cfRule>
    <cfRule type="expression" dxfId="326" priority="54" stopIfTrue="1">
      <formula>CELL("proteger",P179)</formula>
    </cfRule>
  </conditionalFormatting>
  <conditionalFormatting sqref="R179:R248">
    <cfRule type="expression" dxfId="325" priority="55" stopIfTrue="1">
      <formula>$J179=$C$2</formula>
    </cfRule>
    <cfRule type="expression" dxfId="324" priority="56" stopIfTrue="1">
      <formula>$J179&lt;&gt;"Serviço"</formula>
    </cfRule>
    <cfRule type="expression" dxfId="323" priority="57" stopIfTrue="1">
      <formula>CELL("proteger",R179)</formula>
    </cfRule>
  </conditionalFormatting>
  <conditionalFormatting sqref="S179:T248 Y179:Z248">
    <cfRule type="expression" dxfId="322" priority="58" stopIfTrue="1">
      <formula>$J179=$C$2</formula>
    </cfRule>
    <cfRule type="expression" dxfId="321" priority="59" stopIfTrue="1">
      <formula>$J179&lt;&gt;"Serviço"</formula>
    </cfRule>
  </conditionalFormatting>
  <conditionalFormatting sqref="L179:M248">
    <cfRule type="expression" dxfId="320" priority="60" stopIfTrue="1">
      <formula>$J179=$C$2</formula>
    </cfRule>
    <cfRule type="expression" dxfId="319" priority="61" stopIfTrue="1">
      <formula>$J179&lt;&gt;"Serviço"</formula>
    </cfRule>
    <cfRule type="expression" dxfId="318" priority="62" stopIfTrue="1">
      <formula>OR(CELL("proteger",L179),$J179="",TipoOrçamento="Licitado")</formula>
    </cfRule>
  </conditionalFormatting>
  <conditionalFormatting sqref="J179:J248">
    <cfRule type="expression" dxfId="317" priority="63" stopIfTrue="1">
      <formula>TipoOrçamento="Licitado"</formula>
    </cfRule>
  </conditionalFormatting>
  <conditionalFormatting sqref="O179:O248">
    <cfRule type="expression" dxfId="316" priority="44" stopIfTrue="1">
      <formula>$J179=$C$2</formula>
    </cfRule>
    <cfRule type="expression" dxfId="315" priority="45" stopIfTrue="1">
      <formula>AND($J179&lt;&gt;"Serviço")</formula>
    </cfRule>
    <cfRule type="expression" dxfId="314" priority="46" stopIfTrue="1">
      <formula>CELL("proteger",O179)</formula>
    </cfRule>
  </conditionalFormatting>
  <conditionalFormatting sqref="N179:N248">
    <cfRule type="expression" dxfId="313" priority="47" stopIfTrue="1">
      <formula>$J179=$C$2</formula>
    </cfRule>
    <cfRule type="expression" dxfId="312" priority="48" stopIfTrue="1">
      <formula>$J179&lt;&gt;"Serviço"</formula>
    </cfRule>
    <cfRule type="expression" dxfId="311" priority="49" stopIfTrue="1">
      <formula>CELL("proteger",N179)</formula>
    </cfRule>
  </conditionalFormatting>
  <conditionalFormatting sqref="K249:K348">
    <cfRule type="expression" dxfId="310" priority="29" stopIfTrue="1">
      <formula>$J249=$C$2</formula>
    </cfRule>
    <cfRule type="expression" dxfId="309" priority="30" stopIfTrue="1">
      <formula>AND($J249&lt;&gt;"",$J249&lt;&gt;"Serviço")</formula>
    </cfRule>
    <cfRule type="expression" dxfId="308" priority="31" stopIfTrue="1">
      <formula>$J249=""</formula>
    </cfRule>
  </conditionalFormatting>
  <conditionalFormatting sqref="P249:P348">
    <cfRule type="expression" dxfId="307" priority="22" stopIfTrue="1">
      <formula>$J249=$C$2</formula>
    </cfRule>
    <cfRule type="expression" dxfId="306" priority="32" stopIfTrue="1">
      <formula>AND($J249&lt;&gt;"Serviço")</formula>
    </cfRule>
    <cfRule type="expression" dxfId="305" priority="33" stopIfTrue="1">
      <formula>CELL("proteger",P249)</formula>
    </cfRule>
  </conditionalFormatting>
  <conditionalFormatting sqref="R249:R348">
    <cfRule type="expression" dxfId="304" priority="34" stopIfTrue="1">
      <formula>$J249=$C$2</formula>
    </cfRule>
    <cfRule type="expression" dxfId="303" priority="35" stopIfTrue="1">
      <formula>$J249&lt;&gt;"Serviço"</formula>
    </cfRule>
    <cfRule type="expression" dxfId="302" priority="36" stopIfTrue="1">
      <formula>CELL("proteger",R249)</formula>
    </cfRule>
  </conditionalFormatting>
  <conditionalFormatting sqref="S249:T348 Y249:Z348">
    <cfRule type="expression" dxfId="301" priority="37" stopIfTrue="1">
      <formula>$J249=$C$2</formula>
    </cfRule>
    <cfRule type="expression" dxfId="300" priority="38" stopIfTrue="1">
      <formula>$J249&lt;&gt;"Serviço"</formula>
    </cfRule>
  </conditionalFormatting>
  <conditionalFormatting sqref="L249:M348">
    <cfRule type="expression" dxfId="299" priority="39" stopIfTrue="1">
      <formula>$J249=$C$2</formula>
    </cfRule>
    <cfRule type="expression" dxfId="298" priority="40" stopIfTrue="1">
      <formula>$J249&lt;&gt;"Serviço"</formula>
    </cfRule>
    <cfRule type="expression" dxfId="297" priority="41" stopIfTrue="1">
      <formula>OR(CELL("proteger",L249),$J249="",TipoOrçamento="Licitado")</formula>
    </cfRule>
  </conditionalFormatting>
  <conditionalFormatting sqref="J249:J348">
    <cfRule type="expression" dxfId="296" priority="42" stopIfTrue="1">
      <formula>TipoOrçamento="Licitado"</formula>
    </cfRule>
  </conditionalFormatting>
  <conditionalFormatting sqref="O249:O348">
    <cfRule type="expression" dxfId="295" priority="23" stopIfTrue="1">
      <formula>$J249=$C$2</formula>
    </cfRule>
    <cfRule type="expression" dxfId="294" priority="24" stopIfTrue="1">
      <formula>AND($J249&lt;&gt;"Serviço")</formula>
    </cfRule>
    <cfRule type="expression" dxfId="293" priority="25" stopIfTrue="1">
      <formula>CELL("proteger",O249)</formula>
    </cfRule>
  </conditionalFormatting>
  <conditionalFormatting sqref="N249:N348">
    <cfRule type="expression" dxfId="292" priority="26" stopIfTrue="1">
      <formula>$J249=$C$2</formula>
    </cfRule>
    <cfRule type="expression" dxfId="291" priority="27" stopIfTrue="1">
      <formula>$J249&lt;&gt;"Serviço"</formula>
    </cfRule>
    <cfRule type="expression" dxfId="290" priority="28" stopIfTrue="1">
      <formula>CELL("proteger",N249)</formula>
    </cfRule>
  </conditionalFormatting>
  <conditionalFormatting sqref="J349:J421">
    <cfRule type="expression" dxfId="289" priority="21" stopIfTrue="1">
      <formula>TipoOrçamento="Licitado"</formula>
    </cfRule>
  </conditionalFormatting>
  <dataValidations count="3">
    <dataValidation type="decimal" operator="greaterThan" allowBlank="1" showInputMessage="1" showErrorMessage="1" error="Apenas números decimais maiores que zero." sqref="Q11 Q13:Q421">
      <formula1>0</formula1>
    </dataValidation>
    <dataValidation type="list" errorStyle="warning" allowBlank="1" showInputMessage="1" showErrorMessage="1" error="Selecione um dos 5 BDI da lista._x000a__x000a_Caso tenha mais de 5 BDI nesta Planilha Orçamentária digite apenas valor percentual." sqref="R11 R13:R421">
      <formula1>Dados.Lista.BDI</formula1>
    </dataValidation>
    <dataValidation type="list" showInputMessage="1" showErrorMessage="1" errorTitle="Erro de Entrada" error="Selecione somente os itens da lista." promptTitle="Nível:" prompt="Selecione na lista o nível de itemização da Planilha." sqref="J11 J14:J421">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Footer>Página &amp;P de &amp;N</oddFooter>
  </headerFooter>
  <ignoredErrors>
    <ignoredError sqref="K433"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428"/>
  <sheetViews>
    <sheetView showGridLines="0" zoomScale="70" zoomScaleNormal="70" workbookViewId="0">
      <selection activeCell="K548" sqref="K548"/>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5" t="s">
        <v>232</v>
      </c>
      <c r="G9" s="365"/>
      <c r="H9" s="365"/>
      <c r="I9" s="365"/>
      <c r="J9" s="365"/>
      <c r="K9" s="365"/>
      <c r="L9" s="365"/>
      <c r="M9" s="365"/>
      <c r="N9" s="365"/>
      <c r="O9" s="365"/>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REF. COMP. HOSPITALAR - IMAGENOLOGIA 1ª ETAPA</v>
      </c>
      <c r="D13" s="111" t="str">
        <f ca="1">IF(OFFSET(PO!O$12,ROW(D13)-ROW(D$12),0)=0,"",OFFSET(PO!O$12,ROW(D13)-ROW(D$12),0))</f>
        <v/>
      </c>
      <c r="E13" s="140">
        <f ca="1">IF($A13&lt;&gt;"Serviço",0,ROUND(SUMIF($F$9:$P$9,"&lt;&gt;",$F13:$P13),15-13*PO!$X$3))</f>
        <v>0</v>
      </c>
      <c r="F13" s="364">
        <f ca="1">OFFSET(PO!$P$12,ROW($E13)-ROW(F$12),0)</f>
        <v>0</v>
      </c>
      <c r="G13" s="364"/>
      <c r="H13" s="364"/>
      <c r="I13" s="364"/>
      <c r="J13" s="364"/>
      <c r="K13" s="364"/>
      <c r="L13" s="364"/>
      <c r="M13" s="364"/>
      <c r="N13" s="364"/>
      <c r="O13" s="364"/>
      <c r="U13" s="182"/>
    </row>
    <row r="14" spans="1:21" s="1" customFormat="1" x14ac:dyDescent="0.2">
      <c r="A14" s="110" t="str">
        <f ca="1">OFFSET(PO!J$12,ROW(A14)-ROW($A$12),0)</f>
        <v>Nível 2</v>
      </c>
      <c r="B14" s="112" t="str">
        <f ca="1">IF($A14=0,"",OFFSET(PO!K$12,ROW(B14)-ROW(B$12),0))</f>
        <v>1.1.</v>
      </c>
      <c r="C14" s="109" t="str">
        <f ca="1">IF(OFFSET(PO!N$12,ROW(C14)-ROW(C$12),0)=0,"",OFFSET(PO!N$12,ROW(C14)-ROW(C$12),0))</f>
        <v>SERVIÇOS PRELIMINARES</v>
      </c>
      <c r="D14" s="111" t="str">
        <f ca="1">IF(OFFSET(PO!O$12,ROW(D14)-ROW(D$12),0)=0,"",OFFSET(PO!O$12,ROW(D14)-ROW(D$12),0))</f>
        <v>M2</v>
      </c>
      <c r="E14" s="140">
        <f ca="1">IF($A14&lt;&gt;"Serviço",0,ROUND(SUMIF($F$9:$P$9,"&lt;&gt;",$F14:$P14),15-13*PO!$X$3))</f>
        <v>0</v>
      </c>
      <c r="F14" s="364">
        <f ca="1">OFFSET(PO!$P$12,ROW($E14)-ROW(F$12),0)</f>
        <v>4.5</v>
      </c>
      <c r="G14" s="364"/>
      <c r="H14" s="364"/>
      <c r="I14" s="364"/>
      <c r="J14" s="364"/>
      <c r="K14" s="364"/>
      <c r="L14" s="364"/>
      <c r="M14" s="364"/>
      <c r="N14" s="364"/>
      <c r="O14" s="364"/>
      <c r="U14" s="182"/>
    </row>
    <row r="15" spans="1:21" s="1" customFormat="1" x14ac:dyDescent="0.2">
      <c r="A15" s="110" t="str">
        <f ca="1">OFFSET(PO!J$12,ROW(A15)-ROW($A$12),0)</f>
        <v>Nível 3</v>
      </c>
      <c r="B15" s="112" t="str">
        <f ca="1">IF($A15=0,"",OFFSET(PO!K$12,ROW(B15)-ROW(B$12),0))</f>
        <v>1.1.1.</v>
      </c>
      <c r="C15" s="109" t="str">
        <f ca="1">IF(OFFSET(PO!N$12,ROW(C15)-ROW(C$12),0)=0,"",OFFSET(PO!N$12,ROW(C15)-ROW(C$12),0))</f>
        <v>PROJETOS EXECUTIVOS E REVISÕES</v>
      </c>
      <c r="D15" s="111" t="str">
        <f ca="1">IF(OFFSET(PO!O$12,ROW(D15)-ROW(D$12),0)=0,"",OFFSET(PO!O$12,ROW(D15)-ROW(D$12),0))</f>
        <v/>
      </c>
      <c r="E15" s="140">
        <f ca="1">IF($A15&lt;&gt;"Serviço",0,ROUND(SUMIF($F$9:$P$9,"&lt;&gt;",$F15:$P15),15-13*PO!$X$3))</f>
        <v>0</v>
      </c>
      <c r="F15" s="364">
        <f ca="1">OFFSET(PO!$P$12,ROW($E15)-ROW(F$12),0)</f>
        <v>4.5</v>
      </c>
      <c r="G15" s="364"/>
      <c r="H15" s="364"/>
      <c r="I15" s="364"/>
      <c r="J15" s="364"/>
      <c r="K15" s="364"/>
      <c r="L15" s="364"/>
      <c r="M15" s="364"/>
      <c r="N15" s="364"/>
      <c r="O15" s="364"/>
      <c r="U15" s="182"/>
    </row>
    <row r="16" spans="1:21" s="1" customFormat="1" ht="25.5" x14ac:dyDescent="0.2">
      <c r="A16" s="110" t="str">
        <f ca="1">OFFSET(PO!J$12,ROW(A16)-ROW($A$12),0)</f>
        <v>Serviço</v>
      </c>
      <c r="B16" s="112" t="str">
        <f ca="1">IF($A16=0,"",OFFSET(PO!K$12,ROW(B16)-ROW(B$12),0))</f>
        <v>1.1.1.0.1.</v>
      </c>
      <c r="C16" s="109" t="str">
        <f ca="1">IF(OFFSET(PO!N$12,ROW(C16)-ROW(C$12),0)=0,"",OFFSET(PO!N$12,ROW(C16)-ROW(C$12),0))</f>
        <v>PROJETO EXECUTIVO ESTRUTURAL - CONCRETO ARMADO E REFORÇO</v>
      </c>
      <c r="D16" s="111" t="str">
        <f ca="1">IF(OFFSET(PO!O$12,ROW(D16)-ROW(D$12),0)=0,"",OFFSET(PO!O$12,ROW(D16)-ROW(D$12),0))</f>
        <v>UNID</v>
      </c>
      <c r="E16" s="140">
        <f ca="1">IF($A16&lt;&gt;"Serviço",0,ROUND(SUMIF($F$9:$P$9,"&lt;&gt;",$F16:$P16),15-13*PO!$X$3))</f>
        <v>1</v>
      </c>
      <c r="F16" s="364">
        <f ca="1">OFFSET(PO!$P$12,ROW($E16)-ROW(F$12),0)</f>
        <v>1</v>
      </c>
      <c r="G16" s="364"/>
      <c r="H16" s="364"/>
      <c r="I16" s="364"/>
      <c r="J16" s="364"/>
      <c r="K16" s="364"/>
      <c r="L16" s="364"/>
      <c r="M16" s="364"/>
      <c r="N16" s="364"/>
      <c r="O16" s="364"/>
      <c r="U16" s="182"/>
    </row>
    <row r="17" spans="1:21" s="1" customFormat="1" ht="38.25" x14ac:dyDescent="0.2">
      <c r="A17" s="110" t="str">
        <f ca="1">OFFSET(PO!J$12,ROW(A17)-ROW($A$12),0)</f>
        <v>Serviço</v>
      </c>
      <c r="B17" s="112" t="str">
        <f ca="1">IF($A17=0,"",OFFSET(PO!K$12,ROW(B17)-ROW(B$12),0))</f>
        <v>1.1.1.0.2.</v>
      </c>
      <c r="C17" s="109" t="str">
        <f ca="1">IF(OFFSET(PO!N$12,ROW(C17)-ROW(C$12),0)=0,"",OFFSET(PO!N$12,ROW(C17)-ROW(C$12),0))</f>
        <v>PROJETOS EXECUTIVO COMPLEMENTARES -  PROJETOS ELÉTRICO /LÓGICA /HIDRÁULICO /PPCI /SPDA COMPLETOS E COMPATIBILIZADOS</v>
      </c>
      <c r="D17" s="111" t="str">
        <f ca="1">IF(OFFSET(PO!O$12,ROW(D17)-ROW(D$12),0)=0,"",OFFSET(PO!O$12,ROW(D17)-ROW(D$12),0))</f>
        <v>UNID</v>
      </c>
      <c r="E17" s="140">
        <f ca="1">IF($A17&lt;&gt;"Serviço",0,ROUND(SUMIF($F$9:$P$9,"&lt;&gt;",$F17:$P17),15-13*PO!$X$3))</f>
        <v>1</v>
      </c>
      <c r="F17" s="364">
        <f ca="1">OFFSET(PO!$P$12,ROW($E17)-ROW(F$12),0)</f>
        <v>1</v>
      </c>
      <c r="G17" s="364"/>
      <c r="H17" s="364"/>
      <c r="I17" s="364"/>
      <c r="J17" s="364"/>
      <c r="K17" s="364"/>
      <c r="L17" s="364"/>
      <c r="M17" s="364"/>
      <c r="N17" s="364"/>
      <c r="O17" s="364"/>
      <c r="U17" s="182"/>
    </row>
    <row r="18" spans="1:21" s="1" customFormat="1" x14ac:dyDescent="0.2">
      <c r="A18" s="110" t="str">
        <f ca="1">OFFSET(PO!J$12,ROW(A18)-ROW($A$12),0)</f>
        <v>Nível 3</v>
      </c>
      <c r="B18" s="112" t="str">
        <f ca="1">IF($A18=0,"",OFFSET(PO!K$12,ROW(B18)-ROW(B$12),0))</f>
        <v>1.1.2.</v>
      </c>
      <c r="C18" s="109" t="str">
        <f ca="1">IF(OFFSET(PO!N$12,ROW(C18)-ROW(C$12),0)=0,"",OFFSET(PO!N$12,ROW(C18)-ROW(C$12),0))</f>
        <v>SERVIÇOS INICIAIS</v>
      </c>
      <c r="D18" s="111" t="str">
        <f ca="1">IF(OFFSET(PO!O$12,ROW(D18)-ROW(D$12),0)=0,"",OFFSET(PO!O$12,ROW(D18)-ROW(D$12),0))</f>
        <v/>
      </c>
      <c r="E18" s="140">
        <f ca="1">IF($A18&lt;&gt;"Serviço",0,ROUND(SUMIF($F$9:$P$9,"&lt;&gt;",$F18:$P18),15-13*PO!$X$3))</f>
        <v>0</v>
      </c>
      <c r="F18" s="364">
        <f ca="1">OFFSET(PO!$P$12,ROW($E18)-ROW(F$12),0)</f>
        <v>0</v>
      </c>
      <c r="G18" s="364"/>
      <c r="H18" s="364"/>
      <c r="I18" s="364"/>
      <c r="J18" s="364"/>
      <c r="K18" s="364"/>
      <c r="L18" s="364"/>
      <c r="M18" s="364"/>
      <c r="N18" s="364"/>
      <c r="O18" s="364"/>
      <c r="U18" s="182"/>
    </row>
    <row r="19" spans="1:21" s="1" customFormat="1" x14ac:dyDescent="0.2">
      <c r="A19" s="110" t="str">
        <f ca="1">OFFSET(PO!J$12,ROW(A19)-ROW($A$12),0)</f>
        <v>Serviço</v>
      </c>
      <c r="B19" s="112" t="str">
        <f ca="1">IF($A19=0,"",OFFSET(PO!K$12,ROW(B19)-ROW(B$12),0))</f>
        <v>1.1.2.0.1.</v>
      </c>
      <c r="C19" s="109" t="str">
        <f ca="1">IF(OFFSET(PO!N$12,ROW(C19)-ROW(C$12),0)=0,"",OFFSET(PO!N$12,ROW(C19)-ROW(C$12),0))</f>
        <v xml:space="preserve">ADMINISTRAÇÃO DE OBRA </v>
      </c>
      <c r="D19" s="111" t="str">
        <f ca="1">IF(OFFSET(PO!O$12,ROW(D19)-ROW(D$12),0)=0,"",OFFSET(PO!O$12,ROW(D19)-ROW(D$12),0))</f>
        <v>MÊS</v>
      </c>
      <c r="E19" s="140">
        <f ca="1">IF($A19&lt;&gt;"Serviço",0,ROUND(SUMIF($F$9:$P$9,"&lt;&gt;",$F19:$P19),15-13*PO!$X$3))</f>
        <v>8</v>
      </c>
      <c r="F19" s="364">
        <f ca="1">OFFSET(PO!$P$12,ROW($E19)-ROW(F$12),0)</f>
        <v>8</v>
      </c>
      <c r="G19" s="364"/>
      <c r="H19" s="364"/>
      <c r="I19" s="364"/>
      <c r="J19" s="364"/>
      <c r="K19" s="364"/>
      <c r="L19" s="364"/>
      <c r="M19" s="364"/>
      <c r="N19" s="364"/>
      <c r="O19" s="364"/>
      <c r="U19" s="182"/>
    </row>
    <row r="20" spans="1:21" s="1" customFormat="1" ht="38.25" x14ac:dyDescent="0.2">
      <c r="A20" s="110" t="str">
        <f ca="1">OFFSET(PO!J$12,ROW(A20)-ROW($A$12),0)</f>
        <v>Serviço</v>
      </c>
      <c r="B20" s="112" t="str">
        <f ca="1">IF($A20=0,"",OFFSET(PO!K$12,ROW(B20)-ROW(B$12),0))</f>
        <v>1.1.2.0.2.</v>
      </c>
      <c r="C20" s="109" t="str">
        <f ca="1">IF(OFFSET(PO!N$12,ROW(C20)-ROW(C$12),0)=0,"",OFFSET(PO!N$12,ROW(C20)-ROW(C$12),0))</f>
        <v>FORNECIMENTO E INSTALAÇÃO DE PLACA DE OBRA COM CHAPA GALVANIZADA E ESTRUTURA DE MADEIRA. AF_03/2022_PS</v>
      </c>
      <c r="D20" s="111" t="str">
        <f ca="1">IF(OFFSET(PO!O$12,ROW(D20)-ROW(D$12),0)=0,"",OFFSET(PO!O$12,ROW(D20)-ROW(D$12),0))</f>
        <v>M2</v>
      </c>
      <c r="E20" s="140">
        <f ca="1">IF($A20&lt;&gt;"Serviço",0,ROUND(SUMIF($F$9:$P$9,"&lt;&gt;",$F20:$P20),15-13*PO!$X$3))</f>
        <v>4.5</v>
      </c>
      <c r="F20" s="364">
        <f ca="1">OFFSET(PO!$P$12,ROW($E20)-ROW(F$12),0)</f>
        <v>4.5</v>
      </c>
      <c r="G20" s="364"/>
      <c r="H20" s="364"/>
      <c r="I20" s="364"/>
      <c r="J20" s="364"/>
      <c r="K20" s="364"/>
      <c r="L20" s="364"/>
      <c r="M20" s="364"/>
      <c r="N20" s="364"/>
      <c r="O20" s="364"/>
      <c r="U20" s="182"/>
    </row>
    <row r="21" spans="1:21" s="1" customFormat="1" x14ac:dyDescent="0.2">
      <c r="A21" s="110" t="str">
        <f ca="1">OFFSET(PO!J$12,ROW(A21)-ROW($A$12),0)</f>
        <v>Serviço</v>
      </c>
      <c r="B21" s="112" t="str">
        <f ca="1">IF($A21=0,"",OFFSET(PO!K$12,ROW(B21)-ROW(B$12),0))</f>
        <v>1.1.2.0.3.</v>
      </c>
      <c r="C21" s="109" t="str">
        <f ca="1">IF(OFFSET(PO!N$12,ROW(C21)-ROW(C$12),0)=0,"",OFFSET(PO!N$12,ROW(C21)-ROW(C$12),0))</f>
        <v>TAPUME COM COMPENSADO DE MADEIRA. AF_03/2024</v>
      </c>
      <c r="D21" s="111" t="str">
        <f ca="1">IF(OFFSET(PO!O$12,ROW(D21)-ROW(D$12),0)=0,"",OFFSET(PO!O$12,ROW(D21)-ROW(D$12),0))</f>
        <v>M2</v>
      </c>
      <c r="E21" s="140">
        <f ca="1">IF($A21&lt;&gt;"Serviço",0,ROUND(SUMIF($F$9:$P$9,"&lt;&gt;",$F21:$P21),15-13*PO!$X$3))</f>
        <v>30</v>
      </c>
      <c r="F21" s="364">
        <f ca="1">OFFSET(PO!$P$12,ROW($E21)-ROW(F$12),0)</f>
        <v>30</v>
      </c>
      <c r="G21" s="364"/>
      <c r="H21" s="364"/>
      <c r="I21" s="364"/>
      <c r="J21" s="364"/>
      <c r="K21" s="364"/>
      <c r="L21" s="364"/>
      <c r="M21" s="364"/>
      <c r="N21" s="364"/>
      <c r="O21" s="364"/>
      <c r="U21" s="182"/>
    </row>
    <row r="22" spans="1:21" s="1" customFormat="1" ht="38.25" x14ac:dyDescent="0.2">
      <c r="A22" s="110" t="str">
        <f ca="1">OFFSET(PO!J$12,ROW(A22)-ROW($A$12),0)</f>
        <v>Serviço</v>
      </c>
      <c r="B22" s="112" t="str">
        <f ca="1">IF($A22=0,"",OFFSET(PO!K$12,ROW(B22)-ROW(B$12),0))</f>
        <v>1.1.2.0.4.</v>
      </c>
      <c r="C22" s="109" t="str">
        <f ca="1">IF(OFFSET(PO!N$12,ROW(C22)-ROW(C$12),0)=0,"",OFFSET(PO!N$12,ROW(C22)-ROW(C$12),0))</f>
        <v>LOCACAO DE CONTAINER 2,30 X 6,00 M, ALT. 2,50 M, COM 1 SANITARIO, PARA ESCRITORIO, COMPLETO, SEM DIVISORIAS INTERNAS (NAO INCLUI MOBILIZACAO/DESMOBILIZACAO)</v>
      </c>
      <c r="D22" s="111" t="str">
        <f ca="1">IF(OFFSET(PO!O$12,ROW(D22)-ROW(D$12),0)=0,"",OFFSET(PO!O$12,ROW(D22)-ROW(D$12),0))</f>
        <v>MES</v>
      </c>
      <c r="E22" s="140">
        <f ca="1">IF($A22&lt;&gt;"Serviço",0,ROUND(SUMIF($F$9:$P$9,"&lt;&gt;",$F22:$P22),15-13*PO!$X$3))</f>
        <v>8</v>
      </c>
      <c r="F22" s="364">
        <f ca="1">OFFSET(PO!$P$12,ROW($E22)-ROW(F$12),0)</f>
        <v>8</v>
      </c>
      <c r="G22" s="364"/>
      <c r="H22" s="364"/>
      <c r="I22" s="364"/>
      <c r="J22" s="364"/>
      <c r="K22" s="364"/>
      <c r="L22" s="364"/>
      <c r="M22" s="364"/>
      <c r="N22" s="364"/>
      <c r="O22" s="364"/>
      <c r="U22" s="182"/>
    </row>
    <row r="23" spans="1:21" s="1" customFormat="1" ht="38.25" x14ac:dyDescent="0.2">
      <c r="A23" s="110" t="str">
        <f ca="1">OFFSET(PO!J$12,ROW(A23)-ROW($A$12),0)</f>
        <v>Serviço</v>
      </c>
      <c r="B23" s="112" t="str">
        <f ca="1">IF($A23=0,"",OFFSET(PO!K$12,ROW(B23)-ROW(B$12),0))</f>
        <v>1.1.2.0.5.</v>
      </c>
      <c r="C23" s="109" t="str">
        <f ca="1">IF(OFFSET(PO!N$12,ROW(C23)-ROW(C$12),0)=0,"",OFFSET(PO!N$12,ROW(C23)-ROW(C$12),0))</f>
        <v>LOCACAO DE CONTAINER 2,30 X 6,00 M, ALT. 2,50 M, PARA ESCRITORIO, SEM DIVISORIAS INTERNAS E SEM SANITARIO (NAO INCLUI MOBILIZACAO/DESMOBILIZACAO)</v>
      </c>
      <c r="D23" s="111" t="str">
        <f ca="1">IF(OFFSET(PO!O$12,ROW(D23)-ROW(D$12),0)=0,"",OFFSET(PO!O$12,ROW(D23)-ROW(D$12),0))</f>
        <v>MES</v>
      </c>
      <c r="E23" s="140">
        <f ca="1">IF($A23&lt;&gt;"Serviço",0,ROUND(SUMIF($F$9:$P$9,"&lt;&gt;",$F23:$P23),15-13*PO!$X$3))</f>
        <v>8</v>
      </c>
      <c r="F23" s="364">
        <f ca="1">OFFSET(PO!$P$12,ROW($E23)-ROW(F$12),0)</f>
        <v>8</v>
      </c>
      <c r="G23" s="364"/>
      <c r="H23" s="364"/>
      <c r="I23" s="364"/>
      <c r="J23" s="364"/>
      <c r="K23" s="364"/>
      <c r="L23" s="364"/>
      <c r="M23" s="364"/>
      <c r="N23" s="364"/>
      <c r="O23" s="364"/>
      <c r="U23" s="182"/>
    </row>
    <row r="24" spans="1:21" s="1" customFormat="1" ht="25.5" x14ac:dyDescent="0.2">
      <c r="A24" s="110" t="str">
        <f ca="1">OFFSET(PO!J$12,ROW(A24)-ROW($A$12),0)</f>
        <v>Serviço</v>
      </c>
      <c r="B24" s="112" t="str">
        <f ca="1">IF($A24=0,"",OFFSET(PO!K$12,ROW(B24)-ROW(B$12),0))</f>
        <v>1.1.2.0.6.</v>
      </c>
      <c r="C24" s="109" t="str">
        <f ca="1">IF(OFFSET(PO!N$12,ROW(C24)-ROW(C$12),0)=0,"",OFFSET(PO!N$12,ROW(C24)-ROW(C$12),0))</f>
        <v>INSTALAÇÃO E DESINSTALAÇÃO MECANIZADA DE CONTÊINER OU MÓDULO HABITÁVEL DE USOS DIVERSOS. AF_03/2024</v>
      </c>
      <c r="D24" s="111" t="str">
        <f ca="1">IF(OFFSET(PO!O$12,ROW(D24)-ROW(D$12),0)=0,"",OFFSET(PO!O$12,ROW(D24)-ROW(D$12),0))</f>
        <v>UN</v>
      </c>
      <c r="E24" s="140">
        <f ca="1">IF($A24&lt;&gt;"Serviço",0,ROUND(SUMIF($F$9:$P$9,"&lt;&gt;",$F24:$P24),15-13*PO!$X$3))</f>
        <v>2</v>
      </c>
      <c r="F24" s="364">
        <f ca="1">OFFSET(PO!$P$12,ROW($E24)-ROW(F$12),0)</f>
        <v>2</v>
      </c>
      <c r="G24" s="364"/>
      <c r="H24" s="364"/>
      <c r="I24" s="364"/>
      <c r="J24" s="364"/>
      <c r="K24" s="364"/>
      <c r="L24" s="364"/>
      <c r="M24" s="364"/>
      <c r="N24" s="364"/>
      <c r="O24" s="364"/>
      <c r="U24" s="182"/>
    </row>
    <row r="25" spans="1:21" s="1" customFormat="1" ht="25.5" x14ac:dyDescent="0.2">
      <c r="A25" s="110" t="str">
        <f ca="1">OFFSET(PO!J$12,ROW(A25)-ROW($A$12),0)</f>
        <v>Serviço</v>
      </c>
      <c r="B25" s="112" t="str">
        <f ca="1">IF($A25=0,"",OFFSET(PO!K$12,ROW(B25)-ROW(B$12),0))</f>
        <v>1.1.2.0.7.</v>
      </c>
      <c r="C25" s="109" t="str">
        <f ca="1">IF(OFFSET(PO!N$12,ROW(C25)-ROW(C$12),0)=0,"",OFFSET(PO!N$12,ROW(C25)-ROW(C$12),0))</f>
        <v>MONTAGEM E DESMONTAGEM DE ANDAIME TUBULAR TIPO "TORRE" (EXCLUSIVE ANDAIME E LIMPEZA). AF_03/2024</v>
      </c>
      <c r="D25" s="111" t="str">
        <f ca="1">IF(OFFSET(PO!O$12,ROW(D25)-ROW(D$12),0)=0,"",OFFSET(PO!O$12,ROW(D25)-ROW(D$12),0))</f>
        <v>M</v>
      </c>
      <c r="E25" s="140">
        <f ca="1">IF($A25&lt;&gt;"Serviço",0,ROUND(SUMIF($F$9:$P$9,"&lt;&gt;",$F25:$P25),15-13*PO!$X$3))</f>
        <v>221</v>
      </c>
      <c r="F25" s="364">
        <f ca="1">OFFSET(PO!$P$12,ROW($E25)-ROW(F$12),0)</f>
        <v>221</v>
      </c>
      <c r="G25" s="364"/>
      <c r="H25" s="364"/>
      <c r="I25" s="364"/>
      <c r="J25" s="364"/>
      <c r="K25" s="364"/>
      <c r="L25" s="364"/>
      <c r="M25" s="364"/>
      <c r="N25" s="364"/>
      <c r="O25" s="364"/>
      <c r="U25" s="182"/>
    </row>
    <row r="26" spans="1:21" s="1" customFormat="1" ht="63.75" x14ac:dyDescent="0.2">
      <c r="A26" s="110" t="str">
        <f ca="1">OFFSET(PO!J$12,ROW(A26)-ROW($A$12),0)</f>
        <v>Serviço</v>
      </c>
      <c r="B26" s="112" t="str">
        <f ca="1">IF($A26=0,"",OFFSET(PO!K$12,ROW(B26)-ROW(B$12),0))</f>
        <v>1.1.2.0.8.</v>
      </c>
      <c r="C26" s="109" t="str">
        <f ca="1">IF(OFFSET(PO!N$12,ROW(C26)-ROW(C$12),0)=0,"",OFFSET(PO!N$12,ROW(C26)-ROW(C$12),0))</f>
        <v>LOCACAO DE ANDAIME METALICO TUBULAR DE ENCAIXE, TIPO DE TORRE, CADA PAINEL COM LARGURA DE 1 ATE 1,5 M E ALTURA DE *1,00* M, INCLUINDO DIAGONAL, BARRAS DE LIGACAO, SAPATAS OU RODIZIOS E DEMAIS ITENS NECESSARIOS A MONTAGEM (NAO INCLUI INSTALACAO)</v>
      </c>
      <c r="D26" s="111" t="str">
        <f ca="1">IF(OFFSET(PO!O$12,ROW(D26)-ROW(D$12),0)=0,"",OFFSET(PO!O$12,ROW(D26)-ROW(D$12),0))</f>
        <v>MXMES</v>
      </c>
      <c r="E26" s="140">
        <f ca="1">IF($A26&lt;&gt;"Serviço",0,ROUND(SUMIF($F$9:$P$9,"&lt;&gt;",$F26:$P26),15-13*PO!$X$3))</f>
        <v>442</v>
      </c>
      <c r="F26" s="364">
        <f ca="1">OFFSET(PO!$P$12,ROW($E26)-ROW(F$12),0)</f>
        <v>442</v>
      </c>
      <c r="G26" s="364"/>
      <c r="H26" s="364"/>
      <c r="I26" s="364"/>
      <c r="J26" s="364"/>
      <c r="K26" s="364"/>
      <c r="L26" s="364"/>
      <c r="M26" s="364"/>
      <c r="N26" s="364"/>
      <c r="O26" s="364"/>
      <c r="U26" s="182"/>
    </row>
    <row r="27" spans="1:21" s="1" customFormat="1" x14ac:dyDescent="0.2">
      <c r="A27" s="110" t="str">
        <f ca="1">OFFSET(PO!J$12,ROW(A27)-ROW($A$12),0)</f>
        <v>Nível 2</v>
      </c>
      <c r="B27" s="112" t="str">
        <f ca="1">IF($A27=0,"",OFFSET(PO!K$12,ROW(B27)-ROW(B$12),0))</f>
        <v>1.2.</v>
      </c>
      <c r="C27" s="109" t="str">
        <f ca="1">IF(OFFSET(PO!N$12,ROW(C27)-ROW(C$12),0)=0,"",OFFSET(PO!N$12,ROW(C27)-ROW(C$12),0))</f>
        <v>DEMOLIÇÕES E RETIRADAS</v>
      </c>
      <c r="D27" s="111" t="str">
        <f ca="1">IF(OFFSET(PO!O$12,ROW(D27)-ROW(D$12),0)=0,"",OFFSET(PO!O$12,ROW(D27)-ROW(D$12),0))</f>
        <v/>
      </c>
      <c r="E27" s="140">
        <f ca="1">IF($A27&lt;&gt;"Serviço",0,ROUND(SUMIF($F$9:$P$9,"&lt;&gt;",$F27:$P27),15-13*PO!$X$3))</f>
        <v>0</v>
      </c>
      <c r="F27" s="364">
        <f ca="1">OFFSET(PO!$P$12,ROW($E27)-ROW(F$12),0)</f>
        <v>5</v>
      </c>
      <c r="G27" s="364"/>
      <c r="H27" s="364"/>
      <c r="I27" s="364"/>
      <c r="J27" s="364"/>
      <c r="K27" s="364"/>
      <c r="L27" s="364"/>
      <c r="M27" s="364"/>
      <c r="N27" s="364"/>
      <c r="O27" s="364"/>
      <c r="U27" s="182"/>
    </row>
    <row r="28" spans="1:21" s="1" customFormat="1" ht="25.5" x14ac:dyDescent="0.2">
      <c r="A28" s="110" t="str">
        <f ca="1">OFFSET(PO!J$12,ROW(A28)-ROW($A$12),0)</f>
        <v>Serviço</v>
      </c>
      <c r="B28" s="112" t="str">
        <f ca="1">IF($A28=0,"",OFFSET(PO!K$12,ROW(B28)-ROW(B$12),0))</f>
        <v>1.2.0.0.1.</v>
      </c>
      <c r="C28" s="109" t="str">
        <f ca="1">IF(OFFSET(PO!N$12,ROW(C28)-ROW(C$12),0)=0,"",OFFSET(PO!N$12,ROW(C28)-ROW(C$12),0))</f>
        <v>REMOÇÃO DE REVESTIMENTO DE PISO EM PARQUET/TACOS DE MADEIRA, SEM REAPROVEITAMENTO.</v>
      </c>
      <c r="D28" s="111" t="str">
        <f ca="1">IF(OFFSET(PO!O$12,ROW(D28)-ROW(D$12),0)=0,"",OFFSET(PO!O$12,ROW(D28)-ROW(D$12),0))</f>
        <v>M2</v>
      </c>
      <c r="E28" s="140">
        <f ca="1">IF($A28&lt;&gt;"Serviço",0,ROUND(SUMIF($F$9:$P$9,"&lt;&gt;",$F28:$P28),15-13*PO!$X$3))</f>
        <v>139.5</v>
      </c>
      <c r="F28" s="364">
        <f ca="1">OFFSET(PO!$P$12,ROW($E28)-ROW(F$12),0)</f>
        <v>139.5</v>
      </c>
      <c r="G28" s="364"/>
      <c r="H28" s="364"/>
      <c r="I28" s="364"/>
      <c r="J28" s="364"/>
      <c r="K28" s="364"/>
      <c r="L28" s="364"/>
      <c r="M28" s="364"/>
      <c r="N28" s="364"/>
      <c r="O28" s="364"/>
      <c r="U28" s="182"/>
    </row>
    <row r="29" spans="1:21" s="1" customFormat="1" ht="25.5" x14ac:dyDescent="0.2">
      <c r="A29" s="110" t="str">
        <f ca="1">OFFSET(PO!J$12,ROW(A29)-ROW($A$12),0)</f>
        <v>Serviço</v>
      </c>
      <c r="B29" s="112" t="str">
        <f ca="1">IF($A29=0,"",OFFSET(PO!K$12,ROW(B29)-ROW(B$12),0))</f>
        <v>1.2.0.0.2.</v>
      </c>
      <c r="C29" s="109" t="str">
        <f ca="1">IF(OFFSET(PO!N$12,ROW(C29)-ROW(C$12),0)=0,"",OFFSET(PO!N$12,ROW(C29)-ROW(C$12),0))</f>
        <v>DEMOLIÇÃO DE REVESTIMENTO CERÂMICO, DE FORMA MANUAL, SEM REAPROVEITAMENTO. AF_09/2023</v>
      </c>
      <c r="D29" s="111" t="str">
        <f ca="1">IF(OFFSET(PO!O$12,ROW(D29)-ROW(D$12),0)=0,"",OFFSET(PO!O$12,ROW(D29)-ROW(D$12),0))</f>
        <v>M2</v>
      </c>
      <c r="E29" s="140">
        <f ca="1">IF($A29&lt;&gt;"Serviço",0,ROUND(SUMIF($F$9:$P$9,"&lt;&gt;",$F29:$P29),15-13*PO!$X$3))</f>
        <v>26.5</v>
      </c>
      <c r="F29" s="364">
        <f ca="1">OFFSET(PO!$P$12,ROW($E29)-ROW(F$12),0)</f>
        <v>26.5</v>
      </c>
      <c r="G29" s="364"/>
      <c r="H29" s="364"/>
      <c r="I29" s="364"/>
      <c r="J29" s="364"/>
      <c r="K29" s="364"/>
      <c r="L29" s="364"/>
      <c r="M29" s="364"/>
      <c r="N29" s="364"/>
      <c r="O29" s="364"/>
      <c r="U29" s="182"/>
    </row>
    <row r="30" spans="1:21" s="1" customFormat="1" ht="25.5" x14ac:dyDescent="0.2">
      <c r="A30" s="110" t="str">
        <f ca="1">OFFSET(PO!J$12,ROW(A30)-ROW($A$12),0)</f>
        <v>Serviço</v>
      </c>
      <c r="B30" s="112" t="str">
        <f ca="1">IF($A30=0,"",OFFSET(PO!K$12,ROW(B30)-ROW(B$12),0))</f>
        <v>1.2.0.0.3.</v>
      </c>
      <c r="C30" s="109" t="str">
        <f ca="1">IF(OFFSET(PO!N$12,ROW(C30)-ROW(C$12),0)=0,"",OFFSET(PO!N$12,ROW(C30)-ROW(C$12),0))</f>
        <v>DEMOLIÇÃO DE REVESTIMENTO CERÂMICO, DE FORMA MANUAL, SEM REAPROVEITAMENTO. AF_09/2023</v>
      </c>
      <c r="D30" s="111" t="str">
        <f ca="1">IF(OFFSET(PO!O$12,ROW(D30)-ROW(D$12),0)=0,"",OFFSET(PO!O$12,ROW(D30)-ROW(D$12),0))</f>
        <v>M2</v>
      </c>
      <c r="E30" s="140">
        <f ca="1">IF($A30&lt;&gt;"Serviço",0,ROUND(SUMIF($F$9:$P$9,"&lt;&gt;",$F30:$P30),15-13*PO!$X$3))</f>
        <v>86.5</v>
      </c>
      <c r="F30" s="364">
        <f ca="1">OFFSET(PO!$P$12,ROW($E30)-ROW(F$12),0)</f>
        <v>86.5</v>
      </c>
      <c r="G30" s="364"/>
      <c r="H30" s="364"/>
      <c r="I30" s="364"/>
      <c r="J30" s="364"/>
      <c r="K30" s="364"/>
      <c r="L30" s="364"/>
      <c r="M30" s="364"/>
      <c r="N30" s="364"/>
      <c r="O30" s="364"/>
      <c r="U30" s="182"/>
    </row>
    <row r="31" spans="1:21" s="1" customFormat="1" ht="38.25" x14ac:dyDescent="0.2">
      <c r="A31" s="110" t="str">
        <f ca="1">OFFSET(PO!J$12,ROW(A31)-ROW($A$12),0)</f>
        <v>Serviço</v>
      </c>
      <c r="B31" s="112" t="str">
        <f ca="1">IF($A31=0,"",OFFSET(PO!K$12,ROW(B31)-ROW(B$12),0))</f>
        <v>1.2.0.0.4.</v>
      </c>
      <c r="C31" s="109" t="str">
        <f ca="1">IF(OFFSET(PO!N$12,ROW(C31)-ROW(C$12),0)=0,"",OFFSET(PO!N$12,ROW(C31)-ROW(C$12),0))</f>
        <v>DEMOLIÇÃO DE ALVENARIA PARA QUALQUER TIPO DE BLOCO, DE FORMA MECANIZADA, SEM REAPROVEITAMENTO. AF_09/2023</v>
      </c>
      <c r="D31" s="111" t="str">
        <f ca="1">IF(OFFSET(PO!O$12,ROW(D31)-ROW(D$12),0)=0,"",OFFSET(PO!O$12,ROW(D31)-ROW(D$12),0))</f>
        <v>M3</v>
      </c>
      <c r="E31" s="140">
        <f ca="1">IF($A31&lt;&gt;"Serviço",0,ROUND(SUMIF($F$9:$P$9,"&lt;&gt;",$F31:$P31),15-13*PO!$X$3))</f>
        <v>57.12</v>
      </c>
      <c r="F31" s="364">
        <f ca="1">OFFSET(PO!$P$12,ROW($E31)-ROW(F$12),0)</f>
        <v>57.12</v>
      </c>
      <c r="G31" s="364"/>
      <c r="H31" s="364"/>
      <c r="I31" s="364"/>
      <c r="J31" s="364"/>
      <c r="K31" s="364"/>
      <c r="L31" s="364"/>
      <c r="M31" s="364"/>
      <c r="N31" s="364"/>
      <c r="O31" s="364"/>
      <c r="U31" s="182"/>
    </row>
    <row r="32" spans="1:21" s="1" customFormat="1" ht="38.25" x14ac:dyDescent="0.2">
      <c r="A32" s="110" t="str">
        <f ca="1">OFFSET(PO!J$12,ROW(A32)-ROW($A$12),0)</f>
        <v>Serviço</v>
      </c>
      <c r="B32" s="112" t="str">
        <f ca="1">IF($A32=0,"",OFFSET(PO!K$12,ROW(B32)-ROW(B$12),0))</f>
        <v>1.2.0.0.5.</v>
      </c>
      <c r="C32" s="109" t="str">
        <f ca="1">IF(OFFSET(PO!N$12,ROW(C32)-ROW(C$12),0)=0,"",OFFSET(PO!N$12,ROW(C32)-ROW(C$12),0))</f>
        <v>REMOÇÃO DE PISO DE BLOCO INTERTRAVADO OU DE PEDRA PORTUGUESA, DE FORMA MANUAL, COM REAPROVEITAMENTO. AF_09/2023</v>
      </c>
      <c r="D32" s="111" t="str">
        <f ca="1">IF(OFFSET(PO!O$12,ROW(D32)-ROW(D$12),0)=0,"",OFFSET(PO!O$12,ROW(D32)-ROW(D$12),0))</f>
        <v>M2</v>
      </c>
      <c r="E32" s="140">
        <f ca="1">IF($A32&lt;&gt;"Serviço",0,ROUND(SUMIF($F$9:$P$9,"&lt;&gt;",$F32:$P32),15-13*PO!$X$3))</f>
        <v>100</v>
      </c>
      <c r="F32" s="364">
        <f ca="1">OFFSET(PO!$P$12,ROW($E32)-ROW(F$12),0)</f>
        <v>100</v>
      </c>
      <c r="G32" s="364"/>
      <c r="H32" s="364"/>
      <c r="I32" s="364"/>
      <c r="J32" s="364"/>
      <c r="K32" s="364"/>
      <c r="L32" s="364"/>
      <c r="M32" s="364"/>
      <c r="N32" s="364"/>
      <c r="O32" s="364"/>
      <c r="U32" s="182"/>
    </row>
    <row r="33" spans="1:21" s="1" customFormat="1" ht="38.25" x14ac:dyDescent="0.2">
      <c r="A33" s="110" t="str">
        <f ca="1">OFFSET(PO!J$12,ROW(A33)-ROW($A$12),0)</f>
        <v>Serviço</v>
      </c>
      <c r="B33" s="112" t="str">
        <f ca="1">IF($A33=0,"",OFFSET(PO!K$12,ROW(B33)-ROW(B$12),0))</f>
        <v>1.2.0.0.6.</v>
      </c>
      <c r="C33" s="109" t="str">
        <f ca="1">IF(OFFSET(PO!N$12,ROW(C33)-ROW(C$12),0)=0,"",OFFSET(PO!N$12,ROW(C33)-ROW(C$12),0))</f>
        <v>DEMOLIÇÃO DE PISO DE CONCRETO SIMPLES, DE FORMA MECANIZADA COM MARTELETE, SEM REAPROVEITAMENTO. AF_09/2023</v>
      </c>
      <c r="D33" s="111" t="str">
        <f ca="1">IF(OFFSET(PO!O$12,ROW(D33)-ROW(D$12),0)=0,"",OFFSET(PO!O$12,ROW(D33)-ROW(D$12),0))</f>
        <v>M3</v>
      </c>
      <c r="E33" s="140">
        <f ca="1">IF($A33&lt;&gt;"Serviço",0,ROUND(SUMIF($F$9:$P$9,"&lt;&gt;",$F33:$P33),15-13*PO!$X$3))</f>
        <v>7.2</v>
      </c>
      <c r="F33" s="364">
        <f ca="1">OFFSET(PO!$P$12,ROW($E33)-ROW(F$12),0)</f>
        <v>7.2</v>
      </c>
      <c r="G33" s="364"/>
      <c r="H33" s="364"/>
      <c r="I33" s="364"/>
      <c r="J33" s="364"/>
      <c r="K33" s="364"/>
      <c r="L33" s="364"/>
      <c r="M33" s="364"/>
      <c r="N33" s="364"/>
      <c r="O33" s="364"/>
      <c r="U33" s="182"/>
    </row>
    <row r="34" spans="1:21" s="1" customFormat="1" x14ac:dyDescent="0.2">
      <c r="A34" s="110" t="str">
        <f ca="1">OFFSET(PO!J$12,ROW(A34)-ROW($A$12),0)</f>
        <v>Serviço</v>
      </c>
      <c r="B34" s="112" t="str">
        <f ca="1">IF($A34=0,"",OFFSET(PO!K$12,ROW(B34)-ROW(B$12),0))</f>
        <v>1.2.0.0.7.</v>
      </c>
      <c r="C34" s="109" t="str">
        <f ca="1">IF(OFFSET(PO!N$12,ROW(C34)-ROW(C$12),0)=0,"",OFFSET(PO!N$12,ROW(C34)-ROW(C$12),0))</f>
        <v>ESCAVAÇÃO MANUAL DE VALA. AF_09/2024</v>
      </c>
      <c r="D34" s="111" t="str">
        <f ca="1">IF(OFFSET(PO!O$12,ROW(D34)-ROW(D$12),0)=0,"",OFFSET(PO!O$12,ROW(D34)-ROW(D$12),0))</f>
        <v>M3</v>
      </c>
      <c r="E34" s="140">
        <f ca="1">IF($A34&lt;&gt;"Serviço",0,ROUND(SUMIF($F$9:$P$9,"&lt;&gt;",$F34:$P34),15-13*PO!$X$3))</f>
        <v>16</v>
      </c>
      <c r="F34" s="364">
        <f ca="1">OFFSET(PO!$P$12,ROW($E34)-ROW(F$12),0)</f>
        <v>16</v>
      </c>
      <c r="G34" s="364"/>
      <c r="H34" s="364"/>
      <c r="I34" s="364"/>
      <c r="J34" s="364"/>
      <c r="K34" s="364"/>
      <c r="L34" s="364"/>
      <c r="M34" s="364"/>
      <c r="N34" s="364"/>
      <c r="O34" s="364"/>
      <c r="U34" s="182"/>
    </row>
    <row r="35" spans="1:21" s="1" customFormat="1" ht="38.25" x14ac:dyDescent="0.2">
      <c r="A35" s="110" t="str">
        <f ca="1">OFFSET(PO!J$12,ROW(A35)-ROW($A$12),0)</f>
        <v>Serviço</v>
      </c>
      <c r="B35" s="112" t="str">
        <f ca="1">IF($A35=0,"",OFFSET(PO!K$12,ROW(B35)-ROW(B$12),0))</f>
        <v>1.2.0.0.8.</v>
      </c>
      <c r="C35" s="109" t="str">
        <f ca="1">IF(OFFSET(PO!N$12,ROW(C35)-ROW(C$12),0)=0,"",OFFSET(PO!N$12,ROW(C35)-ROW(C$12),0))</f>
        <v>ESCAVAÇÃO MECANIZADA PARA VIGA BALDRAME OU SAPATA CORRIDA COM MINI-ESCAVADEIRA (INCLUINDO ESCAVAÇÃO PARA COLOCAÇÃO DE FÔRMAS). AF_01/2024</v>
      </c>
      <c r="D35" s="111" t="str">
        <f ca="1">IF(OFFSET(PO!O$12,ROW(D35)-ROW(D$12),0)=0,"",OFFSET(PO!O$12,ROW(D35)-ROW(D$12),0))</f>
        <v>M3</v>
      </c>
      <c r="E35" s="140">
        <f ca="1">IF($A35&lt;&gt;"Serviço",0,ROUND(SUMIF($F$9:$P$9,"&lt;&gt;",$F35:$P35),15-13*PO!$X$3))</f>
        <v>200</v>
      </c>
      <c r="F35" s="364">
        <f ca="1">OFFSET(PO!$P$12,ROW($E35)-ROW(F$12),0)</f>
        <v>200</v>
      </c>
      <c r="G35" s="364"/>
      <c r="H35" s="364"/>
      <c r="I35" s="364"/>
      <c r="J35" s="364"/>
      <c r="K35" s="364"/>
      <c r="L35" s="364"/>
      <c r="M35" s="364"/>
      <c r="N35" s="364"/>
      <c r="O35" s="364"/>
      <c r="U35" s="182"/>
    </row>
    <row r="36" spans="1:21" s="1" customFormat="1" ht="25.5" x14ac:dyDescent="0.2">
      <c r="A36" s="110" t="str">
        <f ca="1">OFFSET(PO!J$12,ROW(A36)-ROW($A$12),0)</f>
        <v>Serviço</v>
      </c>
      <c r="B36" s="112" t="str">
        <f ca="1">IF($A36=0,"",OFFSET(PO!K$12,ROW(B36)-ROW(B$12),0))</f>
        <v>1.2.0.0.9.</v>
      </c>
      <c r="C36" s="109" t="str">
        <f ca="1">IF(OFFSET(PO!N$12,ROW(C36)-ROW(C$12),0)=0,"",OFFSET(PO!N$12,ROW(C36)-ROW(C$12),0))</f>
        <v>REATERRO MECANIZADO DE VALA COM MINICARREGADEIRA, COM PLACA VIBRATÓRIA. AF_08/2023</v>
      </c>
      <c r="D36" s="111" t="str">
        <f ca="1">IF(OFFSET(PO!O$12,ROW(D36)-ROW(D$12),0)=0,"",OFFSET(PO!O$12,ROW(D36)-ROW(D$12),0))</f>
        <v>M3</v>
      </c>
      <c r="E36" s="140">
        <f ca="1">IF($A36&lt;&gt;"Serviço",0,ROUND(SUMIF($F$9:$P$9,"&lt;&gt;",$F36:$P36),15-13*PO!$X$3))</f>
        <v>216</v>
      </c>
      <c r="F36" s="364">
        <f ca="1">OFFSET(PO!$P$12,ROW($E36)-ROW(F$12),0)</f>
        <v>216</v>
      </c>
      <c r="G36" s="364"/>
      <c r="H36" s="364"/>
      <c r="I36" s="364"/>
      <c r="J36" s="364"/>
      <c r="K36" s="364"/>
      <c r="L36" s="364"/>
      <c r="M36" s="364"/>
      <c r="N36" s="364"/>
      <c r="O36" s="364"/>
      <c r="U36" s="182"/>
    </row>
    <row r="37" spans="1:21" s="1" customFormat="1" ht="51" x14ac:dyDescent="0.2">
      <c r="A37" s="110" t="str">
        <f ca="1">OFFSET(PO!J$12,ROW(A37)-ROW($A$12),0)</f>
        <v>Serviço</v>
      </c>
      <c r="B37" s="112" t="str">
        <f ca="1">IF($A37=0,"",OFFSET(PO!K$12,ROW(B37)-ROW(B$12),0))</f>
        <v>1.2.0.0.10.</v>
      </c>
      <c r="C37" s="109" t="str">
        <f ca="1">IF(OFFSET(PO!N$12,ROW(C37)-ROW(C$12),0)=0,"",OFFSET(PO!N$12,ROW(C37)-ROW(C$12),0))</f>
        <v>CARGA, MANOBRA E DESCARGA DE ENTULHO EM CAMINHÃO BASCULANTE 10 M³ - CARGA COM ESCAVADEIRA HIDRÁULICA (CAÇAMBA DE 0,80 M³ / 111 HP) E DESCARGA LIVRE (UNIDADE: M3). AF_07/2020</v>
      </c>
      <c r="D37" s="111" t="str">
        <f ca="1">IF(OFFSET(PO!O$12,ROW(D37)-ROW(D$12),0)=0,"",OFFSET(PO!O$12,ROW(D37)-ROW(D$12),0))</f>
        <v>M3</v>
      </c>
      <c r="E37" s="140">
        <f ca="1">IF($A37&lt;&gt;"Serviço",0,ROUND(SUMIF($F$9:$P$9,"&lt;&gt;",$F37:$P37),15-13*PO!$X$3))</f>
        <v>84.37</v>
      </c>
      <c r="F37" s="364">
        <f ca="1">OFFSET(PO!$P$12,ROW($E37)-ROW(F$12),0)</f>
        <v>84.37</v>
      </c>
      <c r="G37" s="364"/>
      <c r="H37" s="364"/>
      <c r="I37" s="364"/>
      <c r="J37" s="364"/>
      <c r="K37" s="364"/>
      <c r="L37" s="364"/>
      <c r="M37" s="364"/>
      <c r="N37" s="364"/>
      <c r="O37" s="364"/>
      <c r="U37" s="182"/>
    </row>
    <row r="38" spans="1:21" s="1" customFormat="1" ht="38.25" x14ac:dyDescent="0.2">
      <c r="A38" s="110" t="str">
        <f ca="1">OFFSET(PO!J$12,ROW(A38)-ROW($A$12),0)</f>
        <v>Serviço</v>
      </c>
      <c r="B38" s="112" t="str">
        <f ca="1">IF($A38=0,"",OFFSET(PO!K$12,ROW(B38)-ROW(B$12),0))</f>
        <v>1.2.0.0.11.</v>
      </c>
      <c r="C38" s="109" t="str">
        <f ca="1">IF(OFFSET(PO!N$12,ROW(C38)-ROW(C$12),0)=0,"",OFFSET(PO!N$12,ROW(C38)-ROW(C$12),0))</f>
        <v>TRANSPORTE COM CAMINHÃO BASCULANTE DE 10 M³, EM VIA URBANA PAVIMENTADA, DMT ATÉ 30 KM (UNIDADE: M3XKM). AF_07/2020</v>
      </c>
      <c r="D38" s="111" t="str">
        <f ca="1">IF(OFFSET(PO!O$12,ROW(D38)-ROW(D$12),0)=0,"",OFFSET(PO!O$12,ROW(D38)-ROW(D$12),0))</f>
        <v>M3XKM</v>
      </c>
      <c r="E38" s="140">
        <f ca="1">IF($A38&lt;&gt;"Serviço",0,ROUND(SUMIF($F$9:$P$9,"&lt;&gt;",$F38:$P38),15-13*PO!$X$3))</f>
        <v>843.73</v>
      </c>
      <c r="F38" s="364">
        <f ca="1">OFFSET(PO!$P$12,ROW($E38)-ROW(F$12),0)</f>
        <v>843.73</v>
      </c>
      <c r="G38" s="364"/>
      <c r="H38" s="364"/>
      <c r="I38" s="364"/>
      <c r="J38" s="364"/>
      <c r="K38" s="364"/>
      <c r="L38" s="364"/>
      <c r="M38" s="364"/>
      <c r="N38" s="364"/>
      <c r="O38" s="364"/>
      <c r="U38" s="182"/>
    </row>
    <row r="39" spans="1:21" s="1" customFormat="1" x14ac:dyDescent="0.2">
      <c r="A39" s="110" t="str">
        <f ca="1">OFFSET(PO!J$12,ROW(A39)-ROW($A$12),0)</f>
        <v>Nível 2</v>
      </c>
      <c r="B39" s="112" t="str">
        <f ca="1">IF($A39=0,"",OFFSET(PO!K$12,ROW(B39)-ROW(B$12),0))</f>
        <v>1.3.</v>
      </c>
      <c r="C39" s="109" t="str">
        <f ca="1">IF(OFFSET(PO!N$12,ROW(C39)-ROW(C$12),0)=0,"",OFFSET(PO!N$12,ROW(C39)-ROW(C$12),0))</f>
        <v>ESTRUTURA</v>
      </c>
      <c r="D39" s="111" t="str">
        <f ca="1">IF(OFFSET(PO!O$12,ROW(D39)-ROW(D$12),0)=0,"",OFFSET(PO!O$12,ROW(D39)-ROW(D$12),0))</f>
        <v/>
      </c>
      <c r="E39" s="140">
        <f ca="1">IF($A39&lt;&gt;"Serviço",0,ROUND(SUMIF($F$9:$P$9,"&lt;&gt;",$F39:$P39),15-13*PO!$X$3))</f>
        <v>0</v>
      </c>
      <c r="F39" s="364">
        <f ca="1">OFFSET(PO!$P$12,ROW($E39)-ROW(F$12),0)</f>
        <v>0</v>
      </c>
      <c r="G39" s="364"/>
      <c r="H39" s="364"/>
      <c r="I39" s="364"/>
      <c r="J39" s="364"/>
      <c r="K39" s="364"/>
      <c r="L39" s="364"/>
      <c r="M39" s="364"/>
      <c r="N39" s="364"/>
      <c r="O39" s="364"/>
      <c r="U39" s="182"/>
    </row>
    <row r="40" spans="1:21" s="1" customFormat="1" x14ac:dyDescent="0.2">
      <c r="A40" s="110" t="str">
        <f ca="1">OFFSET(PO!J$12,ROW(A40)-ROW($A$12),0)</f>
        <v>Nível 3</v>
      </c>
      <c r="B40" s="112" t="str">
        <f ca="1">IF($A40=0,"",OFFSET(PO!K$12,ROW(B40)-ROW(B$12),0))</f>
        <v>1.3.1.</v>
      </c>
      <c r="C40" s="109" t="str">
        <f ca="1">IF(OFFSET(PO!N$12,ROW(C40)-ROW(C$12),0)=0,"",OFFSET(PO!N$12,ROW(C40)-ROW(C$12),0))</f>
        <v>FUNDAÇÕES E PILARES DE ARRANQUE</v>
      </c>
      <c r="D40" s="111" t="str">
        <f ca="1">IF(OFFSET(PO!O$12,ROW(D40)-ROW(D$12),0)=0,"",OFFSET(PO!O$12,ROW(D40)-ROW(D$12),0))</f>
        <v>M2</v>
      </c>
      <c r="E40" s="140">
        <f ca="1">IF($A40&lt;&gt;"Serviço",0,ROUND(SUMIF($F$9:$P$9,"&lt;&gt;",$F40:$P40),15-13*PO!$X$3))</f>
        <v>0</v>
      </c>
      <c r="F40" s="364">
        <f ca="1">OFFSET(PO!$P$12,ROW($E40)-ROW(F$12),0)</f>
        <v>1</v>
      </c>
      <c r="G40" s="364"/>
      <c r="H40" s="364"/>
      <c r="I40" s="364"/>
      <c r="J40" s="364"/>
      <c r="K40" s="364"/>
      <c r="L40" s="364"/>
      <c r="M40" s="364"/>
      <c r="N40" s="364"/>
      <c r="O40" s="364"/>
      <c r="U40" s="182"/>
    </row>
    <row r="41" spans="1:21" s="1" customFormat="1" ht="38.25" x14ac:dyDescent="0.2">
      <c r="A41" s="110" t="str">
        <f ca="1">OFFSET(PO!J$12,ROW(A41)-ROW($A$12),0)</f>
        <v>Serviço</v>
      </c>
      <c r="B41" s="112" t="str">
        <f ca="1">IF($A41=0,"",OFFSET(PO!K$12,ROW(B41)-ROW(B$12),0))</f>
        <v>1.3.1.0.1.</v>
      </c>
      <c r="C41" s="109" t="str">
        <f ca="1">IF(OFFSET(PO!N$12,ROW(C41)-ROW(C$12),0)=0,"",OFFSET(PO!N$12,ROW(C41)-ROW(C$12),0))</f>
        <v>LOCAÇÃO CONVENCIONAL DE OBRA, UTILIZANDO GABARITO DE TÁBUAS CORRIDAS PONTALETADAS A CADA 2,00M - 2 UTILIZAÇÕES. AF_03/2024</v>
      </c>
      <c r="D41" s="111" t="str">
        <f ca="1">IF(OFFSET(PO!O$12,ROW(D41)-ROW(D$12),0)=0,"",OFFSET(PO!O$12,ROW(D41)-ROW(D$12),0))</f>
        <v>M</v>
      </c>
      <c r="E41" s="140">
        <f ca="1">IF($A41&lt;&gt;"Serviço",0,ROUND(SUMIF($F$9:$P$9,"&lt;&gt;",$F41:$P41),15-13*PO!$X$3))</f>
        <v>90</v>
      </c>
      <c r="F41" s="364">
        <f ca="1">OFFSET(PO!$P$12,ROW($E41)-ROW(F$12),0)</f>
        <v>90</v>
      </c>
      <c r="G41" s="364"/>
      <c r="H41" s="364"/>
      <c r="I41" s="364"/>
      <c r="J41" s="364"/>
      <c r="K41" s="364"/>
      <c r="L41" s="364"/>
      <c r="M41" s="364"/>
      <c r="N41" s="364"/>
      <c r="O41" s="364"/>
      <c r="U41" s="182"/>
    </row>
    <row r="42" spans="1:21" s="1" customFormat="1" ht="38.25" x14ac:dyDescent="0.2">
      <c r="A42" s="110" t="str">
        <f ca="1">OFFSET(PO!J$12,ROW(A42)-ROW($A$12),0)</f>
        <v>Serviço</v>
      </c>
      <c r="B42" s="112" t="str">
        <f ca="1">IF($A42=0,"",OFFSET(PO!K$12,ROW(B42)-ROW(B$12),0))</f>
        <v>1.3.1.0.2.</v>
      </c>
      <c r="C42" s="109" t="str">
        <f ca="1">IF(OFFSET(PO!N$12,ROW(C42)-ROW(C$12),0)=0,"",OFFSET(PO!N$12,ROW(C42)-ROW(C$12),0))</f>
        <v>FABRICAÇÃO, MONTAGEM E DESMONTAGEM DE FÔRMA PARA SAPATA, EM MADEIRA SERRADA, E=25 MM, 4 UTILIZAÇÕES. AF_01/2024</v>
      </c>
      <c r="D42" s="111" t="str">
        <f ca="1">IF(OFFSET(PO!O$12,ROW(D42)-ROW(D$12),0)=0,"",OFFSET(PO!O$12,ROW(D42)-ROW(D$12),0))</f>
        <v>M2</v>
      </c>
      <c r="E42" s="140">
        <f ca="1">IF($A42&lt;&gt;"Serviço",0,ROUND(SUMIF($F$9:$P$9,"&lt;&gt;",$F42:$P42),15-13*PO!$X$3))</f>
        <v>100.57</v>
      </c>
      <c r="F42" s="364">
        <f ca="1">OFFSET(PO!$P$12,ROW($E42)-ROW(F$12),0)</f>
        <v>100.57</v>
      </c>
      <c r="G42" s="364"/>
      <c r="H42" s="364"/>
      <c r="I42" s="364"/>
      <c r="J42" s="364"/>
      <c r="K42" s="364"/>
      <c r="L42" s="364"/>
      <c r="M42" s="364"/>
      <c r="N42" s="364"/>
      <c r="O42" s="364"/>
      <c r="U42" s="182"/>
    </row>
    <row r="43" spans="1:21" s="1" customFormat="1" ht="38.25" x14ac:dyDescent="0.2">
      <c r="A43" s="110" t="str">
        <f ca="1">OFFSET(PO!J$12,ROW(A43)-ROW($A$12),0)</f>
        <v>Serviço</v>
      </c>
      <c r="B43" s="112" t="str">
        <f ca="1">IF($A43=0,"",OFFSET(PO!K$12,ROW(B43)-ROW(B$12),0))</f>
        <v>1.3.1.0.3.</v>
      </c>
      <c r="C43" s="109" t="str">
        <f ca="1">IF(OFFSET(PO!N$12,ROW(C43)-ROW(C$12),0)=0,"",OFFSET(PO!N$12,ROW(C43)-ROW(C$12),0))</f>
        <v>ARMAÇÃO DE SAPATA ISOLADA, VIGA BALDRAME E SAPATA CORRIDA UTILIZANDO AÇO CA-50 DE 8 MM - MONTAGEM. AF_01/2024</v>
      </c>
      <c r="D43" s="111" t="str">
        <f ca="1">IF(OFFSET(PO!O$12,ROW(D43)-ROW(D$12),0)=0,"",OFFSET(PO!O$12,ROW(D43)-ROW(D$12),0))</f>
        <v>KG</v>
      </c>
      <c r="E43" s="140">
        <f ca="1">IF($A43&lt;&gt;"Serviço",0,ROUND(SUMIF($F$9:$P$9,"&lt;&gt;",$F43:$P43),15-13*PO!$X$3))</f>
        <v>175.4</v>
      </c>
      <c r="F43" s="364">
        <f ca="1">OFFSET(PO!$P$12,ROW($E43)-ROW(F$12),0)</f>
        <v>175.4</v>
      </c>
      <c r="G43" s="364"/>
      <c r="H43" s="364"/>
      <c r="I43" s="364"/>
      <c r="J43" s="364"/>
      <c r="K43" s="364"/>
      <c r="L43" s="364"/>
      <c r="M43" s="364"/>
      <c r="N43" s="364"/>
      <c r="O43" s="364"/>
      <c r="U43" s="182"/>
    </row>
    <row r="44" spans="1:21" s="1" customFormat="1" ht="38.25" x14ac:dyDescent="0.2">
      <c r="A44" s="110" t="str">
        <f ca="1">OFFSET(PO!J$12,ROW(A44)-ROW($A$12),0)</f>
        <v>Serviço</v>
      </c>
      <c r="B44" s="112" t="str">
        <f ca="1">IF($A44=0,"",OFFSET(PO!K$12,ROW(B44)-ROW(B$12),0))</f>
        <v>1.3.1.0.4.</v>
      </c>
      <c r="C44" s="109" t="str">
        <f ca="1">IF(OFFSET(PO!N$12,ROW(C44)-ROW(C$12),0)=0,"",OFFSET(PO!N$12,ROW(C44)-ROW(C$12),0))</f>
        <v>ARMAÇÃO DE SAPATA ISOLADA, VIGA BALDRAME E SAPATA CORRIDA UTILIZANDO AÇO CA-50 DE 10 MM - MONTAGEM. AF_01/2024</v>
      </c>
      <c r="D44" s="111" t="str">
        <f ca="1">IF(OFFSET(PO!O$12,ROW(D44)-ROW(D$12),0)=0,"",OFFSET(PO!O$12,ROW(D44)-ROW(D$12),0))</f>
        <v>KG</v>
      </c>
      <c r="E44" s="140">
        <f ca="1">IF($A44&lt;&gt;"Serviço",0,ROUND(SUMIF($F$9:$P$9,"&lt;&gt;",$F44:$P44),15-13*PO!$X$3))</f>
        <v>337.5</v>
      </c>
      <c r="F44" s="364">
        <f ca="1">OFFSET(PO!$P$12,ROW($E44)-ROW(F$12),0)</f>
        <v>337.5</v>
      </c>
      <c r="G44" s="364"/>
      <c r="H44" s="364"/>
      <c r="I44" s="364"/>
      <c r="J44" s="364"/>
      <c r="K44" s="364"/>
      <c r="L44" s="364"/>
      <c r="M44" s="364"/>
      <c r="N44" s="364"/>
      <c r="O44" s="364"/>
      <c r="U44" s="182"/>
    </row>
    <row r="45" spans="1:21" s="1" customFormat="1" ht="38.25" x14ac:dyDescent="0.2">
      <c r="A45" s="110" t="str">
        <f ca="1">OFFSET(PO!J$12,ROW(A45)-ROW($A$12),0)</f>
        <v>Serviço</v>
      </c>
      <c r="B45" s="112" t="str">
        <f ca="1">IF($A45=0,"",OFFSET(PO!K$12,ROW(B45)-ROW(B$12),0))</f>
        <v>1.3.1.0.5.</v>
      </c>
      <c r="C45" s="109" t="str">
        <f ca="1">IF(OFFSET(PO!N$12,ROW(C45)-ROW(C$12),0)=0,"",OFFSET(PO!N$12,ROW(C45)-ROW(C$12),0))</f>
        <v>CONCRETAGEM DE SAPATA, FCK 30 MPA, COM USO DE BOMBA - LANÇAMENTO, ADENSAMENTO E ACABAMENTO. AF_01/2024</v>
      </c>
      <c r="D45" s="111" t="str">
        <f ca="1">IF(OFFSET(PO!O$12,ROW(D45)-ROW(D$12),0)=0,"",OFFSET(PO!O$12,ROW(D45)-ROW(D$12),0))</f>
        <v>M3</v>
      </c>
      <c r="E45" s="140">
        <f ca="1">IF($A45&lt;&gt;"Serviço",0,ROUND(SUMIF($F$9:$P$9,"&lt;&gt;",$F45:$P45),15-13*PO!$X$3))</f>
        <v>9.41</v>
      </c>
      <c r="F45" s="364">
        <f ca="1">OFFSET(PO!$P$12,ROW($E45)-ROW(F$12),0)</f>
        <v>9.41</v>
      </c>
      <c r="G45" s="364"/>
      <c r="H45" s="364"/>
      <c r="I45" s="364"/>
      <c r="J45" s="364"/>
      <c r="K45" s="364"/>
      <c r="L45" s="364"/>
      <c r="M45" s="364"/>
      <c r="N45" s="364"/>
      <c r="O45" s="364"/>
      <c r="U45" s="182"/>
    </row>
    <row r="46" spans="1:21" s="1" customFormat="1" x14ac:dyDescent="0.2">
      <c r="A46" s="110" t="str">
        <f ca="1">OFFSET(PO!J$12,ROW(A46)-ROW($A$12),0)</f>
        <v>Nível 3</v>
      </c>
      <c r="B46" s="112" t="str">
        <f ca="1">IF($A46=0,"",OFFSET(PO!K$12,ROW(B46)-ROW(B$12),0))</f>
        <v>1.3.2.</v>
      </c>
      <c r="C46" s="109" t="str">
        <f ca="1">IF(OFFSET(PO!N$12,ROW(C46)-ROW(C$12),0)=0,"",OFFSET(PO!N$12,ROW(C46)-ROW(C$12),0))</f>
        <v>VIGAS BALDRAME</v>
      </c>
      <c r="D46" s="111" t="str">
        <f ca="1">IF(OFFSET(PO!O$12,ROW(D46)-ROW(D$12),0)=0,"",OFFSET(PO!O$12,ROW(D46)-ROW(D$12),0))</f>
        <v/>
      </c>
      <c r="E46" s="140">
        <f ca="1">IF($A46&lt;&gt;"Serviço",0,ROUND(SUMIF($F$9:$P$9,"&lt;&gt;",$F46:$P46),15-13*PO!$X$3))</f>
        <v>0</v>
      </c>
      <c r="F46" s="364">
        <f ca="1">OFFSET(PO!$P$12,ROW($E46)-ROW(F$12),0)</f>
        <v>0</v>
      </c>
      <c r="G46" s="364"/>
      <c r="H46" s="364"/>
      <c r="I46" s="364"/>
      <c r="J46" s="364"/>
      <c r="K46" s="364"/>
      <c r="L46" s="364"/>
      <c r="M46" s="364"/>
      <c r="N46" s="364"/>
      <c r="O46" s="364"/>
      <c r="U46" s="182"/>
    </row>
    <row r="47" spans="1:21" s="1" customFormat="1" ht="38.25" x14ac:dyDescent="0.2">
      <c r="A47" s="110" t="str">
        <f ca="1">OFFSET(PO!J$12,ROW(A47)-ROW($A$12),0)</f>
        <v>Serviço</v>
      </c>
      <c r="B47" s="112" t="str">
        <f ca="1">IF($A47=0,"",OFFSET(PO!K$12,ROW(B47)-ROW(B$12),0))</f>
        <v>1.3.2.0.1.</v>
      </c>
      <c r="C47" s="109" t="str">
        <f ca="1">IF(OFFSET(PO!N$12,ROW(C47)-ROW(C$12),0)=0,"",OFFSET(PO!N$12,ROW(C47)-ROW(C$12),0))</f>
        <v>FABRICAÇÃO, MONTAGEM E DESMONTAGEM DE FÔRMA PARA VIGA BALDRAME, EM MADEIRA SERRADA, E=25 MM, 4 UTILIZAÇÕES. AF_01/2024</v>
      </c>
      <c r="D47" s="111" t="str">
        <f ca="1">IF(OFFSET(PO!O$12,ROW(D47)-ROW(D$12),0)=0,"",OFFSET(PO!O$12,ROW(D47)-ROW(D$12),0))</f>
        <v>M2</v>
      </c>
      <c r="E47" s="140">
        <f ca="1">IF($A47&lt;&gt;"Serviço",0,ROUND(SUMIF($F$9:$P$9,"&lt;&gt;",$F47:$P47),15-13*PO!$X$3))</f>
        <v>103.84</v>
      </c>
      <c r="F47" s="364">
        <f ca="1">OFFSET(PO!$P$12,ROW($E47)-ROW(F$12),0)</f>
        <v>103.84</v>
      </c>
      <c r="G47" s="364"/>
      <c r="H47" s="364"/>
      <c r="I47" s="364"/>
      <c r="J47" s="364"/>
      <c r="K47" s="364"/>
      <c r="L47" s="364"/>
      <c r="M47" s="364"/>
      <c r="N47" s="364"/>
      <c r="O47" s="364"/>
      <c r="U47" s="182"/>
    </row>
    <row r="48" spans="1:21" s="1" customFormat="1" ht="38.25" x14ac:dyDescent="0.2">
      <c r="A48" s="110" t="str">
        <f ca="1">OFFSET(PO!J$12,ROW(A48)-ROW($A$12),0)</f>
        <v>Serviço</v>
      </c>
      <c r="B48" s="112" t="str">
        <f ca="1">IF($A48=0,"",OFFSET(PO!K$12,ROW(B48)-ROW(B$12),0))</f>
        <v>1.3.2.0.2.</v>
      </c>
      <c r="C48" s="109" t="str">
        <f ca="1">IF(OFFSET(PO!N$12,ROW(C48)-ROW(C$12),0)=0,"",OFFSET(PO!N$12,ROW(C48)-ROW(C$12),0))</f>
        <v>ARMAÇÃO DE SAPATA ISOLADA, VIGA BALDRAME E SAPATA CORRIDA UTILIZANDO AÇO CA-50 DE 6,3 MM - MONTAGEM. AF_01/2024</v>
      </c>
      <c r="D48" s="111" t="str">
        <f ca="1">IF(OFFSET(PO!O$12,ROW(D48)-ROW(D$12),0)=0,"",OFFSET(PO!O$12,ROW(D48)-ROW(D$12),0))</f>
        <v>KG</v>
      </c>
      <c r="E48" s="140">
        <f ca="1">IF($A48&lt;&gt;"Serviço",0,ROUND(SUMIF($F$9:$P$9,"&lt;&gt;",$F48:$P48),15-13*PO!$X$3))</f>
        <v>2.2999999999999998</v>
      </c>
      <c r="F48" s="364">
        <f ca="1">OFFSET(PO!$P$12,ROW($E48)-ROW(F$12),0)</f>
        <v>2.2999999999999998</v>
      </c>
      <c r="G48" s="364"/>
      <c r="H48" s="364"/>
      <c r="I48" s="364"/>
      <c r="J48" s="364"/>
      <c r="K48" s="364"/>
      <c r="L48" s="364"/>
      <c r="M48" s="364"/>
      <c r="N48" s="364"/>
      <c r="O48" s="364"/>
      <c r="U48" s="182"/>
    </row>
    <row r="49" spans="1:21" s="1" customFormat="1" ht="38.25" x14ac:dyDescent="0.2">
      <c r="A49" s="110" t="str">
        <f ca="1">OFFSET(PO!J$12,ROW(A49)-ROW($A$12),0)</f>
        <v>Serviço</v>
      </c>
      <c r="B49" s="112" t="str">
        <f ca="1">IF($A49=0,"",OFFSET(PO!K$12,ROW(B49)-ROW(B$12),0))</f>
        <v>1.3.2.0.3.</v>
      </c>
      <c r="C49" s="109" t="str">
        <f ca="1">IF(OFFSET(PO!N$12,ROW(C49)-ROW(C$12),0)=0,"",OFFSET(PO!N$12,ROW(C49)-ROW(C$12),0))</f>
        <v>ARMAÇÃO DE SAPATA ISOLADA, VIGA BALDRAME E SAPATA CORRIDA UTILIZANDO AÇO CA-50 DE 8 MM - MONTAGEM. AF_01/2024</v>
      </c>
      <c r="D49" s="111" t="str">
        <f ca="1">IF(OFFSET(PO!O$12,ROW(D49)-ROW(D$12),0)=0,"",OFFSET(PO!O$12,ROW(D49)-ROW(D$12),0))</f>
        <v>KG</v>
      </c>
      <c r="E49" s="140">
        <f ca="1">IF($A49&lt;&gt;"Serviço",0,ROUND(SUMIF($F$9:$P$9,"&lt;&gt;",$F49:$P49),15-13*PO!$X$3))</f>
        <v>18.600000000000001</v>
      </c>
      <c r="F49" s="364">
        <f ca="1">OFFSET(PO!$P$12,ROW($E49)-ROW(F$12),0)</f>
        <v>18.600000000000001</v>
      </c>
      <c r="G49" s="364"/>
      <c r="H49" s="364"/>
      <c r="I49" s="364"/>
      <c r="J49" s="364"/>
      <c r="K49" s="364"/>
      <c r="L49" s="364"/>
      <c r="M49" s="364"/>
      <c r="N49" s="364"/>
      <c r="O49" s="364"/>
      <c r="U49" s="182"/>
    </row>
    <row r="50" spans="1:21" s="1" customFormat="1" ht="38.25" x14ac:dyDescent="0.2">
      <c r="A50" s="110" t="str">
        <f ca="1">OFFSET(PO!J$12,ROW(A50)-ROW($A$12),0)</f>
        <v>Serviço</v>
      </c>
      <c r="B50" s="112" t="str">
        <f ca="1">IF($A50=0,"",OFFSET(PO!K$12,ROW(B50)-ROW(B$12),0))</f>
        <v>1.3.2.0.4.</v>
      </c>
      <c r="C50" s="109" t="str">
        <f ca="1">IF(OFFSET(PO!N$12,ROW(C50)-ROW(C$12),0)=0,"",OFFSET(PO!N$12,ROW(C50)-ROW(C$12),0))</f>
        <v>ARMAÇÃO DE SAPATA ISOLADA, VIGA BALDRAME E SAPATA CORRIDA UTILIZANDO AÇO CA-50 DE 10 MM - MONTAGEM. AF_01/2024</v>
      </c>
      <c r="D50" s="111" t="str">
        <f ca="1">IF(OFFSET(PO!O$12,ROW(D50)-ROW(D$12),0)=0,"",OFFSET(PO!O$12,ROW(D50)-ROW(D$12),0))</f>
        <v>KG</v>
      </c>
      <c r="E50" s="140">
        <f ca="1">IF($A50&lt;&gt;"Serviço",0,ROUND(SUMIF($F$9:$P$9,"&lt;&gt;",$F50:$P50),15-13*PO!$X$3))</f>
        <v>276</v>
      </c>
      <c r="F50" s="364">
        <f ca="1">OFFSET(PO!$P$12,ROW($E50)-ROW(F$12),0)</f>
        <v>276</v>
      </c>
      <c r="G50" s="364"/>
      <c r="H50" s="364"/>
      <c r="I50" s="364"/>
      <c r="J50" s="364"/>
      <c r="K50" s="364"/>
      <c r="L50" s="364"/>
      <c r="M50" s="364"/>
      <c r="N50" s="364"/>
      <c r="O50" s="364"/>
      <c r="U50" s="182"/>
    </row>
    <row r="51" spans="1:21" s="1" customFormat="1" ht="38.25" x14ac:dyDescent="0.2">
      <c r="A51" s="110" t="str">
        <f ca="1">OFFSET(PO!J$12,ROW(A51)-ROW($A$12),0)</f>
        <v>Serviço</v>
      </c>
      <c r="B51" s="112" t="str">
        <f ca="1">IF($A51=0,"",OFFSET(PO!K$12,ROW(B51)-ROW(B$12),0))</f>
        <v>1.3.2.0.5.</v>
      </c>
      <c r="C51" s="109" t="str">
        <f ca="1">IF(OFFSET(PO!N$12,ROW(C51)-ROW(C$12),0)=0,"",OFFSET(PO!N$12,ROW(C51)-ROW(C$12),0))</f>
        <v>ARMAÇÃO DE BLOCO, SAPATA ISOLADA, VIGA BALDRAME E SAPATA CORRIDA UTILIZANDO AÇO CA-50 DE 12,5 MM - MONTAGEM. AF_01/2024</v>
      </c>
      <c r="D51" s="111" t="str">
        <f ca="1">IF(OFFSET(PO!O$12,ROW(D51)-ROW(D$12),0)=0,"",OFFSET(PO!O$12,ROW(D51)-ROW(D$12),0))</f>
        <v>KG</v>
      </c>
      <c r="E51" s="140">
        <f ca="1">IF($A51&lt;&gt;"Serviço",0,ROUND(SUMIF($F$9:$P$9,"&lt;&gt;",$F51:$P51),15-13*PO!$X$3))</f>
        <v>42</v>
      </c>
      <c r="F51" s="364">
        <f ca="1">OFFSET(PO!$P$12,ROW($E51)-ROW(F$12),0)</f>
        <v>42</v>
      </c>
      <c r="G51" s="364"/>
      <c r="H51" s="364"/>
      <c r="I51" s="364"/>
      <c r="J51" s="364"/>
      <c r="K51" s="364"/>
      <c r="L51" s="364"/>
      <c r="M51" s="364"/>
      <c r="N51" s="364"/>
      <c r="O51" s="364"/>
      <c r="U51" s="182"/>
    </row>
    <row r="52" spans="1:21" s="1" customFormat="1" ht="38.25" x14ac:dyDescent="0.2">
      <c r="A52" s="110" t="str">
        <f ca="1">OFFSET(PO!J$12,ROW(A52)-ROW($A$12),0)</f>
        <v>Serviço</v>
      </c>
      <c r="B52" s="112" t="str">
        <f ca="1">IF($A52=0,"",OFFSET(PO!K$12,ROW(B52)-ROW(B$12),0))</f>
        <v>1.3.2.0.6.</v>
      </c>
      <c r="C52" s="109" t="str">
        <f ca="1">IF(OFFSET(PO!N$12,ROW(C52)-ROW(C$12),0)=0,"",OFFSET(PO!N$12,ROW(C52)-ROW(C$12),0))</f>
        <v>ARMAÇÃO DE SAPATA ISOLADA, VIGA BALDRAME E SAPATA CORRIDA UTILIZANDO AÇO CA-60 DE 5 MM - MONTAGEM. AF_01/2024</v>
      </c>
      <c r="D52" s="111" t="str">
        <f ca="1">IF(OFFSET(PO!O$12,ROW(D52)-ROW(D$12),0)=0,"",OFFSET(PO!O$12,ROW(D52)-ROW(D$12),0))</f>
        <v>KG</v>
      </c>
      <c r="E52" s="140">
        <f ca="1">IF($A52&lt;&gt;"Serviço",0,ROUND(SUMIF($F$9:$P$9,"&lt;&gt;",$F52:$P52),15-13*PO!$X$3))</f>
        <v>112</v>
      </c>
      <c r="F52" s="364">
        <f ca="1">OFFSET(PO!$P$12,ROW($E52)-ROW(F$12),0)</f>
        <v>112</v>
      </c>
      <c r="G52" s="364"/>
      <c r="H52" s="364"/>
      <c r="I52" s="364"/>
      <c r="J52" s="364"/>
      <c r="K52" s="364"/>
      <c r="L52" s="364"/>
      <c r="M52" s="364"/>
      <c r="N52" s="364"/>
      <c r="O52" s="364"/>
      <c r="U52" s="182"/>
    </row>
    <row r="53" spans="1:21" s="1" customFormat="1" x14ac:dyDescent="0.2">
      <c r="A53" s="110" t="str">
        <f ca="1">OFFSET(PO!J$12,ROW(A53)-ROW($A$12),0)</f>
        <v>Serviço</v>
      </c>
      <c r="B53" s="112" t="str">
        <f ca="1">IF($A53=0,"",OFFSET(PO!K$12,ROW(B53)-ROW(B$12),0))</f>
        <v>1.3.2.0.7.</v>
      </c>
      <c r="C53" s="109" t="str">
        <f ca="1">IF(OFFSET(PO!N$12,ROW(C53)-ROW(C$12),0)=0,"",OFFSET(PO!N$12,ROW(C53)-ROW(C$12),0))</f>
        <v>CONCRETAGEM DE BLOCO DE COROAMENTO OU VIGA BALDRAME, FCK 30 MPA, COM USO DE BOMBA - LANÇAMENTO, ADENSAMENTO E ACABAMENTO. AF_01/2024</v>
      </c>
      <c r="D53" s="111" t="str">
        <f ca="1">IF(OFFSET(PO!O$12,ROW(D53)-ROW(D$12),0)=0,"",OFFSET(PO!O$12,ROW(D53)-ROW(D$12),0))</f>
        <v>M3</v>
      </c>
      <c r="E53" s="140">
        <f ca="1">IF($A53&lt;&gt;"Serviço",0,ROUND(SUMIF($F$9:$P$9,"&lt;&gt;",$F53:$P53),15-13*PO!$X$3))</f>
        <v>9.06</v>
      </c>
      <c r="F53" s="364">
        <f ca="1">OFFSET(PO!$P$12,ROW($E53)-ROW(F$12),0)</f>
        <v>9.06</v>
      </c>
      <c r="G53" s="364"/>
      <c r="H53" s="364"/>
      <c r="I53" s="364"/>
      <c r="J53" s="364"/>
      <c r="K53" s="364"/>
      <c r="L53" s="364"/>
      <c r="M53" s="364"/>
      <c r="N53" s="364"/>
      <c r="O53" s="364"/>
      <c r="U53" s="182"/>
    </row>
    <row r="54" spans="1:21" s="1" customFormat="1" ht="25.5" x14ac:dyDescent="0.2">
      <c r="A54" s="110" t="str">
        <f ca="1">OFFSET(PO!J$12,ROW(A54)-ROW($A$12),0)</f>
        <v>Serviço</v>
      </c>
      <c r="B54" s="112" t="str">
        <f ca="1">IF($A54=0,"",OFFSET(PO!K$12,ROW(B54)-ROW(B$12),0))</f>
        <v>1.3.2.0.8.</v>
      </c>
      <c r="C54" s="109" t="str">
        <f ca="1">IF(OFFSET(PO!N$12,ROW(C54)-ROW(C$12),0)=0,"",OFFSET(PO!N$12,ROW(C54)-ROW(C$12),0))</f>
        <v>IMPERMEABILIZAÇÃO DE SUPERFÍCIE COM EMULSÃO ASFÁLTICA, 2 DEMÃOS. AF_09/2023</v>
      </c>
      <c r="D54" s="111" t="str">
        <f ca="1">IF(OFFSET(PO!O$12,ROW(D54)-ROW(D$12),0)=0,"",OFFSET(PO!O$12,ROW(D54)-ROW(D$12),0))</f>
        <v>M2</v>
      </c>
      <c r="E54" s="140">
        <f ca="1">IF($A54&lt;&gt;"Serviço",0,ROUND(SUMIF($F$9:$P$9,"&lt;&gt;",$F54:$P54),15-13*PO!$X$3))</f>
        <v>130.84</v>
      </c>
      <c r="F54" s="364">
        <f ca="1">OFFSET(PO!$P$12,ROW($E54)-ROW(F$12),0)</f>
        <v>130.84</v>
      </c>
      <c r="G54" s="364"/>
      <c r="H54" s="364"/>
      <c r="I54" s="364"/>
      <c r="J54" s="364"/>
      <c r="K54" s="364"/>
      <c r="L54" s="364"/>
      <c r="M54" s="364"/>
      <c r="N54" s="364"/>
      <c r="O54" s="364"/>
      <c r="U54" s="182"/>
    </row>
    <row r="55" spans="1:21" s="1" customFormat="1" x14ac:dyDescent="0.2">
      <c r="A55" s="110" t="str">
        <f ca="1">OFFSET(PO!J$12,ROW(A55)-ROW($A$12),0)</f>
        <v>Nível 3</v>
      </c>
      <c r="B55" s="112" t="str">
        <f ca="1">IF($A55=0,"",OFFSET(PO!K$12,ROW(B55)-ROW(B$12),0))</f>
        <v>1.3.3.</v>
      </c>
      <c r="C55" s="109" t="str">
        <f ca="1">IF(OFFSET(PO!N$12,ROW(C55)-ROW(C$12),0)=0,"",OFFSET(PO!N$12,ROW(C55)-ROW(C$12),0))</f>
        <v>PILARES</v>
      </c>
      <c r="D55" s="111" t="str">
        <f ca="1">IF(OFFSET(PO!O$12,ROW(D55)-ROW(D$12),0)=0,"",OFFSET(PO!O$12,ROW(D55)-ROW(D$12),0))</f>
        <v>M2</v>
      </c>
      <c r="E55" s="140">
        <f ca="1">IF($A55&lt;&gt;"Serviço",0,ROUND(SUMIF($F$9:$P$9,"&lt;&gt;",$F55:$P55),15-13*PO!$X$3))</f>
        <v>0</v>
      </c>
      <c r="F55" s="364">
        <f ca="1">OFFSET(PO!$P$12,ROW($E55)-ROW(F$12),0)</f>
        <v>0</v>
      </c>
      <c r="G55" s="364"/>
      <c r="H55" s="364"/>
      <c r="I55" s="364"/>
      <c r="J55" s="364"/>
      <c r="K55" s="364"/>
      <c r="L55" s="364"/>
      <c r="M55" s="364"/>
      <c r="N55" s="364"/>
      <c r="O55" s="364"/>
      <c r="U55" s="182"/>
    </row>
    <row r="56" spans="1:21" s="1" customFormat="1" ht="25.5" x14ac:dyDescent="0.2">
      <c r="A56" s="110" t="str">
        <f ca="1">OFFSET(PO!J$12,ROW(A56)-ROW($A$12),0)</f>
        <v>Serviço</v>
      </c>
      <c r="B56" s="112" t="str">
        <f ca="1">IF($A56=0,"",OFFSET(PO!K$12,ROW(B56)-ROW(B$12),0))</f>
        <v>1.3.3.0.1.</v>
      </c>
      <c r="C56" s="109" t="str">
        <f ca="1">IF(OFFSET(PO!N$12,ROW(C56)-ROW(C$12),0)=0,"",OFFSET(PO!N$12,ROW(C56)-ROW(C$12),0))</f>
        <v>FABRICAÇÃO DE FÔRMA PARA PILARES E ESTRUTURAS SIMILARES, EM MADEIRA SERRADA, E=25 MM. AF_09/2020</v>
      </c>
      <c r="D56" s="111" t="str">
        <f ca="1">IF(OFFSET(PO!O$12,ROW(D56)-ROW(D$12),0)=0,"",OFFSET(PO!O$12,ROW(D56)-ROW(D$12),0))</f>
        <v>M2</v>
      </c>
      <c r="E56" s="140">
        <f ca="1">IF($A56&lt;&gt;"Serviço",0,ROUND(SUMIF($F$9:$P$9,"&lt;&gt;",$F56:$P56),15-13*PO!$X$3))</f>
        <v>70.459999999999994</v>
      </c>
      <c r="F56" s="364">
        <f ca="1">OFFSET(PO!$P$12,ROW($E56)-ROW(F$12),0)</f>
        <v>70.459999999999994</v>
      </c>
      <c r="G56" s="364"/>
      <c r="H56" s="364"/>
      <c r="I56" s="364"/>
      <c r="J56" s="364"/>
      <c r="K56" s="364"/>
      <c r="L56" s="364"/>
      <c r="M56" s="364"/>
      <c r="N56" s="364"/>
      <c r="O56" s="364"/>
      <c r="U56" s="182"/>
    </row>
    <row r="57" spans="1:21" s="1" customFormat="1" ht="38.25" x14ac:dyDescent="0.2">
      <c r="A57" s="110" t="str">
        <f ca="1">OFFSET(PO!J$12,ROW(A57)-ROW($A$12),0)</f>
        <v>Serviço</v>
      </c>
      <c r="B57" s="112" t="str">
        <f ca="1">IF($A57=0,"",OFFSET(PO!K$12,ROW(B57)-ROW(B$12),0))</f>
        <v>1.3.3.0.2.</v>
      </c>
      <c r="C57" s="109" t="str">
        <f ca="1">IF(OFFSET(PO!N$12,ROW(C57)-ROW(C$12),0)=0,"",OFFSET(PO!N$12,ROW(C57)-ROW(C$12),0))</f>
        <v>ARMAÇÃO DE PILAR OU VIGA DE ESTRUTURA CONVENCIONAL DE CONCRETO ARMADO UTILIZANDO AÇO CA-50 DE 10,0 MM - MONTAGEM. AF_06/2022</v>
      </c>
      <c r="D57" s="111" t="str">
        <f ca="1">IF(OFFSET(PO!O$12,ROW(D57)-ROW(D$12),0)=0,"",OFFSET(PO!O$12,ROW(D57)-ROW(D$12),0))</f>
        <v>KG</v>
      </c>
      <c r="E57" s="140">
        <f ca="1">IF($A57&lt;&gt;"Serviço",0,ROUND(SUMIF($F$9:$P$9,"&lt;&gt;",$F57:$P57),15-13*PO!$X$3))</f>
        <v>223.6</v>
      </c>
      <c r="F57" s="364">
        <f ca="1">OFFSET(PO!$P$12,ROW($E57)-ROW(F$12),0)</f>
        <v>223.6</v>
      </c>
      <c r="G57" s="364"/>
      <c r="H57" s="364"/>
      <c r="I57" s="364"/>
      <c r="J57" s="364"/>
      <c r="K57" s="364"/>
      <c r="L57" s="364"/>
      <c r="M57" s="364"/>
      <c r="N57" s="364"/>
      <c r="O57" s="364"/>
      <c r="U57" s="182"/>
    </row>
    <row r="58" spans="1:21" s="1" customFormat="1" ht="38.25" x14ac:dyDescent="0.2">
      <c r="A58" s="110" t="str">
        <f ca="1">OFFSET(PO!J$12,ROW(A58)-ROW($A$12),0)</f>
        <v>Serviço</v>
      </c>
      <c r="B58" s="112" t="str">
        <f ca="1">IF($A58=0,"",OFFSET(PO!K$12,ROW(B58)-ROW(B$12),0))</f>
        <v>1.3.3.0.3.</v>
      </c>
      <c r="C58" s="109" t="str">
        <f ca="1">IF(OFFSET(PO!N$12,ROW(C58)-ROW(C$12),0)=0,"",OFFSET(PO!N$12,ROW(C58)-ROW(C$12),0))</f>
        <v>ARMAÇÃO DE PILAR OU VIGA DE ESTRUTURA CONVENCIONAL DE CONCRETO ARMADO UTILIZANDO AÇO CA-60 DE 5,0 MM - MONTAGEM. AF_06/2022</v>
      </c>
      <c r="D58" s="111" t="str">
        <f ca="1">IF(OFFSET(PO!O$12,ROW(D58)-ROW(D$12),0)=0,"",OFFSET(PO!O$12,ROW(D58)-ROW(D$12),0))</f>
        <v>KG</v>
      </c>
      <c r="E58" s="140">
        <f ca="1">IF($A58&lt;&gt;"Serviço",0,ROUND(SUMIF($F$9:$P$9,"&lt;&gt;",$F58:$P58),15-13*PO!$X$3))</f>
        <v>115.5</v>
      </c>
      <c r="F58" s="364">
        <f ca="1">OFFSET(PO!$P$12,ROW($E58)-ROW(F$12),0)</f>
        <v>115.5</v>
      </c>
      <c r="G58" s="364"/>
      <c r="H58" s="364"/>
      <c r="I58" s="364"/>
      <c r="J58" s="364"/>
      <c r="K58" s="364"/>
      <c r="L58" s="364"/>
      <c r="M58" s="364"/>
      <c r="N58" s="364"/>
      <c r="O58" s="364"/>
      <c r="U58" s="182"/>
    </row>
    <row r="59" spans="1:21" s="1" customFormat="1" x14ac:dyDescent="0.2">
      <c r="A59" s="110" t="str">
        <f ca="1">OFFSET(PO!J$12,ROW(A59)-ROW($A$12),0)</f>
        <v>Serviço</v>
      </c>
      <c r="B59" s="112" t="str">
        <f ca="1">IF($A59=0,"",OFFSET(PO!K$12,ROW(B59)-ROW(B$12),0))</f>
        <v>1.3.3.0.4.</v>
      </c>
      <c r="C59" s="109" t="str">
        <f ca="1">IF(OFFSET(PO!N$12,ROW(C59)-ROW(C$12),0)=0,"",OFFSET(PO!N$12,ROW(C59)-ROW(C$12),0))</f>
        <v>CONCRETAGEM DE PILARES, FCK = 30 MPA, COM USO DE BOMBA - LANÇAMENTO, ADENSAMENTO E ACABAMENTO (BASE REF. SINAPI 103672)</v>
      </c>
      <c r="D59" s="111" t="str">
        <f ca="1">IF(OFFSET(PO!O$12,ROW(D59)-ROW(D$12),0)=0,"",OFFSET(PO!O$12,ROW(D59)-ROW(D$12),0))</f>
        <v>M3</v>
      </c>
      <c r="E59" s="140">
        <f ca="1">IF($A59&lt;&gt;"Serviço",0,ROUND(SUMIF($F$9:$P$9,"&lt;&gt;",$F59:$P59),15-13*PO!$X$3))</f>
        <v>4.1500000000000004</v>
      </c>
      <c r="F59" s="364">
        <f ca="1">OFFSET(PO!$P$12,ROW($E59)-ROW(F$12),0)</f>
        <v>4.1500000000000004</v>
      </c>
      <c r="G59" s="364"/>
      <c r="H59" s="364"/>
      <c r="I59" s="364"/>
      <c r="J59" s="364"/>
      <c r="K59" s="364"/>
      <c r="L59" s="364"/>
      <c r="M59" s="364"/>
      <c r="N59" s="364"/>
      <c r="O59" s="364"/>
      <c r="U59" s="182"/>
    </row>
    <row r="60" spans="1:21" s="1" customFormat="1" x14ac:dyDescent="0.2">
      <c r="A60" s="110" t="str">
        <f ca="1">OFFSET(PO!J$12,ROW(A60)-ROW($A$12),0)</f>
        <v>Nível 3</v>
      </c>
      <c r="B60" s="112" t="str">
        <f ca="1">IF($A60=0,"",OFFSET(PO!K$12,ROW(B60)-ROW(B$12),0))</f>
        <v>1.3.4.</v>
      </c>
      <c r="C60" s="109" t="str">
        <f ca="1">IF(OFFSET(PO!N$12,ROW(C60)-ROW(C$12),0)=0,"",OFFSET(PO!N$12,ROW(C60)-ROW(C$12),0))</f>
        <v>VIGAS</v>
      </c>
      <c r="D60" s="111" t="str">
        <f ca="1">IF(OFFSET(PO!O$12,ROW(D60)-ROW(D$12),0)=0,"",OFFSET(PO!O$12,ROW(D60)-ROW(D$12),0))</f>
        <v/>
      </c>
      <c r="E60" s="140">
        <f ca="1">IF($A60&lt;&gt;"Serviço",0,ROUND(SUMIF($F$9:$P$9,"&lt;&gt;",$F60:$P60),15-13*PO!$X$3))</f>
        <v>0</v>
      </c>
      <c r="F60" s="364">
        <f ca="1">OFFSET(PO!$P$12,ROW($E60)-ROW(F$12),0)</f>
        <v>0</v>
      </c>
      <c r="G60" s="364"/>
      <c r="H60" s="364"/>
      <c r="I60" s="364"/>
      <c r="J60" s="364"/>
      <c r="K60" s="364"/>
      <c r="L60" s="364"/>
      <c r="M60" s="364"/>
      <c r="N60" s="364"/>
      <c r="O60" s="364"/>
      <c r="U60" s="182"/>
    </row>
    <row r="61" spans="1:21" s="1" customFormat="1" ht="25.5" x14ac:dyDescent="0.2">
      <c r="A61" s="110" t="str">
        <f ca="1">OFFSET(PO!J$12,ROW(A61)-ROW($A$12),0)</f>
        <v>Serviço</v>
      </c>
      <c r="B61" s="112" t="str">
        <f ca="1">IF($A61=0,"",OFFSET(PO!K$12,ROW(B61)-ROW(B$12),0))</f>
        <v>1.3.4.0.1.</v>
      </c>
      <c r="C61" s="109" t="str">
        <f ca="1">IF(OFFSET(PO!N$12,ROW(C61)-ROW(C$12),0)=0,"",OFFSET(PO!N$12,ROW(C61)-ROW(C$12),0))</f>
        <v>FABRICAÇÃO DE FÔRMA PARA VIGAS, COM MADEIRA SERRADA, E = 25 MM. AF_09/2020</v>
      </c>
      <c r="D61" s="111" t="str">
        <f ca="1">IF(OFFSET(PO!O$12,ROW(D61)-ROW(D$12),0)=0,"",OFFSET(PO!O$12,ROW(D61)-ROW(D$12),0))</f>
        <v>M2</v>
      </c>
      <c r="E61" s="140">
        <f ca="1">IF($A61&lt;&gt;"Serviço",0,ROUND(SUMIF($F$9:$P$9,"&lt;&gt;",$F61:$P61),15-13*PO!$X$3))</f>
        <v>82.12</v>
      </c>
      <c r="F61" s="364">
        <f ca="1">OFFSET(PO!$P$12,ROW($E61)-ROW(F$12),0)</f>
        <v>82.12</v>
      </c>
      <c r="G61" s="364"/>
      <c r="H61" s="364"/>
      <c r="I61" s="364"/>
      <c r="J61" s="364"/>
      <c r="K61" s="364"/>
      <c r="L61" s="364"/>
      <c r="M61" s="364"/>
      <c r="N61" s="364"/>
      <c r="O61" s="364"/>
      <c r="U61" s="182"/>
    </row>
    <row r="62" spans="1:21" s="1" customFormat="1" ht="38.25" x14ac:dyDescent="0.2">
      <c r="A62" s="110" t="str">
        <f ca="1">OFFSET(PO!J$12,ROW(A62)-ROW($A$12),0)</f>
        <v>Serviço</v>
      </c>
      <c r="B62" s="112" t="str">
        <f ca="1">IF($A62=0,"",OFFSET(PO!K$12,ROW(B62)-ROW(B$12),0))</f>
        <v>1.3.4.0.2.</v>
      </c>
      <c r="C62" s="109" t="str">
        <f ca="1">IF(OFFSET(PO!N$12,ROW(C62)-ROW(C$12),0)=0,"",OFFSET(PO!N$12,ROW(C62)-ROW(C$12),0))</f>
        <v>ARMAÇÃO DE PILAR OU VIGA DE ESTRUTURA CONVENCIONAL DE CONCRETO ARMADO UTILIZANDO AÇO CA-50 DE 8,0 MM - MONTAGEM. AF_06/2022</v>
      </c>
      <c r="D62" s="111" t="str">
        <f ca="1">IF(OFFSET(PO!O$12,ROW(D62)-ROW(D$12),0)=0,"",OFFSET(PO!O$12,ROW(D62)-ROW(D$12),0))</f>
        <v>KG</v>
      </c>
      <c r="E62" s="140">
        <f ca="1">IF($A62&lt;&gt;"Serviço",0,ROUND(SUMIF($F$9:$P$9,"&lt;&gt;",$F62:$P62),15-13*PO!$X$3))</f>
        <v>121.5</v>
      </c>
      <c r="F62" s="364">
        <f ca="1">OFFSET(PO!$P$12,ROW($E62)-ROW(F$12),0)</f>
        <v>121.5</v>
      </c>
      <c r="G62" s="364"/>
      <c r="H62" s="364"/>
      <c r="I62" s="364"/>
      <c r="J62" s="364"/>
      <c r="K62" s="364"/>
      <c r="L62" s="364"/>
      <c r="M62" s="364"/>
      <c r="N62" s="364"/>
      <c r="O62" s="364"/>
      <c r="U62" s="182"/>
    </row>
    <row r="63" spans="1:21" s="1" customFormat="1" x14ac:dyDescent="0.2">
      <c r="A63" s="110" t="str">
        <f ca="1">OFFSET(PO!J$12,ROW(A63)-ROW($A$12),0)</f>
        <v>Serviço</v>
      </c>
      <c r="B63" s="112" t="str">
        <f ca="1">IF($A63=0,"",OFFSET(PO!K$12,ROW(B63)-ROW(B$12),0))</f>
        <v>1.3.4.0.3.</v>
      </c>
      <c r="C63" s="109" t="str">
        <f ca="1">IF(OFFSET(PO!N$12,ROW(C63)-ROW(C$12),0)=0,"",OFFSET(PO!N$12,ROW(C63)-ROW(C$12),0))</f>
        <v>ARMAÇÃO DE PILAR OU VIGA DE ESTRUTURA CONVENCIONAL DE CONCRETO ARMADO UTILIZANDO AÇO CA-50 DE 10,0 MM - MONTAGEM. AF_06/2022</v>
      </c>
      <c r="D63" s="111" t="str">
        <f ca="1">IF(OFFSET(PO!O$12,ROW(D63)-ROW(D$12),0)=0,"",OFFSET(PO!O$12,ROW(D63)-ROW(D$12),0))</f>
        <v>KG</v>
      </c>
      <c r="E63" s="140">
        <f ca="1">IF($A63&lt;&gt;"Serviço",0,ROUND(SUMIF($F$9:$P$9,"&lt;&gt;",$F63:$P63),15-13*PO!$X$3))</f>
        <v>51</v>
      </c>
      <c r="F63" s="364">
        <f ca="1">OFFSET(PO!$P$12,ROW($E63)-ROW(F$12),0)</f>
        <v>51</v>
      </c>
      <c r="G63" s="364"/>
      <c r="H63" s="364"/>
      <c r="I63" s="364"/>
      <c r="J63" s="364"/>
      <c r="K63" s="364"/>
      <c r="L63" s="364"/>
      <c r="M63" s="364"/>
      <c r="N63" s="364"/>
      <c r="O63" s="364"/>
      <c r="U63" s="182"/>
    </row>
    <row r="64" spans="1:21" s="1" customFormat="1" ht="38.25" x14ac:dyDescent="0.2">
      <c r="A64" s="110" t="str">
        <f ca="1">OFFSET(PO!J$12,ROW(A64)-ROW($A$12),0)</f>
        <v>Serviço</v>
      </c>
      <c r="B64" s="112" t="str">
        <f ca="1">IF($A64=0,"",OFFSET(PO!K$12,ROW(B64)-ROW(B$12),0))</f>
        <v>1.3.4.0.4.</v>
      </c>
      <c r="C64" s="109" t="str">
        <f ca="1">IF(OFFSET(PO!N$12,ROW(C64)-ROW(C$12),0)=0,"",OFFSET(PO!N$12,ROW(C64)-ROW(C$12),0))</f>
        <v>ARMAÇÃO DE PILAR OU VIGA DE ESTRUTURA CONVENCIONAL DE CONCRETO ARMADO UTILIZANDO AÇO CA-60 DE 5,0 MM - MONTAGEM. AF_06/2022</v>
      </c>
      <c r="D64" s="111" t="str">
        <f ca="1">IF(OFFSET(PO!O$12,ROW(D64)-ROW(D$12),0)=0,"",OFFSET(PO!O$12,ROW(D64)-ROW(D$12),0))</f>
        <v>KG</v>
      </c>
      <c r="E64" s="140">
        <f ca="1">IF($A64&lt;&gt;"Serviço",0,ROUND(SUMIF($F$9:$P$9,"&lt;&gt;",$F64:$P64),15-13*PO!$X$3))</f>
        <v>70.3</v>
      </c>
      <c r="F64" s="364">
        <f ca="1">OFFSET(PO!$P$12,ROW($E64)-ROW(F$12),0)</f>
        <v>70.3</v>
      </c>
      <c r="G64" s="364"/>
      <c r="H64" s="364"/>
      <c r="I64" s="364"/>
      <c r="J64" s="364"/>
      <c r="K64" s="364"/>
      <c r="L64" s="364"/>
      <c r="M64" s="364"/>
      <c r="N64" s="364"/>
      <c r="O64" s="364"/>
      <c r="U64" s="182"/>
    </row>
    <row r="65" spans="1:21" s="1" customFormat="1" ht="38.25" x14ac:dyDescent="0.2">
      <c r="A65" s="110" t="str">
        <f ca="1">OFFSET(PO!J$12,ROW(A65)-ROW($A$12),0)</f>
        <v>Serviço</v>
      </c>
      <c r="B65" s="112" t="str">
        <f ca="1">IF($A65=0,"",OFFSET(PO!K$12,ROW(B65)-ROW(B$12),0))</f>
        <v>1.3.4.0.5.</v>
      </c>
      <c r="C65" s="109" t="str">
        <f ca="1">IF(OFFSET(PO!N$12,ROW(C65)-ROW(C$12),0)=0,"",OFFSET(PO!N$12,ROW(C65)-ROW(C$12),0))</f>
        <v>CONCRETAGEM DE VIGAS E LAJES, FCK = 30 MPA, PARA LAJES PREMOLDADAS COM USO DE BOMBA - LANÇAMENTO, ADENSAMENTO E ACABAMENTO (BASE REF. SINAPI 103674)</v>
      </c>
      <c r="D65" s="111" t="str">
        <f ca="1">IF(OFFSET(PO!O$12,ROW(D65)-ROW(D$12),0)=0,"",OFFSET(PO!O$12,ROW(D65)-ROW(D$12),0))</f>
        <v>M3</v>
      </c>
      <c r="E65" s="140">
        <f ca="1">IF($A65&lt;&gt;"Serviço",0,ROUND(SUMIF($F$9:$P$9,"&lt;&gt;",$F65:$P65),15-13*PO!$X$3))</f>
        <v>5.51</v>
      </c>
      <c r="F65" s="364">
        <f ca="1">OFFSET(PO!$P$12,ROW($E65)-ROW(F$12),0)</f>
        <v>5.51</v>
      </c>
      <c r="G65" s="364"/>
      <c r="H65" s="364"/>
      <c r="I65" s="364"/>
      <c r="J65" s="364"/>
      <c r="K65" s="364"/>
      <c r="L65" s="364"/>
      <c r="M65" s="364"/>
      <c r="N65" s="364"/>
      <c r="O65" s="364"/>
      <c r="U65" s="182"/>
    </row>
    <row r="66" spans="1:21" s="1" customFormat="1" x14ac:dyDescent="0.2">
      <c r="A66" s="110" t="str">
        <f ca="1">OFFSET(PO!J$12,ROW(A66)-ROW($A$12),0)</f>
        <v>Nível 3</v>
      </c>
      <c r="B66" s="112" t="str">
        <f ca="1">IF($A66=0,"",OFFSET(PO!K$12,ROW(B66)-ROW(B$12),0))</f>
        <v>1.3.5.</v>
      </c>
      <c r="C66" s="109" t="str">
        <f ca="1">IF(OFFSET(PO!N$12,ROW(C66)-ROW(C$12),0)=0,"",OFFSET(PO!N$12,ROW(C66)-ROW(C$12),0))</f>
        <v>PILARES E VIGAS DO VOLUME DA CASA DE MÁQUINAS</v>
      </c>
      <c r="D66" s="111" t="str">
        <f ca="1">IF(OFFSET(PO!O$12,ROW(D66)-ROW(D$12),0)=0,"",OFFSET(PO!O$12,ROW(D66)-ROW(D$12),0))</f>
        <v/>
      </c>
      <c r="E66" s="140">
        <f ca="1">IF($A66&lt;&gt;"Serviço",0,ROUND(SUMIF($F$9:$P$9,"&lt;&gt;",$F66:$P66),15-13*PO!$X$3))</f>
        <v>0</v>
      </c>
      <c r="F66" s="364">
        <f ca="1">OFFSET(PO!$P$12,ROW($E66)-ROW(F$12),0)</f>
        <v>0</v>
      </c>
      <c r="G66" s="364"/>
      <c r="H66" s="364"/>
      <c r="I66" s="364"/>
      <c r="J66" s="364"/>
      <c r="K66" s="364"/>
      <c r="L66" s="364"/>
      <c r="M66" s="364"/>
      <c r="N66" s="364"/>
      <c r="O66" s="364"/>
      <c r="U66" s="182"/>
    </row>
    <row r="67" spans="1:21" s="1" customFormat="1" x14ac:dyDescent="0.2">
      <c r="A67" s="110" t="str">
        <f ca="1">OFFSET(PO!J$12,ROW(A67)-ROW($A$12),0)</f>
        <v>Serviço</v>
      </c>
      <c r="B67" s="112" t="str">
        <f ca="1">IF($A67=0,"",OFFSET(PO!K$12,ROW(B67)-ROW(B$12),0))</f>
        <v>1.3.5.0.1.</v>
      </c>
      <c r="C67" s="109" t="str">
        <f ca="1">IF(OFFSET(PO!N$12,ROW(C67)-ROW(C$12),0)=0,"",OFFSET(PO!N$12,ROW(C67)-ROW(C$12),0))</f>
        <v>FABRICAÇÃO DE FÔRMA PARA PILARES E ESTRUTURAS SIMILARES, EM MADEIRA SERRADA, E=25 MM. AF_09/2020</v>
      </c>
      <c r="D67" s="111" t="str">
        <f ca="1">IF(OFFSET(PO!O$12,ROW(D67)-ROW(D$12),0)=0,"",OFFSET(PO!O$12,ROW(D67)-ROW(D$12),0))</f>
        <v>M2</v>
      </c>
      <c r="E67" s="140">
        <f ca="1">IF($A67&lt;&gt;"Serviço",0,ROUND(SUMIF($F$9:$P$9,"&lt;&gt;",$F67:$P67),15-13*PO!$X$3))</f>
        <v>23.65</v>
      </c>
      <c r="F67" s="364">
        <f ca="1">OFFSET(PO!$P$12,ROW($E67)-ROW(F$12),0)</f>
        <v>23.65</v>
      </c>
      <c r="G67" s="364"/>
      <c r="H67" s="364"/>
      <c r="I67" s="364"/>
      <c r="J67" s="364"/>
      <c r="K67" s="364"/>
      <c r="L67" s="364"/>
      <c r="M67" s="364"/>
      <c r="N67" s="364"/>
      <c r="O67" s="364"/>
      <c r="U67" s="182"/>
    </row>
    <row r="68" spans="1:21" s="1" customFormat="1" ht="38.25" x14ac:dyDescent="0.2">
      <c r="A68" s="110" t="str">
        <f ca="1">OFFSET(PO!J$12,ROW(A68)-ROW($A$12),0)</f>
        <v>Serviço</v>
      </c>
      <c r="B68" s="112" t="str">
        <f ca="1">IF($A68=0,"",OFFSET(PO!K$12,ROW(B68)-ROW(B$12),0))</f>
        <v>1.3.5.0.2.</v>
      </c>
      <c r="C68" s="109" t="str">
        <f ca="1">IF(OFFSET(PO!N$12,ROW(C68)-ROW(C$12),0)=0,"",OFFSET(PO!N$12,ROW(C68)-ROW(C$12),0))</f>
        <v>ARMAÇÃO DE PILAR OU VIGA DE ESTRUTURA CONVENCIONAL DE CONCRETO ARMADO UTILIZANDO AÇO CA-50 DE 10,0 MM - MONTAGEM. AF_06/2022</v>
      </c>
      <c r="D68" s="111" t="str">
        <f ca="1">IF(OFFSET(PO!O$12,ROW(D68)-ROW(D$12),0)=0,"",OFFSET(PO!O$12,ROW(D68)-ROW(D$12),0))</f>
        <v>KG</v>
      </c>
      <c r="E68" s="140">
        <f ca="1">IF($A68&lt;&gt;"Serviço",0,ROUND(SUMIF($F$9:$P$9,"&lt;&gt;",$F68:$P68),15-13*PO!$X$3))</f>
        <v>86.33</v>
      </c>
      <c r="F68" s="364">
        <f ca="1">OFFSET(PO!$P$12,ROW($E68)-ROW(F$12),0)</f>
        <v>86.33</v>
      </c>
      <c r="G68" s="364"/>
      <c r="H68" s="364"/>
      <c r="I68" s="364"/>
      <c r="J68" s="364"/>
      <c r="K68" s="364"/>
      <c r="L68" s="364"/>
      <c r="M68" s="364"/>
      <c r="N68" s="364"/>
      <c r="O68" s="364"/>
      <c r="U68" s="182"/>
    </row>
    <row r="69" spans="1:21" s="1" customFormat="1" ht="38.25" x14ac:dyDescent="0.2">
      <c r="A69" s="110" t="str">
        <f ca="1">OFFSET(PO!J$12,ROW(A69)-ROW($A$12),0)</f>
        <v>Serviço</v>
      </c>
      <c r="B69" s="112" t="str">
        <f ca="1">IF($A69=0,"",OFFSET(PO!K$12,ROW(B69)-ROW(B$12),0))</f>
        <v>1.3.5.0.3.</v>
      </c>
      <c r="C69" s="109" t="str">
        <f ca="1">IF(OFFSET(PO!N$12,ROW(C69)-ROW(C$12),0)=0,"",OFFSET(PO!N$12,ROW(C69)-ROW(C$12),0))</f>
        <v>ARMAÇÃO DE PILAR OU VIGA DE ESTRUTURA CONVENCIONAL DE CONCRETO ARMADO UTILIZANDO AÇO CA-60 DE 5,0 MM - MONTAGEM. AF_06/2022</v>
      </c>
      <c r="D69" s="111" t="str">
        <f ca="1">IF(OFFSET(PO!O$12,ROW(D69)-ROW(D$12),0)=0,"",OFFSET(PO!O$12,ROW(D69)-ROW(D$12),0))</f>
        <v>KG</v>
      </c>
      <c r="E69" s="140">
        <f ca="1">IF($A69&lt;&gt;"Serviço",0,ROUND(SUMIF($F$9:$P$9,"&lt;&gt;",$F69:$P69),15-13*PO!$X$3))</f>
        <v>38.72</v>
      </c>
      <c r="F69" s="364">
        <f ca="1">OFFSET(PO!$P$12,ROW($E69)-ROW(F$12),0)</f>
        <v>38.72</v>
      </c>
      <c r="G69" s="364"/>
      <c r="H69" s="364"/>
      <c r="I69" s="364"/>
      <c r="J69" s="364"/>
      <c r="K69" s="364"/>
      <c r="L69" s="364"/>
      <c r="M69" s="364"/>
      <c r="N69" s="364"/>
      <c r="O69" s="364"/>
      <c r="U69" s="182"/>
    </row>
    <row r="70" spans="1:21" s="1" customFormat="1" ht="38.25" x14ac:dyDescent="0.2">
      <c r="A70" s="110" t="str">
        <f ca="1">OFFSET(PO!J$12,ROW(A70)-ROW($A$12),0)</f>
        <v>Serviço</v>
      </c>
      <c r="B70" s="112" t="str">
        <f ca="1">IF($A70=0,"",OFFSET(PO!K$12,ROW(B70)-ROW(B$12),0))</f>
        <v>1.3.5.0.4.</v>
      </c>
      <c r="C70" s="109" t="str">
        <f ca="1">IF(OFFSET(PO!N$12,ROW(C70)-ROW(C$12),0)=0,"",OFFSET(PO!N$12,ROW(C70)-ROW(C$12),0))</f>
        <v>CONCRETAGEM DE PILARES, FCK = 30 MPA, COM USO DE BOMBA - LANÇAMENTO, ADENSAMENTO E ACABAMENTO (BASE REF. SINAPI 103672)</v>
      </c>
      <c r="D70" s="111" t="str">
        <f ca="1">IF(OFFSET(PO!O$12,ROW(D70)-ROW(D$12),0)=0,"",OFFSET(PO!O$12,ROW(D70)-ROW(D$12),0))</f>
        <v>M3</v>
      </c>
      <c r="E70" s="140">
        <f ca="1">IF($A70&lt;&gt;"Serviço",0,ROUND(SUMIF($F$9:$P$9,"&lt;&gt;",$F70:$P70),15-13*PO!$X$3))</f>
        <v>1.29</v>
      </c>
      <c r="F70" s="364">
        <f ca="1">OFFSET(PO!$P$12,ROW($E70)-ROW(F$12),0)</f>
        <v>1.29</v>
      </c>
      <c r="G70" s="364"/>
      <c r="H70" s="364"/>
      <c r="I70" s="364"/>
      <c r="J70" s="364"/>
      <c r="K70" s="364"/>
      <c r="L70" s="364"/>
      <c r="M70" s="364"/>
      <c r="N70" s="364"/>
      <c r="O70" s="364"/>
      <c r="U70" s="182"/>
    </row>
    <row r="71" spans="1:21" s="1" customFormat="1" ht="25.5" x14ac:dyDescent="0.2">
      <c r="A71" s="110" t="str">
        <f ca="1">OFFSET(PO!J$12,ROW(A71)-ROW($A$12),0)</f>
        <v>Serviço</v>
      </c>
      <c r="B71" s="112" t="str">
        <f ca="1">IF($A71=0,"",OFFSET(PO!K$12,ROW(B71)-ROW(B$12),0))</f>
        <v>1.3.5.0.5.</v>
      </c>
      <c r="C71" s="109" t="str">
        <f ca="1">IF(OFFSET(PO!N$12,ROW(C71)-ROW(C$12),0)=0,"",OFFSET(PO!N$12,ROW(C71)-ROW(C$12),0))</f>
        <v>FABRICAÇÃO DE FÔRMA PARA VIGAS, COM MADEIRA SERRADA, E = 25 MM. AF_09/2020</v>
      </c>
      <c r="D71" s="111" t="str">
        <f ca="1">IF(OFFSET(PO!O$12,ROW(D71)-ROW(D$12),0)=0,"",OFFSET(PO!O$12,ROW(D71)-ROW(D$12),0))</f>
        <v>M2</v>
      </c>
      <c r="E71" s="140">
        <f ca="1">IF($A71&lt;&gt;"Serviço",0,ROUND(SUMIF($F$9:$P$9,"&lt;&gt;",$F71:$P71),15-13*PO!$X$3))</f>
        <v>43.37</v>
      </c>
      <c r="F71" s="364">
        <f ca="1">OFFSET(PO!$P$12,ROW($E71)-ROW(F$12),0)</f>
        <v>43.37</v>
      </c>
      <c r="G71" s="364"/>
      <c r="H71" s="364"/>
      <c r="I71" s="364"/>
      <c r="J71" s="364"/>
      <c r="K71" s="364"/>
      <c r="L71" s="364"/>
      <c r="M71" s="364"/>
      <c r="N71" s="364"/>
      <c r="O71" s="364"/>
      <c r="U71" s="182"/>
    </row>
    <row r="72" spans="1:21" s="1" customFormat="1" x14ac:dyDescent="0.2">
      <c r="A72" s="110" t="str">
        <f ca="1">OFFSET(PO!J$12,ROW(A72)-ROW($A$12),0)</f>
        <v>Serviço</v>
      </c>
      <c r="B72" s="112" t="str">
        <f ca="1">IF($A72=0,"",OFFSET(PO!K$12,ROW(B72)-ROW(B$12),0))</f>
        <v>1.3.5.0.6.</v>
      </c>
      <c r="C72" s="109" t="str">
        <f ca="1">IF(OFFSET(PO!N$12,ROW(C72)-ROW(C$12),0)=0,"",OFFSET(PO!N$12,ROW(C72)-ROW(C$12),0))</f>
        <v>ARMAÇÃO DE PILAR OU VIGA DE ESTRUTURA CONVENCIONAL DE CONCRETO ARMADO UTILIZANDO AÇO CA-50 DE 8,0 MM - MONTAGEM. AF_06/2022</v>
      </c>
      <c r="D72" s="111" t="str">
        <f ca="1">IF(OFFSET(PO!O$12,ROW(D72)-ROW(D$12),0)=0,"",OFFSET(PO!O$12,ROW(D72)-ROW(D$12),0))</f>
        <v>KG</v>
      </c>
      <c r="E72" s="140">
        <f ca="1">IF($A72&lt;&gt;"Serviço",0,ROUND(SUMIF($F$9:$P$9,"&lt;&gt;",$F72:$P72),15-13*PO!$X$3))</f>
        <v>41.32</v>
      </c>
      <c r="F72" s="364">
        <f ca="1">OFFSET(PO!$P$12,ROW($E72)-ROW(F$12),0)</f>
        <v>41.32</v>
      </c>
      <c r="G72" s="364"/>
      <c r="H72" s="364"/>
      <c r="I72" s="364"/>
      <c r="J72" s="364"/>
      <c r="K72" s="364"/>
      <c r="L72" s="364"/>
      <c r="M72" s="364"/>
      <c r="N72" s="364"/>
      <c r="O72" s="364"/>
      <c r="U72" s="182"/>
    </row>
    <row r="73" spans="1:21" s="1" customFormat="1" x14ac:dyDescent="0.2">
      <c r="A73" s="110" t="str">
        <f ca="1">OFFSET(PO!J$12,ROW(A73)-ROW($A$12),0)</f>
        <v>Serviço</v>
      </c>
      <c r="B73" s="112" t="str">
        <f ca="1">IF($A73=0,"",OFFSET(PO!K$12,ROW(B73)-ROW(B$12),0))</f>
        <v>1.3.5.0.7.</v>
      </c>
      <c r="C73" s="109" t="str">
        <f ca="1">IF(OFFSET(PO!N$12,ROW(C73)-ROW(C$12),0)=0,"",OFFSET(PO!N$12,ROW(C73)-ROW(C$12),0))</f>
        <v>ARMAÇÃO DE PILAR OU VIGA DE ESTRUTURA CONVENCIONAL DE CONCRETO ARMADO UTILIZANDO AÇO CA-50 DE 10,0 MM - MONTAGEM. AF_06/2022</v>
      </c>
      <c r="D73" s="111" t="str">
        <f ca="1">IF(OFFSET(PO!O$12,ROW(D73)-ROW(D$12),0)=0,"",OFFSET(PO!O$12,ROW(D73)-ROW(D$12),0))</f>
        <v>KG</v>
      </c>
      <c r="E73" s="140">
        <f ca="1">IF($A73&lt;&gt;"Serviço",0,ROUND(SUMIF($F$9:$P$9,"&lt;&gt;",$F73:$P73),15-13*PO!$X$3))</f>
        <v>64.540000000000006</v>
      </c>
      <c r="F73" s="364">
        <f ca="1">OFFSET(PO!$P$12,ROW($E73)-ROW(F$12),0)</f>
        <v>64.540000000000006</v>
      </c>
      <c r="G73" s="364"/>
      <c r="H73" s="364"/>
      <c r="I73" s="364"/>
      <c r="J73" s="364"/>
      <c r="K73" s="364"/>
      <c r="L73" s="364"/>
      <c r="M73" s="364"/>
      <c r="N73" s="364"/>
      <c r="O73" s="364"/>
      <c r="U73" s="182"/>
    </row>
    <row r="74" spans="1:21" s="1" customFormat="1" ht="38.25" x14ac:dyDescent="0.2">
      <c r="A74" s="110" t="str">
        <f ca="1">OFFSET(PO!J$12,ROW(A74)-ROW($A$12),0)</f>
        <v>Serviço</v>
      </c>
      <c r="B74" s="112" t="str">
        <f ca="1">IF($A74=0,"",OFFSET(PO!K$12,ROW(B74)-ROW(B$12),0))</f>
        <v>1.3.5.0.8.</v>
      </c>
      <c r="C74" s="109" t="str">
        <f ca="1">IF(OFFSET(PO!N$12,ROW(C74)-ROW(C$12),0)=0,"",OFFSET(PO!N$12,ROW(C74)-ROW(C$12),0))</f>
        <v>ARMAÇÃO DE PILAR OU VIGA DE ESTRUTURA CONVENCIONAL DE CONCRETO ARMADO UTILIZANDO AÇO CA-60 DE 5,0 MM - MONTAGEM. AF_06/2022</v>
      </c>
      <c r="D74" s="111" t="str">
        <f ca="1">IF(OFFSET(PO!O$12,ROW(D74)-ROW(D$12),0)=0,"",OFFSET(PO!O$12,ROW(D74)-ROW(D$12),0))</f>
        <v>KG</v>
      </c>
      <c r="E74" s="140">
        <f ca="1">IF($A74&lt;&gt;"Serviço",0,ROUND(SUMIF($F$9:$P$9,"&lt;&gt;",$F74:$P74),15-13*PO!$X$3))</f>
        <v>38.83</v>
      </c>
      <c r="F74" s="364">
        <f ca="1">OFFSET(PO!$P$12,ROW($E74)-ROW(F$12),0)</f>
        <v>38.83</v>
      </c>
      <c r="G74" s="364"/>
      <c r="H74" s="364"/>
      <c r="I74" s="364"/>
      <c r="J74" s="364"/>
      <c r="K74" s="364"/>
      <c r="L74" s="364"/>
      <c r="M74" s="364"/>
      <c r="N74" s="364"/>
      <c r="O74" s="364"/>
      <c r="U74" s="182"/>
    </row>
    <row r="75" spans="1:21" s="1" customFormat="1" x14ac:dyDescent="0.2">
      <c r="A75" s="110" t="str">
        <f ca="1">OFFSET(PO!J$12,ROW(A75)-ROW($A$12),0)</f>
        <v>Serviço</v>
      </c>
      <c r="B75" s="112" t="str">
        <f ca="1">IF($A75=0,"",OFFSET(PO!K$12,ROW(B75)-ROW(B$12),0))</f>
        <v>1.3.5.0.9.</v>
      </c>
      <c r="C75" s="109" t="str">
        <f ca="1">IF(OFFSET(PO!N$12,ROW(C75)-ROW(C$12),0)=0,"",OFFSET(PO!N$12,ROW(C75)-ROW(C$12),0))</f>
        <v>CONCRETAGEM DE VIGAS E LAJES, FCK = 30 MPA, PARA LAJES PREMOLDADAS COM USO DE BOMBA - LANÇAMENTO, ADENSAMENTO E ACABAMENTO (BASE REF. SINAPI 103674)</v>
      </c>
      <c r="D75" s="111" t="str">
        <f ca="1">IF(OFFSET(PO!O$12,ROW(D75)-ROW(D$12),0)=0,"",OFFSET(PO!O$12,ROW(D75)-ROW(D$12),0))</f>
        <v>M3</v>
      </c>
      <c r="E75" s="140">
        <f ca="1">IF($A75&lt;&gt;"Serviço",0,ROUND(SUMIF($F$9:$P$9,"&lt;&gt;",$F75:$P75),15-13*PO!$X$3))</f>
        <v>3.09</v>
      </c>
      <c r="F75" s="364">
        <f ca="1">OFFSET(PO!$P$12,ROW($E75)-ROW(F$12),0)</f>
        <v>3.09</v>
      </c>
      <c r="G75" s="364"/>
      <c r="H75" s="364"/>
      <c r="I75" s="364"/>
      <c r="J75" s="364"/>
      <c r="K75" s="364"/>
      <c r="L75" s="364"/>
      <c r="M75" s="364"/>
      <c r="N75" s="364"/>
      <c r="O75" s="364"/>
      <c r="U75" s="182"/>
    </row>
    <row r="76" spans="1:21" s="1" customFormat="1" x14ac:dyDescent="0.2">
      <c r="A76" s="110" t="str">
        <f ca="1">OFFSET(PO!J$12,ROW(A76)-ROW($A$12),0)</f>
        <v>Nível 3</v>
      </c>
      <c r="B76" s="112" t="str">
        <f ca="1">IF($A76=0,"",OFFSET(PO!K$12,ROW(B76)-ROW(B$12),0))</f>
        <v>1.3.6.</v>
      </c>
      <c r="C76" s="109" t="str">
        <f ca="1">IF(OFFSET(PO!N$12,ROW(C76)-ROW(C$12),0)=0,"",OFFSET(PO!N$12,ROW(C76)-ROW(C$12),0))</f>
        <v>LAJES</v>
      </c>
      <c r="D76" s="111" t="str">
        <f ca="1">IF(OFFSET(PO!O$12,ROW(D76)-ROW(D$12),0)=0,"",OFFSET(PO!O$12,ROW(D76)-ROW(D$12),0))</f>
        <v/>
      </c>
      <c r="E76" s="140">
        <f ca="1">IF($A76&lt;&gt;"Serviço",0,ROUND(SUMIF($F$9:$P$9,"&lt;&gt;",$F76:$P76),15-13*PO!$X$3))</f>
        <v>0</v>
      </c>
      <c r="F76" s="364">
        <f ca="1">OFFSET(PO!$P$12,ROW($E76)-ROW(F$12),0)</f>
        <v>0</v>
      </c>
      <c r="G76" s="364"/>
      <c r="H76" s="364"/>
      <c r="I76" s="364"/>
      <c r="J76" s="364"/>
      <c r="K76" s="364"/>
      <c r="L76" s="364"/>
      <c r="M76" s="364"/>
      <c r="N76" s="364"/>
      <c r="O76" s="364"/>
      <c r="U76" s="182"/>
    </row>
    <row r="77" spans="1:21" s="1" customFormat="1" x14ac:dyDescent="0.2">
      <c r="A77" s="110" t="str">
        <f ca="1">OFFSET(PO!J$12,ROW(A77)-ROW($A$12),0)</f>
        <v>Nível 4</v>
      </c>
      <c r="B77" s="112" t="str">
        <f ca="1">IF($A77=0,"",OFFSET(PO!K$12,ROW(B77)-ROW(B$12),0))</f>
        <v>1.3.6.1.</v>
      </c>
      <c r="C77" s="109" t="str">
        <f ca="1">IF(OFFSET(PO!N$12,ROW(C77)-ROW(C$12),0)=0,"",OFFSET(PO!N$12,ROW(C77)-ROW(C$12),0))</f>
        <v>Térreo</v>
      </c>
      <c r="D77" s="111" t="str">
        <f ca="1">IF(OFFSET(PO!O$12,ROW(D77)-ROW(D$12),0)=0,"",OFFSET(PO!O$12,ROW(D77)-ROW(D$12),0))</f>
        <v/>
      </c>
      <c r="E77" s="140">
        <f ca="1">IF($A77&lt;&gt;"Serviço",0,ROUND(SUMIF($F$9:$P$9,"&lt;&gt;",$F77:$P77),15-13*PO!$X$3))</f>
        <v>0</v>
      </c>
      <c r="F77" s="364">
        <f ca="1">OFFSET(PO!$P$12,ROW($E77)-ROW(F$12),0)</f>
        <v>0</v>
      </c>
      <c r="G77" s="364"/>
      <c r="H77" s="364"/>
      <c r="I77" s="364"/>
      <c r="J77" s="364"/>
      <c r="K77" s="364"/>
      <c r="L77" s="364"/>
      <c r="M77" s="364"/>
      <c r="N77" s="364"/>
      <c r="O77" s="364"/>
      <c r="U77" s="182"/>
    </row>
    <row r="78" spans="1:21" s="1" customFormat="1" ht="51" x14ac:dyDescent="0.2">
      <c r="A78" s="110" t="str">
        <f ca="1">OFFSET(PO!J$12,ROW(A78)-ROW($A$12),0)</f>
        <v>Serviço</v>
      </c>
      <c r="B78" s="112" t="str">
        <f ca="1">IF($A78=0,"",OFFSET(PO!K$12,ROW(B78)-ROW(B$12),0))</f>
        <v>1.3.6.1.1.</v>
      </c>
      <c r="C78" s="109" t="str">
        <f ca="1">IF(OFFSET(PO!N$12,ROW(C78)-ROW(C$12),0)=0,"",OFFSET(PO!N$12,ROW(C78)-ROW(C$12),0))</f>
        <v>LAJE PRÉ-MOLDADA UNIDIRECIONAL, BIAPOIADA, PARA PISO, ENCHIMENTO EM CERÂMICA, VIGOTA CONVENCIONAL, ALTURA TOTAL DA LAJE "LT" = 12 CM (ENCHIMENTO+CAPA) = (8+4). AF_08/2025</v>
      </c>
      <c r="D78" s="111" t="str">
        <f ca="1">IF(OFFSET(PO!O$12,ROW(D78)-ROW(D$12),0)=0,"",OFFSET(PO!O$12,ROW(D78)-ROW(D$12),0))</f>
        <v>M2</v>
      </c>
      <c r="E78" s="140">
        <f ca="1">IF($A78&lt;&gt;"Serviço",0,ROUND(SUMIF($F$9:$P$9,"&lt;&gt;",$F78:$P78),15-13*PO!$X$3))</f>
        <v>108</v>
      </c>
      <c r="F78" s="364">
        <f ca="1">OFFSET(PO!$P$12,ROW($E78)-ROW(F$12),0)</f>
        <v>108</v>
      </c>
      <c r="G78" s="364"/>
      <c r="H78" s="364"/>
      <c r="I78" s="364"/>
      <c r="J78" s="364"/>
      <c r="K78" s="364"/>
      <c r="L78" s="364"/>
      <c r="M78" s="364"/>
      <c r="N78" s="364"/>
      <c r="O78" s="364"/>
      <c r="U78" s="182"/>
    </row>
    <row r="79" spans="1:21" s="1" customFormat="1" x14ac:dyDescent="0.2">
      <c r="A79" s="110" t="str">
        <f ca="1">OFFSET(PO!J$12,ROW(A79)-ROW($A$12),0)</f>
        <v>Nível 4</v>
      </c>
      <c r="B79" s="112" t="str">
        <f ca="1">IF($A79=0,"",OFFSET(PO!K$12,ROW(B79)-ROW(B$12),0))</f>
        <v>1.3.6.2.</v>
      </c>
      <c r="C79" s="109" t="str">
        <f ca="1">IF(OFFSET(PO!N$12,ROW(C79)-ROW(C$12),0)=0,"",OFFSET(PO!N$12,ROW(C79)-ROW(C$12),0))</f>
        <v>Pav. casa de máquinas / cobertura</v>
      </c>
      <c r="D79" s="111" t="str">
        <f ca="1">IF(OFFSET(PO!O$12,ROW(D79)-ROW(D$12),0)=0,"",OFFSET(PO!O$12,ROW(D79)-ROW(D$12),0))</f>
        <v/>
      </c>
      <c r="E79" s="140">
        <f ca="1">IF($A79&lt;&gt;"Serviço",0,ROUND(SUMIF($F$9:$P$9,"&lt;&gt;",$F79:$P79),15-13*PO!$X$3))</f>
        <v>0</v>
      </c>
      <c r="F79" s="364">
        <f ca="1">OFFSET(PO!$P$12,ROW($E79)-ROW(F$12),0)</f>
        <v>0</v>
      </c>
      <c r="G79" s="364"/>
      <c r="H79" s="364"/>
      <c r="I79" s="364"/>
      <c r="J79" s="364"/>
      <c r="K79" s="364"/>
      <c r="L79" s="364"/>
      <c r="M79" s="364"/>
      <c r="N79" s="364"/>
      <c r="O79" s="364"/>
      <c r="U79" s="182"/>
    </row>
    <row r="80" spans="1:21" s="1" customFormat="1" ht="51" x14ac:dyDescent="0.2">
      <c r="A80" s="110" t="str">
        <f ca="1">OFFSET(PO!J$12,ROW(A80)-ROW($A$12),0)</f>
        <v>Serviço</v>
      </c>
      <c r="B80" s="112" t="str">
        <f ca="1">IF($A80=0,"",OFFSET(PO!K$12,ROW(B80)-ROW(B$12),0))</f>
        <v>1.3.6.2.1.</v>
      </c>
      <c r="C80" s="109" t="str">
        <f ca="1">IF(OFFSET(PO!N$12,ROW(C80)-ROW(C$12),0)=0,"",OFFSET(PO!N$12,ROW(C80)-ROW(C$12),0))</f>
        <v>LAJE PRÉ-MOLDADA UNIDIRECIONAL, BIAPOIADA, PARA PISO, ENCHIMENTO EM CERÂMICA, VIGOTA CONVENCIONAL, ALTURA TOTAL DA LAJE "LT" = 12 CM (ENCHIMENTO+CAPA) = (8+4). AF_08/2025</v>
      </c>
      <c r="D80" s="111" t="str">
        <f ca="1">IF(OFFSET(PO!O$12,ROW(D80)-ROW(D$12),0)=0,"",OFFSET(PO!O$12,ROW(D80)-ROW(D$12),0))</f>
        <v>M2</v>
      </c>
      <c r="E80" s="140">
        <f ca="1">IF($A80&lt;&gt;"Serviço",0,ROUND(SUMIF($F$9:$P$9,"&lt;&gt;",$F80:$P80),15-13*PO!$X$3))</f>
        <v>108</v>
      </c>
      <c r="F80" s="364">
        <f ca="1">OFFSET(PO!$P$12,ROW($E80)-ROW(F$12),0)</f>
        <v>108</v>
      </c>
      <c r="G80" s="364"/>
      <c r="H80" s="364"/>
      <c r="I80" s="364"/>
      <c r="J80" s="364"/>
      <c r="K80" s="364"/>
      <c r="L80" s="364"/>
      <c r="M80" s="364"/>
      <c r="N80" s="364"/>
      <c r="O80" s="364"/>
      <c r="U80" s="182"/>
    </row>
    <row r="81" spans="1:21" s="1" customFormat="1" x14ac:dyDescent="0.2">
      <c r="A81" s="110" t="str">
        <f ca="1">OFFSET(PO!J$12,ROW(A81)-ROW($A$12),0)</f>
        <v>Nível 4</v>
      </c>
      <c r="B81" s="112" t="str">
        <f ca="1">IF($A81=0,"",OFFSET(PO!K$12,ROW(B81)-ROW(B$12),0))</f>
        <v>1.3.6.3.</v>
      </c>
      <c r="C81" s="109" t="str">
        <f ca="1">IF(OFFSET(PO!N$12,ROW(C81)-ROW(C$12),0)=0,"",OFFSET(PO!N$12,ROW(C81)-ROW(C$12),0))</f>
        <v>Cobertura da casa de máquinas</v>
      </c>
      <c r="D81" s="111" t="str">
        <f ca="1">IF(OFFSET(PO!O$12,ROW(D81)-ROW(D$12),0)=0,"",OFFSET(PO!O$12,ROW(D81)-ROW(D$12),0))</f>
        <v/>
      </c>
      <c r="E81" s="140">
        <f ca="1">IF($A81&lt;&gt;"Serviço",0,ROUND(SUMIF($F$9:$P$9,"&lt;&gt;",$F81:$P81),15-13*PO!$X$3))</f>
        <v>0</v>
      </c>
      <c r="F81" s="364">
        <f ca="1">OFFSET(PO!$P$12,ROW($E81)-ROW(F$12),0)</f>
        <v>0</v>
      </c>
      <c r="G81" s="364"/>
      <c r="H81" s="364"/>
      <c r="I81" s="364"/>
      <c r="J81" s="364"/>
      <c r="K81" s="364"/>
      <c r="L81" s="364"/>
      <c r="M81" s="364"/>
      <c r="N81" s="364"/>
      <c r="O81" s="364"/>
      <c r="U81" s="182"/>
    </row>
    <row r="82" spans="1:21" s="1" customFormat="1" ht="51" x14ac:dyDescent="0.2">
      <c r="A82" s="110" t="str">
        <f ca="1">OFFSET(PO!J$12,ROW(A82)-ROW($A$12),0)</f>
        <v>Serviço</v>
      </c>
      <c r="B82" s="112" t="str">
        <f ca="1">IF($A82=0,"",OFFSET(PO!K$12,ROW(B82)-ROW(B$12),0))</f>
        <v>1.3.6.3.1.</v>
      </c>
      <c r="C82" s="109" t="str">
        <f ca="1">IF(OFFSET(PO!N$12,ROW(C82)-ROW(C$12),0)=0,"",OFFSET(PO!N$12,ROW(C82)-ROW(C$12),0))</f>
        <v>LAJE PRÉ-MOLDADA UNIDIRECIONAL, BIAPOIADA, PARA FORRO, ENCHIMENTO EM CERÂMICA, VIGOTA CONVENCIONAL, ALTURA TOTAL DA LAJE "LT" = 12 CM (ENCHIMENTO+CAPA) = (8+4). AF_08/2025</v>
      </c>
      <c r="D82" s="111" t="str">
        <f ca="1">IF(OFFSET(PO!O$12,ROW(D82)-ROW(D$12),0)=0,"",OFFSET(PO!O$12,ROW(D82)-ROW(D$12),0))</f>
        <v>M2</v>
      </c>
      <c r="E82" s="140">
        <f ca="1">IF($A82&lt;&gt;"Serviço",0,ROUND(SUMIF($F$9:$P$9,"&lt;&gt;",$F82:$P82),15-13*PO!$X$3))</f>
        <v>56.13</v>
      </c>
      <c r="F82" s="364">
        <f ca="1">OFFSET(PO!$P$12,ROW($E82)-ROW(F$12),0)</f>
        <v>56.13</v>
      </c>
      <c r="G82" s="364"/>
      <c r="H82" s="364"/>
      <c r="I82" s="364"/>
      <c r="J82" s="364"/>
      <c r="K82" s="364"/>
      <c r="L82" s="364"/>
      <c r="M82" s="364"/>
      <c r="N82" s="364"/>
      <c r="O82" s="364"/>
      <c r="U82" s="182"/>
    </row>
    <row r="83" spans="1:21" s="1" customFormat="1" x14ac:dyDescent="0.2">
      <c r="A83" s="110" t="str">
        <f ca="1">OFFSET(PO!J$12,ROW(A83)-ROW($A$12),0)</f>
        <v>Nível 2</v>
      </c>
      <c r="B83" s="112" t="str">
        <f ca="1">IF($A83=0,"",OFFSET(PO!K$12,ROW(B83)-ROW(B$12),0))</f>
        <v>1.4.</v>
      </c>
      <c r="C83" s="109" t="str">
        <f ca="1">IF(OFFSET(PO!N$12,ROW(C83)-ROW(C$12),0)=0,"",OFFSET(PO!N$12,ROW(C83)-ROW(C$12),0))</f>
        <v>PAREDES E PAINEIS</v>
      </c>
      <c r="D83" s="111" t="str">
        <f ca="1">IF(OFFSET(PO!O$12,ROW(D83)-ROW(D$12),0)=0,"",OFFSET(PO!O$12,ROW(D83)-ROW(D$12),0))</f>
        <v/>
      </c>
      <c r="E83" s="140">
        <f ca="1">IF($A83&lt;&gt;"Serviço",0,ROUND(SUMIF($F$9:$P$9,"&lt;&gt;",$F83:$P83),15-13*PO!$X$3))</f>
        <v>0</v>
      </c>
      <c r="F83" s="364">
        <f ca="1">OFFSET(PO!$P$12,ROW($E83)-ROW(F$12),0)</f>
        <v>0</v>
      </c>
      <c r="G83" s="364"/>
      <c r="H83" s="364"/>
      <c r="I83" s="364"/>
      <c r="J83" s="364"/>
      <c r="K83" s="364"/>
      <c r="L83" s="364"/>
      <c r="M83" s="364"/>
      <c r="N83" s="364"/>
      <c r="O83" s="364"/>
      <c r="U83" s="182"/>
    </row>
    <row r="84" spans="1:21" s="1" customFormat="1" x14ac:dyDescent="0.2">
      <c r="A84" s="110" t="str">
        <f ca="1">OFFSET(PO!J$12,ROW(A84)-ROW($A$12),0)</f>
        <v>Nível 3</v>
      </c>
      <c r="B84" s="112" t="str">
        <f ca="1">IF($A84=0,"",OFFSET(PO!K$12,ROW(B84)-ROW(B$12),0))</f>
        <v>1.4.1.</v>
      </c>
      <c r="C84" s="109" t="str">
        <f ca="1">IF(OFFSET(PO!N$12,ROW(C84)-ROW(C$12),0)=0,"",OFFSET(PO!N$12,ROW(C84)-ROW(C$12),0))</f>
        <v>PAREDES E PAINÉIS</v>
      </c>
      <c r="D84" s="111" t="str">
        <f ca="1">IF(OFFSET(PO!O$12,ROW(D84)-ROW(D$12),0)=0,"",OFFSET(PO!O$12,ROW(D84)-ROW(D$12),0))</f>
        <v/>
      </c>
      <c r="E84" s="140">
        <f ca="1">IF($A84&lt;&gt;"Serviço",0,ROUND(SUMIF($F$9:$P$9,"&lt;&gt;",$F84:$P84),15-13*PO!$X$3))</f>
        <v>0</v>
      </c>
      <c r="F84" s="364">
        <f ca="1">OFFSET(PO!$P$12,ROW($E84)-ROW(F$12),0)</f>
        <v>0</v>
      </c>
      <c r="G84" s="364"/>
      <c r="H84" s="364"/>
      <c r="I84" s="364"/>
      <c r="J84" s="364"/>
      <c r="K84" s="364"/>
      <c r="L84" s="364"/>
      <c r="M84" s="364"/>
      <c r="N84" s="364"/>
      <c r="O84" s="364"/>
      <c r="U84" s="182"/>
    </row>
    <row r="85" spans="1:21" s="1" customFormat="1" ht="51" x14ac:dyDescent="0.2">
      <c r="A85" s="110" t="str">
        <f ca="1">OFFSET(PO!J$12,ROW(A85)-ROW($A$12),0)</f>
        <v>Serviço</v>
      </c>
      <c r="B85" s="112" t="str">
        <f ca="1">IF($A85=0,"",OFFSET(PO!K$12,ROW(B85)-ROW(B$12),0))</f>
        <v>1.4.1.0.1.</v>
      </c>
      <c r="C85" s="109" t="str">
        <f ca="1">IF(OFFSET(PO!N$12,ROW(C85)-ROW(C$12),0)=0,"",OFFSET(PO!N$12,ROW(C85)-ROW(C$12),0))</f>
        <v>ALVENARIA DE VEDAÇÃO DE BLOCOS CERÂMICOS FURADOS NA HORIZONTAL DE 19X19X29 CM (ESPESSURA 19 CM) E ARGAMASSA DE ASSENTAMENTO COM PREPARO EM BETONEIRA. AF_12/2021</v>
      </c>
      <c r="D85" s="111" t="str">
        <f ca="1">IF(OFFSET(PO!O$12,ROW(D85)-ROW(D$12),0)=0,"",OFFSET(PO!O$12,ROW(D85)-ROW(D$12),0))</f>
        <v>M2</v>
      </c>
      <c r="E85" s="140">
        <f ca="1">IF($A85&lt;&gt;"Serviço",0,ROUND(SUMIF($F$9:$P$9,"&lt;&gt;",$F85:$P85),15-13*PO!$X$3))</f>
        <v>138.26</v>
      </c>
      <c r="F85" s="364">
        <f ca="1">OFFSET(PO!$P$12,ROW($E85)-ROW(F$12),0)</f>
        <v>138.26</v>
      </c>
      <c r="G85" s="364"/>
      <c r="H85" s="364"/>
      <c r="I85" s="364"/>
      <c r="J85" s="364"/>
      <c r="K85" s="364"/>
      <c r="L85" s="364"/>
      <c r="M85" s="364"/>
      <c r="N85" s="364"/>
      <c r="O85" s="364"/>
      <c r="U85" s="182"/>
    </row>
    <row r="86" spans="1:21" s="1" customFormat="1" ht="51" x14ac:dyDescent="0.2">
      <c r="A86" s="110" t="str">
        <f ca="1">OFFSET(PO!J$12,ROW(A86)-ROW($A$12),0)</f>
        <v>Serviço</v>
      </c>
      <c r="B86" s="112" t="str">
        <f ca="1">IF($A86=0,"",OFFSET(PO!K$12,ROW(B86)-ROW(B$12),0))</f>
        <v>1.4.1.0.2.</v>
      </c>
      <c r="C86" s="109" t="str">
        <f ca="1">IF(OFFSET(PO!N$12,ROW(C86)-ROW(C$12),0)=0,"",OFFSET(PO!N$12,ROW(C86)-ROW(C$12),0))</f>
        <v>ALVENARIA DE VEDAÇÃO DE BLOCOS CERÂMICOS FURADOS NA HORIZONTAL DE 14X19X29 CM (ESPESSURA 14 CM) E ARGAMASSA DE ASSENTAMENTO COM PREPARO EM BETONEIRA. AF_12/2021</v>
      </c>
      <c r="D86" s="111" t="str">
        <f ca="1">IF(OFFSET(PO!O$12,ROW(D86)-ROW(D$12),0)=0,"",OFFSET(PO!O$12,ROW(D86)-ROW(D$12),0))</f>
        <v>M2</v>
      </c>
      <c r="E86" s="140">
        <f ca="1">IF($A86&lt;&gt;"Serviço",0,ROUND(SUMIF($F$9:$P$9,"&lt;&gt;",$F86:$P86),15-13*PO!$X$3))</f>
        <v>70.209999999999994</v>
      </c>
      <c r="F86" s="364">
        <f ca="1">OFFSET(PO!$P$12,ROW($E86)-ROW(F$12),0)</f>
        <v>70.209999999999994</v>
      </c>
      <c r="G86" s="364"/>
      <c r="H86" s="364"/>
      <c r="I86" s="364"/>
      <c r="J86" s="364"/>
      <c r="K86" s="364"/>
      <c r="L86" s="364"/>
      <c r="M86" s="364"/>
      <c r="N86" s="364"/>
      <c r="O86" s="364"/>
      <c r="U86" s="182"/>
    </row>
    <row r="87" spans="1:21" s="1" customFormat="1" ht="51" x14ac:dyDescent="0.2">
      <c r="A87" s="110" t="str">
        <f ca="1">OFFSET(PO!J$12,ROW(A87)-ROW($A$12),0)</f>
        <v>Serviço</v>
      </c>
      <c r="B87" s="112" t="str">
        <f ca="1">IF($A87=0,"",OFFSET(PO!K$12,ROW(B87)-ROW(B$12),0))</f>
        <v>1.4.1.0.3.</v>
      </c>
      <c r="C87" s="109" t="str">
        <f ca="1">IF(OFFSET(PO!N$12,ROW(C87)-ROW(C$12),0)=0,"",OFFSET(PO!N$12,ROW(C87)-ROW(C$12),0))</f>
        <v>ALVENARIA DE VEDAÇÃO DE BLOCOS CERÂMICOS FURADOS NA HORIZONTAL DE 11,5X19X29 CM (ESPESSURA 11,5 CM) E ARGAMASSA DE ASSENTAMENTO COM PREPARO EM BETONEIRA. AF_12/2021</v>
      </c>
      <c r="D87" s="111" t="str">
        <f ca="1">IF(OFFSET(PO!O$12,ROW(D87)-ROW(D$12),0)=0,"",OFFSET(PO!O$12,ROW(D87)-ROW(D$12),0))</f>
        <v>M2</v>
      </c>
      <c r="E87" s="140">
        <f ca="1">IF($A87&lt;&gt;"Serviço",0,ROUND(SUMIF($F$9:$P$9,"&lt;&gt;",$F87:$P87),15-13*PO!$X$3))</f>
        <v>91</v>
      </c>
      <c r="F87" s="364">
        <f ca="1">OFFSET(PO!$P$12,ROW($E87)-ROW(F$12),0)</f>
        <v>91</v>
      </c>
      <c r="G87" s="364"/>
      <c r="H87" s="364"/>
      <c r="I87" s="364"/>
      <c r="J87" s="364"/>
      <c r="K87" s="364"/>
      <c r="L87" s="364"/>
      <c r="M87" s="364"/>
      <c r="N87" s="364"/>
      <c r="O87" s="364"/>
      <c r="U87" s="182"/>
    </row>
    <row r="88" spans="1:21" s="1" customFormat="1" ht="63.75" x14ac:dyDescent="0.2">
      <c r="A88" s="110" t="str">
        <f ca="1">OFFSET(PO!J$12,ROW(A88)-ROW($A$12),0)</f>
        <v>Serviço</v>
      </c>
      <c r="B88" s="112" t="str">
        <f ca="1">IF($A88=0,"",OFFSET(PO!K$12,ROW(B88)-ROW(B$12),0))</f>
        <v>1.4.1.0.4.</v>
      </c>
      <c r="C88" s="109" t="str">
        <f ca="1">IF(OFFSET(PO!N$12,ROW(C88)-ROW(C$12),0)=0,"",OFFSET(PO!N$12,ROW(C88)-ROW(C$12),0))</f>
        <v>PAREDE COM SISTEMA EM CHAPAS DE GESSO PARA DRYWALL, USO INTERNO, COM DUAS FACES SIMPLES E ESTRUTURA METÁLICA COM GUIAS SIMPLES PARA PAREDES COM ÁREA LÍQUIDA MAIOR OU IGUAL A 6 M2, COM VÃOS. AF_07/2023_PS</v>
      </c>
      <c r="D88" s="111" t="str">
        <f ca="1">IF(OFFSET(PO!O$12,ROW(D88)-ROW(D$12),0)=0,"",OFFSET(PO!O$12,ROW(D88)-ROW(D$12),0))</f>
        <v>M2</v>
      </c>
      <c r="E88" s="140">
        <f ca="1">IF($A88&lt;&gt;"Serviço",0,ROUND(SUMIF($F$9:$P$9,"&lt;&gt;",$F88:$P88),15-13*PO!$X$3))</f>
        <v>285.43</v>
      </c>
      <c r="F88" s="364">
        <f ca="1">OFFSET(PO!$P$12,ROW($E88)-ROW(F$12),0)</f>
        <v>285.43</v>
      </c>
      <c r="G88" s="364"/>
      <c r="H88" s="364"/>
      <c r="I88" s="364"/>
      <c r="J88" s="364"/>
      <c r="K88" s="364"/>
      <c r="L88" s="364"/>
      <c r="M88" s="364"/>
      <c r="N88" s="364"/>
      <c r="O88" s="364"/>
      <c r="U88" s="182"/>
    </row>
    <row r="89" spans="1:21" s="1" customFormat="1" x14ac:dyDescent="0.2">
      <c r="A89" s="110" t="str">
        <f ca="1">OFFSET(PO!J$12,ROW(A89)-ROW($A$12),0)</f>
        <v>Serviço</v>
      </c>
      <c r="B89" s="112" t="str">
        <f ca="1">IF($A89=0,"",OFFSET(PO!K$12,ROW(B89)-ROW(B$12),0))</f>
        <v>1.4.1.0.5.</v>
      </c>
      <c r="C89" s="109" t="str">
        <f ca="1">IF(OFFSET(PO!N$12,ROW(C89)-ROW(C$12),0)=0,"",OFFSET(PO!N$12,ROW(C89)-ROW(C$12),0))</f>
        <v>INSTALAÇÃO DE ISOLAMENTO COM LÃ DE VIDRO OU LÃ DE PET OU LÃ DE ROCHA EM PAREDES DRYWALL.</v>
      </c>
      <c r="D89" s="111" t="str">
        <f ca="1">IF(OFFSET(PO!O$12,ROW(D89)-ROW(D$12),0)=0,"",OFFSET(PO!O$12,ROW(D89)-ROW(D$12),0))</f>
        <v>M2</v>
      </c>
      <c r="E89" s="140">
        <f ca="1">IF($A89&lt;&gt;"Serviço",0,ROUND(SUMIF($F$9:$P$9,"&lt;&gt;",$F89:$P89),15-13*PO!$X$3))</f>
        <v>285.43</v>
      </c>
      <c r="F89" s="364">
        <f ca="1">OFFSET(PO!$P$12,ROW($E89)-ROW(F$12),0)</f>
        <v>285.43</v>
      </c>
      <c r="G89" s="364"/>
      <c r="H89" s="364"/>
      <c r="I89" s="364"/>
      <c r="J89" s="364"/>
      <c r="K89" s="364"/>
      <c r="L89" s="364"/>
      <c r="M89" s="364"/>
      <c r="N89" s="364"/>
      <c r="O89" s="364"/>
      <c r="U89" s="182"/>
    </row>
    <row r="90" spans="1:21" s="1" customFormat="1" ht="25.5" x14ac:dyDescent="0.2">
      <c r="A90" s="110" t="str">
        <f ca="1">OFFSET(PO!J$12,ROW(A90)-ROW($A$12),0)</f>
        <v>Serviço</v>
      </c>
      <c r="B90" s="112" t="str">
        <f ca="1">IF($A90=0,"",OFFSET(PO!K$12,ROW(B90)-ROW(B$12),0))</f>
        <v>1.4.1.0.6.</v>
      </c>
      <c r="C90" s="109" t="str">
        <f ca="1">IF(OFFSET(PO!N$12,ROW(C90)-ROW(C$12),0)=0,"",OFFSET(PO!N$12,ROW(C90)-ROW(C$12),0))</f>
        <v>INSTALAÇÃO DE REFORÇO DE MADEIRA EM PAREDE DRYWALL. AF_07/2023</v>
      </c>
      <c r="D90" s="111" t="str">
        <f ca="1">IF(OFFSET(PO!O$12,ROW(D90)-ROW(D$12),0)=0,"",OFFSET(PO!O$12,ROW(D90)-ROW(D$12),0))</f>
        <v>M</v>
      </c>
      <c r="E90" s="140">
        <f ca="1">IF($A90&lt;&gt;"Serviço",0,ROUND(SUMIF($F$9:$P$9,"&lt;&gt;",$F90:$P90),15-13*PO!$X$3))</f>
        <v>51.95</v>
      </c>
      <c r="F90" s="364">
        <f ca="1">OFFSET(PO!$P$12,ROW($E90)-ROW(F$12),0)</f>
        <v>51.95</v>
      </c>
      <c r="G90" s="364"/>
      <c r="H90" s="364"/>
      <c r="I90" s="364"/>
      <c r="J90" s="364"/>
      <c r="K90" s="364"/>
      <c r="L90" s="364"/>
      <c r="M90" s="364"/>
      <c r="N90" s="364"/>
      <c r="O90" s="364"/>
      <c r="U90" s="182"/>
    </row>
    <row r="91" spans="1:21" s="1" customFormat="1" ht="51" x14ac:dyDescent="0.2">
      <c r="A91" s="110" t="str">
        <f ca="1">OFFSET(PO!J$12,ROW(A91)-ROW($A$12),0)</f>
        <v>Serviço</v>
      </c>
      <c r="B91" s="112" t="str">
        <f ca="1">IF($A91=0,"",OFFSET(PO!K$12,ROW(B91)-ROW(B$12),0))</f>
        <v>1.4.1.0.7.</v>
      </c>
      <c r="C91" s="109" t="str">
        <f ca="1">IF(OFFSET(PO!N$12,ROW(C91)-ROW(C$12),0)=0,"",OFFSET(PO!N$12,ROW(C91)-ROW(C$12),0))</f>
        <v>CHAPISCO APLICADO EM ALVENARIA (COM PRESENÇA DE VÃOS) E ESTRUTURAS DE CONCRETO DE FACHADA, COM COLHER DE PEDREIRO. ARGAMASSA TRAÇO 1:3 COM PREPARO EM BETONEIRA 400L. AF_10/2022</v>
      </c>
      <c r="D91" s="111" t="str">
        <f ca="1">IF(OFFSET(PO!O$12,ROW(D91)-ROW(D$12),0)=0,"",OFFSET(PO!O$12,ROW(D91)-ROW(D$12),0))</f>
        <v>M2</v>
      </c>
      <c r="E91" s="140">
        <f ca="1">IF($A91&lt;&gt;"Serviço",0,ROUND(SUMIF($F$9:$P$9,"&lt;&gt;",$F91:$P91),15-13*PO!$X$3))</f>
        <v>231.58</v>
      </c>
      <c r="F91" s="364">
        <f ca="1">OFFSET(PO!$P$12,ROW($E91)-ROW(F$12),0)</f>
        <v>231.58</v>
      </c>
      <c r="G91" s="364"/>
      <c r="H91" s="364"/>
      <c r="I91" s="364"/>
      <c r="J91" s="364"/>
      <c r="K91" s="364"/>
      <c r="L91" s="364"/>
      <c r="M91" s="364"/>
      <c r="N91" s="364"/>
      <c r="O91" s="364"/>
      <c r="U91" s="182"/>
    </row>
    <row r="92" spans="1:21" s="1" customFormat="1" ht="51" x14ac:dyDescent="0.2">
      <c r="A92" s="110" t="str">
        <f ca="1">OFFSET(PO!J$12,ROW(A92)-ROW($A$12),0)</f>
        <v>Serviço</v>
      </c>
      <c r="B92" s="112" t="str">
        <f ca="1">IF($A92=0,"",OFFSET(PO!K$12,ROW(B92)-ROW(B$12),0))</f>
        <v>1.4.1.0.8.</v>
      </c>
      <c r="C92" s="109" t="str">
        <f ca="1">IF(OFFSET(PO!N$12,ROW(C92)-ROW(C$12),0)=0,"",OFFSET(PO!N$12,ROW(C92)-ROW(C$12),0))</f>
        <v>CHAPISCO APLICADO EM ALVENARIAS E ESTRUTURAS DE CONCRETO INTERNAS, COM COLHER DE PEDREIRO. ARGAMASSA TRAÇO 1:3 COM PREPARO EM BETONEIRA 400L. AF_10/2022</v>
      </c>
      <c r="D92" s="111" t="str">
        <f ca="1">IF(OFFSET(PO!O$12,ROW(D92)-ROW(D$12),0)=0,"",OFFSET(PO!O$12,ROW(D92)-ROW(D$12),0))</f>
        <v>M2</v>
      </c>
      <c r="E92" s="140">
        <f ca="1">IF($A92&lt;&gt;"Serviço",0,ROUND(SUMIF($F$9:$P$9,"&lt;&gt;",$F92:$P92),15-13*PO!$X$3))</f>
        <v>370.09</v>
      </c>
      <c r="F92" s="364">
        <f ca="1">OFFSET(PO!$P$12,ROW($E92)-ROW(F$12),0)</f>
        <v>370.09</v>
      </c>
      <c r="G92" s="364"/>
      <c r="H92" s="364"/>
      <c r="I92" s="364"/>
      <c r="J92" s="364"/>
      <c r="K92" s="364"/>
      <c r="L92" s="364"/>
      <c r="M92" s="364"/>
      <c r="N92" s="364"/>
      <c r="O92" s="364"/>
      <c r="U92" s="182"/>
    </row>
    <row r="93" spans="1:21" s="1" customFormat="1" ht="51" x14ac:dyDescent="0.2">
      <c r="A93" s="110" t="str">
        <f ca="1">OFFSET(PO!J$12,ROW(A93)-ROW($A$12),0)</f>
        <v>Serviço</v>
      </c>
      <c r="B93" s="112" t="str">
        <f ca="1">IF($A93=0,"",OFFSET(PO!K$12,ROW(B93)-ROW(B$12),0))</f>
        <v>1.4.1.0.9.</v>
      </c>
      <c r="C93" s="109" t="str">
        <f ca="1">IF(OFFSET(PO!N$12,ROW(C93)-ROW(C$12),0)=0,"",OFFSET(PO!N$12,ROW(C93)-ROW(C$12),0))</f>
        <v>CHAPISCO APLICADO NO TETO OU EM ALVENARIA E ESTRUTURA, COM ROLO PARA TEXTURA ACRÍLICA. ARGAMASSA TRAÇO 1:4 E EMULSÃO POLIMÉRICA (ADESIVO) COM PREPARO EM BETONEIRA 400L. AF_10/2022</v>
      </c>
      <c r="D93" s="111" t="str">
        <f ca="1">IF(OFFSET(PO!O$12,ROW(D93)-ROW(D$12),0)=0,"",OFFSET(PO!O$12,ROW(D93)-ROW(D$12),0))</f>
        <v>M2</v>
      </c>
      <c r="E93" s="140">
        <f ca="1">IF($A93&lt;&gt;"Serviço",0,ROUND(SUMIF($F$9:$P$9,"&lt;&gt;",$F93:$P93),15-13*PO!$X$3))</f>
        <v>5.63</v>
      </c>
      <c r="F93" s="364">
        <f ca="1">OFFSET(PO!$P$12,ROW($E93)-ROW(F$12),0)</f>
        <v>5.63</v>
      </c>
      <c r="G93" s="364"/>
      <c r="H93" s="364"/>
      <c r="I93" s="364"/>
      <c r="J93" s="364"/>
      <c r="K93" s="364"/>
      <c r="L93" s="364"/>
      <c r="M93" s="364"/>
      <c r="N93" s="364"/>
      <c r="O93" s="364"/>
      <c r="U93" s="182"/>
    </row>
    <row r="94" spans="1:21" s="1" customFormat="1" ht="51" x14ac:dyDescent="0.2">
      <c r="A94" s="110" t="str">
        <f ca="1">OFFSET(PO!J$12,ROW(A94)-ROW($A$12),0)</f>
        <v>Serviço</v>
      </c>
      <c r="B94" s="112" t="str">
        <f ca="1">IF($A94=0,"",OFFSET(PO!K$12,ROW(B94)-ROW(B$12),0))</f>
        <v>1.4.1.0.10.</v>
      </c>
      <c r="C94" s="109" t="str">
        <f ca="1">IF(OFFSET(PO!N$12,ROW(C94)-ROW(C$12),0)=0,"",OFFSET(PO!N$12,ROW(C94)-ROW(C$12),0))</f>
        <v>EMBOÇO OU MASSA ÚNICA EM ARGAMASSA TRAÇO 1:2:8, PREPARO MECÂNICO COM BETONEIRA 400 L, APLICADA MANUALMENTE EM PANOS DE FACHADA COM PRESENÇA DE VÃOS, ESPESSURA DE 35 MM. AF_08/2022</v>
      </c>
      <c r="D94" s="111" t="str">
        <f ca="1">IF(OFFSET(PO!O$12,ROW(D94)-ROW(D$12),0)=0,"",OFFSET(PO!O$12,ROW(D94)-ROW(D$12),0))</f>
        <v>M2</v>
      </c>
      <c r="E94" s="140">
        <f ca="1">IF($A94&lt;&gt;"Serviço",0,ROUND(SUMIF($F$9:$P$9,"&lt;&gt;",$F94:$P94),15-13*PO!$X$3))</f>
        <v>231.58</v>
      </c>
      <c r="F94" s="364">
        <f ca="1">OFFSET(PO!$P$12,ROW($E94)-ROW(F$12),0)</f>
        <v>231.58</v>
      </c>
      <c r="G94" s="364"/>
      <c r="H94" s="364"/>
      <c r="I94" s="364"/>
      <c r="J94" s="364"/>
      <c r="K94" s="364"/>
      <c r="L94" s="364"/>
      <c r="M94" s="364"/>
      <c r="N94" s="364"/>
      <c r="O94" s="364"/>
      <c r="U94" s="182"/>
    </row>
    <row r="95" spans="1:21" s="1" customFormat="1" ht="51" x14ac:dyDescent="0.2">
      <c r="A95" s="110" t="str">
        <f ca="1">OFFSET(PO!J$12,ROW(A95)-ROW($A$12),0)</f>
        <v>Serviço</v>
      </c>
      <c r="B95" s="112" t="str">
        <f ca="1">IF($A95=0,"",OFFSET(PO!K$12,ROW(B95)-ROW(B$12),0))</f>
        <v>1.4.1.0.11.</v>
      </c>
      <c r="C95" s="109" t="str">
        <f ca="1">IF(OFFSET(PO!N$12,ROW(C95)-ROW(C$12),0)=0,"",OFFSET(PO!N$12,ROW(C95)-ROW(C$12),0))</f>
        <v>MASSA ÚNICA, EM ARGAMASSA TRAÇO 1:2:8, PREPARO MECÂNICO, APLICADA MANUALMENTE EM PAREDES INTERNAS DE AMBIENTES COM ÁREA MAIOR QUE 10M², E = 17,5MM, COM TALISCAS. AF_03/2024</v>
      </c>
      <c r="D95" s="111" t="str">
        <f ca="1">IF(OFFSET(PO!O$12,ROW(D95)-ROW(D$12),0)=0,"",OFFSET(PO!O$12,ROW(D95)-ROW(D$12),0))</f>
        <v>M2</v>
      </c>
      <c r="E95" s="140">
        <f ca="1">IF($A95&lt;&gt;"Serviço",0,ROUND(SUMIF($F$9:$P$9,"&lt;&gt;",$F95:$P95),15-13*PO!$X$3))</f>
        <v>370.09</v>
      </c>
      <c r="F95" s="364">
        <f ca="1">OFFSET(PO!$P$12,ROW($E95)-ROW(F$12),0)</f>
        <v>370.09</v>
      </c>
      <c r="G95" s="364"/>
      <c r="H95" s="364"/>
      <c r="I95" s="364"/>
      <c r="J95" s="364"/>
      <c r="K95" s="364"/>
      <c r="L95" s="364"/>
      <c r="M95" s="364"/>
      <c r="N95" s="364"/>
      <c r="O95" s="364"/>
      <c r="U95" s="182"/>
    </row>
    <row r="96" spans="1:21" s="1" customFormat="1" ht="38.25" x14ac:dyDescent="0.2">
      <c r="A96" s="110" t="str">
        <f ca="1">OFFSET(PO!J$12,ROW(A96)-ROW($A$12),0)</f>
        <v>Serviço</v>
      </c>
      <c r="B96" s="112" t="str">
        <f ca="1">IF($A96=0,"",OFFSET(PO!K$12,ROW(B96)-ROW(B$12),0))</f>
        <v>1.4.1.0.12.</v>
      </c>
      <c r="C96" s="109" t="str">
        <f ca="1">IF(OFFSET(PO!N$12,ROW(C96)-ROW(C$12),0)=0,"",OFFSET(PO!N$12,ROW(C96)-ROW(C$12),0))</f>
        <v>MASSA ÚNICA, EM ARGAMASSA TRAÇO 1:2:8, PREPARO MECÂNICO, APLICADA MANUALMENTE EM TETO, E = 17,5MM, COM TALISCAS. AF_03/2024</v>
      </c>
      <c r="D96" s="111" t="str">
        <f ca="1">IF(OFFSET(PO!O$12,ROW(D96)-ROW(D$12),0)=0,"",OFFSET(PO!O$12,ROW(D96)-ROW(D$12),0))</f>
        <v>M2</v>
      </c>
      <c r="E96" s="140">
        <f ca="1">IF($A96&lt;&gt;"Serviço",0,ROUND(SUMIF($F$9:$P$9,"&lt;&gt;",$F96:$P96),15-13*PO!$X$3))</f>
        <v>5.63</v>
      </c>
      <c r="F96" s="364">
        <f ca="1">OFFSET(PO!$P$12,ROW($E96)-ROW(F$12),0)</f>
        <v>5.63</v>
      </c>
      <c r="G96" s="364"/>
      <c r="H96" s="364"/>
      <c r="I96" s="364"/>
      <c r="J96" s="364"/>
      <c r="K96" s="364"/>
      <c r="L96" s="364"/>
      <c r="M96" s="364"/>
      <c r="N96" s="364"/>
      <c r="O96" s="364"/>
      <c r="U96" s="182"/>
    </row>
    <row r="97" spans="1:21" s="1" customFormat="1" ht="25.5" x14ac:dyDescent="0.2">
      <c r="A97" s="110" t="str">
        <f ca="1">OFFSET(PO!J$12,ROW(A97)-ROW($A$12),0)</f>
        <v>Serviço</v>
      </c>
      <c r="B97" s="112" t="str">
        <f ca="1">IF($A97=0,"",OFFSET(PO!K$12,ROW(B97)-ROW(B$12),0))</f>
        <v>1.4.1.0.13.</v>
      </c>
      <c r="C97" s="109" t="str">
        <f ca="1">IF(OFFSET(PO!N$12,ROW(C97)-ROW(C$12),0)=0,"",OFFSET(PO!N$12,ROW(C97)-ROW(C$12),0))</f>
        <v>FUNDO SELADOR ACRÍLICO, APLICAÇÃO MANUAL EM PAREDE, UMA DEMÃO. AF_04/2023</v>
      </c>
      <c r="D97" s="111" t="str">
        <f ca="1">IF(OFFSET(PO!O$12,ROW(D97)-ROW(D$12),0)=0,"",OFFSET(PO!O$12,ROW(D97)-ROW(D$12),0))</f>
        <v>M2</v>
      </c>
      <c r="E97" s="140">
        <f ca="1">IF($A97&lt;&gt;"Serviço",0,ROUND(SUMIF($F$9:$P$9,"&lt;&gt;",$F97:$P97),15-13*PO!$X$3))</f>
        <v>1065.99</v>
      </c>
      <c r="F97" s="364">
        <f ca="1">OFFSET(PO!$P$12,ROW($E97)-ROW(F$12),0)</f>
        <v>1065.99</v>
      </c>
      <c r="G97" s="364"/>
      <c r="H97" s="364"/>
      <c r="I97" s="364"/>
      <c r="J97" s="364"/>
      <c r="K97" s="364"/>
      <c r="L97" s="364"/>
      <c r="M97" s="364"/>
      <c r="N97" s="364"/>
      <c r="O97" s="364"/>
      <c r="U97" s="182"/>
    </row>
    <row r="98" spans="1:21" s="1" customFormat="1" ht="25.5" x14ac:dyDescent="0.2">
      <c r="A98" s="110" t="str">
        <f ca="1">OFFSET(PO!J$12,ROW(A98)-ROW($A$12),0)</f>
        <v>Serviço</v>
      </c>
      <c r="B98" s="112" t="str">
        <f ca="1">IF($A98=0,"",OFFSET(PO!K$12,ROW(B98)-ROW(B$12),0))</f>
        <v>1.4.1.0.14.</v>
      </c>
      <c r="C98" s="109" t="str">
        <f ca="1">IF(OFFSET(PO!N$12,ROW(C98)-ROW(C$12),0)=0,"",OFFSET(PO!N$12,ROW(C98)-ROW(C$12),0))</f>
        <v>APLICAÇÃO MANUAL DE FUNDO SELADOR ACRÍLICO EM PAREDES EXTERNAS DE CASAS. AF_03/2024</v>
      </c>
      <c r="D98" s="111" t="str">
        <f ca="1">IF(OFFSET(PO!O$12,ROW(D98)-ROW(D$12),0)=0,"",OFFSET(PO!O$12,ROW(D98)-ROW(D$12),0))</f>
        <v>M2</v>
      </c>
      <c r="E98" s="140">
        <f ca="1">IF($A98&lt;&gt;"Serviço",0,ROUND(SUMIF($F$9:$P$9,"&lt;&gt;",$F98:$P98),15-13*PO!$X$3))</f>
        <v>231.58</v>
      </c>
      <c r="F98" s="364">
        <f ca="1">OFFSET(PO!$P$12,ROW($E98)-ROW(F$12),0)</f>
        <v>231.58</v>
      </c>
      <c r="G98" s="364"/>
      <c r="H98" s="364"/>
      <c r="I98" s="364"/>
      <c r="J98" s="364"/>
      <c r="K98" s="364"/>
      <c r="L98" s="364"/>
      <c r="M98" s="364"/>
      <c r="N98" s="364"/>
      <c r="O98" s="364"/>
      <c r="U98" s="182"/>
    </row>
    <row r="99" spans="1:21" s="1" customFormat="1" ht="25.5" x14ac:dyDescent="0.2">
      <c r="A99" s="110" t="str">
        <f ca="1">OFFSET(PO!J$12,ROW(A99)-ROW($A$12),0)</f>
        <v>Serviço</v>
      </c>
      <c r="B99" s="112" t="str">
        <f ca="1">IF($A99=0,"",OFFSET(PO!K$12,ROW(B99)-ROW(B$12),0))</f>
        <v>1.4.1.0.15.</v>
      </c>
      <c r="C99" s="109" t="str">
        <f ca="1">IF(OFFSET(PO!N$12,ROW(C99)-ROW(C$12),0)=0,"",OFFSET(PO!N$12,ROW(C99)-ROW(C$12),0))</f>
        <v>FUNDO SELADOR ACRÍLICO, APLICAÇÃO MANUAL EM TETO, UMA DEMÃO. AF_04/2023</v>
      </c>
      <c r="D99" s="111" t="str">
        <f ca="1">IF(OFFSET(PO!O$12,ROW(D99)-ROW(D$12),0)=0,"",OFFSET(PO!O$12,ROW(D99)-ROW(D$12),0))</f>
        <v>M2</v>
      </c>
      <c r="E99" s="140">
        <f ca="1">IF($A99&lt;&gt;"Serviço",0,ROUND(SUMIF($F$9:$P$9,"&lt;&gt;",$F99:$P99),15-13*PO!$X$3))</f>
        <v>293.61</v>
      </c>
      <c r="F99" s="364">
        <f ca="1">OFFSET(PO!$P$12,ROW($E99)-ROW(F$12),0)</f>
        <v>293.61</v>
      </c>
      <c r="G99" s="364"/>
      <c r="H99" s="364"/>
      <c r="I99" s="364"/>
      <c r="J99" s="364"/>
      <c r="K99" s="364"/>
      <c r="L99" s="364"/>
      <c r="M99" s="364"/>
      <c r="N99" s="364"/>
      <c r="O99" s="364"/>
      <c r="U99" s="182"/>
    </row>
    <row r="100" spans="1:21" s="1" customFormat="1" ht="25.5" x14ac:dyDescent="0.2">
      <c r="A100" s="110" t="str">
        <f ca="1">OFFSET(PO!J$12,ROW(A100)-ROW($A$12),0)</f>
        <v>Serviço</v>
      </c>
      <c r="B100" s="112" t="str">
        <f ca="1">IF($A100=0,"",OFFSET(PO!K$12,ROW(B100)-ROW(B$12),0))</f>
        <v>1.4.1.0.16.</v>
      </c>
      <c r="C100" s="109" t="str">
        <f ca="1">IF(OFFSET(PO!N$12,ROW(C100)-ROW(C$12),0)=0,"",OFFSET(PO!N$12,ROW(C100)-ROW(C$12),0))</f>
        <v>EMASSAMENTO COM MASSA LÁTEX, APLICAÇÃO EM PAREDE, DUAS DEMÃOS, LIXAMENTO MANUAL. AF_04/2023</v>
      </c>
      <c r="D100" s="111" t="str">
        <f ca="1">IF(OFFSET(PO!O$12,ROW(D100)-ROW(D$12),0)=0,"",OFFSET(PO!O$12,ROW(D100)-ROW(D$12),0))</f>
        <v>M2</v>
      </c>
      <c r="E100" s="140">
        <f ca="1">IF($A100&lt;&gt;"Serviço",0,ROUND(SUMIF($F$9:$P$9,"&lt;&gt;",$F100:$P100),15-13*PO!$X$3))</f>
        <v>1011.56</v>
      </c>
      <c r="F100" s="364">
        <f ca="1">OFFSET(PO!$P$12,ROW($E100)-ROW(F$12),0)</f>
        <v>1011.56</v>
      </c>
      <c r="G100" s="364"/>
      <c r="H100" s="364"/>
      <c r="I100" s="364"/>
      <c r="J100" s="364"/>
      <c r="K100" s="364"/>
      <c r="L100" s="364"/>
      <c r="M100" s="364"/>
      <c r="N100" s="364"/>
      <c r="O100" s="364"/>
      <c r="U100" s="182"/>
    </row>
    <row r="101" spans="1:21" s="1" customFormat="1" ht="25.5" x14ac:dyDescent="0.2">
      <c r="A101" s="110" t="str">
        <f ca="1">OFFSET(PO!J$12,ROW(A101)-ROW($A$12),0)</f>
        <v>Serviço</v>
      </c>
      <c r="B101" s="112" t="str">
        <f ca="1">IF($A101=0,"",OFFSET(PO!K$12,ROW(B101)-ROW(B$12),0))</f>
        <v>1.4.1.0.17.</v>
      </c>
      <c r="C101" s="109" t="str">
        <f ca="1">IF(OFFSET(PO!N$12,ROW(C101)-ROW(C$12),0)=0,"",OFFSET(PO!N$12,ROW(C101)-ROW(C$12),0))</f>
        <v>EMASSAMENTO COM MASSA LÁTEX, APLICAÇÃO EM TETO, DUAS DEMÃOS, LIXAMENTO MANUAL. AF_04/2023</v>
      </c>
      <c r="D101" s="111" t="str">
        <f ca="1">IF(OFFSET(PO!O$12,ROW(D101)-ROW(D$12),0)=0,"",OFFSET(PO!O$12,ROW(D101)-ROW(D$12),0))</f>
        <v>M2</v>
      </c>
      <c r="E101" s="140">
        <f ca="1">IF($A101&lt;&gt;"Serviço",0,ROUND(SUMIF($F$9:$P$9,"&lt;&gt;",$F101:$P101),15-13*PO!$X$3))</f>
        <v>293.61</v>
      </c>
      <c r="F101" s="364">
        <f ca="1">OFFSET(PO!$P$12,ROW($E101)-ROW(F$12),0)</f>
        <v>293.61</v>
      </c>
      <c r="G101" s="364"/>
      <c r="H101" s="364"/>
      <c r="I101" s="364"/>
      <c r="J101" s="364"/>
      <c r="K101" s="364"/>
      <c r="L101" s="364"/>
      <c r="M101" s="364"/>
      <c r="N101" s="364"/>
      <c r="O101" s="364"/>
      <c r="U101" s="182"/>
    </row>
    <row r="102" spans="1:21" s="1" customFormat="1" ht="25.5" x14ac:dyDescent="0.2">
      <c r="A102" s="110" t="str">
        <f ca="1">OFFSET(PO!J$12,ROW(A102)-ROW($A$12),0)</f>
        <v>Serviço</v>
      </c>
      <c r="B102" s="112" t="str">
        <f ca="1">IF($A102=0,"",OFFSET(PO!K$12,ROW(B102)-ROW(B$12),0))</f>
        <v>1.4.1.0.18.</v>
      </c>
      <c r="C102" s="109" t="str">
        <f ca="1">IF(OFFSET(PO!N$12,ROW(C102)-ROW(C$12),0)=0,"",OFFSET(PO!N$12,ROW(C102)-ROW(C$12),0))</f>
        <v>PINTURA LÁTEX ACRÍLICA STANDARD, APLICAÇÃO MANUAL EM PAREDES, DUAS DEMÃOS. AF_04/2023</v>
      </c>
      <c r="D102" s="111" t="str">
        <f ca="1">IF(OFFSET(PO!O$12,ROW(D102)-ROW(D$12),0)=0,"",OFFSET(PO!O$12,ROW(D102)-ROW(D$12),0))</f>
        <v>M2</v>
      </c>
      <c r="E102" s="140">
        <f ca="1">IF($A102&lt;&gt;"Serviço",0,ROUND(SUMIF($F$9:$P$9,"&lt;&gt;",$F102:$P102),15-13*PO!$X$3))</f>
        <v>1065.99</v>
      </c>
      <c r="F102" s="364">
        <f ca="1">OFFSET(PO!$P$12,ROW($E102)-ROW(F$12),0)</f>
        <v>1065.99</v>
      </c>
      <c r="G102" s="364"/>
      <c r="H102" s="364"/>
      <c r="I102" s="364"/>
      <c r="J102" s="364"/>
      <c r="K102" s="364"/>
      <c r="L102" s="364"/>
      <c r="M102" s="364"/>
      <c r="N102" s="364"/>
      <c r="O102" s="364"/>
      <c r="U102" s="182"/>
    </row>
    <row r="103" spans="1:21" s="1" customFormat="1" ht="25.5" x14ac:dyDescent="0.2">
      <c r="A103" s="110" t="str">
        <f ca="1">OFFSET(PO!J$12,ROW(A103)-ROW($A$12),0)</f>
        <v>Serviço</v>
      </c>
      <c r="B103" s="112" t="str">
        <f ca="1">IF($A103=0,"",OFFSET(PO!K$12,ROW(B103)-ROW(B$12),0))</f>
        <v>1.4.1.0.19.</v>
      </c>
      <c r="C103" s="109" t="str">
        <f ca="1">IF(OFFSET(PO!N$12,ROW(C103)-ROW(C$12),0)=0,"",OFFSET(PO!N$12,ROW(C103)-ROW(C$12),0))</f>
        <v>APLICAÇÃO MANUAL DE TINTA LÁTEX ACRÍLICA EM PAREDE EXTERNAS DE CASAS, DUAS DEMÃOS. AF_03/2024</v>
      </c>
      <c r="D103" s="111" t="str">
        <f ca="1">IF(OFFSET(PO!O$12,ROW(D103)-ROW(D$12),0)=0,"",OFFSET(PO!O$12,ROW(D103)-ROW(D$12),0))</f>
        <v>M2</v>
      </c>
      <c r="E103" s="140">
        <f ca="1">IF($A103&lt;&gt;"Serviço",0,ROUND(SUMIF($F$9:$P$9,"&lt;&gt;",$F103:$P103),15-13*PO!$X$3))</f>
        <v>231.58</v>
      </c>
      <c r="F103" s="364">
        <f ca="1">OFFSET(PO!$P$12,ROW($E103)-ROW(F$12),0)</f>
        <v>231.58</v>
      </c>
      <c r="G103" s="364"/>
      <c r="H103" s="364"/>
      <c r="I103" s="364"/>
      <c r="J103" s="364"/>
      <c r="K103" s="364"/>
      <c r="L103" s="364"/>
      <c r="M103" s="364"/>
      <c r="N103" s="364"/>
      <c r="O103" s="364"/>
      <c r="U103" s="182"/>
    </row>
    <row r="104" spans="1:21" s="1" customFormat="1" x14ac:dyDescent="0.2">
      <c r="A104" s="110" t="str">
        <f ca="1">OFFSET(PO!J$12,ROW(A104)-ROW($A$12),0)</f>
        <v>Serviço</v>
      </c>
      <c r="B104" s="112" t="str">
        <f ca="1">IF($A104=0,"",OFFSET(PO!K$12,ROW(B104)-ROW(B$12),0))</f>
        <v>1.4.1.0.20.</v>
      </c>
      <c r="C104" s="109" t="str">
        <f ca="1">IF(OFFSET(PO!N$12,ROW(C104)-ROW(C$12),0)=0,"",OFFSET(PO!N$12,ROW(C104)-ROW(C$12),0))</f>
        <v>PINTURA LÁTEX ACRÍLICA STANDARD, APLICAÇÃO MANUAL EM TETO, DUAS DEMÃOS. AF_04/2023</v>
      </c>
      <c r="D104" s="111" t="str">
        <f ca="1">IF(OFFSET(PO!O$12,ROW(D104)-ROW(D$12),0)=0,"",OFFSET(PO!O$12,ROW(D104)-ROW(D$12),0))</f>
        <v>M2</v>
      </c>
      <c r="E104" s="140">
        <f ca="1">IF($A104&lt;&gt;"Serviço",0,ROUND(SUMIF($F$9:$P$9,"&lt;&gt;",$F104:$P104),15-13*PO!$X$3))</f>
        <v>293.61</v>
      </c>
      <c r="F104" s="364">
        <f ca="1">OFFSET(PO!$P$12,ROW($E104)-ROW(F$12),0)</f>
        <v>293.61</v>
      </c>
      <c r="G104" s="364"/>
      <c r="H104" s="364"/>
      <c r="I104" s="364"/>
      <c r="J104" s="364"/>
      <c r="K104" s="364"/>
      <c r="L104" s="364"/>
      <c r="M104" s="364"/>
      <c r="N104" s="364"/>
      <c r="O104" s="364"/>
      <c r="U104" s="182"/>
    </row>
    <row r="105" spans="1:21" s="1" customFormat="1" ht="38.25" x14ac:dyDescent="0.2">
      <c r="A105" s="110" t="str">
        <f ca="1">OFFSET(PO!J$12,ROW(A105)-ROW($A$12),0)</f>
        <v>Serviço</v>
      </c>
      <c r="B105" s="112" t="str">
        <f ca="1">IF($A105=0,"",OFFSET(PO!K$12,ROW(B105)-ROW(B$12),0))</f>
        <v>1.4.1.0.21.</v>
      </c>
      <c r="C105" s="109" t="str">
        <f ca="1">IF(OFFSET(PO!N$12,ROW(C105)-ROW(C$12),0)=0,"",OFFSET(PO!N$12,ROW(C105)-ROW(C$12),0))</f>
        <v>REVESTIMENTO CERÂMICO PARA PAREDES INTERNAS COM PLACAS TIPO ESMALTADA DE DIMENSÕES 33X45 CM APLICADAS NA ALTURA INTEIRA DAS PAREDES. AF_02/2023_PE</v>
      </c>
      <c r="D105" s="111" t="str">
        <f ca="1">IF(OFFSET(PO!O$12,ROW(D105)-ROW(D$12),0)=0,"",OFFSET(PO!O$12,ROW(D105)-ROW(D$12),0))</f>
        <v>M2</v>
      </c>
      <c r="E105" s="140">
        <f ca="1">IF($A105&lt;&gt;"Serviço",0,ROUND(SUMIF($F$9:$P$9,"&lt;&gt;",$F105:$P105),15-13*PO!$X$3))</f>
        <v>127.14</v>
      </c>
      <c r="F105" s="364">
        <f ca="1">OFFSET(PO!$P$12,ROW($E105)-ROW(F$12),0)</f>
        <v>127.14</v>
      </c>
      <c r="G105" s="364"/>
      <c r="H105" s="364"/>
      <c r="I105" s="364"/>
      <c r="J105" s="364"/>
      <c r="K105" s="364"/>
      <c r="L105" s="364"/>
      <c r="M105" s="364"/>
      <c r="N105" s="364"/>
      <c r="O105" s="364"/>
      <c r="U105" s="182"/>
    </row>
    <row r="106" spans="1:21" s="1" customFormat="1" ht="38.25" x14ac:dyDescent="0.2">
      <c r="A106" s="110" t="str">
        <f ca="1">OFFSET(PO!J$12,ROW(A106)-ROW($A$12),0)</f>
        <v>Serviço</v>
      </c>
      <c r="B106" s="112" t="str">
        <f ca="1">IF($A106=0,"",OFFSET(PO!K$12,ROW(B106)-ROW(B$12),0))</f>
        <v>1.4.1.0.22.</v>
      </c>
      <c r="C106" s="109" t="str">
        <f ca="1">IF(OFFSET(PO!N$12,ROW(C106)-ROW(C$12),0)=0,"",OFFSET(PO!N$12,ROW(C106)-ROW(C$12),0))</f>
        <v>REVESTIMENTO CERÂMICO PARA PAREDES EXTERNAS EM PASTILHAS DE PORCELANA 5 X 5 CM (PLACAS DE 30 X 30 CM), ALINHADAS A PRUMO. AF_02/2023</v>
      </c>
      <c r="D106" s="111" t="str">
        <f ca="1">IF(OFFSET(PO!O$12,ROW(D106)-ROW(D$12),0)=0,"",OFFSET(PO!O$12,ROW(D106)-ROW(D$12),0))</f>
        <v>M2</v>
      </c>
      <c r="E106" s="140">
        <f ca="1">IF($A106&lt;&gt;"Serviço",0,ROUND(SUMIF($F$9:$P$9,"&lt;&gt;",$F106:$P106),15-13*PO!$X$3))</f>
        <v>50.5</v>
      </c>
      <c r="F106" s="364">
        <f ca="1">OFFSET(PO!$P$12,ROW($E106)-ROW(F$12),0)</f>
        <v>50.5</v>
      </c>
      <c r="G106" s="364"/>
      <c r="H106" s="364"/>
      <c r="I106" s="364"/>
      <c r="J106" s="364"/>
      <c r="K106" s="364"/>
      <c r="L106" s="364"/>
      <c r="M106" s="364"/>
      <c r="N106" s="364"/>
      <c r="O106" s="364"/>
      <c r="U106" s="182"/>
    </row>
    <row r="107" spans="1:21" s="1" customFormat="1" x14ac:dyDescent="0.2">
      <c r="A107" s="110" t="str">
        <f ca="1">OFFSET(PO!J$12,ROW(A107)-ROW($A$12),0)</f>
        <v>Nível 2</v>
      </c>
      <c r="B107" s="112" t="str">
        <f ca="1">IF($A107=0,"",OFFSET(PO!K$12,ROW(B107)-ROW(B$12),0))</f>
        <v>1.5.</v>
      </c>
      <c r="C107" s="109" t="str">
        <f ca="1">IF(OFFSET(PO!N$12,ROW(C107)-ROW(C$12),0)=0,"",OFFSET(PO!N$12,ROW(C107)-ROW(C$12),0))</f>
        <v>PISO</v>
      </c>
      <c r="D107" s="111" t="str">
        <f ca="1">IF(OFFSET(PO!O$12,ROW(D107)-ROW(D$12),0)=0,"",OFFSET(PO!O$12,ROW(D107)-ROW(D$12),0))</f>
        <v/>
      </c>
      <c r="E107" s="140">
        <f ca="1">IF($A107&lt;&gt;"Serviço",0,ROUND(SUMIF($F$9:$P$9,"&lt;&gt;",$F107:$P107),15-13*PO!$X$3))</f>
        <v>0</v>
      </c>
      <c r="F107" s="364">
        <f ca="1">OFFSET(PO!$P$12,ROW($E107)-ROW(F$12),0)</f>
        <v>0</v>
      </c>
      <c r="G107" s="364"/>
      <c r="H107" s="364"/>
      <c r="I107" s="364"/>
      <c r="J107" s="364"/>
      <c r="K107" s="364"/>
      <c r="L107" s="364"/>
      <c r="M107" s="364"/>
      <c r="N107" s="364"/>
      <c r="O107" s="364"/>
      <c r="U107" s="182"/>
    </row>
    <row r="108" spans="1:21" s="1" customFormat="1" x14ac:dyDescent="0.2">
      <c r="A108" s="110" t="str">
        <f ca="1">OFFSET(PO!J$12,ROW(A108)-ROW($A$12),0)</f>
        <v>Nível 3</v>
      </c>
      <c r="B108" s="112" t="str">
        <f ca="1">IF($A108=0,"",OFFSET(PO!K$12,ROW(B108)-ROW(B$12),0))</f>
        <v>1.5.1.</v>
      </c>
      <c r="C108" s="109" t="str">
        <f ca="1">IF(OFFSET(PO!N$12,ROW(C108)-ROW(C$12),0)=0,"",OFFSET(PO!N$12,ROW(C108)-ROW(C$12),0))</f>
        <v>PISO</v>
      </c>
      <c r="D108" s="111" t="str">
        <f ca="1">IF(OFFSET(PO!O$12,ROW(D108)-ROW(D$12),0)=0,"",OFFSET(PO!O$12,ROW(D108)-ROW(D$12),0))</f>
        <v/>
      </c>
      <c r="E108" s="140">
        <f ca="1">IF($A108&lt;&gt;"Serviço",0,ROUND(SUMIF($F$9:$P$9,"&lt;&gt;",$F108:$P108),15-13*PO!$X$3))</f>
        <v>0</v>
      </c>
      <c r="F108" s="364">
        <f ca="1">OFFSET(PO!$P$12,ROW($E108)-ROW(F$12),0)</f>
        <v>0</v>
      </c>
      <c r="G108" s="364"/>
      <c r="H108" s="364"/>
      <c r="I108" s="364"/>
      <c r="J108" s="364"/>
      <c r="K108" s="364"/>
      <c r="L108" s="364"/>
      <c r="M108" s="364"/>
      <c r="N108" s="364"/>
      <c r="O108" s="364"/>
      <c r="U108" s="182"/>
    </row>
    <row r="109" spans="1:21" s="1" customFormat="1" ht="51" x14ac:dyDescent="0.2">
      <c r="A109" s="110" t="str">
        <f ca="1">OFFSET(PO!J$12,ROW(A109)-ROW($A$12),0)</f>
        <v>Serviço</v>
      </c>
      <c r="B109" s="112" t="str">
        <f ca="1">IF($A109=0,"",OFFSET(PO!K$12,ROW(B109)-ROW(B$12),0))</f>
        <v>1.5.1.0.1.</v>
      </c>
      <c r="C109" s="109" t="str">
        <f ca="1">IF(OFFSET(PO!N$12,ROW(C109)-ROW(C$12),0)=0,"",OFFSET(PO!N$12,ROW(C109)-ROW(C$12),0))</f>
        <v>CONTRAPISO EM ARGAMASSA TRAÇO 1:4 (CIMENTO E AREIA), PREPARO MANUAL, APLICADO EM ÁREAS SECAS SOBRE LAJE, ADERIDO, ACABAMENTO NÃO REFORÇADO, ESPESSURA 4CM. AF_07/2021</v>
      </c>
      <c r="D109" s="111" t="str">
        <f ca="1">IF(OFFSET(PO!O$12,ROW(D109)-ROW(D$12),0)=0,"",OFFSET(PO!O$12,ROW(D109)-ROW(D$12),0))</f>
        <v>M2</v>
      </c>
      <c r="E109" s="140">
        <f ca="1">IF($A109&lt;&gt;"Serviço",0,ROUND(SUMIF($F$9:$P$9,"&lt;&gt;",$F109:$P109),15-13*PO!$X$3))</f>
        <v>262.19</v>
      </c>
      <c r="F109" s="364">
        <f ca="1">OFFSET(PO!$P$12,ROW($E109)-ROW(F$12),0)</f>
        <v>262.19</v>
      </c>
      <c r="G109" s="364"/>
      <c r="H109" s="364"/>
      <c r="I109" s="364"/>
      <c r="J109" s="364"/>
      <c r="K109" s="364"/>
      <c r="L109" s="364"/>
      <c r="M109" s="364"/>
      <c r="N109" s="364"/>
      <c r="O109" s="364"/>
      <c r="U109" s="182"/>
    </row>
    <row r="110" spans="1:21" s="1" customFormat="1" ht="38.25" x14ac:dyDescent="0.2">
      <c r="A110" s="110" t="str">
        <f ca="1">OFFSET(PO!J$12,ROW(A110)-ROW($A$12),0)</f>
        <v>Serviço</v>
      </c>
      <c r="B110" s="112" t="str">
        <f ca="1">IF($A110=0,"",OFFSET(PO!K$12,ROW(B110)-ROW(B$12),0))</f>
        <v>1.5.1.0.2.</v>
      </c>
      <c r="C110" s="109" t="str">
        <f ca="1">IF(OFFSET(PO!N$12,ROW(C110)-ROW(C$12),0)=0,"",OFFSET(PO!N$12,ROW(C110)-ROW(C$12),0))</f>
        <v>REVESTIMENTO CERÂMICO PARA PISO COM PLACAS TIPO PORCELANATO DE DIMENSÕES 60X60 CM APLICADA EM AMBIENTES DE ÁREA MAIOR QUE 10 M². AF_02/2023_PE</v>
      </c>
      <c r="D110" s="111" t="str">
        <f ca="1">IF(OFFSET(PO!O$12,ROW(D110)-ROW(D$12),0)=0,"",OFFSET(PO!O$12,ROW(D110)-ROW(D$12),0))</f>
        <v>M2</v>
      </c>
      <c r="E110" s="140">
        <f ca="1">IF($A110&lt;&gt;"Serviço",0,ROUND(SUMIF($F$9:$P$9,"&lt;&gt;",$F110:$P110),15-13*PO!$X$3))</f>
        <v>44.4</v>
      </c>
      <c r="F110" s="364">
        <f ca="1">OFFSET(PO!$P$12,ROW($E110)-ROW(F$12),0)</f>
        <v>44.4</v>
      </c>
      <c r="G110" s="364"/>
      <c r="H110" s="364"/>
      <c r="I110" s="364"/>
      <c r="J110" s="364"/>
      <c r="K110" s="364"/>
      <c r="L110" s="364"/>
      <c r="M110" s="364"/>
      <c r="N110" s="364"/>
      <c r="O110" s="364"/>
      <c r="U110" s="182"/>
    </row>
    <row r="111" spans="1:21" s="1" customFormat="1" ht="38.25" x14ac:dyDescent="0.2">
      <c r="A111" s="110" t="str">
        <f ca="1">OFFSET(PO!J$12,ROW(A111)-ROW($A$12),0)</f>
        <v>Serviço</v>
      </c>
      <c r="B111" s="112" t="str">
        <f ca="1">IF($A111=0,"",OFFSET(PO!K$12,ROW(B111)-ROW(B$12),0))</f>
        <v>1.5.1.0.3.</v>
      </c>
      <c r="C111" s="109" t="str">
        <f ca="1">IF(OFFSET(PO!N$12,ROW(C111)-ROW(C$12),0)=0,"",OFFSET(PO!N$12,ROW(C111)-ROW(C$12),0))</f>
        <v>RODAPÉ CERÂMICO DE 10CM DE ALTURA COM PLACAS TIPO ESMALTADA / PORCELANATO, DE DIMENSÕES 60X60CM. (BASE REF. SINAPI 88650)</v>
      </c>
      <c r="D111" s="111" t="str">
        <f ca="1">IF(OFFSET(PO!O$12,ROW(D111)-ROW(D$12),0)=0,"",OFFSET(PO!O$12,ROW(D111)-ROW(D$12),0))</f>
        <v>M</v>
      </c>
      <c r="E111" s="140">
        <f ca="1">IF($A111&lt;&gt;"Serviço",0,ROUND(SUMIF($F$9:$P$9,"&lt;&gt;",$F111:$P111),15-13*PO!$X$3))</f>
        <v>18.45</v>
      </c>
      <c r="F111" s="364">
        <f ca="1">OFFSET(PO!$P$12,ROW($E111)-ROW(F$12),0)</f>
        <v>18.45</v>
      </c>
      <c r="G111" s="364"/>
      <c r="H111" s="364"/>
      <c r="I111" s="364"/>
      <c r="J111" s="364"/>
      <c r="K111" s="364"/>
      <c r="L111" s="364"/>
      <c r="M111" s="364"/>
      <c r="N111" s="364"/>
      <c r="O111" s="364"/>
      <c r="U111" s="182"/>
    </row>
    <row r="112" spans="1:21" s="1" customFormat="1" ht="38.25" x14ac:dyDescent="0.2">
      <c r="A112" s="110" t="str">
        <f ca="1">OFFSET(PO!J$12,ROW(A112)-ROW($A$12),0)</f>
        <v>Serviço</v>
      </c>
      <c r="B112" s="112" t="str">
        <f ca="1">IF($A112=0,"",OFFSET(PO!K$12,ROW(B112)-ROW(B$12),0))</f>
        <v>1.5.1.0.4.</v>
      </c>
      <c r="C112" s="109" t="str">
        <f ca="1">IF(OFFSET(PO!N$12,ROW(C112)-ROW(C$12),0)=0,"",OFFSET(PO!N$12,ROW(C112)-ROW(C$12),0))</f>
        <v>PISO VINÍLICO FLEXÍVEL EM MANTA, PADRÃO LISO, ESPESSURA 2 MM - CONFORME PROJETO E MEMORIAL (BASE REF. SINAPI 101728)</v>
      </c>
      <c r="D112" s="111" t="str">
        <f ca="1">IF(OFFSET(PO!O$12,ROW(D112)-ROW(D$12),0)=0,"",OFFSET(PO!O$12,ROW(D112)-ROW(D$12),0))</f>
        <v>M2</v>
      </c>
      <c r="E112" s="140">
        <f ca="1">IF($A112&lt;&gt;"Serviço",0,ROUND(SUMIF($F$9:$P$9,"&lt;&gt;",$F112:$P112),15-13*PO!$X$3))</f>
        <v>217.79</v>
      </c>
      <c r="F112" s="364">
        <f ca="1">OFFSET(PO!$P$12,ROW($E112)-ROW(F$12),0)</f>
        <v>217.79</v>
      </c>
      <c r="G112" s="364"/>
      <c r="H112" s="364"/>
      <c r="I112" s="364"/>
      <c r="J112" s="364"/>
      <c r="K112" s="364"/>
      <c r="L112" s="364"/>
      <c r="M112" s="364"/>
      <c r="N112" s="364"/>
      <c r="O112" s="364"/>
      <c r="U112" s="182"/>
    </row>
    <row r="113" spans="1:21" s="1" customFormat="1" ht="25.5" x14ac:dyDescent="0.2">
      <c r="A113" s="110" t="str">
        <f ca="1">OFFSET(PO!J$12,ROW(A113)-ROW($A$12),0)</f>
        <v>Serviço</v>
      </c>
      <c r="B113" s="112" t="str">
        <f ca="1">IF($A113=0,"",OFFSET(PO!K$12,ROW(B113)-ROW(B$12),0))</f>
        <v>1.5.1.0.5.</v>
      </c>
      <c r="C113" s="109" t="str">
        <f ca="1">IF(OFFSET(PO!N$12,ROW(C113)-ROW(C$12),0)=0,"",OFFSET(PO!N$12,ROW(C113)-ROW(C$12),0))</f>
        <v>RODAPÉ VINÍLICO FLEXÍVEL EM MANTA, ALTURA 10CM (BASE REF. SINAPI 98687)</v>
      </c>
      <c r="D113" s="111" t="str">
        <f ca="1">IF(OFFSET(PO!O$12,ROW(D113)-ROW(D$12),0)=0,"",OFFSET(PO!O$12,ROW(D113)-ROW(D$12),0))</f>
        <v>M</v>
      </c>
      <c r="E113" s="140">
        <f ca="1">IF($A113&lt;&gt;"Serviço",0,ROUND(SUMIF($F$9:$P$9,"&lt;&gt;",$F113:$P113),15-13*PO!$X$3))</f>
        <v>249.38</v>
      </c>
      <c r="F113" s="364">
        <f ca="1">OFFSET(PO!$P$12,ROW($E113)-ROW(F$12),0)</f>
        <v>249.38</v>
      </c>
      <c r="G113" s="364"/>
      <c r="H113" s="364"/>
      <c r="I113" s="364"/>
      <c r="J113" s="364"/>
      <c r="K113" s="364"/>
      <c r="L113" s="364"/>
      <c r="M113" s="364"/>
      <c r="N113" s="364"/>
      <c r="O113" s="364"/>
      <c r="U113" s="182"/>
    </row>
    <row r="114" spans="1:21" s="1" customFormat="1" ht="25.5" x14ac:dyDescent="0.2">
      <c r="A114" s="110" t="str">
        <f ca="1">OFFSET(PO!J$12,ROW(A114)-ROW($A$12),0)</f>
        <v>Serviço</v>
      </c>
      <c r="B114" s="112" t="str">
        <f ca="1">IF($A114=0,"",OFFSET(PO!K$12,ROW(B114)-ROW(B$12),0))</f>
        <v>1.5.1.0.6.</v>
      </c>
      <c r="C114" s="109" t="str">
        <f ca="1">IF(OFFSET(PO!N$12,ROW(C114)-ROW(C$12),0)=0,"",OFFSET(PO!N$12,ROW(C114)-ROW(C$12),0))</f>
        <v>SOLEIRA EM GRANITO, LARGURA 15 CM, ESPESSURA 2,0 CM. AF_09/2020</v>
      </c>
      <c r="D114" s="111" t="str">
        <f ca="1">IF(OFFSET(PO!O$12,ROW(D114)-ROW(D$12),0)=0,"",OFFSET(PO!O$12,ROW(D114)-ROW(D$12),0))</f>
        <v>M</v>
      </c>
      <c r="E114" s="140">
        <f ca="1">IF($A114&lt;&gt;"Serviço",0,ROUND(SUMIF($F$9:$P$9,"&lt;&gt;",$F114:$P114),15-13*PO!$X$3))</f>
        <v>8.0299999999999994</v>
      </c>
      <c r="F114" s="364">
        <f ca="1">OFFSET(PO!$P$12,ROW($E114)-ROW(F$12),0)</f>
        <v>8.0299999999999994</v>
      </c>
      <c r="G114" s="364"/>
      <c r="H114" s="364"/>
      <c r="I114" s="364"/>
      <c r="J114" s="364"/>
      <c r="K114" s="364"/>
      <c r="L114" s="364"/>
      <c r="M114" s="364"/>
      <c r="N114" s="364"/>
      <c r="O114" s="364"/>
      <c r="U114" s="182"/>
    </row>
    <row r="115" spans="1:21" s="1" customFormat="1" ht="38.25" x14ac:dyDescent="0.2">
      <c r="A115" s="110" t="str">
        <f ca="1">OFFSET(PO!J$12,ROW(A115)-ROW($A$12),0)</f>
        <v>Serviço</v>
      </c>
      <c r="B115" s="112" t="str">
        <f ca="1">IF($A115=0,"",OFFSET(PO!K$12,ROW(B115)-ROW(B$12),0))</f>
        <v>1.5.1.0.7.</v>
      </c>
      <c r="C115" s="109" t="str">
        <f ca="1">IF(OFFSET(PO!N$12,ROW(C115)-ROW(C$12),0)=0,"",OFFSET(PO!N$12,ROW(C115)-ROW(C$12),0))</f>
        <v>PISO CIMENTADO, TRAÇO 1:3 (CIMENTO E AREIA), ACABAMENTO LISO, ESPESSURA 4,0 CM, PREPARO MECÂNICO DA ARGAMASSA. AF_09/2020</v>
      </c>
      <c r="D115" s="111" t="str">
        <f ca="1">IF(OFFSET(PO!O$12,ROW(D115)-ROW(D$12),0)=0,"",OFFSET(PO!O$12,ROW(D115)-ROW(D$12),0))</f>
        <v>M2</v>
      </c>
      <c r="E115" s="140">
        <f ca="1">IF($A115&lt;&gt;"Serviço",0,ROUND(SUMIF($F$9:$P$9,"&lt;&gt;",$F115:$P115),15-13*PO!$X$3))</f>
        <v>50.59</v>
      </c>
      <c r="F115" s="364">
        <f ca="1">OFFSET(PO!$P$12,ROW($E115)-ROW(F$12),0)</f>
        <v>50.59</v>
      </c>
      <c r="G115" s="364"/>
      <c r="H115" s="364"/>
      <c r="I115" s="364"/>
      <c r="J115" s="364"/>
      <c r="K115" s="364"/>
      <c r="L115" s="364"/>
      <c r="M115" s="364"/>
      <c r="N115" s="364"/>
      <c r="O115" s="364"/>
      <c r="U115" s="182"/>
    </row>
    <row r="116" spans="1:21" s="1" customFormat="1" ht="25.5" x14ac:dyDescent="0.2">
      <c r="A116" s="110" t="str">
        <f ca="1">OFFSET(PO!J$12,ROW(A116)-ROW($A$12),0)</f>
        <v>Serviço</v>
      </c>
      <c r="B116" s="112" t="str">
        <f ca="1">IF($A116=0,"",OFFSET(PO!K$12,ROW(B116)-ROW(B$12),0))</f>
        <v>1.5.1.0.8.</v>
      </c>
      <c r="C116" s="109" t="str">
        <f ca="1">IF(OFFSET(PO!N$12,ROW(C116)-ROW(C$12),0)=0,"",OFFSET(PO!N$12,ROW(C116)-ROW(C$12),0))</f>
        <v>PINTURA DE PISO COM TINTA ACRÍLICA, APLICAÇÃO MANUAL, 3 DEMÃOS, INCLUSO FUNDO PREPARADOR. AF_05/2021</v>
      </c>
      <c r="D116" s="111" t="str">
        <f ca="1">IF(OFFSET(PO!O$12,ROW(D116)-ROW(D$12),0)=0,"",OFFSET(PO!O$12,ROW(D116)-ROW(D$12),0))</f>
        <v>M2</v>
      </c>
      <c r="E116" s="140">
        <f ca="1">IF($A116&lt;&gt;"Serviço",0,ROUND(SUMIF($F$9:$P$9,"&lt;&gt;",$F116:$P116),15-13*PO!$X$3))</f>
        <v>50.59</v>
      </c>
      <c r="F116" s="364">
        <f ca="1">OFFSET(PO!$P$12,ROW($E116)-ROW(F$12),0)</f>
        <v>50.59</v>
      </c>
      <c r="G116" s="364"/>
      <c r="H116" s="364"/>
      <c r="I116" s="364"/>
      <c r="J116" s="364"/>
      <c r="K116" s="364"/>
      <c r="L116" s="364"/>
      <c r="M116" s="364"/>
      <c r="N116" s="364"/>
      <c r="O116" s="364"/>
      <c r="U116" s="182"/>
    </row>
    <row r="117" spans="1:21" s="1" customFormat="1" x14ac:dyDescent="0.2">
      <c r="A117" s="110" t="str">
        <f ca="1">OFFSET(PO!J$12,ROW(A117)-ROW($A$12),0)</f>
        <v>Nível 2</v>
      </c>
      <c r="B117" s="112" t="str">
        <f ca="1">IF($A117=0,"",OFFSET(PO!K$12,ROW(B117)-ROW(B$12),0))</f>
        <v>1.6.</v>
      </c>
      <c r="C117" s="109" t="str">
        <f ca="1">IF(OFFSET(PO!N$12,ROW(C117)-ROW(C$12),0)=0,"",OFFSET(PO!N$12,ROW(C117)-ROW(C$12),0))</f>
        <v>FORRO</v>
      </c>
      <c r="D117" s="111" t="str">
        <f ca="1">IF(OFFSET(PO!O$12,ROW(D117)-ROW(D$12),0)=0,"",OFFSET(PO!O$12,ROW(D117)-ROW(D$12),0))</f>
        <v/>
      </c>
      <c r="E117" s="140">
        <f ca="1">IF($A117&lt;&gt;"Serviço",0,ROUND(SUMIF($F$9:$P$9,"&lt;&gt;",$F117:$P117),15-13*PO!$X$3))</f>
        <v>0</v>
      </c>
      <c r="F117" s="364">
        <f ca="1">OFFSET(PO!$P$12,ROW($E117)-ROW(F$12),0)</f>
        <v>0</v>
      </c>
      <c r="G117" s="364"/>
      <c r="H117" s="364"/>
      <c r="I117" s="364"/>
      <c r="J117" s="364"/>
      <c r="K117" s="364"/>
      <c r="L117" s="364"/>
      <c r="M117" s="364"/>
      <c r="N117" s="364"/>
      <c r="O117" s="364"/>
      <c r="U117" s="182"/>
    </row>
    <row r="118" spans="1:21" s="1" customFormat="1" x14ac:dyDescent="0.2">
      <c r="A118" s="110" t="str">
        <f ca="1">OFFSET(PO!J$12,ROW(A118)-ROW($A$12),0)</f>
        <v>Nível 3</v>
      </c>
      <c r="B118" s="112" t="str">
        <f ca="1">IF($A118=0,"",OFFSET(PO!K$12,ROW(B118)-ROW(B$12),0))</f>
        <v>1.6.1.</v>
      </c>
      <c r="C118" s="109" t="str">
        <f ca="1">IF(OFFSET(PO!N$12,ROW(C118)-ROW(C$12),0)=0,"",OFFSET(PO!N$12,ROW(C118)-ROW(C$12),0))</f>
        <v>FORRO</v>
      </c>
      <c r="D118" s="111" t="str">
        <f ca="1">IF(OFFSET(PO!O$12,ROW(D118)-ROW(D$12),0)=0,"",OFFSET(PO!O$12,ROW(D118)-ROW(D$12),0))</f>
        <v/>
      </c>
      <c r="E118" s="140">
        <f ca="1">IF($A118&lt;&gt;"Serviço",0,ROUND(SUMIF($F$9:$P$9,"&lt;&gt;",$F118:$P118),15-13*PO!$X$3))</f>
        <v>0</v>
      </c>
      <c r="F118" s="364">
        <f ca="1">OFFSET(PO!$P$12,ROW($E118)-ROW(F$12),0)</f>
        <v>0</v>
      </c>
      <c r="G118" s="364"/>
      <c r="H118" s="364"/>
      <c r="I118" s="364"/>
      <c r="J118" s="364"/>
      <c r="K118" s="364"/>
      <c r="L118" s="364"/>
      <c r="M118" s="364"/>
      <c r="N118" s="364"/>
      <c r="O118" s="364"/>
      <c r="U118" s="182"/>
    </row>
    <row r="119" spans="1:21" s="1" customFormat="1" ht="25.5" x14ac:dyDescent="0.2">
      <c r="A119" s="110" t="str">
        <f ca="1">OFFSET(PO!J$12,ROW(A119)-ROW($A$12),0)</f>
        <v>Serviço</v>
      </c>
      <c r="B119" s="112" t="str">
        <f ca="1">IF($A119=0,"",OFFSET(PO!K$12,ROW(B119)-ROW(B$12),0))</f>
        <v>1.6.1.0.1.</v>
      </c>
      <c r="C119" s="109" t="str">
        <f ca="1">IF(OFFSET(PO!N$12,ROW(C119)-ROW(C$12),0)=0,"",OFFSET(PO!N$12,ROW(C119)-ROW(C$12),0))</f>
        <v>FORRO EM PLACAS DE GESSO, PARA AMBIENTES COMERCIAIS. AF_08/2023_PS</v>
      </c>
      <c r="D119" s="111" t="str">
        <f ca="1">IF(OFFSET(PO!O$12,ROW(D119)-ROW(D$12),0)=0,"",OFFSET(PO!O$12,ROW(D119)-ROW(D$12),0))</f>
        <v>M2</v>
      </c>
      <c r="E119" s="140">
        <f ca="1">IF($A119&lt;&gt;"Serviço",0,ROUND(SUMIF($F$9:$P$9,"&lt;&gt;",$F119:$P119),15-13*PO!$X$3))</f>
        <v>275.70999999999998</v>
      </c>
      <c r="F119" s="364">
        <f ca="1">OFFSET(PO!$P$12,ROW($E119)-ROW(F$12),0)</f>
        <v>275.70999999999998</v>
      </c>
      <c r="G119" s="364"/>
      <c r="H119" s="364"/>
      <c r="I119" s="364"/>
      <c r="J119" s="364"/>
      <c r="K119" s="364"/>
      <c r="L119" s="364"/>
      <c r="M119" s="364"/>
      <c r="N119" s="364"/>
      <c r="O119" s="364"/>
      <c r="U119" s="182"/>
    </row>
    <row r="120" spans="1:21" s="1" customFormat="1" ht="25.5" x14ac:dyDescent="0.2">
      <c r="A120" s="110" t="str">
        <f ca="1">OFFSET(PO!J$12,ROW(A120)-ROW($A$12),0)</f>
        <v>Serviço</v>
      </c>
      <c r="B120" s="112" t="str">
        <f ca="1">IF($A120=0,"",OFFSET(PO!K$12,ROW(B120)-ROW(B$12),0))</f>
        <v>1.6.1.0.2.</v>
      </c>
      <c r="C120" s="109" t="str">
        <f ca="1">IF(OFFSET(PO!N$12,ROW(C120)-ROW(C$12),0)=0,"",OFFSET(PO!N$12,ROW(C120)-ROW(C$12),0))</f>
        <v>ACABAMENTOS PARA FORRO (MOLDURA DE GESSO). AF_08/2023</v>
      </c>
      <c r="D120" s="111" t="str">
        <f ca="1">IF(OFFSET(PO!O$12,ROW(D120)-ROW(D$12),0)=0,"",OFFSET(PO!O$12,ROW(D120)-ROW(D$12),0))</f>
        <v>M</v>
      </c>
      <c r="E120" s="140">
        <f ca="1">IF($A120&lt;&gt;"Serviço",0,ROUND(SUMIF($F$9:$P$9,"&lt;&gt;",$F120:$P120),15-13*PO!$X$3))</f>
        <v>358.03</v>
      </c>
      <c r="F120" s="364">
        <f ca="1">OFFSET(PO!$P$12,ROW($E120)-ROW(F$12),0)</f>
        <v>358.03</v>
      </c>
      <c r="G120" s="364"/>
      <c r="H120" s="364"/>
      <c r="I120" s="364"/>
      <c r="J120" s="364"/>
      <c r="K120" s="364"/>
      <c r="L120" s="364"/>
      <c r="M120" s="364"/>
      <c r="N120" s="364"/>
      <c r="O120" s="364"/>
      <c r="U120" s="182"/>
    </row>
    <row r="121" spans="1:21" s="1" customFormat="1" ht="25.5" x14ac:dyDescent="0.2">
      <c r="A121" s="110" t="str">
        <f ca="1">OFFSET(PO!J$12,ROW(A121)-ROW($A$12),0)</f>
        <v>Serviço</v>
      </c>
      <c r="B121" s="112" t="str">
        <f ca="1">IF($A121=0,"",OFFSET(PO!K$12,ROW(B121)-ROW(B$12),0))</f>
        <v>1.6.1.0.3.</v>
      </c>
      <c r="C121" s="109" t="str">
        <f ca="1">IF(OFFSET(PO!N$12,ROW(C121)-ROW(C$12),0)=0,"",OFFSET(PO!N$12,ROW(C121)-ROW(C$12),0))</f>
        <v>FUNDO SELADOR ACRÍLICO, APLICAÇÃO MANUAL EM TETO, UMA DEMÃO. AF_04/2023</v>
      </c>
      <c r="D121" s="111" t="str">
        <f ca="1">IF(OFFSET(PO!O$12,ROW(D121)-ROW(D$12),0)=0,"",OFFSET(PO!O$12,ROW(D121)-ROW(D$12),0))</f>
        <v>M2</v>
      </c>
      <c r="E121" s="140">
        <f ca="1">IF($A121&lt;&gt;"Serviço",0,ROUND(SUMIF($F$9:$P$9,"&lt;&gt;",$F121:$P121),15-13*PO!$X$3))</f>
        <v>293.61</v>
      </c>
      <c r="F121" s="364">
        <f ca="1">OFFSET(PO!$P$12,ROW($E121)-ROW(F$12),0)</f>
        <v>293.61</v>
      </c>
      <c r="G121" s="364"/>
      <c r="H121" s="364"/>
      <c r="I121" s="364"/>
      <c r="J121" s="364"/>
      <c r="K121" s="364"/>
      <c r="L121" s="364"/>
      <c r="M121" s="364"/>
      <c r="N121" s="364"/>
      <c r="O121" s="364"/>
      <c r="U121" s="182"/>
    </row>
    <row r="122" spans="1:21" s="1" customFormat="1" ht="25.5" x14ac:dyDescent="0.2">
      <c r="A122" s="110" t="str">
        <f ca="1">OFFSET(PO!J$12,ROW(A122)-ROW($A$12),0)</f>
        <v>Serviço</v>
      </c>
      <c r="B122" s="112" t="str">
        <f ca="1">IF($A122=0,"",OFFSET(PO!K$12,ROW(B122)-ROW(B$12),0))</f>
        <v>1.6.1.0.4.</v>
      </c>
      <c r="C122" s="109" t="str">
        <f ca="1">IF(OFFSET(PO!N$12,ROW(C122)-ROW(C$12),0)=0,"",OFFSET(PO!N$12,ROW(C122)-ROW(C$12),0))</f>
        <v>EMASSAMENTO COM MASSA LÁTEX, APLICAÇÃO EM TETO, DUAS DEMÃOS, LIXAMENTO MANUAL. AF_04/2023</v>
      </c>
      <c r="D122" s="111" t="str">
        <f ca="1">IF(OFFSET(PO!O$12,ROW(D122)-ROW(D$12),0)=0,"",OFFSET(PO!O$12,ROW(D122)-ROW(D$12),0))</f>
        <v>M2</v>
      </c>
      <c r="E122" s="140">
        <f ca="1">IF($A122&lt;&gt;"Serviço",0,ROUND(SUMIF($F$9:$P$9,"&lt;&gt;",$F122:$P122),15-13*PO!$X$3))</f>
        <v>293.61</v>
      </c>
      <c r="F122" s="364">
        <f ca="1">OFFSET(PO!$P$12,ROW($E122)-ROW(F$12),0)</f>
        <v>293.61</v>
      </c>
      <c r="G122" s="364"/>
      <c r="H122" s="364"/>
      <c r="I122" s="364"/>
      <c r="J122" s="364"/>
      <c r="K122" s="364"/>
      <c r="L122" s="364"/>
      <c r="M122" s="364"/>
      <c r="N122" s="364"/>
      <c r="O122" s="364"/>
      <c r="U122" s="182"/>
    </row>
    <row r="123" spans="1:21" s="1" customFormat="1" ht="25.5" x14ac:dyDescent="0.2">
      <c r="A123" s="110" t="str">
        <f ca="1">OFFSET(PO!J$12,ROW(A123)-ROW($A$12),0)</f>
        <v>Serviço</v>
      </c>
      <c r="B123" s="112" t="str">
        <f ca="1">IF($A123=0,"",OFFSET(PO!K$12,ROW(B123)-ROW(B$12),0))</f>
        <v>1.6.1.0.5.</v>
      </c>
      <c r="C123" s="109" t="str">
        <f ca="1">IF(OFFSET(PO!N$12,ROW(C123)-ROW(C$12),0)=0,"",OFFSET(PO!N$12,ROW(C123)-ROW(C$12),0))</f>
        <v>PINTURA LÁTEX ACRÍLICA STANDARD, APLICAÇÃO MANUAL EM TETO, DUAS DEMÃOS. AF_04/2023</v>
      </c>
      <c r="D123" s="111" t="str">
        <f ca="1">IF(OFFSET(PO!O$12,ROW(D123)-ROW(D$12),0)=0,"",OFFSET(PO!O$12,ROW(D123)-ROW(D$12),0))</f>
        <v>M2</v>
      </c>
      <c r="E123" s="140">
        <f ca="1">IF($A123&lt;&gt;"Serviço",0,ROUND(SUMIF($F$9:$P$9,"&lt;&gt;",$F123:$P123),15-13*PO!$X$3))</f>
        <v>293.61</v>
      </c>
      <c r="F123" s="364">
        <f ca="1">OFFSET(PO!$P$12,ROW($E123)-ROW(F$12),0)</f>
        <v>293.61</v>
      </c>
      <c r="G123" s="364"/>
      <c r="H123" s="364"/>
      <c r="I123" s="364"/>
      <c r="J123" s="364"/>
      <c r="K123" s="364"/>
      <c r="L123" s="364"/>
      <c r="M123" s="364"/>
      <c r="N123" s="364"/>
      <c r="O123" s="364"/>
      <c r="U123" s="182"/>
    </row>
    <row r="124" spans="1:21" s="1" customFormat="1" ht="25.5" x14ac:dyDescent="0.2">
      <c r="A124" s="110" t="str">
        <f ca="1">OFFSET(PO!J$12,ROW(A124)-ROW($A$12),0)</f>
        <v>Serviço</v>
      </c>
      <c r="B124" s="112" t="str">
        <f ca="1">IF($A124=0,"",OFFSET(PO!K$12,ROW(B124)-ROW(B$12),0))</f>
        <v>1.6.1.0.6.</v>
      </c>
      <c r="C124" s="109" t="str">
        <f ca="1">IF(OFFSET(PO!N$12,ROW(C124)-ROW(C$12),0)=0,"",OFFSET(PO!N$12,ROW(C124)-ROW(C$12),0))</f>
        <v>PINTURA LÁTEX ACRÍLICA PREMIUM, APLICAÇÃO MANUAL EM TETO, DUAS DEMÃOS. AF_04/2023</v>
      </c>
      <c r="D124" s="111" t="str">
        <f ca="1">IF(OFFSET(PO!O$12,ROW(D124)-ROW(D$12),0)=0,"",OFFSET(PO!O$12,ROW(D124)-ROW(D$12),0))</f>
        <v>M2</v>
      </c>
      <c r="E124" s="140">
        <f ca="1">IF($A124&lt;&gt;"Serviço",0,ROUND(SUMIF($F$9:$P$9,"&lt;&gt;",$F124:$P124),15-13*PO!$X$3))</f>
        <v>293.61</v>
      </c>
      <c r="F124" s="364">
        <f ca="1">OFFSET(PO!$P$12,ROW($E124)-ROW(F$12),0)</f>
        <v>293.61</v>
      </c>
      <c r="G124" s="364"/>
      <c r="H124" s="364"/>
      <c r="I124" s="364"/>
      <c r="J124" s="364"/>
      <c r="K124" s="364"/>
      <c r="L124" s="364"/>
      <c r="M124" s="364"/>
      <c r="N124" s="364"/>
      <c r="O124" s="364"/>
      <c r="U124" s="182"/>
    </row>
    <row r="125" spans="1:21" s="1" customFormat="1" x14ac:dyDescent="0.2">
      <c r="A125" s="110" t="str">
        <f ca="1">OFFSET(PO!J$12,ROW(A125)-ROW($A$12),0)</f>
        <v>Nível 2</v>
      </c>
      <c r="B125" s="112" t="str">
        <f ca="1">IF($A125=0,"",OFFSET(PO!K$12,ROW(B125)-ROW(B$12),0))</f>
        <v>1.7.</v>
      </c>
      <c r="C125" s="109" t="str">
        <f ca="1">IF(OFFSET(PO!N$12,ROW(C125)-ROW(C$12),0)=0,"",OFFSET(PO!N$12,ROW(C125)-ROW(C$12),0))</f>
        <v xml:space="preserve">ESQUADRIAS  </v>
      </c>
      <c r="D125" s="111" t="str">
        <f ca="1">IF(OFFSET(PO!O$12,ROW(D125)-ROW(D$12),0)=0,"",OFFSET(PO!O$12,ROW(D125)-ROW(D$12),0))</f>
        <v/>
      </c>
      <c r="E125" s="140">
        <f ca="1">IF($A125&lt;&gt;"Serviço",0,ROUND(SUMIF($F$9:$P$9,"&lt;&gt;",$F125:$P125),15-13*PO!$X$3))</f>
        <v>0</v>
      </c>
      <c r="F125" s="364">
        <f ca="1">OFFSET(PO!$P$12,ROW($E125)-ROW(F$12),0)</f>
        <v>0</v>
      </c>
      <c r="G125" s="364"/>
      <c r="H125" s="364"/>
      <c r="I125" s="364"/>
      <c r="J125" s="364"/>
      <c r="K125" s="364"/>
      <c r="L125" s="364"/>
      <c r="M125" s="364"/>
      <c r="N125" s="364"/>
      <c r="O125" s="364"/>
      <c r="U125" s="182"/>
    </row>
    <row r="126" spans="1:21" s="1" customFormat="1" x14ac:dyDescent="0.2">
      <c r="A126" s="110" t="str">
        <f ca="1">OFFSET(PO!J$12,ROW(A126)-ROW($A$12),0)</f>
        <v>Nível 3</v>
      </c>
      <c r="B126" s="112" t="str">
        <f ca="1">IF($A126=0,"",OFFSET(PO!K$12,ROW(B126)-ROW(B$12),0))</f>
        <v>1.7.1.</v>
      </c>
      <c r="C126" s="109" t="str">
        <f ca="1">IF(OFFSET(PO!N$12,ROW(C126)-ROW(C$12),0)=0,"",OFFSET(PO!N$12,ROW(C126)-ROW(C$12),0))</f>
        <v>ALUMÍNIO</v>
      </c>
      <c r="D126" s="111" t="str">
        <f ca="1">IF(OFFSET(PO!O$12,ROW(D126)-ROW(D$12),0)=0,"",OFFSET(PO!O$12,ROW(D126)-ROW(D$12),0))</f>
        <v>UN</v>
      </c>
      <c r="E126" s="140">
        <f ca="1">IF($A126&lt;&gt;"Serviço",0,ROUND(SUMIF($F$9:$P$9,"&lt;&gt;",$F126:$P126),15-13*PO!$X$3))</f>
        <v>0</v>
      </c>
      <c r="F126" s="364">
        <f ca="1">OFFSET(PO!$P$12,ROW($E126)-ROW(F$12),0)</f>
        <v>0</v>
      </c>
      <c r="G126" s="364"/>
      <c r="H126" s="364"/>
      <c r="I126" s="364"/>
      <c r="J126" s="364"/>
      <c r="K126" s="364"/>
      <c r="L126" s="364"/>
      <c r="M126" s="364"/>
      <c r="N126" s="364"/>
      <c r="O126" s="364"/>
      <c r="U126" s="182"/>
    </row>
    <row r="127" spans="1:21" s="1" customFormat="1" x14ac:dyDescent="0.2">
      <c r="A127" s="110" t="str">
        <f ca="1">OFFSET(PO!J$12,ROW(A127)-ROW($A$12),0)</f>
        <v>Nível 4</v>
      </c>
      <c r="B127" s="112" t="str">
        <f ca="1">IF($A127=0,"",OFFSET(PO!K$12,ROW(B127)-ROW(B$12),0))</f>
        <v>1.7.1.1.</v>
      </c>
      <c r="C127" s="109" t="str">
        <f ca="1">IF(OFFSET(PO!N$12,ROW(C127)-ROW(C$12),0)=0,"",OFFSET(PO!N$12,ROW(C127)-ROW(C$12),0))</f>
        <v>Janela 01</v>
      </c>
      <c r="D127" s="111" t="str">
        <f ca="1">IF(OFFSET(PO!O$12,ROW(D127)-ROW(D$12),0)=0,"",OFFSET(PO!O$12,ROW(D127)-ROW(D$12),0))</f>
        <v/>
      </c>
      <c r="E127" s="140">
        <f ca="1">IF($A127&lt;&gt;"Serviço",0,ROUND(SUMIF($F$9:$P$9,"&lt;&gt;",$F127:$P127),15-13*PO!$X$3))</f>
        <v>0</v>
      </c>
      <c r="F127" s="364">
        <f ca="1">OFFSET(PO!$P$12,ROW($E127)-ROW(F$12),0)</f>
        <v>0</v>
      </c>
      <c r="G127" s="364"/>
      <c r="H127" s="364"/>
      <c r="I127" s="364"/>
      <c r="J127" s="364"/>
      <c r="K127" s="364"/>
      <c r="L127" s="364"/>
      <c r="M127" s="364"/>
      <c r="N127" s="364"/>
      <c r="O127" s="364"/>
      <c r="U127" s="182"/>
    </row>
    <row r="128" spans="1:21" s="1" customFormat="1" ht="76.5" x14ac:dyDescent="0.2">
      <c r="A128" s="110" t="str">
        <f ca="1">OFFSET(PO!J$12,ROW(A128)-ROW($A$12),0)</f>
        <v>Serviço</v>
      </c>
      <c r="B128" s="112" t="str">
        <f ca="1">IF($A128=0,"",OFFSET(PO!K$12,ROW(B128)-ROW(B$12),0))</f>
        <v>1.7.1.1.1.</v>
      </c>
      <c r="C128" s="109" t="str">
        <f ca="1">IF(OFFSET(PO!N$12,ROW(C128)-ROW(C$12),0)=0,"",OFFSET(PO!N$12,ROW(C128)-ROW(C$12),0))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D128" s="111" t="str">
        <f ca="1">IF(OFFSET(PO!O$12,ROW(D128)-ROW(D$12),0)=0,"",OFFSET(PO!O$12,ROW(D128)-ROW(D$12),0))</f>
        <v>M2</v>
      </c>
      <c r="E128" s="140">
        <f ca="1">IF($A128&lt;&gt;"Serviço",0,ROUND(SUMIF($F$9:$P$9,"&lt;&gt;",$F128:$P128),15-13*PO!$X$3))</f>
        <v>4.8</v>
      </c>
      <c r="F128" s="364">
        <f ca="1">OFFSET(PO!$P$12,ROW($E128)-ROW(F$12),0)</f>
        <v>4.8</v>
      </c>
      <c r="G128" s="364"/>
      <c r="H128" s="364"/>
      <c r="I128" s="364"/>
      <c r="J128" s="364"/>
      <c r="K128" s="364"/>
      <c r="L128" s="364"/>
      <c r="M128" s="364"/>
      <c r="N128" s="364"/>
      <c r="O128" s="364"/>
      <c r="U128" s="182"/>
    </row>
    <row r="129" spans="1:21" s="1" customFormat="1" x14ac:dyDescent="0.2">
      <c r="A129" s="110" t="str">
        <f ca="1">OFFSET(PO!J$12,ROW(A129)-ROW($A$12),0)</f>
        <v>Nível 4</v>
      </c>
      <c r="B129" s="112" t="str">
        <f ca="1">IF($A129=0,"",OFFSET(PO!K$12,ROW(B129)-ROW(B$12),0))</f>
        <v>1.7.1.2.</v>
      </c>
      <c r="C129" s="109" t="str">
        <f ca="1">IF(OFFSET(PO!N$12,ROW(C129)-ROW(C$12),0)=0,"",OFFSET(PO!N$12,ROW(C129)-ROW(C$12),0))</f>
        <v>Janelas 03 e 04</v>
      </c>
      <c r="D129" s="111" t="str">
        <f ca="1">IF(OFFSET(PO!O$12,ROW(D129)-ROW(D$12),0)=0,"",OFFSET(PO!O$12,ROW(D129)-ROW(D$12),0))</f>
        <v/>
      </c>
      <c r="E129" s="140">
        <f ca="1">IF($A129&lt;&gt;"Serviço",0,ROUND(SUMIF($F$9:$P$9,"&lt;&gt;",$F129:$P129),15-13*PO!$X$3))</f>
        <v>0</v>
      </c>
      <c r="F129" s="364">
        <f ca="1">OFFSET(PO!$P$12,ROW($E129)-ROW(F$12),0)</f>
        <v>0</v>
      </c>
      <c r="G129" s="364"/>
      <c r="H129" s="364"/>
      <c r="I129" s="364"/>
      <c r="J129" s="364"/>
      <c r="K129" s="364"/>
      <c r="L129" s="364"/>
      <c r="M129" s="364"/>
      <c r="N129" s="364"/>
      <c r="O129" s="364"/>
      <c r="U129" s="182"/>
    </row>
    <row r="130" spans="1:21" s="1" customFormat="1" ht="89.25" x14ac:dyDescent="0.2">
      <c r="A130" s="110" t="str">
        <f ca="1">OFFSET(PO!J$12,ROW(A130)-ROW($A$12),0)</f>
        <v>Serviço</v>
      </c>
      <c r="B130" s="112" t="str">
        <f ca="1">IF($A130=0,"",OFFSET(PO!K$12,ROW(B130)-ROW(B$12),0))</f>
        <v>1.7.1.2.1.</v>
      </c>
      <c r="C130" s="109" t="str">
        <f ca="1">IF(OFFSET(PO!N$12,ROW(C130)-ROW(C$12),0)=0,"",OFFSET(PO!N$12,ROW(C130)-ROW(C$12),0))</f>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
      <c r="D130" s="111" t="str">
        <f ca="1">IF(OFFSET(PO!O$12,ROW(D130)-ROW(D$12),0)=0,"",OFFSET(PO!O$12,ROW(D130)-ROW(D$12),0))</f>
        <v>M2</v>
      </c>
      <c r="E130" s="140">
        <f ca="1">IF($A130&lt;&gt;"Serviço",0,ROUND(SUMIF($F$9:$P$9,"&lt;&gt;",$F130:$P130),15-13*PO!$X$3))</f>
        <v>10.58</v>
      </c>
      <c r="F130" s="364">
        <f ca="1">OFFSET(PO!$P$12,ROW($E130)-ROW(F$12),0)</f>
        <v>10.58</v>
      </c>
      <c r="G130" s="364"/>
      <c r="H130" s="364"/>
      <c r="I130" s="364"/>
      <c r="J130" s="364"/>
      <c r="K130" s="364"/>
      <c r="L130" s="364"/>
      <c r="M130" s="364"/>
      <c r="N130" s="364"/>
      <c r="O130" s="364"/>
      <c r="U130" s="182"/>
    </row>
    <row r="131" spans="1:21" s="1" customFormat="1" x14ac:dyDescent="0.2">
      <c r="A131" s="110" t="str">
        <f ca="1">OFFSET(PO!J$12,ROW(A131)-ROW($A$12),0)</f>
        <v>Nível 4</v>
      </c>
      <c r="B131" s="112" t="str">
        <f ca="1">IF($A131=0,"",OFFSET(PO!K$12,ROW(B131)-ROW(B$12),0))</f>
        <v>1.7.1.3.</v>
      </c>
      <c r="C131" s="109" t="str">
        <f ca="1">IF(OFFSET(PO!N$12,ROW(C131)-ROW(C$12),0)=0,"",OFFSET(PO!N$12,ROW(C131)-ROW(C$12),0))</f>
        <v>Janela 02</v>
      </c>
      <c r="D131" s="111" t="str">
        <f ca="1">IF(OFFSET(PO!O$12,ROW(D131)-ROW(D$12),0)=0,"",OFFSET(PO!O$12,ROW(D131)-ROW(D$12),0))</f>
        <v/>
      </c>
      <c r="E131" s="140">
        <f ca="1">IF($A131&lt;&gt;"Serviço",0,ROUND(SUMIF($F$9:$P$9,"&lt;&gt;",$F131:$P131),15-13*PO!$X$3))</f>
        <v>0</v>
      </c>
      <c r="F131" s="364">
        <f ca="1">OFFSET(PO!$P$12,ROW($E131)-ROW(F$12),0)</f>
        <v>0</v>
      </c>
      <c r="G131" s="364"/>
      <c r="H131" s="364"/>
      <c r="I131" s="364"/>
      <c r="J131" s="364"/>
      <c r="K131" s="364"/>
      <c r="L131" s="364"/>
      <c r="M131" s="364"/>
      <c r="N131" s="364"/>
      <c r="O131" s="364"/>
      <c r="U131" s="182"/>
    </row>
    <row r="132" spans="1:21" s="1" customFormat="1" ht="63.75" x14ac:dyDescent="0.2">
      <c r="A132" s="110" t="str">
        <f ca="1">OFFSET(PO!J$12,ROW(A132)-ROW($A$12),0)</f>
        <v>Serviço</v>
      </c>
      <c r="B132" s="112" t="str">
        <f ca="1">IF($A132=0,"",OFFSET(PO!K$12,ROW(B132)-ROW(B$12),0))</f>
        <v>1.7.1.3.1.</v>
      </c>
      <c r="C132" s="109" t="str">
        <f ca="1">IF(OFFSET(PO!N$12,ROW(C132)-ROW(C$12),0)=0,"",OFFSET(PO!N$12,ROW(C132)-ROW(C$12),0))</f>
        <v>JANELA DE ALUMÍNIO TIPO MAXIM-AR, BATENTE/ REQUADRO 3 A 14 CM, VIDRO INCLUSO, FIXAÇÃO COM PARAFUSO, SEM GUARNIÇÃO/ ALIZAR, DIMENSÕES 60X80 (A X L) CM, SEM ACABAMENTO, VEDAÇÃO COM SILICONE, EXCLUSIVE CONTRAMARCO - FORNECIMENTO E INSTALAÇÃO. AF_11/2024</v>
      </c>
      <c r="D132" s="111" t="str">
        <f ca="1">IF(OFFSET(PO!O$12,ROW(D132)-ROW(D$12),0)=0,"",OFFSET(PO!O$12,ROW(D132)-ROW(D$12),0))</f>
        <v>M2</v>
      </c>
      <c r="E132" s="140">
        <f ca="1">IF($A132&lt;&gt;"Serviço",0,ROUND(SUMIF($F$9:$P$9,"&lt;&gt;",$F132:$P132),15-13*PO!$X$3))</f>
        <v>1.35</v>
      </c>
      <c r="F132" s="364">
        <f ca="1">OFFSET(PO!$P$12,ROW($E132)-ROW(F$12),0)</f>
        <v>1.35</v>
      </c>
      <c r="G132" s="364"/>
      <c r="H132" s="364"/>
      <c r="I132" s="364"/>
      <c r="J132" s="364"/>
      <c r="K132" s="364"/>
      <c r="L132" s="364"/>
      <c r="M132" s="364"/>
      <c r="N132" s="364"/>
      <c r="O132" s="364"/>
      <c r="U132" s="182"/>
    </row>
    <row r="133" spans="1:21" s="1" customFormat="1" x14ac:dyDescent="0.2">
      <c r="A133" s="110" t="str">
        <f ca="1">OFFSET(PO!J$12,ROW(A133)-ROW($A$12),0)</f>
        <v>Nível 4</v>
      </c>
      <c r="B133" s="112" t="str">
        <f ca="1">IF($A133=0,"",OFFSET(PO!K$12,ROW(B133)-ROW(B$12),0))</f>
        <v>1.7.1.4.</v>
      </c>
      <c r="C133" s="109" t="str">
        <f ca="1">IF(OFFSET(PO!N$12,ROW(C133)-ROW(C$12),0)=0,"",OFFSET(PO!N$12,ROW(C133)-ROW(C$12),0))</f>
        <v>Janela 05</v>
      </c>
      <c r="D133" s="111" t="str">
        <f ca="1">IF(OFFSET(PO!O$12,ROW(D133)-ROW(D$12),0)=0,"",OFFSET(PO!O$12,ROW(D133)-ROW(D$12),0))</f>
        <v/>
      </c>
      <c r="E133" s="140">
        <f ca="1">IF($A133&lt;&gt;"Serviço",0,ROUND(SUMIF($F$9:$P$9,"&lt;&gt;",$F133:$P133),15-13*PO!$X$3))</f>
        <v>0</v>
      </c>
      <c r="F133" s="364">
        <f ca="1">OFFSET(PO!$P$12,ROW($E133)-ROW(F$12),0)</f>
        <v>0</v>
      </c>
      <c r="G133" s="364"/>
      <c r="H133" s="364"/>
      <c r="I133" s="364"/>
      <c r="J133" s="364"/>
      <c r="K133" s="364"/>
      <c r="L133" s="364"/>
      <c r="M133" s="364"/>
      <c r="N133" s="364"/>
      <c r="O133" s="364"/>
      <c r="U133" s="182"/>
    </row>
    <row r="134" spans="1:21" s="1" customFormat="1" ht="38.25" x14ac:dyDescent="0.2">
      <c r="A134" s="110" t="str">
        <f ca="1">OFFSET(PO!J$12,ROW(A134)-ROW($A$12),0)</f>
        <v>Serviço</v>
      </c>
      <c r="B134" s="112" t="str">
        <f ca="1">IF($A134=0,"",OFFSET(PO!K$12,ROW(B134)-ROW(B$12),0))</f>
        <v>1.7.1.4.1.</v>
      </c>
      <c r="C134" s="109" t="str">
        <f ca="1">IF(OFFSET(PO!N$12,ROW(C134)-ROW(C$12),0)=0,"",OFFSET(PO!N$12,ROW(C134)-ROW(C$12),0))</f>
        <v>JANELA EM ALUMÍNIO FIXA TIPO VENEZIANA COM GUARNIÇÃO, FIXAÇÃO COM PARAFUSOS - FORNECIMENTO E INSTALAÇÃO (BASE REF. 91341)</v>
      </c>
      <c r="D134" s="111" t="str">
        <f ca="1">IF(OFFSET(PO!O$12,ROW(D134)-ROW(D$12),0)=0,"",OFFSET(PO!O$12,ROW(D134)-ROW(D$12),0))</f>
        <v>M2</v>
      </c>
      <c r="E134" s="140">
        <f ca="1">IF($A134&lt;&gt;"Serviço",0,ROUND(SUMIF($F$9:$P$9,"&lt;&gt;",$F134:$P134),15-13*PO!$X$3))</f>
        <v>3.6</v>
      </c>
      <c r="F134" s="364">
        <f ca="1">OFFSET(PO!$P$12,ROW($E134)-ROW(F$12),0)</f>
        <v>3.6</v>
      </c>
      <c r="G134" s="364"/>
      <c r="H134" s="364"/>
      <c r="I134" s="364"/>
      <c r="J134" s="364"/>
      <c r="K134" s="364"/>
      <c r="L134" s="364"/>
      <c r="M134" s="364"/>
      <c r="N134" s="364"/>
      <c r="O134" s="364"/>
      <c r="U134" s="182"/>
    </row>
    <row r="135" spans="1:21" s="1" customFormat="1" x14ac:dyDescent="0.2">
      <c r="A135" s="110" t="str">
        <f ca="1">OFFSET(PO!J$12,ROW(A135)-ROW($A$12),0)</f>
        <v>Nível 4</v>
      </c>
      <c r="B135" s="112" t="str">
        <f ca="1">IF($A135=0,"",OFFSET(PO!K$12,ROW(B135)-ROW(B$12),0))</f>
        <v>1.7.1.5.</v>
      </c>
      <c r="C135" s="109" t="str">
        <f ca="1">IF(OFFSET(PO!N$12,ROW(C135)-ROW(C$12),0)=0,"",OFFSET(PO!N$12,ROW(C135)-ROW(C$12),0))</f>
        <v>Portas 01 - Casa de máquinas</v>
      </c>
      <c r="D135" s="111" t="str">
        <f ca="1">IF(OFFSET(PO!O$12,ROW(D135)-ROW(D$12),0)=0,"",OFFSET(PO!O$12,ROW(D135)-ROW(D$12),0))</f>
        <v/>
      </c>
      <c r="E135" s="140">
        <f ca="1">IF($A135&lt;&gt;"Serviço",0,ROUND(SUMIF($F$9:$P$9,"&lt;&gt;",$F135:$P135),15-13*PO!$X$3))</f>
        <v>0</v>
      </c>
      <c r="F135" s="364">
        <f ca="1">OFFSET(PO!$P$12,ROW($E135)-ROW(F$12),0)</f>
        <v>0</v>
      </c>
      <c r="G135" s="364"/>
      <c r="H135" s="364"/>
      <c r="I135" s="364"/>
      <c r="J135" s="364"/>
      <c r="K135" s="364"/>
      <c r="L135" s="364"/>
      <c r="M135" s="364"/>
      <c r="N135" s="364"/>
      <c r="O135" s="364"/>
      <c r="U135" s="182"/>
    </row>
    <row r="136" spans="1:21" s="1" customFormat="1" ht="38.25" x14ac:dyDescent="0.2">
      <c r="A136" s="110" t="str">
        <f ca="1">OFFSET(PO!J$12,ROW(A136)-ROW($A$12),0)</f>
        <v>Serviço</v>
      </c>
      <c r="B136" s="112" t="str">
        <f ca="1">IF($A136=0,"",OFFSET(PO!K$12,ROW(B136)-ROW(B$12),0))</f>
        <v>1.7.1.5.1.</v>
      </c>
      <c r="C136" s="109" t="str">
        <f ca="1">IF(OFFSET(PO!N$12,ROW(C136)-ROW(C$12),0)=0,"",OFFSET(PO!N$12,ROW(C136)-ROW(C$12),0))</f>
        <v>PORTA EM ALUMÍNIO DE ABRIR TIPO VENEZIANA COM GUARNIÇÃO, FIXAÇÃO COM PARAFUSOS - FORNECIMENTO E INSTALAÇÃO. AF_10/2025</v>
      </c>
      <c r="D136" s="111" t="str">
        <f ca="1">IF(OFFSET(PO!O$12,ROW(D136)-ROW(D$12),0)=0,"",OFFSET(PO!O$12,ROW(D136)-ROW(D$12),0))</f>
        <v>M2</v>
      </c>
      <c r="E136" s="140">
        <f ca="1">IF($A136&lt;&gt;"Serviço",0,ROUND(SUMIF($F$9:$P$9,"&lt;&gt;",$F136:$P136),15-13*PO!$X$3))</f>
        <v>3.24</v>
      </c>
      <c r="F136" s="364">
        <f ca="1">OFFSET(PO!$P$12,ROW($E136)-ROW(F$12),0)</f>
        <v>3.24</v>
      </c>
      <c r="G136" s="364"/>
      <c r="H136" s="364"/>
      <c r="I136" s="364"/>
      <c r="J136" s="364"/>
      <c r="K136" s="364"/>
      <c r="L136" s="364"/>
      <c r="M136" s="364"/>
      <c r="N136" s="364"/>
      <c r="O136" s="364"/>
      <c r="U136" s="182"/>
    </row>
    <row r="137" spans="1:21" s="1" customFormat="1" ht="51" x14ac:dyDescent="0.2">
      <c r="A137" s="110" t="str">
        <f ca="1">OFFSET(PO!J$12,ROW(A137)-ROW($A$12),0)</f>
        <v>Serviço</v>
      </c>
      <c r="B137" s="112" t="str">
        <f ca="1">IF($A137=0,"",OFFSET(PO!K$12,ROW(B137)-ROW(B$12),0))</f>
        <v>1.7.1.5.2.</v>
      </c>
      <c r="C137" s="109" t="str">
        <f ca="1">IF(OFFSET(PO!N$12,ROW(C137)-ROW(C$12),0)=0,"",OFFSET(PO!N$12,ROW(C137)-ROW(C$12),0))</f>
        <v>FECHADURA DE EMBUTIR COM CILINDRO, EXTERNA, COMPLETA, ACABAMENTO PADRÃO MÉDIO, INCLUSO EXECUÇÃO DE FURO - FORNECIMENTO E INSTALAÇÃO. AF_10/2025</v>
      </c>
      <c r="D137" s="111" t="str">
        <f ca="1">IF(OFFSET(PO!O$12,ROW(D137)-ROW(D$12),0)=0,"",OFFSET(PO!O$12,ROW(D137)-ROW(D$12),0))</f>
        <v>UN</v>
      </c>
      <c r="E137" s="140">
        <f ca="1">IF($A137&lt;&gt;"Serviço",0,ROUND(SUMIF($F$9:$P$9,"&lt;&gt;",$F137:$P137),15-13*PO!$X$3))</f>
        <v>2</v>
      </c>
      <c r="F137" s="364">
        <f ca="1">OFFSET(PO!$P$12,ROW($E137)-ROW(F$12),0)</f>
        <v>2</v>
      </c>
      <c r="G137" s="364"/>
      <c r="H137" s="364"/>
      <c r="I137" s="364"/>
      <c r="J137" s="364"/>
      <c r="K137" s="364"/>
      <c r="L137" s="364"/>
      <c r="M137" s="364"/>
      <c r="N137" s="364"/>
      <c r="O137" s="364"/>
      <c r="U137" s="182"/>
    </row>
    <row r="138" spans="1:21" s="1" customFormat="1" x14ac:dyDescent="0.2">
      <c r="A138" s="110" t="str">
        <f ca="1">OFFSET(PO!J$12,ROW(A138)-ROW($A$12),0)</f>
        <v>Nível 4</v>
      </c>
      <c r="B138" s="112" t="str">
        <f ca="1">IF($A138=0,"",OFFSET(PO!K$12,ROW(B138)-ROW(B$12),0))</f>
        <v>1.7.1.6.</v>
      </c>
      <c r="C138" s="109" t="str">
        <f ca="1">IF(OFFSET(PO!N$12,ROW(C138)-ROW(C$12),0)=0,"",OFFSET(PO!N$12,ROW(C138)-ROW(C$12),0))</f>
        <v>Guichês</v>
      </c>
      <c r="D138" s="111" t="str">
        <f ca="1">IF(OFFSET(PO!O$12,ROW(D138)-ROW(D$12),0)=0,"",OFFSET(PO!O$12,ROW(D138)-ROW(D$12),0))</f>
        <v/>
      </c>
      <c r="E138" s="140">
        <f ca="1">IF($A138&lt;&gt;"Serviço",0,ROUND(SUMIF($F$9:$P$9,"&lt;&gt;",$F138:$P138),15-13*PO!$X$3))</f>
        <v>0</v>
      </c>
      <c r="F138" s="364">
        <f ca="1">OFFSET(PO!$P$12,ROW($E138)-ROW(F$12),0)</f>
        <v>0</v>
      </c>
      <c r="G138" s="364"/>
      <c r="H138" s="364"/>
      <c r="I138" s="364"/>
      <c r="J138" s="364"/>
      <c r="K138" s="364"/>
      <c r="L138" s="364"/>
      <c r="M138" s="364"/>
      <c r="N138" s="364"/>
      <c r="O138" s="364"/>
      <c r="U138" s="182"/>
    </row>
    <row r="139" spans="1:21" s="1" customFormat="1" ht="76.5" x14ac:dyDescent="0.2">
      <c r="A139" s="110" t="str">
        <f ca="1">OFFSET(PO!J$12,ROW(A139)-ROW($A$12),0)</f>
        <v>Serviço</v>
      </c>
      <c r="B139" s="112" t="str">
        <f ca="1">IF($A139=0,"",OFFSET(PO!K$12,ROW(B139)-ROW(B$12),0))</f>
        <v>1.7.1.6.1.</v>
      </c>
      <c r="C139" s="109" t="str">
        <f ca="1">IF(OFFSET(PO!N$12,ROW(C139)-ROW(C$12),0)=0,"",OFFSET(PO!N$12,ROW(C139)-ROW(C$12),0))</f>
        <v>GUICHÊ 01 - JANELA DE ALUMÍNIO TIPO GUILHOTINA, BATENTE/REQUADRO DE 6 A 14 CM, COM VIDROS TEMPERADOS DE 6MM, SEM GUARNIÇÃO/ALIZAR, COM ACABAMENTO COR BRANCA, VEDAÇÃO COM SILICONE, EXCLUSIVE CONTRAMARCO - FORNECIMENTO E INSTALAÇÃO (BASE REF. 94570)</v>
      </c>
      <c r="D139" s="111" t="str">
        <f ca="1">IF(OFFSET(PO!O$12,ROW(D139)-ROW(D$12),0)=0,"",OFFSET(PO!O$12,ROW(D139)-ROW(D$12),0))</f>
        <v>M2</v>
      </c>
      <c r="E139" s="140">
        <f ca="1">IF($A139&lt;&gt;"Serviço",0,ROUND(SUMIF($F$9:$P$9,"&lt;&gt;",$F139:$P139),15-13*PO!$X$3))</f>
        <v>1.6</v>
      </c>
      <c r="F139" s="364">
        <f ca="1">OFFSET(PO!$P$12,ROW($E139)-ROW(F$12),0)</f>
        <v>1.6</v>
      </c>
      <c r="G139" s="364"/>
      <c r="H139" s="364"/>
      <c r="I139" s="364"/>
      <c r="J139" s="364"/>
      <c r="K139" s="364"/>
      <c r="L139" s="364"/>
      <c r="M139" s="364"/>
      <c r="N139" s="364"/>
      <c r="O139" s="364"/>
      <c r="U139" s="182"/>
    </row>
    <row r="140" spans="1:21" s="1" customFormat="1" ht="76.5" x14ac:dyDescent="0.2">
      <c r="A140" s="110" t="str">
        <f ca="1">OFFSET(PO!J$12,ROW(A140)-ROW($A$12),0)</f>
        <v>Serviço</v>
      </c>
      <c r="B140" s="112" t="str">
        <f ca="1">IF($A140=0,"",OFFSET(PO!K$12,ROW(B140)-ROW(B$12),0))</f>
        <v>1.7.1.6.2.</v>
      </c>
      <c r="C140" s="109" t="str">
        <f ca="1">IF(OFFSET(PO!N$12,ROW(C140)-ROW(C$12),0)=0,"",OFFSET(PO!N$12,ROW(C140)-ROW(C$12),0))</f>
        <v>GUICHÊ 02 - JANELA DE ALUMÍNIO FIXA, COM VÃO PARA PASSAGEM DE DOCUMENTOS, BATENTE/REQUADRO DE 4 A 14 CM, COM VIDROS TEMPERADOS DE 6MM, SEM GUARNIÇÃO/ALIZAR, COM ACABAMENTO COR BRANCA, VEDAÇÃO COM SILICONE, EXCLUSIVE CONTRAMARCO - FORNECIMENTO E INSTALAÇÃO (BASE REF. 100674)</v>
      </c>
      <c r="D140" s="111" t="str">
        <f ca="1">IF(OFFSET(PO!O$12,ROW(D140)-ROW(D$12),0)=0,"",OFFSET(PO!O$12,ROW(D140)-ROW(D$12),0))</f>
        <v>M2</v>
      </c>
      <c r="E140" s="140">
        <f ca="1">IF($A140&lt;&gt;"Serviço",0,ROUND(SUMIF($F$9:$P$9,"&lt;&gt;",$F140:$P140),15-13*PO!$X$3))</f>
        <v>1.2</v>
      </c>
      <c r="F140" s="364">
        <f ca="1">OFFSET(PO!$P$12,ROW($E140)-ROW(F$12),0)</f>
        <v>1.2</v>
      </c>
      <c r="G140" s="364"/>
      <c r="H140" s="364"/>
      <c r="I140" s="364"/>
      <c r="J140" s="364"/>
      <c r="K140" s="364"/>
      <c r="L140" s="364"/>
      <c r="M140" s="364"/>
      <c r="N140" s="364"/>
      <c r="O140" s="364"/>
      <c r="U140" s="182"/>
    </row>
    <row r="141" spans="1:21" s="1" customFormat="1" ht="51" x14ac:dyDescent="0.2">
      <c r="A141" s="110" t="str">
        <f ca="1">OFFSET(PO!J$12,ROW(A141)-ROW($A$12),0)</f>
        <v>Serviço</v>
      </c>
      <c r="B141" s="112" t="str">
        <f ca="1">IF($A141=0,"",OFFSET(PO!K$12,ROW(B141)-ROW(B$12),0))</f>
        <v>1.7.1.6.3.</v>
      </c>
      <c r="C141" s="109" t="str">
        <f ca="1">IF(OFFSET(PO!N$12,ROW(C141)-ROW(C$12),0)=0,"",OFFSET(PO!N$12,ROW(C141)-ROW(C$12),0))</f>
        <v>BASE PARA GUICHÊ EM GRANITO POLIDO, L = 20CM, E = 3CM, ASSENTADO COM ARGAMASSA 1:6 COM ADITIVO, COR CONFORME PROJETO - FORNECIMENTO E INSTALAÇÃO (BASE REF. 101965)</v>
      </c>
      <c r="D141" s="111" t="str">
        <f ca="1">IF(OFFSET(PO!O$12,ROW(D141)-ROW(D$12),0)=0,"",OFFSET(PO!O$12,ROW(D141)-ROW(D$12),0))</f>
        <v>M</v>
      </c>
      <c r="E141" s="140">
        <f ca="1">IF($A141&lt;&gt;"Serviço",0,ROUND(SUMIF($F$9:$P$9,"&lt;&gt;",$F141:$P141),15-13*PO!$X$3))</f>
        <v>1.4</v>
      </c>
      <c r="F141" s="364">
        <f ca="1">OFFSET(PO!$P$12,ROW($E141)-ROW(F$12),0)</f>
        <v>1.4</v>
      </c>
      <c r="G141" s="364"/>
      <c r="H141" s="364"/>
      <c r="I141" s="364"/>
      <c r="J141" s="364"/>
      <c r="K141" s="364"/>
      <c r="L141" s="364"/>
      <c r="M141" s="364"/>
      <c r="N141" s="364"/>
      <c r="O141" s="364"/>
      <c r="U141" s="182"/>
    </row>
    <row r="142" spans="1:21" s="1" customFormat="1" ht="25.5" x14ac:dyDescent="0.2">
      <c r="A142" s="110" t="str">
        <f ca="1">OFFSET(PO!J$12,ROW(A142)-ROW($A$12),0)</f>
        <v>Serviço</v>
      </c>
      <c r="B142" s="112" t="str">
        <f ca="1">IF($A142=0,"",OFFSET(PO!K$12,ROW(B142)-ROW(B$12),0))</f>
        <v>1.7.1.6.4.</v>
      </c>
      <c r="C142" s="109" t="str">
        <f ca="1">IF(OFFSET(PO!N$12,ROW(C142)-ROW(C$12),0)=0,"",OFFSET(PO!N$12,ROW(C142)-ROW(C$12),0))</f>
        <v>BASE PARA GUICHÊ EM AÇO INOX, CONFORME PROJETO - FORNECIMENTO E INSTALAÇÃO (BASE REF. 101965)</v>
      </c>
      <c r="D142" s="111" t="str">
        <f ca="1">IF(OFFSET(PO!O$12,ROW(D142)-ROW(D$12),0)=0,"",OFFSET(PO!O$12,ROW(D142)-ROW(D$12),0))</f>
        <v>M2</v>
      </c>
      <c r="E142" s="140">
        <f ca="1">IF($A142&lt;&gt;"Serviço",0,ROUND(SUMIF($F$9:$P$9,"&lt;&gt;",$F142:$P142),15-13*PO!$X$3))</f>
        <v>0.95</v>
      </c>
      <c r="F142" s="364">
        <f ca="1">OFFSET(PO!$P$12,ROW($E142)-ROW(F$12),0)</f>
        <v>0.95</v>
      </c>
      <c r="G142" s="364"/>
      <c r="H142" s="364"/>
      <c r="I142" s="364"/>
      <c r="J142" s="364"/>
      <c r="K142" s="364"/>
      <c r="L142" s="364"/>
      <c r="M142" s="364"/>
      <c r="N142" s="364"/>
      <c r="O142" s="364"/>
      <c r="U142" s="182"/>
    </row>
    <row r="143" spans="1:21" s="1" customFormat="1" x14ac:dyDescent="0.2">
      <c r="A143" s="110" t="str">
        <f ca="1">OFFSET(PO!J$12,ROW(A143)-ROW($A$12),0)</f>
        <v>Nível 4</v>
      </c>
      <c r="B143" s="112" t="str">
        <f ca="1">IF($A143=0,"",OFFSET(PO!K$12,ROW(B143)-ROW(B$12),0))</f>
        <v>1.7.1.7.</v>
      </c>
      <c r="C143" s="109" t="str">
        <f ca="1">IF(OFFSET(PO!N$12,ROW(C143)-ROW(C$12),0)=0,"",OFFSET(PO!N$12,ROW(C143)-ROW(C$12),0))</f>
        <v>Contramarcos, Guarnições e peitoris</v>
      </c>
      <c r="D143" s="111" t="str">
        <f ca="1">IF(OFFSET(PO!O$12,ROW(D143)-ROW(D$12),0)=0,"",OFFSET(PO!O$12,ROW(D143)-ROW(D$12),0))</f>
        <v/>
      </c>
      <c r="E143" s="140">
        <f ca="1">IF($A143&lt;&gt;"Serviço",0,ROUND(SUMIF($F$9:$P$9,"&lt;&gt;",$F143:$P143),15-13*PO!$X$3))</f>
        <v>0</v>
      </c>
      <c r="F143" s="364">
        <f ca="1">OFFSET(PO!$P$12,ROW($E143)-ROW(F$12),0)</f>
        <v>0</v>
      </c>
      <c r="G143" s="364"/>
      <c r="H143" s="364"/>
      <c r="I143" s="364"/>
      <c r="J143" s="364"/>
      <c r="K143" s="364"/>
      <c r="L143" s="364"/>
      <c r="M143" s="364"/>
      <c r="N143" s="364"/>
      <c r="O143" s="364"/>
      <c r="U143" s="182"/>
    </row>
    <row r="144" spans="1:21" s="1" customFormat="1" ht="25.5" x14ac:dyDescent="0.2">
      <c r="A144" s="110" t="str">
        <f ca="1">OFFSET(PO!J$12,ROW(A144)-ROW($A$12),0)</f>
        <v>Serviço</v>
      </c>
      <c r="B144" s="112" t="str">
        <f ca="1">IF($A144=0,"",OFFSET(PO!K$12,ROW(B144)-ROW(B$12),0))</f>
        <v>1.7.1.7.1.</v>
      </c>
      <c r="C144" s="109" t="str">
        <f ca="1">IF(OFFSET(PO!N$12,ROW(C144)-ROW(C$12),0)=0,"",OFFSET(PO!N$12,ROW(C144)-ROW(C$12),0))</f>
        <v>CONTRAMARCO DE ALUMÍNIO, FIXAÇÃO COM PARAFUSO - FORNECIMENTO E INSTALAÇÃO. AF_11/2024</v>
      </c>
      <c r="D144" s="111" t="str">
        <f ca="1">IF(OFFSET(PO!O$12,ROW(D144)-ROW(D$12),0)=0,"",OFFSET(PO!O$12,ROW(D144)-ROW(D$12),0))</f>
        <v>M</v>
      </c>
      <c r="E144" s="140">
        <f ca="1">IF($A144&lt;&gt;"Serviço",0,ROUND(SUMIF($F$9:$P$9,"&lt;&gt;",$F144:$P144),15-13*PO!$X$3))</f>
        <v>59.12</v>
      </c>
      <c r="F144" s="364">
        <f ca="1">OFFSET(PO!$P$12,ROW($E144)-ROW(F$12),0)</f>
        <v>59.12</v>
      </c>
      <c r="G144" s="364"/>
      <c r="H144" s="364"/>
      <c r="I144" s="364"/>
      <c r="J144" s="364"/>
      <c r="K144" s="364"/>
      <c r="L144" s="364"/>
      <c r="M144" s="364"/>
      <c r="N144" s="364"/>
      <c r="O144" s="364"/>
      <c r="U144" s="182"/>
    </row>
    <row r="145" spans="1:21" s="1" customFormat="1" x14ac:dyDescent="0.2">
      <c r="A145" s="110" t="str">
        <f ca="1">OFFSET(PO!J$12,ROW(A145)-ROW($A$12),0)</f>
        <v>Serviço</v>
      </c>
      <c r="B145" s="112" t="str">
        <f ca="1">IF($A145=0,"",OFFSET(PO!K$12,ROW(B145)-ROW(B$12),0))</f>
        <v>1.7.1.7.2.</v>
      </c>
      <c r="C145" s="109" t="str">
        <f ca="1">IF(OFFSET(PO!N$12,ROW(C145)-ROW(C$12),0)=0,"",OFFSET(PO!N$12,ROW(C145)-ROW(C$12),0))</f>
        <v>GUARNIÇÃO DE ALUMÍNIO. AF_11/2024</v>
      </c>
      <c r="D145" s="111" t="str">
        <f ca="1">IF(OFFSET(PO!O$12,ROW(D145)-ROW(D$12),0)=0,"",OFFSET(PO!O$12,ROW(D145)-ROW(D$12),0))</f>
        <v>M</v>
      </c>
      <c r="E145" s="140">
        <f ca="1">IF($A145&lt;&gt;"Serviço",0,ROUND(SUMIF($F$9:$P$9,"&lt;&gt;",$F145:$P145),15-13*PO!$X$3))</f>
        <v>56.32</v>
      </c>
      <c r="F145" s="364">
        <f ca="1">OFFSET(PO!$P$12,ROW($E145)-ROW(F$12),0)</f>
        <v>56.32</v>
      </c>
      <c r="G145" s="364"/>
      <c r="H145" s="364"/>
      <c r="I145" s="364"/>
      <c r="J145" s="364"/>
      <c r="K145" s="364"/>
      <c r="L145" s="364"/>
      <c r="M145" s="364"/>
      <c r="N145" s="364"/>
      <c r="O145" s="364"/>
      <c r="U145" s="182"/>
    </row>
    <row r="146" spans="1:21" s="1" customFormat="1" ht="25.5" x14ac:dyDescent="0.2">
      <c r="A146" s="110" t="str">
        <f ca="1">OFFSET(PO!J$12,ROW(A146)-ROW($A$12),0)</f>
        <v>Serviço</v>
      </c>
      <c r="B146" s="112" t="str">
        <f ca="1">IF($A146=0,"",OFFSET(PO!K$12,ROW(B146)-ROW(B$12),0))</f>
        <v>1.7.1.7.3.</v>
      </c>
      <c r="C146" s="109" t="str">
        <f ca="1">IF(OFFSET(PO!N$12,ROW(C146)-ROW(C$12),0)=0,"",OFFSET(PO!N$12,ROW(C146)-ROW(C$12),0))</f>
        <v>PEITORIL LINEAR EM GRANITO OU MÁRMORE, L = 15CM, ASSENTADO COM ARGAMASSA 1:6 COM ADITIVO. AF_11/2020</v>
      </c>
      <c r="D146" s="111" t="str">
        <f ca="1">IF(OFFSET(PO!O$12,ROW(D146)-ROW(D$12),0)=0,"",OFFSET(PO!O$12,ROW(D146)-ROW(D$12),0))</f>
        <v>M</v>
      </c>
      <c r="E146" s="140">
        <f ca="1">IF($A146&lt;&gt;"Serviço",0,ROUND(SUMIF($F$9:$P$9,"&lt;&gt;",$F146:$P146),15-13*PO!$X$3))</f>
        <v>18.75</v>
      </c>
      <c r="F146" s="364">
        <f ca="1">OFFSET(PO!$P$12,ROW($E146)-ROW(F$12),0)</f>
        <v>18.75</v>
      </c>
      <c r="G146" s="364"/>
      <c r="H146" s="364"/>
      <c r="I146" s="364"/>
      <c r="J146" s="364"/>
      <c r="K146" s="364"/>
      <c r="L146" s="364"/>
      <c r="M146" s="364"/>
      <c r="N146" s="364"/>
      <c r="O146" s="364"/>
      <c r="U146" s="182"/>
    </row>
    <row r="147" spans="1:21" s="1" customFormat="1" x14ac:dyDescent="0.2">
      <c r="A147" s="110" t="str">
        <f ca="1">OFFSET(PO!J$12,ROW(A147)-ROW($A$12),0)</f>
        <v>Nível 3</v>
      </c>
      <c r="B147" s="112" t="str">
        <f ca="1">IF($A147=0,"",OFFSET(PO!K$12,ROW(B147)-ROW(B$12),0))</f>
        <v>1.7.2.</v>
      </c>
      <c r="C147" s="109" t="str">
        <f ca="1">IF(OFFSET(PO!N$12,ROW(C147)-ROW(C$12),0)=0,"",OFFSET(PO!N$12,ROW(C147)-ROW(C$12),0))</f>
        <v>ITENS DO SANIT, VEST. FUNC. FEM.</v>
      </c>
      <c r="D147" s="111" t="str">
        <f ca="1">IF(OFFSET(PO!O$12,ROW(D147)-ROW(D$12),0)=0,"",OFFSET(PO!O$12,ROW(D147)-ROW(D$12),0))</f>
        <v/>
      </c>
      <c r="E147" s="140">
        <f ca="1">IF($A147&lt;&gt;"Serviço",0,ROUND(SUMIF($F$9:$P$9,"&lt;&gt;",$F147:$P147),15-13*PO!$X$3))</f>
        <v>0</v>
      </c>
      <c r="F147" s="364">
        <f ca="1">OFFSET(PO!$P$12,ROW($E147)-ROW(F$12),0)</f>
        <v>0</v>
      </c>
      <c r="G147" s="364"/>
      <c r="H147" s="364"/>
      <c r="I147" s="364"/>
      <c r="J147" s="364"/>
      <c r="K147" s="364"/>
      <c r="L147" s="364"/>
      <c r="M147" s="364"/>
      <c r="N147" s="364"/>
      <c r="O147" s="364"/>
      <c r="U147" s="182"/>
    </row>
    <row r="148" spans="1:21" s="1" customFormat="1" ht="38.25" x14ac:dyDescent="0.2">
      <c r="A148" s="110" t="str">
        <f ca="1">OFFSET(PO!J$12,ROW(A148)-ROW($A$12),0)</f>
        <v>Serviço</v>
      </c>
      <c r="B148" s="112" t="str">
        <f ca="1">IF($A148=0,"",OFFSET(PO!K$12,ROW(B148)-ROW(B$12),0))</f>
        <v>1.7.2.0.1.</v>
      </c>
      <c r="C148" s="109" t="str">
        <f ca="1">IF(OFFSET(PO!N$12,ROW(C148)-ROW(C$12),0)=0,"",OFFSET(PO!N$12,ROW(C148)-ROW(C$12),0))</f>
        <v>PORTA EM ALUMÍNIO DE ABRIR TIPO VENEZIANA COM GUARNIÇÃO, FIXAÇÃO COM PARAFUSOS - FORNECIMENTO E INSTALAÇÃO. AF_10/2025</v>
      </c>
      <c r="D148" s="111" t="str">
        <f ca="1">IF(OFFSET(PO!O$12,ROW(D148)-ROW(D$12),0)=0,"",OFFSET(PO!O$12,ROW(D148)-ROW(D$12),0))</f>
        <v>M2</v>
      </c>
      <c r="E148" s="140">
        <f ca="1">IF($A148&lt;&gt;"Serviço",0,ROUND(SUMIF($F$9:$P$9,"&lt;&gt;",$F148:$P148),15-13*PO!$X$3))</f>
        <v>3.24</v>
      </c>
      <c r="F148" s="364">
        <f ca="1">OFFSET(PO!$P$12,ROW($E148)-ROW(F$12),0)</f>
        <v>3.24</v>
      </c>
      <c r="G148" s="364"/>
      <c r="H148" s="364"/>
      <c r="I148" s="364"/>
      <c r="J148" s="364"/>
      <c r="K148" s="364"/>
      <c r="L148" s="364"/>
      <c r="M148" s="364"/>
      <c r="N148" s="364"/>
      <c r="O148" s="364"/>
      <c r="U148" s="182"/>
    </row>
    <row r="149" spans="1:21" s="1" customFormat="1" ht="51" x14ac:dyDescent="0.2">
      <c r="A149" s="110" t="str">
        <f ca="1">OFFSET(PO!J$12,ROW(A149)-ROW($A$12),0)</f>
        <v>Serviço</v>
      </c>
      <c r="B149" s="112" t="str">
        <f ca="1">IF($A149=0,"",OFFSET(PO!K$12,ROW(B149)-ROW(B$12),0))</f>
        <v>1.7.2.0.2.</v>
      </c>
      <c r="C149" s="109" t="str">
        <f ca="1">IF(OFFSET(PO!N$12,ROW(C149)-ROW(C$12),0)=0,"",OFFSET(PO!N$12,ROW(C149)-ROW(C$12),0))</f>
        <v>FECHADURA DE EMBUTIR SEM CILINDRO, PARA PORTA DE BANHEIRO, COMPLETA, ACABAMENTO PADRÃO POPULAR, INCLUSO EXECUÇÃO DE FURO - FORNECIMENTO E INSTALAÇÃO. AF_10/2025</v>
      </c>
      <c r="D149" s="111" t="str">
        <f ca="1">IF(OFFSET(PO!O$12,ROW(D149)-ROW(D$12),0)=0,"",OFFSET(PO!O$12,ROW(D149)-ROW(D$12),0))</f>
        <v>UN</v>
      </c>
      <c r="E149" s="140">
        <f ca="1">IF($A149&lt;&gt;"Serviço",0,ROUND(SUMIF($F$9:$P$9,"&lt;&gt;",$F149:$P149),15-13*PO!$X$3))</f>
        <v>3</v>
      </c>
      <c r="F149" s="364">
        <f ca="1">OFFSET(PO!$P$12,ROW($E149)-ROW(F$12),0)</f>
        <v>3</v>
      </c>
      <c r="G149" s="364"/>
      <c r="H149" s="364"/>
      <c r="I149" s="364"/>
      <c r="J149" s="364"/>
      <c r="K149" s="364"/>
      <c r="L149" s="364"/>
      <c r="M149" s="364"/>
      <c r="N149" s="364"/>
      <c r="O149" s="364"/>
      <c r="U149" s="182"/>
    </row>
    <row r="150" spans="1:21" s="1" customFormat="1" ht="25.5" x14ac:dyDescent="0.2">
      <c r="A150" s="110" t="str">
        <f ca="1">OFFSET(PO!J$12,ROW(A150)-ROW($A$12),0)</f>
        <v>Serviço</v>
      </c>
      <c r="B150" s="112" t="str">
        <f ca="1">IF($A150=0,"",OFFSET(PO!K$12,ROW(B150)-ROW(B$12),0))</f>
        <v>1.7.2.0.3.</v>
      </c>
      <c r="C150" s="109" t="str">
        <f ca="1">IF(OFFSET(PO!N$12,ROW(C150)-ROW(C$12),0)=0,"",OFFSET(PO!N$12,ROW(C150)-ROW(C$12),0))</f>
        <v>DIVISORIA SANITÁRIA, EM GRANITO CINZA POLIDO, ESP = 3CM, ASSENTADO COM ARGAMASSA COLANTE AC III-E. AF_10/2025</v>
      </c>
      <c r="D150" s="111" t="str">
        <f ca="1">IF(OFFSET(PO!O$12,ROW(D150)-ROW(D$12),0)=0,"",OFFSET(PO!O$12,ROW(D150)-ROW(D$12),0))</f>
        <v>M2</v>
      </c>
      <c r="E150" s="140">
        <f ca="1">IF($A150&lt;&gt;"Serviço",0,ROUND(SUMIF($F$9:$P$9,"&lt;&gt;",$F150:$P150),15-13*PO!$X$3))</f>
        <v>9.1199999999999992</v>
      </c>
      <c r="F150" s="364">
        <f ca="1">OFFSET(PO!$P$12,ROW($E150)-ROW(F$12),0)</f>
        <v>9.1199999999999992</v>
      </c>
      <c r="G150" s="364"/>
      <c r="H150" s="364"/>
      <c r="I150" s="364"/>
      <c r="J150" s="364"/>
      <c r="K150" s="364"/>
      <c r="L150" s="364"/>
      <c r="M150" s="364"/>
      <c r="N150" s="364"/>
      <c r="O150" s="364"/>
      <c r="U150" s="182"/>
    </row>
    <row r="151" spans="1:21" s="1" customFormat="1" x14ac:dyDescent="0.2">
      <c r="A151" s="110" t="str">
        <f ca="1">OFFSET(PO!J$12,ROW(A151)-ROW($A$12),0)</f>
        <v>Nível 3</v>
      </c>
      <c r="B151" s="112" t="str">
        <f ca="1">IF($A151=0,"",OFFSET(PO!K$12,ROW(B151)-ROW(B$12),0))</f>
        <v>1.7.3.</v>
      </c>
      <c r="C151" s="109" t="str">
        <f ca="1">IF(OFFSET(PO!N$12,ROW(C151)-ROW(C$12),0)=0,"",OFFSET(PO!N$12,ROW(C151)-ROW(C$12),0))</f>
        <v>MADEIRA</v>
      </c>
      <c r="D151" s="111" t="str">
        <f ca="1">IF(OFFSET(PO!O$12,ROW(D151)-ROW(D$12),0)=0,"",OFFSET(PO!O$12,ROW(D151)-ROW(D$12),0))</f>
        <v/>
      </c>
      <c r="E151" s="140">
        <f ca="1">IF($A151&lt;&gt;"Serviço",0,ROUND(SUMIF($F$9:$P$9,"&lt;&gt;",$F151:$P151),15-13*PO!$X$3))</f>
        <v>0</v>
      </c>
      <c r="F151" s="364">
        <f ca="1">OFFSET(PO!$P$12,ROW($E151)-ROW(F$12),0)</f>
        <v>0</v>
      </c>
      <c r="G151" s="364"/>
      <c r="H151" s="364"/>
      <c r="I151" s="364"/>
      <c r="J151" s="364"/>
      <c r="K151" s="364"/>
      <c r="L151" s="364"/>
      <c r="M151" s="364"/>
      <c r="N151" s="364"/>
      <c r="O151" s="364"/>
      <c r="U151" s="182"/>
    </row>
    <row r="152" spans="1:21" s="1" customFormat="1" ht="63.75" x14ac:dyDescent="0.2">
      <c r="A152" s="110" t="str">
        <f ca="1">OFFSET(PO!J$12,ROW(A152)-ROW($A$12),0)</f>
        <v>Serviço</v>
      </c>
      <c r="B152" s="112" t="str">
        <f ca="1">IF($A152=0,"",OFFSET(PO!K$12,ROW(B152)-ROW(B$12),0))</f>
        <v>1.7.3.0.1.</v>
      </c>
      <c r="C152" s="109" t="str">
        <f ca="1">IF(OFFSET(PO!N$12,ROW(C152)-ROW(C$12),0)=0,"",OFFSET(PO!N$12,ROW(C152)-ROW(C$12),0))</f>
        <v>KIT DE PORTA-PRONTA DE MADEIRA EM ACABAMENTO MELAMÍNICO BRANCO, FOLHA LEVE OU MÉDIA, 80X210CM, EXCLUSIVE FECHADURA, FIXAÇÃO COM PREENCHIMENTO PARCIAL DE ESPUMA EXPANSIVA - FORNECIMENTO E INSTALAÇÃO. AF_10/2025</v>
      </c>
      <c r="D152" s="111" t="str">
        <f ca="1">IF(OFFSET(PO!O$12,ROW(D152)-ROW(D$12),0)=0,"",OFFSET(PO!O$12,ROW(D152)-ROW(D$12),0))</f>
        <v>UN</v>
      </c>
      <c r="E152" s="140">
        <f ca="1">IF($A152&lt;&gt;"Serviço",0,ROUND(SUMIF($F$9:$P$9,"&lt;&gt;",$F152:$P152),15-13*PO!$X$3))</f>
        <v>13</v>
      </c>
      <c r="F152" s="364">
        <f ca="1">OFFSET(PO!$P$12,ROW($E152)-ROW(F$12),0)</f>
        <v>13</v>
      </c>
      <c r="G152" s="364"/>
      <c r="H152" s="364"/>
      <c r="I152" s="364"/>
      <c r="J152" s="364"/>
      <c r="K152" s="364"/>
      <c r="L152" s="364"/>
      <c r="M152" s="364"/>
      <c r="N152" s="364"/>
      <c r="O152" s="364"/>
      <c r="U152" s="182"/>
    </row>
    <row r="153" spans="1:21" s="1" customFormat="1" ht="76.5" x14ac:dyDescent="0.2">
      <c r="A153" s="110" t="str">
        <f ca="1">OFFSET(PO!J$12,ROW(A153)-ROW($A$12),0)</f>
        <v>Serviço</v>
      </c>
      <c r="B153" s="112" t="str">
        <f ca="1">IF($A153=0,"",OFFSET(PO!K$12,ROW(B153)-ROW(B$12),0))</f>
        <v>1.7.3.0.2.</v>
      </c>
      <c r="C153" s="109" t="str">
        <f ca="1">IF(OFFSET(PO!N$12,ROW(C153)-ROW(C$12),0)=0,"",OFFSET(PO!N$12,ROW(C153)-ROW(C$12),0))</f>
        <v>PORTA 02 - KIT PORTA-PRONTA DE MADEIRA EM ACABAMENTO MELAMÍNICO BRANCO, FOLHA LEVE OU MÉDIA, 80X210CM, COM GRELHA TIPO VENEZIANA FIXA EM ALUMÍNIO BRANCO, EXCLUSIVE FECHADURA, FIXAÇÃO COM PREENCHIMENTO DE ESPUMA EXPANSIVA - FORNECIMENTO E INSTALAÇÃO (BASE REF. 90790 ADAPTADA)</v>
      </c>
      <c r="D153" s="111" t="str">
        <f ca="1">IF(OFFSET(PO!O$12,ROW(D153)-ROW(D$12),0)=0,"",OFFSET(PO!O$12,ROW(D153)-ROW(D$12),0))</f>
        <v>UNID</v>
      </c>
      <c r="E153" s="140">
        <f ca="1">IF($A153&lt;&gt;"Serviço",0,ROUND(SUMIF($F$9:$P$9,"&lt;&gt;",$F153:$P153),15-13*PO!$X$3))</f>
        <v>7</v>
      </c>
      <c r="F153" s="364">
        <f ca="1">OFFSET(PO!$P$12,ROW($E153)-ROW(F$12),0)</f>
        <v>7</v>
      </c>
      <c r="G153" s="364"/>
      <c r="H153" s="364"/>
      <c r="I153" s="364"/>
      <c r="J153" s="364"/>
      <c r="K153" s="364"/>
      <c r="L153" s="364"/>
      <c r="M153" s="364"/>
      <c r="N153" s="364"/>
      <c r="O153" s="364"/>
      <c r="U153" s="182"/>
    </row>
    <row r="154" spans="1:21" s="1" customFormat="1" ht="76.5" x14ac:dyDescent="0.2">
      <c r="A154" s="110" t="str">
        <f ca="1">OFFSET(PO!J$12,ROW(A154)-ROW($A$12),0)</f>
        <v>Serviço</v>
      </c>
      <c r="B154" s="112" t="str">
        <f ca="1">IF($A154=0,"",OFFSET(PO!K$12,ROW(B154)-ROW(B$12),0))</f>
        <v>1.7.3.0.3.</v>
      </c>
      <c r="C154" s="109" t="str">
        <f ca="1">IF(OFFSET(PO!N$12,ROW(C154)-ROW(C$12),0)=0,"",OFFSET(PO!N$12,ROW(C154)-ROW(C$12),0))</f>
        <v>PORTA 03 - KIT PORTA-PRONTA DE MADEIRA EM ACABAMENTO MELAMÍNICO BRANCO, FOLHA LEVE OU MÉDIA, 120X210CM, COM GRELHA TIPO VENEZIANA FIXA EM ALUMÍNIO BRANCO, EXCLUSIVE FECHADURA, FIXAÇÃO COM PREENCHIMENTO DE ESPUMA EXPANSIVA - FORNECIMENTO E INSTALAÇÃO (BASE REF. 100675 ADAPTADA)</v>
      </c>
      <c r="D154" s="111" t="str">
        <f ca="1">IF(OFFSET(PO!O$12,ROW(D154)-ROW(D$12),0)=0,"",OFFSET(PO!O$12,ROW(D154)-ROW(D$12),0))</f>
        <v>UNID</v>
      </c>
      <c r="E154" s="140">
        <f ca="1">IF($A154&lt;&gt;"Serviço",0,ROUND(SUMIF($F$9:$P$9,"&lt;&gt;",$F154:$P154),15-13*PO!$X$3))</f>
        <v>2</v>
      </c>
      <c r="F154" s="364">
        <f ca="1">OFFSET(PO!$P$12,ROW($E154)-ROW(F$12),0)</f>
        <v>2</v>
      </c>
      <c r="G154" s="364"/>
      <c r="H154" s="364"/>
      <c r="I154" s="364"/>
      <c r="J154" s="364"/>
      <c r="K154" s="364"/>
      <c r="L154" s="364"/>
      <c r="M154" s="364"/>
      <c r="N154" s="364"/>
      <c r="O154" s="364"/>
      <c r="U154" s="182"/>
    </row>
    <row r="155" spans="1:21" s="1" customFormat="1" ht="63.75" x14ac:dyDescent="0.2">
      <c r="A155" s="110" t="str">
        <f ca="1">OFFSET(PO!J$12,ROW(A155)-ROW($A$12),0)</f>
        <v>Serviço</v>
      </c>
      <c r="B155" s="112" t="str">
        <f ca="1">IF($A155=0,"",OFFSET(PO!K$12,ROW(B155)-ROW(B$12),0))</f>
        <v>1.7.3.0.4.</v>
      </c>
      <c r="C155" s="109" t="str">
        <f ca="1">IF(OFFSET(PO!N$12,ROW(C155)-ROW(C$12),0)=0,"",OFFSET(PO!N$12,ROW(C155)-ROW(C$12),0))</f>
        <v>PORTA 04 - KIT PORTA-PRONTA DE MADEIRA EM ACABAMENTO MELAMÍNICO BRANCO, FOLHA LEVE OU MÉDIA, 120X210CM, EXCLUSIVE FECHADURA, FIXAÇÃO COM PREENCHIMENTO DE ESPUMA EXPANSIVA - FORNECIMENTO E INSTALAÇÃO (BASE REF. 100675 ADAPTADA)</v>
      </c>
      <c r="D155" s="111" t="str">
        <f ca="1">IF(OFFSET(PO!O$12,ROW(D155)-ROW(D$12),0)=0,"",OFFSET(PO!O$12,ROW(D155)-ROW(D$12),0))</f>
        <v>UNID</v>
      </c>
      <c r="E155" s="140">
        <f ca="1">IF($A155&lt;&gt;"Serviço",0,ROUND(SUMIF($F$9:$P$9,"&lt;&gt;",$F155:$P155),15-13*PO!$X$3))</f>
        <v>1</v>
      </c>
      <c r="F155" s="364">
        <f ca="1">OFFSET(PO!$P$12,ROW($E155)-ROW(F$12),0)</f>
        <v>1</v>
      </c>
      <c r="G155" s="364"/>
      <c r="H155" s="364"/>
      <c r="I155" s="364"/>
      <c r="J155" s="364"/>
      <c r="K155" s="364"/>
      <c r="L155" s="364"/>
      <c r="M155" s="364"/>
      <c r="N155" s="364"/>
      <c r="O155" s="364"/>
      <c r="U155" s="182"/>
    </row>
    <row r="156" spans="1:21" s="1" customFormat="1" ht="63.75" x14ac:dyDescent="0.2">
      <c r="A156" s="110" t="str">
        <f ca="1">OFFSET(PO!J$12,ROW(A156)-ROW($A$12),0)</f>
        <v>Serviço</v>
      </c>
      <c r="B156" s="112" t="str">
        <f ca="1">IF($A156=0,"",OFFSET(PO!K$12,ROW(B156)-ROW(B$12),0))</f>
        <v>1.7.3.0.5.</v>
      </c>
      <c r="C156" s="109" t="str">
        <f ca="1">IF(OFFSET(PO!N$12,ROW(C156)-ROW(C$12),0)=0,"",OFFSET(PO!N$12,ROW(C156)-ROW(C$12),0))</f>
        <v>PORTA 05 - KIT PORTA-PRONTA DE MADEIRA EM ACABAMENTO MELAMÍNICO BRANCO, FOLHA LEVE OU MÉDIA, 100X210CM, EXCLUSIVE FECHADURA, FIXAÇÃO COM PREENCHIMENTO DE ESPUMA EXPANSIVA - FORNECIMENTO E INSTALAÇÃO (BASE REF. 100675 ADAPTADA)</v>
      </c>
      <c r="D156" s="111" t="str">
        <f ca="1">IF(OFFSET(PO!O$12,ROW(D156)-ROW(D$12),0)=0,"",OFFSET(PO!O$12,ROW(D156)-ROW(D$12),0))</f>
        <v>UNID</v>
      </c>
      <c r="E156" s="140">
        <f ca="1">IF($A156&lt;&gt;"Serviço",0,ROUND(SUMIF($F$9:$P$9,"&lt;&gt;",$F156:$P156),15-13*PO!$X$3))</f>
        <v>1</v>
      </c>
      <c r="F156" s="364">
        <f ca="1">OFFSET(PO!$P$12,ROW($E156)-ROW(F$12),0)</f>
        <v>1</v>
      </c>
      <c r="G156" s="364"/>
      <c r="H156" s="364"/>
      <c r="I156" s="364"/>
      <c r="J156" s="364"/>
      <c r="K156" s="364"/>
      <c r="L156" s="364"/>
      <c r="M156" s="364"/>
      <c r="N156" s="364"/>
      <c r="O156" s="364"/>
      <c r="U156" s="182"/>
    </row>
    <row r="157" spans="1:21" s="1" customFormat="1" ht="76.5" x14ac:dyDescent="0.2">
      <c r="A157" s="110" t="str">
        <f ca="1">OFFSET(PO!J$12,ROW(A157)-ROW($A$12),0)</f>
        <v>Serviço</v>
      </c>
      <c r="B157" s="112" t="str">
        <f ca="1">IF($A157=0,"",OFFSET(PO!K$12,ROW(B157)-ROW(B$12),0))</f>
        <v>1.7.3.0.6.</v>
      </c>
      <c r="C157" s="109" t="str">
        <f ca="1">IF(OFFSET(PO!N$12,ROW(C157)-ROW(C$12),0)=0,"",OFFSET(PO!N$12,ROW(C157)-ROW(C$12),0))</f>
        <v>PORTA 06 - KIT PORTA-PRONTA DE MADEIRA EM ACABAMENTO MELAMÍNICO BRANCO, FOLHA LEVE OU MÉDIA, 90X210CM, COM PLACA DE PROTEÇÃO COM CHAPA INOX, EXCLUSIVE FECHADURA, FIXAÇÃO COM PREENCHIMENTO DE ESPUMA EXPANSIVA - FORNECIMENTO E INSTALAÇÃO (BASE REF. 100675 ADAPTADA)</v>
      </c>
      <c r="D157" s="111" t="str">
        <f ca="1">IF(OFFSET(PO!O$12,ROW(D157)-ROW(D$12),0)=0,"",OFFSET(PO!O$12,ROW(D157)-ROW(D$12),0))</f>
        <v>UNID</v>
      </c>
      <c r="E157" s="140">
        <f ca="1">IF($A157&lt;&gt;"Serviço",0,ROUND(SUMIF($F$9:$P$9,"&lt;&gt;",$F157:$P157),15-13*PO!$X$3))</f>
        <v>2</v>
      </c>
      <c r="F157" s="364">
        <f ca="1">OFFSET(PO!$P$12,ROW($E157)-ROW(F$12),0)</f>
        <v>2</v>
      </c>
      <c r="G157" s="364"/>
      <c r="H157" s="364"/>
      <c r="I157" s="364"/>
      <c r="J157" s="364"/>
      <c r="K157" s="364"/>
      <c r="L157" s="364"/>
      <c r="M157" s="364"/>
      <c r="N157" s="364"/>
      <c r="O157" s="364"/>
      <c r="U157" s="182"/>
    </row>
    <row r="158" spans="1:21" s="1" customFormat="1" ht="76.5" x14ac:dyDescent="0.2">
      <c r="A158" s="110" t="str">
        <f ca="1">OFFSET(PO!J$12,ROW(A158)-ROW($A$12),0)</f>
        <v>Serviço</v>
      </c>
      <c r="B158" s="112" t="str">
        <f ca="1">IF($A158=0,"",OFFSET(PO!K$12,ROW(B158)-ROW(B$12),0))</f>
        <v>1.7.3.0.7.</v>
      </c>
      <c r="C158" s="109" t="str">
        <f ca="1">IF(OFFSET(PO!N$12,ROW(C158)-ROW(C$12),0)=0,"",OFFSET(PO!N$12,ROW(C158)-ROW(C$12),0))</f>
        <v>PORTA 07 - KIT PORTA-PRONTA DE MADEIRA EM ACABAMENTO MELAMÍNICO BRANCO, FOLHA LEVE OU MÉDIA, 160X210CM, 2 FOLHS, COM 1 VISOR EM CADA FOLHA, EXCLUSIVE FECHADURA, FIXAÇÃO COM PREENCHIMENTO DE ESPUMA EXPANSIVA - FORNECIMENTO E INSTALAÇÃO (BASE REF. 100675 ADAPTADA)</v>
      </c>
      <c r="D158" s="111" t="str">
        <f ca="1">IF(OFFSET(PO!O$12,ROW(D158)-ROW(D$12),0)=0,"",OFFSET(PO!O$12,ROW(D158)-ROW(D$12),0))</f>
        <v>UNID</v>
      </c>
      <c r="E158" s="140">
        <f ca="1">IF($A158&lt;&gt;"Serviço",0,ROUND(SUMIF($F$9:$P$9,"&lt;&gt;",$F158:$P158),15-13*PO!$X$3))</f>
        <v>1</v>
      </c>
      <c r="F158" s="364">
        <f ca="1">OFFSET(PO!$P$12,ROW($E158)-ROW(F$12),0)</f>
        <v>1</v>
      </c>
      <c r="G158" s="364"/>
      <c r="H158" s="364"/>
      <c r="I158" s="364"/>
      <c r="J158" s="364"/>
      <c r="K158" s="364"/>
      <c r="L158" s="364"/>
      <c r="M158" s="364"/>
      <c r="N158" s="364"/>
      <c r="O158" s="364"/>
      <c r="U158" s="182"/>
    </row>
    <row r="159" spans="1:21" s="1" customFormat="1" ht="63.75" x14ac:dyDescent="0.2">
      <c r="A159" s="110" t="str">
        <f ca="1">OFFSET(PO!J$12,ROW(A159)-ROW($A$12),0)</f>
        <v>Serviço</v>
      </c>
      <c r="B159" s="112" t="str">
        <f ca="1">IF($A159=0,"",OFFSET(PO!K$12,ROW(B159)-ROW(B$12),0))</f>
        <v>1.7.3.0.8.</v>
      </c>
      <c r="C159" s="109" t="str">
        <f ca="1">IF(OFFSET(PO!N$12,ROW(C159)-ROW(C$12),0)=0,"",OFFSET(PO!N$12,ROW(C159)-ROW(C$12),0))</f>
        <v>PORTA 08 - KIT PORTA-PRONTA CORTA-FOGO, COM PINTURA BRANCA, ANTI-CHAMAS OU INTUMESCENTE, 220X210CM, 2 FOLHAS, COM 1 VISOR EM CADA FOLHA, COM BARRA ANTIPÂNICO DUPLA E FECHADURA NO LADO OPOSTO - FORNECIMENTO E INSTALAÇÃO</v>
      </c>
      <c r="D159" s="111" t="str">
        <f ca="1">IF(OFFSET(PO!O$12,ROW(D159)-ROW(D$12),0)=0,"",OFFSET(PO!O$12,ROW(D159)-ROW(D$12),0))</f>
        <v>UNID</v>
      </c>
      <c r="E159" s="140">
        <f ca="1">IF($A159&lt;&gt;"Serviço",0,ROUND(SUMIF($F$9:$P$9,"&lt;&gt;",$F159:$P159),15-13*PO!$X$3))</f>
        <v>1</v>
      </c>
      <c r="F159" s="364">
        <f ca="1">OFFSET(PO!$P$12,ROW($E159)-ROW(F$12),0)</f>
        <v>1</v>
      </c>
      <c r="G159" s="364"/>
      <c r="H159" s="364"/>
      <c r="I159" s="364"/>
      <c r="J159" s="364"/>
      <c r="K159" s="364"/>
      <c r="L159" s="364"/>
      <c r="M159" s="364"/>
      <c r="N159" s="364"/>
      <c r="O159" s="364"/>
      <c r="U159" s="182"/>
    </row>
    <row r="160" spans="1:21" s="1" customFormat="1" ht="63.75" x14ac:dyDescent="0.2">
      <c r="A160" s="110" t="str">
        <f ca="1">OFFSET(PO!J$12,ROW(A160)-ROW($A$12),0)</f>
        <v>Serviço</v>
      </c>
      <c r="B160" s="112" t="str">
        <f ca="1">IF($A160=0,"",OFFSET(PO!K$12,ROW(B160)-ROW(B$12),0))</f>
        <v>1.7.3.0.9.</v>
      </c>
      <c r="C160" s="109" t="str">
        <f ca="1">IF(OFFSET(PO!N$12,ROW(C160)-ROW(C$12),0)=0,"",OFFSET(PO!N$12,ROW(C160)-ROW(C$12),0))</f>
        <v>PORTA 09 - KIT PORTA-PRONTA DE MADEIRA EM ACABAMENTO MELAMÍNICO BRANCO, FOLHA LEVE OU MÉDIA, 110X210CM, 2 FOLHAS, EXCLUSIVE FECHADURA, FIXAÇÃO COM PREENCHIMENTO DE ESPUMA EXPANSIVA - FORNECIMENTO E INSTALAÇÃO (BASE REF. 100675 ADAPTADA)</v>
      </c>
      <c r="D160" s="111" t="str">
        <f ca="1">IF(OFFSET(PO!O$12,ROW(D160)-ROW(D$12),0)=0,"",OFFSET(PO!O$12,ROW(D160)-ROW(D$12),0))</f>
        <v>UNID</v>
      </c>
      <c r="E160" s="140">
        <f ca="1">IF($A160&lt;&gt;"Serviço",0,ROUND(SUMIF($F$9:$P$9,"&lt;&gt;",$F160:$P160),15-13*PO!$X$3))</f>
        <v>1</v>
      </c>
      <c r="F160" s="364">
        <f ca="1">OFFSET(PO!$P$12,ROW($E160)-ROW(F$12),0)</f>
        <v>1</v>
      </c>
      <c r="G160" s="364"/>
      <c r="H160" s="364"/>
      <c r="I160" s="364"/>
      <c r="J160" s="364"/>
      <c r="K160" s="364"/>
      <c r="L160" s="364"/>
      <c r="M160" s="364"/>
      <c r="N160" s="364"/>
      <c r="O160" s="364"/>
      <c r="U160" s="182"/>
    </row>
    <row r="161" spans="1:21" s="1" customFormat="1" ht="51" x14ac:dyDescent="0.2">
      <c r="A161" s="110" t="str">
        <f ca="1">OFFSET(PO!J$12,ROW(A161)-ROW($A$12),0)</f>
        <v>Serviço</v>
      </c>
      <c r="B161" s="112" t="str">
        <f ca="1">IF($A161=0,"",OFFSET(PO!K$12,ROW(B161)-ROW(B$12),0))</f>
        <v>1.7.3.0.10.</v>
      </c>
      <c r="C161" s="109" t="str">
        <f ca="1">IF(OFFSET(PO!N$12,ROW(C161)-ROW(C$12),0)=0,"",OFFSET(PO!N$12,ROW(C161)-ROW(C$12),0))</f>
        <v>FECHADURA DE EMBUTIR COM CILINDRO, EXTERNA, COMPLETA, ACABAMENTO PADRÃO MÉDIO, INCLUSO EXECUÇÃO DE FURO - FORNECIMENTO E INSTALAÇÃO. AF_10/2025</v>
      </c>
      <c r="D161" s="111" t="str">
        <f ca="1">IF(OFFSET(PO!O$12,ROW(D161)-ROW(D$12),0)=0,"",OFFSET(PO!O$12,ROW(D161)-ROW(D$12),0))</f>
        <v>UN</v>
      </c>
      <c r="E161" s="140">
        <f ca="1">IF($A161&lt;&gt;"Serviço",0,ROUND(SUMIF($F$9:$P$9,"&lt;&gt;",$F161:$P161),15-13*PO!$X$3))</f>
        <v>30</v>
      </c>
      <c r="F161" s="364">
        <f ca="1">OFFSET(PO!$P$12,ROW($E161)-ROW(F$12),0)</f>
        <v>30</v>
      </c>
      <c r="G161" s="364"/>
      <c r="H161" s="364"/>
      <c r="I161" s="364"/>
      <c r="J161" s="364"/>
      <c r="K161" s="364"/>
      <c r="L161" s="364"/>
      <c r="M161" s="364"/>
      <c r="N161" s="364"/>
      <c r="O161" s="364"/>
      <c r="U161" s="182"/>
    </row>
    <row r="162" spans="1:21" s="1" customFormat="1" x14ac:dyDescent="0.2">
      <c r="A162" s="110" t="str">
        <f ca="1">OFFSET(PO!J$12,ROW(A162)-ROW($A$12),0)</f>
        <v>Nível 2</v>
      </c>
      <c r="B162" s="112" t="str">
        <f ca="1">IF($A162=0,"",OFFSET(PO!K$12,ROW(B162)-ROW(B$12),0))</f>
        <v>1.8.</v>
      </c>
      <c r="C162" s="109" t="str">
        <f ca="1">IF(OFFSET(PO!N$12,ROW(C162)-ROW(C$12),0)=0,"",OFFSET(PO!N$12,ROW(C162)-ROW(C$12),0))</f>
        <v>COBERTURA</v>
      </c>
      <c r="D162" s="111" t="str">
        <f ca="1">IF(OFFSET(PO!O$12,ROW(D162)-ROW(D$12),0)=0,"",OFFSET(PO!O$12,ROW(D162)-ROW(D$12),0))</f>
        <v/>
      </c>
      <c r="E162" s="140">
        <f ca="1">IF($A162&lt;&gt;"Serviço",0,ROUND(SUMIF($F$9:$P$9,"&lt;&gt;",$F162:$P162),15-13*PO!$X$3))</f>
        <v>0</v>
      </c>
      <c r="F162" s="364">
        <f ca="1">OFFSET(PO!$P$12,ROW($E162)-ROW(F$12),0)</f>
        <v>0</v>
      </c>
      <c r="G162" s="364"/>
      <c r="H162" s="364"/>
      <c r="I162" s="364"/>
      <c r="J162" s="364"/>
      <c r="K162" s="364"/>
      <c r="L162" s="364"/>
      <c r="M162" s="364"/>
      <c r="N162" s="364"/>
      <c r="O162" s="364"/>
      <c r="U162" s="182"/>
    </row>
    <row r="163" spans="1:21" s="1" customFormat="1" x14ac:dyDescent="0.2">
      <c r="A163" s="110" t="str">
        <f ca="1">OFFSET(PO!J$12,ROW(A163)-ROW($A$12),0)</f>
        <v>Nível 3</v>
      </c>
      <c r="B163" s="112" t="str">
        <f ca="1">IF($A163=0,"",OFFSET(PO!K$12,ROW(B163)-ROW(B$12),0))</f>
        <v>1.8.1.</v>
      </c>
      <c r="C163" s="109" t="str">
        <f ca="1">IF(OFFSET(PO!N$12,ROW(C163)-ROW(C$12),0)=0,"",OFFSET(PO!N$12,ROW(C163)-ROW(C$12),0))</f>
        <v>REVISÃO TELHADO EXISTENTE</v>
      </c>
      <c r="D163" s="111" t="str">
        <f ca="1">IF(OFFSET(PO!O$12,ROW(D163)-ROW(D$12),0)=0,"",OFFSET(PO!O$12,ROW(D163)-ROW(D$12),0))</f>
        <v/>
      </c>
      <c r="E163" s="140">
        <f ca="1">IF($A163&lt;&gt;"Serviço",0,ROUND(SUMIF($F$9:$P$9,"&lt;&gt;",$F163:$P163),15-13*PO!$X$3))</f>
        <v>0</v>
      </c>
      <c r="F163" s="364">
        <f ca="1">OFFSET(PO!$P$12,ROW($E163)-ROW(F$12),0)</f>
        <v>0</v>
      </c>
      <c r="G163" s="364"/>
      <c r="H163" s="364"/>
      <c r="I163" s="364"/>
      <c r="J163" s="364"/>
      <c r="K163" s="364"/>
      <c r="L163" s="364"/>
      <c r="M163" s="364"/>
      <c r="N163" s="364"/>
      <c r="O163" s="364"/>
      <c r="U163" s="182"/>
    </row>
    <row r="164" spans="1:21" s="1" customFormat="1" x14ac:dyDescent="0.2">
      <c r="A164" s="110" t="str">
        <f ca="1">OFFSET(PO!J$12,ROW(A164)-ROW($A$12),0)</f>
        <v>Serviço</v>
      </c>
      <c r="B164" s="112" t="str">
        <f ca="1">IF($A164=0,"",OFFSET(PO!K$12,ROW(B164)-ROW(B$12),0))</f>
        <v>1.8.1.0.1.</v>
      </c>
      <c r="C164" s="109" t="str">
        <f ca="1">IF(OFFSET(PO!N$12,ROW(C164)-ROW(C$12),0)=0,"",OFFSET(PO!N$12,ROW(C164)-ROW(C$12),0))</f>
        <v>TELHADISTA COM ENCARGOS COMPLEMENTARES</v>
      </c>
      <c r="D164" s="111" t="str">
        <f ca="1">IF(OFFSET(PO!O$12,ROW(D164)-ROW(D$12),0)=0,"",OFFSET(PO!O$12,ROW(D164)-ROW(D$12),0))</f>
        <v>H</v>
      </c>
      <c r="E164" s="140">
        <f ca="1">IF($A164&lt;&gt;"Serviço",0,ROUND(SUMIF($F$9:$P$9,"&lt;&gt;",$F164:$P164),15-13*PO!$X$3))</f>
        <v>40</v>
      </c>
      <c r="F164" s="364">
        <f ca="1">OFFSET(PO!$P$12,ROW($E164)-ROW(F$12),0)</f>
        <v>40</v>
      </c>
      <c r="G164" s="364"/>
      <c r="H164" s="364"/>
      <c r="I164" s="364"/>
      <c r="J164" s="364"/>
      <c r="K164" s="364"/>
      <c r="L164" s="364"/>
      <c r="M164" s="364"/>
      <c r="N164" s="364"/>
      <c r="O164" s="364"/>
      <c r="U164" s="182"/>
    </row>
    <row r="165" spans="1:21" s="1" customFormat="1" x14ac:dyDescent="0.2">
      <c r="A165" s="110" t="str">
        <f ca="1">OFFSET(PO!J$12,ROW(A165)-ROW($A$12),0)</f>
        <v>Serviço</v>
      </c>
      <c r="B165" s="112" t="str">
        <f ca="1">IF($A165=0,"",OFFSET(PO!K$12,ROW(B165)-ROW(B$12),0))</f>
        <v>1.8.1.0.2.</v>
      </c>
      <c r="C165" s="109" t="str">
        <f ca="1">IF(OFFSET(PO!N$12,ROW(C165)-ROW(C$12),0)=0,"",OFFSET(PO!N$12,ROW(C165)-ROW(C$12),0))</f>
        <v>ELETRICISTA COM ENCARGOS COMPLEMENTARES</v>
      </c>
      <c r="D165" s="111" t="str">
        <f ca="1">IF(OFFSET(PO!O$12,ROW(D165)-ROW(D$12),0)=0,"",OFFSET(PO!O$12,ROW(D165)-ROW(D$12),0))</f>
        <v>H</v>
      </c>
      <c r="E165" s="140">
        <f ca="1">IF($A165&lt;&gt;"Serviço",0,ROUND(SUMIF($F$9:$P$9,"&lt;&gt;",$F165:$P165),15-13*PO!$X$3))</f>
        <v>20</v>
      </c>
      <c r="F165" s="364">
        <f ca="1">OFFSET(PO!$P$12,ROW($E165)-ROW(F$12),0)</f>
        <v>20</v>
      </c>
      <c r="G165" s="364"/>
      <c r="H165" s="364"/>
      <c r="I165" s="364"/>
      <c r="J165" s="364"/>
      <c r="K165" s="364"/>
      <c r="L165" s="364"/>
      <c r="M165" s="364"/>
      <c r="N165" s="364"/>
      <c r="O165" s="364"/>
      <c r="U165" s="182"/>
    </row>
    <row r="166" spans="1:21" s="1" customFormat="1" ht="25.5" x14ac:dyDescent="0.2">
      <c r="A166" s="110" t="str">
        <f ca="1">OFFSET(PO!J$12,ROW(A166)-ROW($A$12),0)</f>
        <v>Serviço</v>
      </c>
      <c r="B166" s="112" t="str">
        <f ca="1">IF($A166=0,"",OFFSET(PO!K$12,ROW(B166)-ROW(B$12),0))</f>
        <v>1.8.1.0.3.</v>
      </c>
      <c r="C166" s="109" t="str">
        <f ca="1">IF(OFFSET(PO!N$12,ROW(C166)-ROW(C$12),0)=0,"",OFFSET(PO!N$12,ROW(C166)-ROW(C$12),0))</f>
        <v>AUXILIAR DE ELETRICISTA COM ENCARGOS COMPLEMENTARES</v>
      </c>
      <c r="D166" s="111" t="str">
        <f ca="1">IF(OFFSET(PO!O$12,ROW(D166)-ROW(D$12),0)=0,"",OFFSET(PO!O$12,ROW(D166)-ROW(D$12),0))</f>
        <v>H</v>
      </c>
      <c r="E166" s="140">
        <f ca="1">IF($A166&lt;&gt;"Serviço",0,ROUND(SUMIF($F$9:$P$9,"&lt;&gt;",$F166:$P166),15-13*PO!$X$3))</f>
        <v>20</v>
      </c>
      <c r="F166" s="364">
        <f ca="1">OFFSET(PO!$P$12,ROW($E166)-ROW(F$12),0)</f>
        <v>20</v>
      </c>
      <c r="G166" s="364"/>
      <c r="H166" s="364"/>
      <c r="I166" s="364"/>
      <c r="J166" s="364"/>
      <c r="K166" s="364"/>
      <c r="L166" s="364"/>
      <c r="M166" s="364"/>
      <c r="N166" s="364"/>
      <c r="O166" s="364"/>
      <c r="U166" s="182"/>
    </row>
    <row r="167" spans="1:21" s="1" customFormat="1" x14ac:dyDescent="0.2">
      <c r="A167" s="110" t="str">
        <f ca="1">OFFSET(PO!J$12,ROW(A167)-ROW($A$12),0)</f>
        <v>Serviço</v>
      </c>
      <c r="B167" s="112" t="str">
        <f ca="1">IF($A167=0,"",OFFSET(PO!K$12,ROW(B167)-ROW(B$12),0))</f>
        <v>1.8.1.0.4.</v>
      </c>
      <c r="C167" s="109" t="str">
        <f ca="1">IF(OFFSET(PO!N$12,ROW(C167)-ROW(C$12),0)=0,"",OFFSET(PO!N$12,ROW(C167)-ROW(C$12),0))</f>
        <v>RETIRADA DE PAINÉIS SOLARES</v>
      </c>
      <c r="D167" s="111" t="str">
        <f ca="1">IF(OFFSET(PO!O$12,ROW(D167)-ROW(D$12),0)=0,"",OFFSET(PO!O$12,ROW(D167)-ROW(D$12),0))</f>
        <v>M2</v>
      </c>
      <c r="E167" s="140">
        <f ca="1">IF($A167&lt;&gt;"Serviço",0,ROUND(SUMIF($F$9:$P$9,"&lt;&gt;",$F167:$P167),15-13*PO!$X$3))</f>
        <v>50</v>
      </c>
      <c r="F167" s="364">
        <f ca="1">OFFSET(PO!$P$12,ROW($E167)-ROW(F$12),0)</f>
        <v>50</v>
      </c>
      <c r="G167" s="364"/>
      <c r="H167" s="364"/>
      <c r="I167" s="364"/>
      <c r="J167" s="364"/>
      <c r="K167" s="364"/>
      <c r="L167" s="364"/>
      <c r="M167" s="364"/>
      <c r="N167" s="364"/>
      <c r="O167" s="364"/>
      <c r="U167" s="182"/>
    </row>
    <row r="168" spans="1:21" s="1" customFormat="1" ht="25.5" x14ac:dyDescent="0.2">
      <c r="A168" s="110" t="str">
        <f ca="1">OFFSET(PO!J$12,ROW(A168)-ROW($A$12),0)</f>
        <v>Serviço</v>
      </c>
      <c r="B168" s="112" t="str">
        <f ca="1">IF($A168=0,"",OFFSET(PO!K$12,ROW(B168)-ROW(B$12),0))</f>
        <v>1.8.1.0.5.</v>
      </c>
      <c r="C168" s="109" t="str">
        <f ca="1">IF(OFFSET(PO!N$12,ROW(C168)-ROW(C$12),0)=0,"",OFFSET(PO!N$12,ROW(C168)-ROW(C$12),0))</f>
        <v>DEMOLIÇÃO DE ALVENARIA DE BLOCO FURADO, DE FORMA MANUAL, SEM REAPROVEITAMENTO. AF_09/2023</v>
      </c>
      <c r="D168" s="111" t="str">
        <f ca="1">IF(OFFSET(PO!O$12,ROW(D168)-ROW(D$12),0)=0,"",OFFSET(PO!O$12,ROW(D168)-ROW(D$12),0))</f>
        <v>M3</v>
      </c>
      <c r="E168" s="140">
        <f ca="1">IF($A168&lt;&gt;"Serviço",0,ROUND(SUMIF($F$9:$P$9,"&lt;&gt;",$F168:$P168),15-13*PO!$X$3))</f>
        <v>1.97</v>
      </c>
      <c r="F168" s="364">
        <f ca="1">OFFSET(PO!$P$12,ROW($E168)-ROW(F$12),0)</f>
        <v>1.97</v>
      </c>
      <c r="G168" s="364"/>
      <c r="H168" s="364"/>
      <c r="I168" s="364"/>
      <c r="J168" s="364"/>
      <c r="K168" s="364"/>
      <c r="L168" s="364"/>
      <c r="M168" s="364"/>
      <c r="N168" s="364"/>
      <c r="O168" s="364"/>
      <c r="U168" s="182"/>
    </row>
    <row r="169" spans="1:21" s="1" customFormat="1" ht="25.5" x14ac:dyDescent="0.2">
      <c r="A169" s="110" t="str">
        <f ca="1">OFFSET(PO!J$12,ROW(A169)-ROW($A$12),0)</f>
        <v>Serviço</v>
      </c>
      <c r="B169" s="112" t="str">
        <f ca="1">IF($A169=0,"",OFFSET(PO!K$12,ROW(B169)-ROW(B$12),0))</f>
        <v>1.8.1.0.6.</v>
      </c>
      <c r="C169" s="109" t="str">
        <f ca="1">IF(OFFSET(PO!N$12,ROW(C169)-ROW(C$12),0)=0,"",OFFSET(PO!N$12,ROW(C169)-ROW(C$12),0))</f>
        <v>REMOÇÃO CALHAS E RUFOS, DE FORMA MANUAL, SEM REAPROVEITAMENTO. AF_09/2023</v>
      </c>
      <c r="D169" s="111" t="str">
        <f ca="1">IF(OFFSET(PO!O$12,ROW(D169)-ROW(D$12),0)=0,"",OFFSET(PO!O$12,ROW(D169)-ROW(D$12),0))</f>
        <v>M</v>
      </c>
      <c r="E169" s="140">
        <f ca="1">IF($A169&lt;&gt;"Serviço",0,ROUND(SUMIF($F$9:$P$9,"&lt;&gt;",$F169:$P169),15-13*PO!$X$3))</f>
        <v>19.7</v>
      </c>
      <c r="F169" s="364">
        <f ca="1">OFFSET(PO!$P$12,ROW($E169)-ROW(F$12),0)</f>
        <v>19.7</v>
      </c>
      <c r="G169" s="364"/>
      <c r="H169" s="364"/>
      <c r="I169" s="364"/>
      <c r="J169" s="364"/>
      <c r="K169" s="364"/>
      <c r="L169" s="364"/>
      <c r="M169" s="364"/>
      <c r="N169" s="364"/>
      <c r="O169" s="364"/>
      <c r="U169" s="182"/>
    </row>
    <row r="170" spans="1:21" s="1" customFormat="1" ht="38.25" x14ac:dyDescent="0.2">
      <c r="A170" s="110" t="str">
        <f ca="1">OFFSET(PO!J$12,ROW(A170)-ROW($A$12),0)</f>
        <v>Serviço</v>
      </c>
      <c r="B170" s="112" t="str">
        <f ca="1">IF($A170=0,"",OFFSET(PO!K$12,ROW(B170)-ROW(B$12),0))</f>
        <v>1.8.1.0.7.</v>
      </c>
      <c r="C170" s="109" t="str">
        <f ca="1">IF(OFFSET(PO!N$12,ROW(C170)-ROW(C$12),0)=0,"",OFFSET(PO!N$12,ROW(C170)-ROW(C$12),0))</f>
        <v>REMOÇÃO DE TELHAS DE FIBROCIMENTO METÁLICA E CERÂMICA, DE FORMA MANUAL, SEM REAPROVEITAMENTO. AF_09/2023</v>
      </c>
      <c r="D170" s="111" t="str">
        <f ca="1">IF(OFFSET(PO!O$12,ROW(D170)-ROW(D$12),0)=0,"",OFFSET(PO!O$12,ROW(D170)-ROW(D$12),0))</f>
        <v>M2</v>
      </c>
      <c r="E170" s="140">
        <f ca="1">IF($A170&lt;&gt;"Serviço",0,ROUND(SUMIF($F$9:$P$9,"&lt;&gt;",$F170:$P170),15-13*PO!$X$3))</f>
        <v>64.52</v>
      </c>
      <c r="F170" s="364">
        <f ca="1">OFFSET(PO!$P$12,ROW($E170)-ROW(F$12),0)</f>
        <v>64.52</v>
      </c>
      <c r="G170" s="364"/>
      <c r="H170" s="364"/>
      <c r="I170" s="364"/>
      <c r="J170" s="364"/>
      <c r="K170" s="364"/>
      <c r="L170" s="364"/>
      <c r="M170" s="364"/>
      <c r="N170" s="364"/>
      <c r="O170" s="364"/>
      <c r="U170" s="182"/>
    </row>
    <row r="171" spans="1:21" s="1" customFormat="1" ht="25.5" x14ac:dyDescent="0.2">
      <c r="A171" s="110" t="str">
        <f ca="1">OFFSET(PO!J$12,ROW(A171)-ROW($A$12),0)</f>
        <v>Serviço</v>
      </c>
      <c r="B171" s="112" t="str">
        <f ca="1">IF($A171=0,"",OFFSET(PO!K$12,ROW(B171)-ROW(B$12),0))</f>
        <v>1.8.1.0.8.</v>
      </c>
      <c r="C171" s="109" t="str">
        <f ca="1">IF(OFFSET(PO!N$12,ROW(C171)-ROW(C$12),0)=0,"",OFFSET(PO!N$12,ROW(C171)-ROW(C$12),0))</f>
        <v>REMOÇÃO DE TRAMA DE MADEIRA PARA COBERTURA, DE FORMA MANUAL, SEM REAPROVEITAMENTO. AF_09/2023</v>
      </c>
      <c r="D171" s="111" t="str">
        <f ca="1">IF(OFFSET(PO!O$12,ROW(D171)-ROW(D$12),0)=0,"",OFFSET(PO!O$12,ROW(D171)-ROW(D$12),0))</f>
        <v>M2</v>
      </c>
      <c r="E171" s="140">
        <f ca="1">IF($A171&lt;&gt;"Serviço",0,ROUND(SUMIF($F$9:$P$9,"&lt;&gt;",$F171:$P171),15-13*PO!$X$3))</f>
        <v>64.52</v>
      </c>
      <c r="F171" s="364">
        <f ca="1">OFFSET(PO!$P$12,ROW($E171)-ROW(F$12),0)</f>
        <v>64.52</v>
      </c>
      <c r="G171" s="364"/>
      <c r="H171" s="364"/>
      <c r="I171" s="364"/>
      <c r="J171" s="364"/>
      <c r="K171" s="364"/>
      <c r="L171" s="364"/>
      <c r="M171" s="364"/>
      <c r="N171" s="364"/>
      <c r="O171" s="364"/>
      <c r="U171" s="182"/>
    </row>
    <row r="172" spans="1:21" s="1" customFormat="1" ht="38.25" x14ac:dyDescent="0.2">
      <c r="A172" s="110" t="str">
        <f ca="1">OFFSET(PO!J$12,ROW(A172)-ROW($A$12),0)</f>
        <v>Serviço</v>
      </c>
      <c r="B172" s="112" t="str">
        <f ca="1">IF($A172=0,"",OFFSET(PO!K$12,ROW(B172)-ROW(B$12),0))</f>
        <v>1.8.1.0.9.</v>
      </c>
      <c r="C172" s="109" t="str">
        <f ca="1">IF(OFFSET(PO!N$12,ROW(C172)-ROW(C$12),0)=0,"",OFFSET(PO!N$12,ROW(C172)-ROW(C$12),0))</f>
        <v>REMOÇÃO DE TESOURAS DE MADEIRA, COM VÃO MENOR QUE 8M, DE FORMA MANUAL, SEM REAPROVEITAMENTO. AF_09/2023</v>
      </c>
      <c r="D172" s="111" t="str">
        <f ca="1">IF(OFFSET(PO!O$12,ROW(D172)-ROW(D$12),0)=0,"",OFFSET(PO!O$12,ROW(D172)-ROW(D$12),0))</f>
        <v>UN</v>
      </c>
      <c r="E172" s="140">
        <f ca="1">IF($A172&lt;&gt;"Serviço",0,ROUND(SUMIF($F$9:$P$9,"&lt;&gt;",$F172:$P172),15-13*PO!$X$3))</f>
        <v>6</v>
      </c>
      <c r="F172" s="364">
        <f ca="1">OFFSET(PO!$P$12,ROW($E172)-ROW(F$12),0)</f>
        <v>6</v>
      </c>
      <c r="G172" s="364"/>
      <c r="H172" s="364"/>
      <c r="I172" s="364"/>
      <c r="J172" s="364"/>
      <c r="K172" s="364"/>
      <c r="L172" s="364"/>
      <c r="M172" s="364"/>
      <c r="N172" s="364"/>
      <c r="O172" s="364"/>
      <c r="U172" s="182"/>
    </row>
    <row r="173" spans="1:21" s="1" customFormat="1" ht="51" x14ac:dyDescent="0.2">
      <c r="A173" s="110" t="str">
        <f ca="1">OFFSET(PO!J$12,ROW(A173)-ROW($A$12),0)</f>
        <v>Serviço</v>
      </c>
      <c r="B173" s="112" t="str">
        <f ca="1">IF($A173=0,"",OFFSET(PO!K$12,ROW(B173)-ROW(B$12),0))</f>
        <v>1.8.1.0.10.</v>
      </c>
      <c r="C173" s="109" t="str">
        <f ca="1">IF(OFFSET(PO!N$12,ROW(C173)-ROW(C$12),0)=0,"",OFFSET(PO!N$12,ROW(C173)-ROW(C$12),0))</f>
        <v>FABRICAÇÃO E INSTALAÇÃO DE MEIA TESOURA DE MADEIRA NÃO APARELHADA, COM VÃO DE 3 M, PARA TELHA ONDULADA DE FIBROCIMENTO, ALUMÍNIO, PLÁSTICA OU TERMOACÚSTICA, INCLUSO IÇAMENTO. AF_10/2025</v>
      </c>
      <c r="D173" s="111" t="str">
        <f ca="1">IF(OFFSET(PO!O$12,ROW(D173)-ROW(D$12),0)=0,"",OFFSET(PO!O$12,ROW(D173)-ROW(D$12),0))</f>
        <v>UN</v>
      </c>
      <c r="E173" s="140">
        <f ca="1">IF($A173&lt;&gt;"Serviço",0,ROUND(SUMIF($F$9:$P$9,"&lt;&gt;",$F173:$P173),15-13*PO!$X$3))</f>
        <v>4</v>
      </c>
      <c r="F173" s="364">
        <f ca="1">OFFSET(PO!$P$12,ROW($E173)-ROW(F$12),0)</f>
        <v>4</v>
      </c>
      <c r="G173" s="364"/>
      <c r="H173" s="364"/>
      <c r="I173" s="364"/>
      <c r="J173" s="364"/>
      <c r="K173" s="364"/>
      <c r="L173" s="364"/>
      <c r="M173" s="364"/>
      <c r="N173" s="364"/>
      <c r="O173" s="364"/>
      <c r="U173" s="182"/>
    </row>
    <row r="174" spans="1:21" s="1" customFormat="1" ht="51" x14ac:dyDescent="0.2">
      <c r="A174" s="110" t="str">
        <f ca="1">OFFSET(PO!J$12,ROW(A174)-ROW($A$12),0)</f>
        <v>Serviço</v>
      </c>
      <c r="B174" s="112" t="str">
        <f ca="1">IF($A174=0,"",OFFSET(PO!K$12,ROW(B174)-ROW(B$12),0))</f>
        <v>1.8.1.0.11.</v>
      </c>
      <c r="C174" s="109" t="str">
        <f ca="1">IF(OFFSET(PO!N$12,ROW(C174)-ROW(C$12),0)=0,"",OFFSET(PO!N$12,ROW(C174)-ROW(C$12),0))</f>
        <v>FABRICAÇÃO E INSTALAÇÃO DE MEIA TESOURA DE MADEIRA NÃO APARELHADA, COM VÃO DE 7 M, PARA TELHA ONDULADA DE FIBROCIMENTO, ALUMÍNIO, PLÁSTICA OU TERMOACÚSTICA, INCLUSO IÇAMENTO. AF_10/2025</v>
      </c>
      <c r="D174" s="111" t="str">
        <f ca="1">IF(OFFSET(PO!O$12,ROW(D174)-ROW(D$12),0)=0,"",OFFSET(PO!O$12,ROW(D174)-ROW(D$12),0))</f>
        <v>UN</v>
      </c>
      <c r="E174" s="140">
        <f ca="1">IF($A174&lt;&gt;"Serviço",0,ROUND(SUMIF($F$9:$P$9,"&lt;&gt;",$F174:$P174),15-13*PO!$X$3))</f>
        <v>2</v>
      </c>
      <c r="F174" s="364">
        <f ca="1">OFFSET(PO!$P$12,ROW($E174)-ROW(F$12),0)</f>
        <v>2</v>
      </c>
      <c r="G174" s="364"/>
      <c r="H174" s="364"/>
      <c r="I174" s="364"/>
      <c r="J174" s="364"/>
      <c r="K174" s="364"/>
      <c r="L174" s="364"/>
      <c r="M174" s="364"/>
      <c r="N174" s="364"/>
      <c r="O174" s="364"/>
      <c r="U174" s="182"/>
    </row>
    <row r="175" spans="1:21" s="1" customFormat="1" ht="51" x14ac:dyDescent="0.2">
      <c r="A175" s="110" t="str">
        <f ca="1">OFFSET(PO!J$12,ROW(A175)-ROW($A$12),0)</f>
        <v>Serviço</v>
      </c>
      <c r="B175" s="112" t="str">
        <f ca="1">IF($A175=0,"",OFFSET(PO!K$12,ROW(B175)-ROW(B$12),0))</f>
        <v>1.8.1.0.12.</v>
      </c>
      <c r="C175" s="109" t="str">
        <f ca="1">IF(OFFSET(PO!N$12,ROW(C175)-ROW(C$12),0)=0,"",OFFSET(PO!N$12,ROW(C175)-ROW(C$12),0))</f>
        <v>TRAMA DE MADEIRA COMPOSTA POR TERÇAS PARA TELHADOS DE ATÉ 2 ÁGUAS PARA TELHA ONDULADA DE FIBROCIMENTO, METÁLICA, PLÁSTICA OU TERMOACÚSTICA, INCLUSO TRANSPORTE VERTICAL. AF_10/2025</v>
      </c>
      <c r="D175" s="111" t="str">
        <f ca="1">IF(OFFSET(PO!O$12,ROW(D175)-ROW(D$12),0)=0,"",OFFSET(PO!O$12,ROW(D175)-ROW(D$12),0))</f>
        <v>M2</v>
      </c>
      <c r="E175" s="140">
        <f ca="1">IF($A175&lt;&gt;"Serviço",0,ROUND(SUMIF($F$9:$P$9,"&lt;&gt;",$F175:$P175),15-13*PO!$X$3))</f>
        <v>37.869999999999997</v>
      </c>
      <c r="F175" s="364">
        <f ca="1">OFFSET(PO!$P$12,ROW($E175)-ROW(F$12),0)</f>
        <v>37.869999999999997</v>
      </c>
      <c r="G175" s="364"/>
      <c r="H175" s="364"/>
      <c r="I175" s="364"/>
      <c r="J175" s="364"/>
      <c r="K175" s="364"/>
      <c r="L175" s="364"/>
      <c r="M175" s="364"/>
      <c r="N175" s="364"/>
      <c r="O175" s="364"/>
      <c r="U175" s="182"/>
    </row>
    <row r="176" spans="1:21" s="1" customFormat="1" ht="51" x14ac:dyDescent="0.2">
      <c r="A176" s="110" t="str">
        <f ca="1">OFFSET(PO!J$12,ROW(A176)-ROW($A$12),0)</f>
        <v>Serviço</v>
      </c>
      <c r="B176" s="112" t="str">
        <f ca="1">IF($A176=0,"",OFFSET(PO!K$12,ROW(B176)-ROW(B$12),0))</f>
        <v>1.8.1.0.13.</v>
      </c>
      <c r="C176" s="109" t="str">
        <f ca="1">IF(OFFSET(PO!N$12,ROW(C176)-ROW(C$12),0)=0,"",OFFSET(PO!N$12,ROW(C176)-ROW(C$12),0))</f>
        <v>TELHAMENTO COM TELHA ONDULADA DE FIBROCIMENTO E = 6 MM, COM RECOBRIMENTO LATERAL DE 1 1/4 DE ONDA PARA TELHADO COM INCLINAÇÃO MÁXIMA DE 10°, COM ATÉ 2 ÁGUAS, INCLUSO IÇAMENTO. AF_07/2019</v>
      </c>
      <c r="D176" s="111" t="str">
        <f ca="1">IF(OFFSET(PO!O$12,ROW(D176)-ROW(D$12),0)=0,"",OFFSET(PO!O$12,ROW(D176)-ROW(D$12),0))</f>
        <v>M2</v>
      </c>
      <c r="E176" s="140">
        <f ca="1">IF($A176&lt;&gt;"Serviço",0,ROUND(SUMIF($F$9:$P$9,"&lt;&gt;",$F176:$P176),15-13*PO!$X$3))</f>
        <v>37.869999999999997</v>
      </c>
      <c r="F176" s="364">
        <f ca="1">OFFSET(PO!$P$12,ROW($E176)-ROW(F$12),0)</f>
        <v>37.869999999999997</v>
      </c>
      <c r="G176" s="364"/>
      <c r="H176" s="364"/>
      <c r="I176" s="364"/>
      <c r="J176" s="364"/>
      <c r="K176" s="364"/>
      <c r="L176" s="364"/>
      <c r="M176" s="364"/>
      <c r="N176" s="364"/>
      <c r="O176" s="364"/>
      <c r="U176" s="182"/>
    </row>
    <row r="177" spans="1:21" s="1" customFormat="1" ht="25.5" x14ac:dyDescent="0.2">
      <c r="A177" s="110" t="str">
        <f ca="1">OFFSET(PO!J$12,ROW(A177)-ROW($A$12),0)</f>
        <v>Serviço</v>
      </c>
      <c r="B177" s="112" t="str">
        <f ca="1">IF($A177=0,"",OFFSET(PO!K$12,ROW(B177)-ROW(B$12),0))</f>
        <v>1.8.1.0.14.</v>
      </c>
      <c r="C177" s="109" t="str">
        <f ca="1">IF(OFFSET(PO!N$12,ROW(C177)-ROW(C$12),0)=0,"",OFFSET(PO!N$12,ROW(C177)-ROW(C$12),0))</f>
        <v>CHAPIM (RUFO CAPA) EM AÇO GALVANIZADO, CORTE 33. AF_11/2020</v>
      </c>
      <c r="D177" s="111" t="str">
        <f ca="1">IF(OFFSET(PO!O$12,ROW(D177)-ROW(D$12),0)=0,"",OFFSET(PO!O$12,ROW(D177)-ROW(D$12),0))</f>
        <v>M</v>
      </c>
      <c r="E177" s="140">
        <f ca="1">IF($A177&lt;&gt;"Serviço",0,ROUND(SUMIF($F$9:$P$9,"&lt;&gt;",$F177:$P177),15-13*PO!$X$3))</f>
        <v>2</v>
      </c>
      <c r="F177" s="364">
        <f ca="1">OFFSET(PO!$P$12,ROW($E177)-ROW(F$12),0)</f>
        <v>2</v>
      </c>
      <c r="G177" s="364"/>
      <c r="H177" s="364"/>
      <c r="I177" s="364"/>
      <c r="J177" s="364"/>
      <c r="K177" s="364"/>
      <c r="L177" s="364"/>
      <c r="M177" s="364"/>
      <c r="N177" s="364"/>
      <c r="O177" s="364"/>
      <c r="U177" s="182"/>
    </row>
    <row r="178" spans="1:21" s="1" customFormat="1" ht="25.5" x14ac:dyDescent="0.2">
      <c r="A178" s="110" t="str">
        <f ca="1">OFFSET(PO!J$12,ROW(A178)-ROW($A$12),0)</f>
        <v>Serviço</v>
      </c>
      <c r="B178" s="112" t="str">
        <f ca="1">IF($A178=0,"",OFFSET(PO!K$12,ROW(B178)-ROW(B$12),0))</f>
        <v>1.8.1.0.15.</v>
      </c>
      <c r="C178" s="109" t="str">
        <f ca="1">IF(OFFSET(PO!N$12,ROW(C178)-ROW(C$12),0)=0,"",OFFSET(PO!N$12,ROW(C178)-ROW(C$12),0))</f>
        <v>RUFO EXTERNO/INTERNO EM CHAPA DE AÇO GALVANIZADO NÚMERO 26, CORTE DE 33 CM, INCLUSO IÇAMENTO. AF_07/2019</v>
      </c>
      <c r="D178" s="111" t="str">
        <f ca="1">IF(OFFSET(PO!O$12,ROW(D178)-ROW(D$12),0)=0,"",OFFSET(PO!O$12,ROW(D178)-ROW(D$12),0))</f>
        <v>M</v>
      </c>
      <c r="E178" s="140">
        <f ca="1">IF($A178&lt;&gt;"Serviço",0,ROUND(SUMIF($F$9:$P$9,"&lt;&gt;",$F178:$P178),15-13*PO!$X$3))</f>
        <v>16.75</v>
      </c>
      <c r="F178" s="364">
        <f ca="1">OFFSET(PO!$P$12,ROW($E178)-ROW(F$12),0)</f>
        <v>16.75</v>
      </c>
      <c r="G178" s="364"/>
      <c r="H178" s="364"/>
      <c r="I178" s="364"/>
      <c r="J178" s="364"/>
      <c r="K178" s="364"/>
      <c r="L178" s="364"/>
      <c r="M178" s="364"/>
      <c r="N178" s="364"/>
      <c r="O178" s="364"/>
      <c r="U178" s="182"/>
    </row>
    <row r="179" spans="1:21" s="1" customFormat="1" x14ac:dyDescent="0.2">
      <c r="A179" s="110" t="str">
        <f ca="1">OFFSET(PO!J$12,ROW(A179)-ROW($A$12),0)</f>
        <v>Nível 3</v>
      </c>
      <c r="B179" s="112" t="str">
        <f ca="1">IF($A179=0,"",OFFSET(PO!K$12,ROW(B179)-ROW(B$12),0))</f>
        <v>1.8.2.</v>
      </c>
      <c r="C179" s="109" t="str">
        <f ca="1">IF(OFFSET(PO!N$12,ROW(C179)-ROW(C$12),0)=0,"",OFFSET(PO!N$12,ROW(C179)-ROW(C$12),0))</f>
        <v>TELHADO NOVO</v>
      </c>
      <c r="D179" s="111" t="str">
        <f ca="1">IF(OFFSET(PO!O$12,ROW(D179)-ROW(D$12),0)=0,"",OFFSET(PO!O$12,ROW(D179)-ROW(D$12),0))</f>
        <v/>
      </c>
      <c r="E179" s="140">
        <f ca="1">IF($A179&lt;&gt;"Serviço",0,ROUND(SUMIF($F$9:$P$9,"&lt;&gt;",$F179:$P179),15-13*PO!$X$3))</f>
        <v>0</v>
      </c>
      <c r="F179" s="364">
        <f ca="1">OFFSET(PO!$P$12,ROW($E179)-ROW(F$12),0)</f>
        <v>0</v>
      </c>
      <c r="G179" s="364"/>
      <c r="H179" s="364"/>
      <c r="I179" s="364"/>
      <c r="J179" s="364"/>
      <c r="K179" s="364"/>
      <c r="L179" s="364"/>
      <c r="M179" s="364"/>
      <c r="N179" s="364"/>
      <c r="O179" s="364"/>
      <c r="U179" s="182"/>
    </row>
    <row r="180" spans="1:21" s="1" customFormat="1" ht="51" x14ac:dyDescent="0.2">
      <c r="A180" s="110" t="str">
        <f ca="1">OFFSET(PO!J$12,ROW(A180)-ROW($A$12),0)</f>
        <v>Serviço</v>
      </c>
      <c r="B180" s="112" t="str">
        <f ca="1">IF($A180=0,"",OFFSET(PO!K$12,ROW(B180)-ROW(B$12),0))</f>
        <v>1.8.2.0.1.</v>
      </c>
      <c r="C180" s="109" t="str">
        <f ca="1">IF(OFFSET(PO!N$12,ROW(C180)-ROW(C$12),0)=0,"",OFFSET(PO!N$12,ROW(C180)-ROW(C$12),0))</f>
        <v>FABRICAÇÃO E INSTALAÇÃO DE MEIA TESOURA DE MADEIRA NÃO APARELHADA, COM VÃO DE 3 M, PARA TELHA ONDULADA DE FIBROCIMENTO, ALUMÍNIO, PLÁSTICA OU TERMOACÚSTICA, INCLUSO IÇAMENTO. AF_10/2025</v>
      </c>
      <c r="D180" s="111" t="str">
        <f ca="1">IF(OFFSET(PO!O$12,ROW(D180)-ROW(D$12),0)=0,"",OFFSET(PO!O$12,ROW(D180)-ROW(D$12),0))</f>
        <v>UN</v>
      </c>
      <c r="E180" s="140">
        <f ca="1">IF($A180&lt;&gt;"Serviço",0,ROUND(SUMIF($F$9:$P$9,"&lt;&gt;",$F180:$P180),15-13*PO!$X$3))</f>
        <v>20</v>
      </c>
      <c r="F180" s="364">
        <f ca="1">OFFSET(PO!$P$12,ROW($E180)-ROW(F$12),0)</f>
        <v>20</v>
      </c>
      <c r="G180" s="364"/>
      <c r="H180" s="364"/>
      <c r="I180" s="364"/>
      <c r="J180" s="364"/>
      <c r="K180" s="364"/>
      <c r="L180" s="364"/>
      <c r="M180" s="364"/>
      <c r="N180" s="364"/>
      <c r="O180" s="364"/>
      <c r="U180" s="182"/>
    </row>
    <row r="181" spans="1:21" s="1" customFormat="1" ht="51" x14ac:dyDescent="0.2">
      <c r="A181" s="110" t="str">
        <f ca="1">OFFSET(PO!J$12,ROW(A181)-ROW($A$12),0)</f>
        <v>Serviço</v>
      </c>
      <c r="B181" s="112" t="str">
        <f ca="1">IF($A181=0,"",OFFSET(PO!K$12,ROW(B181)-ROW(B$12),0))</f>
        <v>1.8.2.0.2.</v>
      </c>
      <c r="C181" s="109" t="str">
        <f ca="1">IF(OFFSET(PO!N$12,ROW(C181)-ROW(C$12),0)=0,"",OFFSET(PO!N$12,ROW(C181)-ROW(C$12),0))</f>
        <v>TRAMA DE MADEIRA COMPOSTA POR TERÇAS PARA TELHADOS DE ATÉ 2 ÁGUAS PARA TELHA ONDULADA DE FIBROCIMENTO, METÁLICA, PLÁSTICA OU TERMOACÚSTICA, INCLUSO TRANSPORTE VERTICAL. AF_10/2025</v>
      </c>
      <c r="D181" s="111" t="str">
        <f ca="1">IF(OFFSET(PO!O$12,ROW(D181)-ROW(D$12),0)=0,"",OFFSET(PO!O$12,ROW(D181)-ROW(D$12),0))</f>
        <v>M2</v>
      </c>
      <c r="E181" s="140">
        <f ca="1">IF($A181&lt;&gt;"Serviço",0,ROUND(SUMIF($F$9:$P$9,"&lt;&gt;",$F181:$P181),15-13*PO!$X$3))</f>
        <v>69.010000000000005</v>
      </c>
      <c r="F181" s="364">
        <f ca="1">OFFSET(PO!$P$12,ROW($E181)-ROW(F$12),0)</f>
        <v>69.010000000000005</v>
      </c>
      <c r="G181" s="364"/>
      <c r="H181" s="364"/>
      <c r="I181" s="364"/>
      <c r="J181" s="364"/>
      <c r="K181" s="364"/>
      <c r="L181" s="364"/>
      <c r="M181" s="364"/>
      <c r="N181" s="364"/>
      <c r="O181" s="364"/>
      <c r="U181" s="182"/>
    </row>
    <row r="182" spans="1:21" s="1" customFormat="1" ht="51" x14ac:dyDescent="0.2">
      <c r="A182" s="110" t="str">
        <f ca="1">OFFSET(PO!J$12,ROW(A182)-ROW($A$12),0)</f>
        <v>Serviço</v>
      </c>
      <c r="B182" s="112" t="str">
        <f ca="1">IF($A182=0,"",OFFSET(PO!K$12,ROW(B182)-ROW(B$12),0))</f>
        <v>1.8.2.0.3.</v>
      </c>
      <c r="C182" s="109" t="str">
        <f ca="1">IF(OFFSET(PO!N$12,ROW(C182)-ROW(C$12),0)=0,"",OFFSET(PO!N$12,ROW(C182)-ROW(C$12),0))</f>
        <v>TELHAMENTO COM TELHA ONDULADA DE FIBROCIMENTO E = 6 MM, COM RECOBRIMENTO LATERAL DE 1 1/4 DE ONDA PARA TELHADO COM INCLINAÇÃO MÁXIMA DE 10°, COM ATÉ 2 ÁGUAS, INCLUSO IÇAMENTO. AF_07/2019</v>
      </c>
      <c r="D182" s="111" t="str">
        <f ca="1">IF(OFFSET(PO!O$12,ROW(D182)-ROW(D$12),0)=0,"",OFFSET(PO!O$12,ROW(D182)-ROW(D$12),0))</f>
        <v>M2</v>
      </c>
      <c r="E182" s="140">
        <f ca="1">IF($A182&lt;&gt;"Serviço",0,ROUND(SUMIF($F$9:$P$9,"&lt;&gt;",$F182:$P182),15-13*PO!$X$3))</f>
        <v>69.010000000000005</v>
      </c>
      <c r="F182" s="364">
        <f ca="1">OFFSET(PO!$P$12,ROW($E182)-ROW(F$12),0)</f>
        <v>69.010000000000005</v>
      </c>
      <c r="G182" s="364"/>
      <c r="H182" s="364"/>
      <c r="I182" s="364"/>
      <c r="J182" s="364"/>
      <c r="K182" s="364"/>
      <c r="L182" s="364"/>
      <c r="M182" s="364"/>
      <c r="N182" s="364"/>
      <c r="O182" s="364"/>
      <c r="U182" s="182"/>
    </row>
    <row r="183" spans="1:21" s="1" customFormat="1" ht="25.5" x14ac:dyDescent="0.2">
      <c r="A183" s="110" t="str">
        <f ca="1">OFFSET(PO!J$12,ROW(A183)-ROW($A$12),0)</f>
        <v>Serviço</v>
      </c>
      <c r="B183" s="112" t="str">
        <f ca="1">IF($A183=0,"",OFFSET(PO!K$12,ROW(B183)-ROW(B$12),0))</f>
        <v>1.8.2.0.4.</v>
      </c>
      <c r="C183" s="109" t="str">
        <f ca="1">IF(OFFSET(PO!N$12,ROW(C183)-ROW(C$12),0)=0,"",OFFSET(PO!N$12,ROW(C183)-ROW(C$12),0))</f>
        <v>CHAPIM (RUFO CAPA) EM AÇO GALVANIZADO, CORTE 33. AF_11/2020</v>
      </c>
      <c r="D183" s="111" t="str">
        <f ca="1">IF(OFFSET(PO!O$12,ROW(D183)-ROW(D$12),0)=0,"",OFFSET(PO!O$12,ROW(D183)-ROW(D$12),0))</f>
        <v>M</v>
      </c>
      <c r="E183" s="140">
        <f ca="1">IF($A183&lt;&gt;"Serviço",0,ROUND(SUMIF($F$9:$P$9,"&lt;&gt;",$F183:$P183),15-13*PO!$X$3))</f>
        <v>57.72</v>
      </c>
      <c r="F183" s="364">
        <f ca="1">OFFSET(PO!$P$12,ROW($E183)-ROW(F$12),0)</f>
        <v>57.72</v>
      </c>
      <c r="G183" s="364"/>
      <c r="H183" s="364"/>
      <c r="I183" s="364"/>
      <c r="J183" s="364"/>
      <c r="K183" s="364"/>
      <c r="L183" s="364"/>
      <c r="M183" s="364"/>
      <c r="N183" s="364"/>
      <c r="O183" s="364"/>
      <c r="U183" s="182"/>
    </row>
    <row r="184" spans="1:21" s="1" customFormat="1" ht="25.5" x14ac:dyDescent="0.2">
      <c r="A184" s="110" t="str">
        <f ca="1">OFFSET(PO!J$12,ROW(A184)-ROW($A$12),0)</f>
        <v>Serviço</v>
      </c>
      <c r="B184" s="112" t="str">
        <f ca="1">IF($A184=0,"",OFFSET(PO!K$12,ROW(B184)-ROW(B$12),0))</f>
        <v>1.8.2.0.5.</v>
      </c>
      <c r="C184" s="109" t="str">
        <f ca="1">IF(OFFSET(PO!N$12,ROW(C184)-ROW(C$12),0)=0,"",OFFSET(PO!N$12,ROW(C184)-ROW(C$12),0))</f>
        <v>RUFO EXTERNO/INTERNO EM CHAPA DE AÇO GALVANIZADO NÚMERO 26, CORTE DE 33 CM, INCLUSO IÇAMENTO. AF_07/2019</v>
      </c>
      <c r="D184" s="111" t="str">
        <f ca="1">IF(OFFSET(PO!O$12,ROW(D184)-ROW(D$12),0)=0,"",OFFSET(PO!O$12,ROW(D184)-ROW(D$12),0))</f>
        <v>M</v>
      </c>
      <c r="E184" s="140">
        <f ca="1">IF($A184&lt;&gt;"Serviço",0,ROUND(SUMIF($F$9:$P$9,"&lt;&gt;",$F184:$P184),15-13*PO!$X$3))</f>
        <v>70.7</v>
      </c>
      <c r="F184" s="364">
        <f ca="1">OFFSET(PO!$P$12,ROW($E184)-ROW(F$12),0)</f>
        <v>70.7</v>
      </c>
      <c r="G184" s="364"/>
      <c r="H184" s="364"/>
      <c r="I184" s="364"/>
      <c r="J184" s="364"/>
      <c r="K184" s="364"/>
      <c r="L184" s="364"/>
      <c r="M184" s="364"/>
      <c r="N184" s="364"/>
      <c r="O184" s="364"/>
      <c r="U184" s="182"/>
    </row>
    <row r="185" spans="1:21" s="1" customFormat="1" ht="38.25" x14ac:dyDescent="0.2">
      <c r="A185" s="110" t="str">
        <f ca="1">OFFSET(PO!J$12,ROW(A185)-ROW($A$12),0)</f>
        <v>Serviço</v>
      </c>
      <c r="B185" s="112" t="str">
        <f ca="1">IF($A185=0,"",OFFSET(PO!K$12,ROW(B185)-ROW(B$12),0))</f>
        <v>1.8.2.0.6.</v>
      </c>
      <c r="C185" s="109" t="str">
        <f ca="1">IF(OFFSET(PO!N$12,ROW(C185)-ROW(C$12),0)=0,"",OFFSET(PO!N$12,ROW(C185)-ROW(C$12),0))</f>
        <v>CALHA EM CHAPA DE AÇO GALVANIZADO NÚMERO 24, DESENVOLVIMENTO DE 100 CM, INCLUSO TRANSPORTE VERTICAL. AF_07/2019</v>
      </c>
      <c r="D185" s="111" t="str">
        <f ca="1">IF(OFFSET(PO!O$12,ROW(D185)-ROW(D$12),0)=0,"",OFFSET(PO!O$12,ROW(D185)-ROW(D$12),0))</f>
        <v>M</v>
      </c>
      <c r="E185" s="140">
        <f ca="1">IF($A185&lt;&gt;"Serviço",0,ROUND(SUMIF($F$9:$P$9,"&lt;&gt;",$F185:$P185),15-13*PO!$X$3))</f>
        <v>30.3</v>
      </c>
      <c r="F185" s="364">
        <f ca="1">OFFSET(PO!$P$12,ROW($E185)-ROW(F$12),0)</f>
        <v>30.3</v>
      </c>
      <c r="G185" s="364"/>
      <c r="H185" s="364"/>
      <c r="I185" s="364"/>
      <c r="J185" s="364"/>
      <c r="K185" s="364"/>
      <c r="L185" s="364"/>
      <c r="M185" s="364"/>
      <c r="N185" s="364"/>
      <c r="O185" s="364"/>
      <c r="U185" s="182"/>
    </row>
    <row r="186" spans="1:21" s="1" customFormat="1" ht="51" x14ac:dyDescent="0.2">
      <c r="A186" s="110" t="str">
        <f ca="1">OFFSET(PO!J$12,ROW(A186)-ROW($A$12),0)</f>
        <v>Serviço</v>
      </c>
      <c r="B186" s="112" t="str">
        <f ca="1">IF($A186=0,"",OFFSET(PO!K$12,ROW(B186)-ROW(B$12),0))</f>
        <v>1.8.2.0.7.</v>
      </c>
      <c r="C186" s="109" t="str">
        <f ca="1">IF(OFFSET(PO!N$12,ROW(C186)-ROW(C$12),0)=0,"",OFFSET(PO!N$12,ROW(C186)-ROW(C$12),0))</f>
        <v>CONTRAPISO EM ARGAMASSA TRAÇO 1:4 (CIMENTO E AREIA), PREPARO MECÂNICO COM BETONEIRA 400 L, APLICADO EM ÁREAS MOLHADAS SOBRE LAJE, ADERIDO, ACABAMENTO NÃO REFORÇADO, ESPESSURA 3CM. AF_07/2021</v>
      </c>
      <c r="D186" s="111" t="str">
        <f ca="1">IF(OFFSET(PO!O$12,ROW(D186)-ROW(D$12),0)=0,"",OFFSET(PO!O$12,ROW(D186)-ROW(D$12),0))</f>
        <v>M2</v>
      </c>
      <c r="E186" s="140">
        <f ca="1">IF($A186&lt;&gt;"Serviço",0,ROUND(SUMIF($F$9:$P$9,"&lt;&gt;",$F186:$P186),15-13*PO!$X$3))</f>
        <v>52.85</v>
      </c>
      <c r="F186" s="364">
        <f ca="1">OFFSET(PO!$P$12,ROW($E186)-ROW(F$12),0)</f>
        <v>52.85</v>
      </c>
      <c r="G186" s="364"/>
      <c r="H186" s="364"/>
      <c r="I186" s="364"/>
      <c r="J186" s="364"/>
      <c r="K186" s="364"/>
      <c r="L186" s="364"/>
      <c r="M186" s="364"/>
      <c r="N186" s="364"/>
      <c r="O186" s="364"/>
      <c r="U186" s="182"/>
    </row>
    <row r="187" spans="1:21" s="1" customFormat="1" ht="38.25" x14ac:dyDescent="0.2">
      <c r="A187" s="110" t="str">
        <f ca="1">OFFSET(PO!J$12,ROW(A187)-ROW($A$12),0)</f>
        <v>Serviço</v>
      </c>
      <c r="B187" s="112" t="str">
        <f ca="1">IF($A187=0,"",OFFSET(PO!K$12,ROW(B187)-ROW(B$12),0))</f>
        <v>1.8.2.0.8.</v>
      </c>
      <c r="C187" s="109" t="str">
        <f ca="1">IF(OFFSET(PO!N$12,ROW(C187)-ROW(C$12),0)=0,"",OFFSET(PO!N$12,ROW(C187)-ROW(C$12),0))</f>
        <v>IMPERMEABILIZAÇÃO DE SUPERFÍCIE COM MANTA ASFÁLTICA, UMA CAMADA, INCLUSIVE APLICAÇÃO DE PRIMER ASFÁLTICO, E=4MM. AF_09/2023</v>
      </c>
      <c r="D187" s="111" t="str">
        <f ca="1">IF(OFFSET(PO!O$12,ROW(D187)-ROW(D$12),0)=0,"",OFFSET(PO!O$12,ROW(D187)-ROW(D$12),0))</f>
        <v>M2</v>
      </c>
      <c r="E187" s="140">
        <f ca="1">IF($A187&lt;&gt;"Serviço",0,ROUND(SUMIF($F$9:$P$9,"&lt;&gt;",$F187:$P187),15-13*PO!$X$3))</f>
        <v>52.85</v>
      </c>
      <c r="F187" s="364">
        <f ca="1">OFFSET(PO!$P$12,ROW($E187)-ROW(F$12),0)</f>
        <v>52.85</v>
      </c>
      <c r="G187" s="364"/>
      <c r="H187" s="364"/>
      <c r="I187" s="364"/>
      <c r="J187" s="364"/>
      <c r="K187" s="364"/>
      <c r="L187" s="364"/>
      <c r="M187" s="364"/>
      <c r="N187" s="364"/>
      <c r="O187" s="364"/>
      <c r="U187" s="182"/>
    </row>
    <row r="188" spans="1:21" s="1" customFormat="1" ht="25.5" x14ac:dyDescent="0.2">
      <c r="A188" s="110" t="str">
        <f ca="1">OFFSET(PO!J$12,ROW(A188)-ROW($A$12),0)</f>
        <v>Serviço</v>
      </c>
      <c r="B188" s="112" t="str">
        <f ca="1">IF($A188=0,"",OFFSET(PO!K$12,ROW(B188)-ROW(B$12),0))</f>
        <v>1.8.2.0.9.</v>
      </c>
      <c r="C188" s="109" t="str">
        <f ca="1">IF(OFFSET(PO!N$12,ROW(C188)-ROW(C$12),0)=0,"",OFFSET(PO!N$12,ROW(C188)-ROW(C$12),0))</f>
        <v>TRATAMENTO DE RALO OU PONTO EMERGENTE EM IMPERMEABILIZAÇÃO COM MANTA ASFÁLTICA, E=4MM</v>
      </c>
      <c r="D188" s="111" t="str">
        <f ca="1">IF(OFFSET(PO!O$12,ROW(D188)-ROW(D$12),0)=0,"",OFFSET(PO!O$12,ROW(D188)-ROW(D$12),0))</f>
        <v>UNID</v>
      </c>
      <c r="E188" s="140">
        <f ca="1">IF($A188&lt;&gt;"Serviço",0,ROUND(SUMIF($F$9:$P$9,"&lt;&gt;",$F188:$P188),15-13*PO!$X$3))</f>
        <v>4</v>
      </c>
      <c r="F188" s="364">
        <f ca="1">OFFSET(PO!$P$12,ROW($E188)-ROW(F$12),0)</f>
        <v>4</v>
      </c>
      <c r="G188" s="364"/>
      <c r="H188" s="364"/>
      <c r="I188" s="364"/>
      <c r="J188" s="364"/>
      <c r="K188" s="364"/>
      <c r="L188" s="364"/>
      <c r="M188" s="364"/>
      <c r="N188" s="364"/>
      <c r="O188" s="364"/>
      <c r="U188" s="182"/>
    </row>
    <row r="189" spans="1:21" s="1" customFormat="1" ht="38.25" x14ac:dyDescent="0.2">
      <c r="A189" s="110" t="str">
        <f ca="1">OFFSET(PO!J$12,ROW(A189)-ROW($A$12),0)</f>
        <v>Serviço</v>
      </c>
      <c r="B189" s="112" t="str">
        <f ca="1">IF($A189=0,"",OFFSET(PO!K$12,ROW(B189)-ROW(B$12),0))</f>
        <v>1.8.2.0.10.</v>
      </c>
      <c r="C189" s="109" t="str">
        <f ca="1">IF(OFFSET(PO!N$12,ROW(C189)-ROW(C$12),0)=0,"",OFFSET(PO!N$12,ROW(C189)-ROW(C$12),0))</f>
        <v>PROTEÇÃO MECÂNICA DE SUPERFÍCIE HORIZONTAL COM ARGAMASSA DE CIMENTO E AREIA, TRAÇO 1:3, E=2CM. AF_09/2023</v>
      </c>
      <c r="D189" s="111" t="str">
        <f ca="1">IF(OFFSET(PO!O$12,ROW(D189)-ROW(D$12),0)=0,"",OFFSET(PO!O$12,ROW(D189)-ROW(D$12),0))</f>
        <v>M2</v>
      </c>
      <c r="E189" s="140">
        <f ca="1">IF($A189&lt;&gt;"Serviço",0,ROUND(SUMIF($F$9:$P$9,"&lt;&gt;",$F189:$P189),15-13*PO!$X$3))</f>
        <v>52.85</v>
      </c>
      <c r="F189" s="364">
        <f ca="1">OFFSET(PO!$P$12,ROW($E189)-ROW(F$12),0)</f>
        <v>52.85</v>
      </c>
      <c r="G189" s="364"/>
      <c r="H189" s="364"/>
      <c r="I189" s="364"/>
      <c r="J189" s="364"/>
      <c r="K189" s="364"/>
      <c r="L189" s="364"/>
      <c r="M189" s="364"/>
      <c r="N189" s="364"/>
      <c r="O189" s="364"/>
      <c r="U189" s="182"/>
    </row>
    <row r="190" spans="1:21" s="1" customFormat="1" ht="25.5" x14ac:dyDescent="0.2">
      <c r="A190" s="110" t="str">
        <f ca="1">OFFSET(PO!J$12,ROW(A190)-ROW($A$12),0)</f>
        <v>Serviço</v>
      </c>
      <c r="B190" s="112" t="str">
        <f ca="1">IF($A190=0,"",OFFSET(PO!K$12,ROW(B190)-ROW(B$12),0))</f>
        <v>1.8.2.0.11.</v>
      </c>
      <c r="C190" s="109" t="str">
        <f ca="1">IF(OFFSET(PO!N$12,ROW(C190)-ROW(C$12),0)=0,"",OFFSET(PO!N$12,ROW(C190)-ROW(C$12),0))</f>
        <v>PREPARO DO PISO CIMENTADO PARA PINTURA - LIXAMENTO E LIMPEZA. AF_05/2021</v>
      </c>
      <c r="D190" s="111" t="str">
        <f ca="1">IF(OFFSET(PO!O$12,ROW(D190)-ROW(D$12),0)=0,"",OFFSET(PO!O$12,ROW(D190)-ROW(D$12),0))</f>
        <v>M2</v>
      </c>
      <c r="E190" s="140">
        <f ca="1">IF($A190&lt;&gt;"Serviço",0,ROUND(SUMIF($F$9:$P$9,"&lt;&gt;",$F190:$P190),15-13*PO!$X$3))</f>
        <v>52.85</v>
      </c>
      <c r="F190" s="364">
        <f ca="1">OFFSET(PO!$P$12,ROW($E190)-ROW(F$12),0)</f>
        <v>52.85</v>
      </c>
      <c r="G190" s="364"/>
      <c r="H190" s="364"/>
      <c r="I190" s="364"/>
      <c r="J190" s="364"/>
      <c r="K190" s="364"/>
      <c r="L190" s="364"/>
      <c r="M190" s="364"/>
      <c r="N190" s="364"/>
      <c r="O190" s="364"/>
      <c r="U190" s="182"/>
    </row>
    <row r="191" spans="1:21" s="1" customFormat="1" ht="25.5" x14ac:dyDescent="0.2">
      <c r="A191" s="110" t="str">
        <f ca="1">OFFSET(PO!J$12,ROW(A191)-ROW($A$12),0)</f>
        <v>Serviço</v>
      </c>
      <c r="B191" s="112" t="str">
        <f ca="1">IF($A191=0,"",OFFSET(PO!K$12,ROW(B191)-ROW(B$12),0))</f>
        <v>1.8.2.0.12.</v>
      </c>
      <c r="C191" s="109" t="str">
        <f ca="1">IF(OFFSET(PO!N$12,ROW(C191)-ROW(C$12),0)=0,"",OFFSET(PO!N$12,ROW(C191)-ROW(C$12),0))</f>
        <v>PINTURA DE PISO COM TINTA ACRÍLICA, APLICAÇÃO MANUAL, 3 DEMÃOS, INCLUSO FUNDO PREPARADOR. AF_05/2021</v>
      </c>
      <c r="D191" s="111" t="str">
        <f ca="1">IF(OFFSET(PO!O$12,ROW(D191)-ROW(D$12),0)=0,"",OFFSET(PO!O$12,ROW(D191)-ROW(D$12),0))</f>
        <v>M2</v>
      </c>
      <c r="E191" s="140">
        <f ca="1">IF($A191&lt;&gt;"Serviço",0,ROUND(SUMIF($F$9:$P$9,"&lt;&gt;",$F191:$P191),15-13*PO!$X$3))</f>
        <v>52.85</v>
      </c>
      <c r="F191" s="364">
        <f ca="1">OFFSET(PO!$P$12,ROW($E191)-ROW(F$12),0)</f>
        <v>52.85</v>
      </c>
      <c r="G191" s="364"/>
      <c r="H191" s="364"/>
      <c r="I191" s="364"/>
      <c r="J191" s="364"/>
      <c r="K191" s="364"/>
      <c r="L191" s="364"/>
      <c r="M191" s="364"/>
      <c r="N191" s="364"/>
      <c r="O191" s="364"/>
      <c r="U191" s="182"/>
    </row>
    <row r="192" spans="1:21" s="1" customFormat="1" x14ac:dyDescent="0.2">
      <c r="A192" s="110" t="str">
        <f ca="1">OFFSET(PO!J$12,ROW(A192)-ROW($A$12),0)</f>
        <v>Nível 2</v>
      </c>
      <c r="B192" s="112" t="str">
        <f ca="1">IF($A192=0,"",OFFSET(PO!K$12,ROW(B192)-ROW(B$12),0))</f>
        <v>1.9.</v>
      </c>
      <c r="C192" s="109" t="str">
        <f ca="1">IF(OFFSET(PO!N$12,ROW(C192)-ROW(C$12),0)=0,"",OFFSET(PO!N$12,ROW(C192)-ROW(C$12),0))</f>
        <v>REDE DE GÁS MEDICINAL</v>
      </c>
      <c r="D192" s="111" t="str">
        <f ca="1">IF(OFFSET(PO!O$12,ROW(D192)-ROW(D$12),0)=0,"",OFFSET(PO!O$12,ROW(D192)-ROW(D$12),0))</f>
        <v/>
      </c>
      <c r="E192" s="140">
        <f ca="1">IF($A192&lt;&gt;"Serviço",0,ROUND(SUMIF($F$9:$P$9,"&lt;&gt;",$F192:$P192),15-13*PO!$X$3))</f>
        <v>0</v>
      </c>
      <c r="F192" s="364">
        <f ca="1">OFFSET(PO!$P$12,ROW($E192)-ROW(F$12),0)</f>
        <v>0</v>
      </c>
      <c r="G192" s="364"/>
      <c r="H192" s="364"/>
      <c r="I192" s="364"/>
      <c r="J192" s="364"/>
      <c r="K192" s="364"/>
      <c r="L192" s="364"/>
      <c r="M192" s="364"/>
      <c r="N192" s="364"/>
      <c r="O192" s="364"/>
      <c r="U192" s="182"/>
    </row>
    <row r="193" spans="1:21" s="1" customFormat="1" x14ac:dyDescent="0.2">
      <c r="A193" s="110" t="str">
        <f ca="1">OFFSET(PO!J$12,ROW(A193)-ROW($A$12),0)</f>
        <v>Nível 3</v>
      </c>
      <c r="B193" s="112" t="str">
        <f ca="1">IF($A193=0,"",OFFSET(PO!K$12,ROW(B193)-ROW(B$12),0))</f>
        <v>1.9.1.</v>
      </c>
      <c r="C193" s="109" t="str">
        <f ca="1">IF(OFFSET(PO!N$12,ROW(C193)-ROW(C$12),0)=0,"",OFFSET(PO!N$12,ROW(C193)-ROW(C$12),0))</f>
        <v>REDE DE GÁS MEDICINAL</v>
      </c>
      <c r="D193" s="111" t="str">
        <f ca="1">IF(OFFSET(PO!O$12,ROW(D193)-ROW(D$12),0)=0,"",OFFSET(PO!O$12,ROW(D193)-ROW(D$12),0))</f>
        <v/>
      </c>
      <c r="E193" s="140">
        <f ca="1">IF($A193&lt;&gt;"Serviço",0,ROUND(SUMIF($F$9:$P$9,"&lt;&gt;",$F193:$P193),15-13*PO!$X$3))</f>
        <v>0</v>
      </c>
      <c r="F193" s="364">
        <f ca="1">OFFSET(PO!$P$12,ROW($E193)-ROW(F$12),0)</f>
        <v>0</v>
      </c>
      <c r="G193" s="364"/>
      <c r="H193" s="364"/>
      <c r="I193" s="364"/>
      <c r="J193" s="364"/>
      <c r="K193" s="364"/>
      <c r="L193" s="364"/>
      <c r="M193" s="364"/>
      <c r="N193" s="364"/>
      <c r="O193" s="364"/>
      <c r="U193" s="182"/>
    </row>
    <row r="194" spans="1:21" s="1" customFormat="1" ht="25.5" x14ac:dyDescent="0.2">
      <c r="A194" s="110" t="str">
        <f ca="1">OFFSET(PO!J$12,ROW(A194)-ROW($A$12),0)</f>
        <v>Serviço</v>
      </c>
      <c r="B194" s="112" t="str">
        <f ca="1">IF($A194=0,"",OFFSET(PO!K$12,ROW(B194)-ROW(B$12),0))</f>
        <v>1.9.1.0.1.</v>
      </c>
      <c r="C194" s="109" t="str">
        <f ca="1">IF(OFFSET(PO!N$12,ROW(C194)-ROW(C$12),0)=0,"",OFFSET(PO!N$12,ROW(C194)-ROW(C$12),0))</f>
        <v>Painel de cabeceira de leito completo instalado (FO-FAM-FVC) - fornecimento e instalação</v>
      </c>
      <c r="D194" s="111" t="str">
        <f ca="1">IF(OFFSET(PO!O$12,ROW(D194)-ROW(D$12),0)=0,"",OFFSET(PO!O$12,ROW(D194)-ROW(D$12),0))</f>
        <v>UNIDADE</v>
      </c>
      <c r="E194" s="140">
        <f ca="1">IF($A194&lt;&gt;"Serviço",0,ROUND(SUMIF($F$9:$P$9,"&lt;&gt;",$F194:$P194),15-13*PO!$X$3))</f>
        <v>6</v>
      </c>
      <c r="F194" s="364">
        <f ca="1">OFFSET(PO!$P$12,ROW($E194)-ROW(F$12),0)</f>
        <v>6</v>
      </c>
      <c r="G194" s="364"/>
      <c r="H194" s="364"/>
      <c r="I194" s="364"/>
      <c r="J194" s="364"/>
      <c r="K194" s="364"/>
      <c r="L194" s="364"/>
      <c r="M194" s="364"/>
      <c r="N194" s="364"/>
      <c r="O194" s="364"/>
      <c r="U194" s="182"/>
    </row>
    <row r="195" spans="1:21" s="1" customFormat="1" ht="25.5" x14ac:dyDescent="0.2">
      <c r="A195" s="110" t="str">
        <f ca="1">OFFSET(PO!J$12,ROW(A195)-ROW($A$12),0)</f>
        <v>Serviço</v>
      </c>
      <c r="B195" s="112" t="str">
        <f ca="1">IF($A195=0,"",OFFSET(PO!K$12,ROW(B195)-ROW(B$12),0))</f>
        <v>1.9.1.0.2.</v>
      </c>
      <c r="C195" s="109" t="str">
        <f ca="1">IF(OFFSET(PO!N$12,ROW(C195)-ROW(C$12),0)=0,"",OFFSET(PO!N$12,ROW(C195)-ROW(C$12),0))</f>
        <v>Painel de alarme vácuo sem bateria - fornecimento e instalação</v>
      </c>
      <c r="D195" s="111" t="str">
        <f ca="1">IF(OFFSET(PO!O$12,ROW(D195)-ROW(D$12),0)=0,"",OFFSET(PO!O$12,ROW(D195)-ROW(D$12),0))</f>
        <v>UNIDADE</v>
      </c>
      <c r="E195" s="140">
        <f ca="1">IF($A195&lt;&gt;"Serviço",0,ROUND(SUMIF($F$9:$P$9,"&lt;&gt;",$F195:$P195),15-13*PO!$X$3))</f>
        <v>7</v>
      </c>
      <c r="F195" s="364">
        <f ca="1">OFFSET(PO!$P$12,ROW($E195)-ROW(F$12),0)</f>
        <v>7</v>
      </c>
      <c r="G195" s="364"/>
      <c r="H195" s="364"/>
      <c r="I195" s="364"/>
      <c r="J195" s="364"/>
      <c r="K195" s="364"/>
      <c r="L195" s="364"/>
      <c r="M195" s="364"/>
      <c r="N195" s="364"/>
      <c r="O195" s="364"/>
      <c r="U195" s="182"/>
    </row>
    <row r="196" spans="1:21" s="1" customFormat="1" ht="25.5" x14ac:dyDescent="0.2">
      <c r="A196" s="110" t="str">
        <f ca="1">OFFSET(PO!J$12,ROW(A196)-ROW($A$12),0)</f>
        <v>Serviço</v>
      </c>
      <c r="B196" s="112" t="str">
        <f ca="1">IF($A196=0,"",OFFSET(PO!K$12,ROW(B196)-ROW(B$12),0))</f>
        <v>1.9.1.0.3.</v>
      </c>
      <c r="C196" s="109" t="str">
        <f ca="1">IF(OFFSET(PO!N$12,ROW(C196)-ROW(C$12),0)=0,"",OFFSET(PO!N$12,ROW(C196)-ROW(C$12),0))</f>
        <v>Painel de alarme oxigênio sem bateria - fornecimento e instalação</v>
      </c>
      <c r="D196" s="111" t="str">
        <f ca="1">IF(OFFSET(PO!O$12,ROW(D196)-ROW(D$12),0)=0,"",OFFSET(PO!O$12,ROW(D196)-ROW(D$12),0))</f>
        <v>UNIDADE</v>
      </c>
      <c r="E196" s="140">
        <f ca="1">IF($A196&lt;&gt;"Serviço",0,ROUND(SUMIF($F$9:$P$9,"&lt;&gt;",$F196:$P196),15-13*PO!$X$3))</f>
        <v>7</v>
      </c>
      <c r="F196" s="364">
        <f ca="1">OFFSET(PO!$P$12,ROW($E196)-ROW(F$12),0)</f>
        <v>7</v>
      </c>
      <c r="G196" s="364"/>
      <c r="H196" s="364"/>
      <c r="I196" s="364"/>
      <c r="J196" s="364"/>
      <c r="K196" s="364"/>
      <c r="L196" s="364"/>
      <c r="M196" s="364"/>
      <c r="N196" s="364"/>
      <c r="O196" s="364"/>
      <c r="U196" s="182"/>
    </row>
    <row r="197" spans="1:21" s="1" customFormat="1" ht="25.5" x14ac:dyDescent="0.2">
      <c r="A197" s="110" t="str">
        <f ca="1">OFFSET(PO!J$12,ROW(A197)-ROW($A$12),0)</f>
        <v>Serviço</v>
      </c>
      <c r="B197" s="112" t="str">
        <f ca="1">IF($A197=0,"",OFFSET(PO!K$12,ROW(B197)-ROW(B$12),0))</f>
        <v>1.9.1.0.4.</v>
      </c>
      <c r="C197" s="109" t="str">
        <f ca="1">IF(OFFSET(PO!N$12,ROW(C197)-ROW(C$12),0)=0,"",OFFSET(PO!N$12,ROW(C197)-ROW(C$12),0))</f>
        <v>Painel de alarme ar comprimido sem bateria - fornecimento e instalação</v>
      </c>
      <c r="D197" s="111" t="str">
        <f ca="1">IF(OFFSET(PO!O$12,ROW(D197)-ROW(D$12),0)=0,"",OFFSET(PO!O$12,ROW(D197)-ROW(D$12),0))</f>
        <v>UNIDADE</v>
      </c>
      <c r="E197" s="140">
        <f ca="1">IF($A197&lt;&gt;"Serviço",0,ROUND(SUMIF($F$9:$P$9,"&lt;&gt;",$F197:$P197),15-13*PO!$X$3))</f>
        <v>8</v>
      </c>
      <c r="F197" s="364">
        <f ca="1">OFFSET(PO!$P$12,ROW($E197)-ROW(F$12),0)</f>
        <v>8</v>
      </c>
      <c r="G197" s="364"/>
      <c r="H197" s="364"/>
      <c r="I197" s="364"/>
      <c r="J197" s="364"/>
      <c r="K197" s="364"/>
      <c r="L197" s="364"/>
      <c r="M197" s="364"/>
      <c r="N197" s="364"/>
      <c r="O197" s="364"/>
      <c r="U197" s="182"/>
    </row>
    <row r="198" spans="1:21" s="1" customFormat="1" ht="38.25" x14ac:dyDescent="0.2">
      <c r="A198" s="110" t="str">
        <f ca="1">OFFSET(PO!J$12,ROW(A198)-ROW($A$12),0)</f>
        <v>Serviço</v>
      </c>
      <c r="B198" s="112" t="str">
        <f ca="1">IF($A198=0,"",OFFSET(PO!K$12,ROW(B198)-ROW(B$12),0))</f>
        <v>1.9.1.0.5.</v>
      </c>
      <c r="C198" s="109" t="str">
        <f ca="1">IF(OFFSET(PO!N$12,ROW(C198)-ROW(C$12),0)=0,"",OFFSET(PO!N$12,ROW(C198)-ROW(C$12),0))</f>
        <v>TUBO EM COBRE RÍGIDO, DN 15 MM, CLASSE A, SEM ISOLAMENTO, INSTALADO EM RAMAL E SUB-RAMAL DE GÁS MEDICINAL - FORNECIMENTO E INSTALAÇÃO. AF_04/2022</v>
      </c>
      <c r="D198" s="111" t="str">
        <f ca="1">IF(OFFSET(PO!O$12,ROW(D198)-ROW(D$12),0)=0,"",OFFSET(PO!O$12,ROW(D198)-ROW(D$12),0))</f>
        <v>M</v>
      </c>
      <c r="E198" s="140">
        <f ca="1">IF($A198&lt;&gt;"Serviço",0,ROUND(SUMIF($F$9:$P$9,"&lt;&gt;",$F198:$P198),15-13*PO!$X$3))</f>
        <v>126</v>
      </c>
      <c r="F198" s="364">
        <f ca="1">OFFSET(PO!$P$12,ROW($E198)-ROW(F$12),0)</f>
        <v>126</v>
      </c>
      <c r="G198" s="364"/>
      <c r="H198" s="364"/>
      <c r="I198" s="364"/>
      <c r="J198" s="364"/>
      <c r="K198" s="364"/>
      <c r="L198" s="364"/>
      <c r="M198" s="364"/>
      <c r="N198" s="364"/>
      <c r="O198" s="364"/>
      <c r="U198" s="182"/>
    </row>
    <row r="199" spans="1:21" s="1" customFormat="1" ht="38.25" x14ac:dyDescent="0.2">
      <c r="A199" s="110" t="str">
        <f ca="1">OFFSET(PO!J$12,ROW(A199)-ROW($A$12),0)</f>
        <v>Serviço</v>
      </c>
      <c r="B199" s="112" t="str">
        <f ca="1">IF($A199=0,"",OFFSET(PO!K$12,ROW(B199)-ROW(B$12),0))</f>
        <v>1.9.1.0.6.</v>
      </c>
      <c r="C199" s="109" t="str">
        <f ca="1">IF(OFFSET(PO!N$12,ROW(C199)-ROW(C$12),0)=0,"",OFFSET(PO!N$12,ROW(C199)-ROW(C$12),0))</f>
        <v>TUBO EM COBRE RÍGIDO, DN 22 MM, CLASSE A, SEM ISOLAMENTO, INSTALADO EM RAMAL E SUB-RAMAL DE GÁS MEDICINAL - FORNECIMENTO E INSTALAÇÃO. AF_04/2022</v>
      </c>
      <c r="D199" s="111" t="str">
        <f ca="1">IF(OFFSET(PO!O$12,ROW(D199)-ROW(D$12),0)=0,"",OFFSET(PO!O$12,ROW(D199)-ROW(D$12),0))</f>
        <v>M</v>
      </c>
      <c r="E199" s="140">
        <f ca="1">IF($A199&lt;&gt;"Serviço",0,ROUND(SUMIF($F$9:$P$9,"&lt;&gt;",$F199:$P199),15-13*PO!$X$3))</f>
        <v>47.55</v>
      </c>
      <c r="F199" s="364">
        <f ca="1">OFFSET(PO!$P$12,ROW($E199)-ROW(F$12),0)</f>
        <v>47.55</v>
      </c>
      <c r="G199" s="364"/>
      <c r="H199" s="364"/>
      <c r="I199" s="364"/>
      <c r="J199" s="364"/>
      <c r="K199" s="364"/>
      <c r="L199" s="364"/>
      <c r="M199" s="364"/>
      <c r="N199" s="364"/>
      <c r="O199" s="364"/>
      <c r="U199" s="182"/>
    </row>
    <row r="200" spans="1:21" s="1" customFormat="1" ht="38.25" x14ac:dyDescent="0.2">
      <c r="A200" s="110" t="str">
        <f ca="1">OFFSET(PO!J$12,ROW(A200)-ROW($A$12),0)</f>
        <v>Serviço</v>
      </c>
      <c r="B200" s="112" t="str">
        <f ca="1">IF($A200=0,"",OFFSET(PO!K$12,ROW(B200)-ROW(B$12),0))</f>
        <v>1.9.1.0.7.</v>
      </c>
      <c r="C200" s="109" t="str">
        <f ca="1">IF(OFFSET(PO!N$12,ROW(C200)-ROW(C$12),0)=0,"",OFFSET(PO!N$12,ROW(C200)-ROW(C$12),0))</f>
        <v>TUBO EM COBRE RÍGIDO, DN 28 MM, CLASSE A, SEM ISOLAMENTO, INSTALADO EM RAMAL E SUB-RAMAL DE GÁS MEDICINAL - FORNECIMENTO E INSTALAÇÃO. AF_04/2022</v>
      </c>
      <c r="D200" s="111" t="str">
        <f ca="1">IF(OFFSET(PO!O$12,ROW(D200)-ROW(D$12),0)=0,"",OFFSET(PO!O$12,ROW(D200)-ROW(D$12),0))</f>
        <v>M</v>
      </c>
      <c r="E200" s="140">
        <f ca="1">IF($A200&lt;&gt;"Serviço",0,ROUND(SUMIF($F$9:$P$9,"&lt;&gt;",$F200:$P200),15-13*PO!$X$3))</f>
        <v>40.25</v>
      </c>
      <c r="F200" s="364">
        <f ca="1">OFFSET(PO!$P$12,ROW($E200)-ROW(F$12),0)</f>
        <v>40.25</v>
      </c>
      <c r="G200" s="364"/>
      <c r="H200" s="364"/>
      <c r="I200" s="364"/>
      <c r="J200" s="364"/>
      <c r="K200" s="364"/>
      <c r="L200" s="364"/>
      <c r="M200" s="364"/>
      <c r="N200" s="364"/>
      <c r="O200" s="364"/>
      <c r="U200" s="182"/>
    </row>
    <row r="201" spans="1:21" s="1" customFormat="1" ht="38.25" x14ac:dyDescent="0.2">
      <c r="A201" s="110" t="str">
        <f ca="1">OFFSET(PO!J$12,ROW(A201)-ROW($A$12),0)</f>
        <v>Serviço</v>
      </c>
      <c r="B201" s="112" t="str">
        <f ca="1">IF($A201=0,"",OFFSET(PO!K$12,ROW(B201)-ROW(B$12),0))</f>
        <v>1.9.1.0.8.</v>
      </c>
      <c r="C201" s="109" t="str">
        <f ca="1">IF(OFFSET(PO!N$12,ROW(C201)-ROW(C$12),0)=0,"",OFFSET(PO!N$12,ROW(C201)-ROW(C$12),0))</f>
        <v>TUBO EM COBRE RÍGIDO, DN 35 MM, CLASSE A, SEM ISOLAMENTO, INSTALADO EM PRUMADA DE GÁS COMBUSTÍVEL - FORNECIMENTO E INSTALAÇÃO. AF_04/2022</v>
      </c>
      <c r="D201" s="111" t="str">
        <f ca="1">IF(OFFSET(PO!O$12,ROW(D201)-ROW(D$12),0)=0,"",OFFSET(PO!O$12,ROW(D201)-ROW(D$12),0))</f>
        <v>M</v>
      </c>
      <c r="E201" s="140">
        <f ca="1">IF($A201&lt;&gt;"Serviço",0,ROUND(SUMIF($F$9:$P$9,"&lt;&gt;",$F201:$P201),15-13*PO!$X$3))</f>
        <v>89.5</v>
      </c>
      <c r="F201" s="364">
        <f ca="1">OFFSET(PO!$P$12,ROW($E201)-ROW(F$12),0)</f>
        <v>89.5</v>
      </c>
      <c r="G201" s="364"/>
      <c r="H201" s="364"/>
      <c r="I201" s="364"/>
      <c r="J201" s="364"/>
      <c r="K201" s="364"/>
      <c r="L201" s="364"/>
      <c r="M201" s="364"/>
      <c r="N201" s="364"/>
      <c r="O201" s="364"/>
      <c r="U201" s="182"/>
    </row>
    <row r="202" spans="1:21" s="1" customFormat="1" ht="38.25" x14ac:dyDescent="0.2">
      <c r="A202" s="110" t="str">
        <f ca="1">OFFSET(PO!J$12,ROW(A202)-ROW($A$12),0)</f>
        <v>Serviço</v>
      </c>
      <c r="B202" s="112" t="str">
        <f ca="1">IF($A202=0,"",OFFSET(PO!K$12,ROW(B202)-ROW(B$12),0))</f>
        <v>1.9.1.0.9.</v>
      </c>
      <c r="C202" s="109" t="str">
        <f ca="1">IF(OFFSET(PO!N$12,ROW(C202)-ROW(C$12),0)=0,"",OFFSET(PO!N$12,ROW(C202)-ROW(C$12),0))</f>
        <v>TÊ EM COBRE, DN 22 MM, SEM ANEL DE SOLDA, INSTALADO EM RAMAL E SUB-RAMAL DE GÁS MEDICINAL - FORNECIMENTO E INSTALAÇÃO. AF_04/2022</v>
      </c>
      <c r="D202" s="111" t="str">
        <f ca="1">IF(OFFSET(PO!O$12,ROW(D202)-ROW(D$12),0)=0,"",OFFSET(PO!O$12,ROW(D202)-ROW(D$12),0))</f>
        <v>UN</v>
      </c>
      <c r="E202" s="140">
        <f ca="1">IF($A202&lt;&gt;"Serviço",0,ROUND(SUMIF($F$9:$P$9,"&lt;&gt;",$F202:$P202),15-13*PO!$X$3))</f>
        <v>19</v>
      </c>
      <c r="F202" s="364">
        <f ca="1">OFFSET(PO!$P$12,ROW($E202)-ROW(F$12),0)</f>
        <v>19</v>
      </c>
      <c r="G202" s="364"/>
      <c r="H202" s="364"/>
      <c r="I202" s="364"/>
      <c r="J202" s="364"/>
      <c r="K202" s="364"/>
      <c r="L202" s="364"/>
      <c r="M202" s="364"/>
      <c r="N202" s="364"/>
      <c r="O202" s="364"/>
      <c r="U202" s="182"/>
    </row>
    <row r="203" spans="1:21" s="1" customFormat="1" ht="38.25" x14ac:dyDescent="0.2">
      <c r="A203" s="110" t="str">
        <f ca="1">OFFSET(PO!J$12,ROW(A203)-ROW($A$12),0)</f>
        <v>Serviço</v>
      </c>
      <c r="B203" s="112" t="str">
        <f ca="1">IF($A203=0,"",OFFSET(PO!K$12,ROW(B203)-ROW(B$12),0))</f>
        <v>1.9.1.0.10.</v>
      </c>
      <c r="C203" s="109" t="str">
        <f ca="1">IF(OFFSET(PO!N$12,ROW(C203)-ROW(C$12),0)=0,"",OFFSET(PO!N$12,ROW(C203)-ROW(C$12),0))</f>
        <v>TÊ EM COBRE, DN 28 MM, SEM ANEL DE SOLDA, INSTALADO EM RAMAL E SUB-RAMAL DE GÁS MEDICINAL - FORNECIMENTO E INSTALAÇÃO. AF_04/2022</v>
      </c>
      <c r="D203" s="111" t="str">
        <f ca="1">IF(OFFSET(PO!O$12,ROW(D203)-ROW(D$12),0)=0,"",OFFSET(PO!O$12,ROW(D203)-ROW(D$12),0))</f>
        <v>UN</v>
      </c>
      <c r="E203" s="140">
        <f ca="1">IF($A203&lt;&gt;"Serviço",0,ROUND(SUMIF($F$9:$P$9,"&lt;&gt;",$F203:$P203),15-13*PO!$X$3))</f>
        <v>3</v>
      </c>
      <c r="F203" s="364">
        <f ca="1">OFFSET(PO!$P$12,ROW($E203)-ROW(F$12),0)</f>
        <v>3</v>
      </c>
      <c r="G203" s="364"/>
      <c r="H203" s="364"/>
      <c r="I203" s="364"/>
      <c r="J203" s="364"/>
      <c r="K203" s="364"/>
      <c r="L203" s="364"/>
      <c r="M203" s="364"/>
      <c r="N203" s="364"/>
      <c r="O203" s="364"/>
      <c r="U203" s="182"/>
    </row>
    <row r="204" spans="1:21" s="1" customFormat="1" ht="38.25" x14ac:dyDescent="0.2">
      <c r="A204" s="110" t="str">
        <f ca="1">OFFSET(PO!J$12,ROW(A204)-ROW($A$12),0)</f>
        <v>Serviço</v>
      </c>
      <c r="B204" s="112" t="str">
        <f ca="1">IF($A204=0,"",OFFSET(PO!K$12,ROW(B204)-ROW(B$12),0))</f>
        <v>1.9.1.0.11.</v>
      </c>
      <c r="C204" s="109" t="str">
        <f ca="1">IF(OFFSET(PO!N$12,ROW(C204)-ROW(C$12),0)=0,"",OFFSET(PO!N$12,ROW(C204)-ROW(C$12),0))</f>
        <v>TE EM COBRE, DN 35 MM, SEM ANEL DE SOLDA, INSTALADO EM PRUMADA DE HIDRÁULICA PREDIAL - FORNECIMENTO E INSTALAÇÃO. AF_04/2022</v>
      </c>
      <c r="D204" s="111" t="str">
        <f ca="1">IF(OFFSET(PO!O$12,ROW(D204)-ROW(D$12),0)=0,"",OFFSET(PO!O$12,ROW(D204)-ROW(D$12),0))</f>
        <v>UN</v>
      </c>
      <c r="E204" s="140">
        <f ca="1">IF($A204&lt;&gt;"Serviço",0,ROUND(SUMIF($F$9:$P$9,"&lt;&gt;",$F204:$P204),15-13*PO!$X$3))</f>
        <v>2</v>
      </c>
      <c r="F204" s="364">
        <f ca="1">OFFSET(PO!$P$12,ROW($E204)-ROW(F$12),0)</f>
        <v>2</v>
      </c>
      <c r="G204" s="364"/>
      <c r="H204" s="364"/>
      <c r="I204" s="364"/>
      <c r="J204" s="364"/>
      <c r="K204" s="364"/>
      <c r="L204" s="364"/>
      <c r="M204" s="364"/>
      <c r="N204" s="364"/>
      <c r="O204" s="364"/>
      <c r="U204" s="182"/>
    </row>
    <row r="205" spans="1:21" s="1" customFormat="1" ht="25.5" x14ac:dyDescent="0.2">
      <c r="A205" s="110" t="str">
        <f ca="1">OFFSET(PO!J$12,ROW(A205)-ROW($A$12),0)</f>
        <v>Serviço</v>
      </c>
      <c r="B205" s="112" t="str">
        <f ca="1">IF($A205=0,"",OFFSET(PO!K$12,ROW(B205)-ROW(B$12),0))</f>
        <v>1.9.1.0.12.</v>
      </c>
      <c r="C205" s="109" t="str">
        <f ca="1">IF(OFFSET(PO!N$12,ROW(C205)-ROW(C$12),0)=0,"",OFFSET(PO!N$12,ROW(C205)-ROW(C$12),0))</f>
        <v>Canopla para ponto de consumo embutido vácuo - fornecimento e instalação</v>
      </c>
      <c r="D205" s="111" t="str">
        <f ca="1">IF(OFFSET(PO!O$12,ROW(D205)-ROW(D$12),0)=0,"",OFFSET(PO!O$12,ROW(D205)-ROW(D$12),0))</f>
        <v>UNIDADE</v>
      </c>
      <c r="E205" s="140">
        <f ca="1">IF($A205&lt;&gt;"Serviço",0,ROUND(SUMIF($F$9:$P$9,"&lt;&gt;",$F205:$P205),15-13*PO!$X$3))</f>
        <v>7</v>
      </c>
      <c r="F205" s="364">
        <f ca="1">OFFSET(PO!$P$12,ROW($E205)-ROW(F$12),0)</f>
        <v>7</v>
      </c>
      <c r="G205" s="364"/>
      <c r="H205" s="364"/>
      <c r="I205" s="364"/>
      <c r="J205" s="364"/>
      <c r="K205" s="364"/>
      <c r="L205" s="364"/>
      <c r="M205" s="364"/>
      <c r="N205" s="364"/>
      <c r="O205" s="364"/>
      <c r="U205" s="182"/>
    </row>
    <row r="206" spans="1:21" s="1" customFormat="1" ht="25.5" x14ac:dyDescent="0.2">
      <c r="A206" s="110" t="str">
        <f ca="1">OFFSET(PO!J$12,ROW(A206)-ROW($A$12),0)</f>
        <v>Serviço</v>
      </c>
      <c r="B206" s="112" t="str">
        <f ca="1">IF($A206=0,"",OFFSET(PO!K$12,ROW(B206)-ROW(B$12),0))</f>
        <v>1.9.1.0.13.</v>
      </c>
      <c r="C206" s="109" t="str">
        <f ca="1">IF(OFFSET(PO!N$12,ROW(C206)-ROW(C$12),0)=0,"",OFFSET(PO!N$12,ROW(C206)-ROW(C$12),0))</f>
        <v>Canopla para ponto de consumo embutido oxigênio - fornecimento e instalação</v>
      </c>
      <c r="D206" s="111" t="str">
        <f ca="1">IF(OFFSET(PO!O$12,ROW(D206)-ROW(D$12),0)=0,"",OFFSET(PO!O$12,ROW(D206)-ROW(D$12),0))</f>
        <v>UNIDADE</v>
      </c>
      <c r="E206" s="140">
        <f ca="1">IF($A206&lt;&gt;"Serviço",0,ROUND(SUMIF($F$9:$P$9,"&lt;&gt;",$F206:$P206),15-13*PO!$X$3))</f>
        <v>7</v>
      </c>
      <c r="F206" s="364">
        <f ca="1">OFFSET(PO!$P$12,ROW($E206)-ROW(F$12),0)</f>
        <v>7</v>
      </c>
      <c r="G206" s="364"/>
      <c r="H206" s="364"/>
      <c r="I206" s="364"/>
      <c r="J206" s="364"/>
      <c r="K206" s="364"/>
      <c r="L206" s="364"/>
      <c r="M206" s="364"/>
      <c r="N206" s="364"/>
      <c r="O206" s="364"/>
      <c r="U206" s="182"/>
    </row>
    <row r="207" spans="1:21" s="1" customFormat="1" ht="25.5" x14ac:dyDescent="0.2">
      <c r="A207" s="110" t="str">
        <f ca="1">OFFSET(PO!J$12,ROW(A207)-ROW($A$12),0)</f>
        <v>Serviço</v>
      </c>
      <c r="B207" s="112" t="str">
        <f ca="1">IF($A207=0,"",OFFSET(PO!K$12,ROW(B207)-ROW(B$12),0))</f>
        <v>1.9.1.0.14.</v>
      </c>
      <c r="C207" s="109" t="str">
        <f ca="1">IF(OFFSET(PO!N$12,ROW(C207)-ROW(C$12),0)=0,"",OFFSET(PO!N$12,ROW(C207)-ROW(C$12),0))</f>
        <v>Canopla para ponto de consumo embutido ar comprimdo - fornecimento e instalação</v>
      </c>
      <c r="D207" s="111" t="str">
        <f ca="1">IF(OFFSET(PO!O$12,ROW(D207)-ROW(D$12),0)=0,"",OFFSET(PO!O$12,ROW(D207)-ROW(D$12),0))</f>
        <v>UNIDADE</v>
      </c>
      <c r="E207" s="140">
        <f ca="1">IF($A207&lt;&gt;"Serviço",0,ROUND(SUMIF($F$9:$P$9,"&lt;&gt;",$F207:$P207),15-13*PO!$X$3))</f>
        <v>8</v>
      </c>
      <c r="F207" s="364">
        <f ca="1">OFFSET(PO!$P$12,ROW($E207)-ROW(F$12),0)</f>
        <v>8</v>
      </c>
      <c r="G207" s="364"/>
      <c r="H207" s="364"/>
      <c r="I207" s="364"/>
      <c r="J207" s="364"/>
      <c r="K207" s="364"/>
      <c r="L207" s="364"/>
      <c r="M207" s="364"/>
      <c r="N207" s="364"/>
      <c r="O207" s="364"/>
      <c r="U207" s="182"/>
    </row>
    <row r="208" spans="1:21" s="1" customFormat="1" ht="38.25" x14ac:dyDescent="0.2">
      <c r="A208" s="110" t="str">
        <f ca="1">OFFSET(PO!J$12,ROW(A208)-ROW($A$12),0)</f>
        <v>Serviço</v>
      </c>
      <c r="B208" s="112" t="str">
        <f ca="1">IF($A208=0,"",OFFSET(PO!K$12,ROW(B208)-ROW(B$12),0))</f>
        <v>1.9.1.0.15.</v>
      </c>
      <c r="C208" s="109" t="str">
        <f ca="1">IF(OFFSET(PO!N$12,ROW(C208)-ROW(C$12),0)=0,"",OFFSET(PO!N$12,ROW(C208)-ROW(C$12),0))</f>
        <v>COTOVELO EM COBRE, DN 15 MM, 90 GRAUS, SEM ANEL DE SOLDA, INSTALADO EM RAMAL E SUB-RAMAL DE GÁS MEDICINAL - FORNECIMENTO E INSTALAÇÃO. AF_04/2022</v>
      </c>
      <c r="D208" s="111" t="str">
        <f ca="1">IF(OFFSET(PO!O$12,ROW(D208)-ROW(D$12),0)=0,"",OFFSET(PO!O$12,ROW(D208)-ROW(D$12),0))</f>
        <v>UN</v>
      </c>
      <c r="E208" s="140">
        <f ca="1">IF($A208&lt;&gt;"Serviço",0,ROUND(SUMIF($F$9:$P$9,"&lt;&gt;",$F208:$P208),15-13*PO!$X$3))</f>
        <v>58</v>
      </c>
      <c r="F208" s="364">
        <f ca="1">OFFSET(PO!$P$12,ROW($E208)-ROW(F$12),0)</f>
        <v>58</v>
      </c>
      <c r="G208" s="364"/>
      <c r="H208" s="364"/>
      <c r="I208" s="364"/>
      <c r="J208" s="364"/>
      <c r="K208" s="364"/>
      <c r="L208" s="364"/>
      <c r="M208" s="364"/>
      <c r="N208" s="364"/>
      <c r="O208" s="364"/>
      <c r="U208" s="182"/>
    </row>
    <row r="209" spans="1:21" s="1" customFormat="1" ht="38.25" x14ac:dyDescent="0.2">
      <c r="A209" s="110" t="str">
        <f ca="1">OFFSET(PO!J$12,ROW(A209)-ROW($A$12),0)</f>
        <v>Serviço</v>
      </c>
      <c r="B209" s="112" t="str">
        <f ca="1">IF($A209=0,"",OFFSET(PO!K$12,ROW(B209)-ROW(B$12),0))</f>
        <v>1.9.1.0.16.</v>
      </c>
      <c r="C209" s="109" t="str">
        <f ca="1">IF(OFFSET(PO!N$12,ROW(C209)-ROW(C$12),0)=0,"",OFFSET(PO!N$12,ROW(C209)-ROW(C$12),0))</f>
        <v>COTOVELO EM COBRE, DN 22 MM, 90 GRAUS, SEM ANEL DE SOLDA, INSTALADO EM RAMAL E SUB-RAMAL DE GÁS MEDICINAL - FORNECIMENTO E INSTALAÇÃO. AF_04/2022</v>
      </c>
      <c r="D209" s="111" t="str">
        <f ca="1">IF(OFFSET(PO!O$12,ROW(D209)-ROW(D$12),0)=0,"",OFFSET(PO!O$12,ROW(D209)-ROW(D$12),0))</f>
        <v>UN</v>
      </c>
      <c r="E209" s="140">
        <f ca="1">IF($A209&lt;&gt;"Serviço",0,ROUND(SUMIF($F$9:$P$9,"&lt;&gt;",$F209:$P209),15-13*PO!$X$3))</f>
        <v>9</v>
      </c>
      <c r="F209" s="364">
        <f ca="1">OFFSET(PO!$P$12,ROW($E209)-ROW(F$12),0)</f>
        <v>9</v>
      </c>
      <c r="G209" s="364"/>
      <c r="H209" s="364"/>
      <c r="I209" s="364"/>
      <c r="J209" s="364"/>
      <c r="K209" s="364"/>
      <c r="L209" s="364"/>
      <c r="M209" s="364"/>
      <c r="N209" s="364"/>
      <c r="O209" s="364"/>
      <c r="U209" s="182"/>
    </row>
    <row r="210" spans="1:21" s="1" customFormat="1" ht="38.25" x14ac:dyDescent="0.2">
      <c r="A210" s="110" t="str">
        <f ca="1">OFFSET(PO!J$12,ROW(A210)-ROW($A$12),0)</f>
        <v>Serviço</v>
      </c>
      <c r="B210" s="112" t="str">
        <f ca="1">IF($A210=0,"",OFFSET(PO!K$12,ROW(B210)-ROW(B$12),0))</f>
        <v>1.9.1.0.17.</v>
      </c>
      <c r="C210" s="109" t="str">
        <f ca="1">IF(OFFSET(PO!N$12,ROW(C210)-ROW(C$12),0)=0,"",OFFSET(PO!N$12,ROW(C210)-ROW(C$12),0))</f>
        <v>COTOVELO EM COBRE, DN 28 MM, 90 GRAUS, SEM ANEL DE SOLDA, INSTALADO EM RAMAL E SUB-RAMAL DE GÁS MEDICINAL - FORNECIMENTO E INSTALAÇÃO. AF_04/2022</v>
      </c>
      <c r="D210" s="111" t="str">
        <f ca="1">IF(OFFSET(PO!O$12,ROW(D210)-ROW(D$12),0)=0,"",OFFSET(PO!O$12,ROW(D210)-ROW(D$12),0))</f>
        <v>UN</v>
      </c>
      <c r="E210" s="140">
        <f ca="1">IF($A210&lt;&gt;"Serviço",0,ROUND(SUMIF($F$9:$P$9,"&lt;&gt;",$F210:$P210),15-13*PO!$X$3))</f>
        <v>5</v>
      </c>
      <c r="F210" s="364">
        <f ca="1">OFFSET(PO!$P$12,ROW($E210)-ROW(F$12),0)</f>
        <v>5</v>
      </c>
      <c r="G210" s="364"/>
      <c r="H210" s="364"/>
      <c r="I210" s="364"/>
      <c r="J210" s="364"/>
      <c r="K210" s="364"/>
      <c r="L210" s="364"/>
      <c r="M210" s="364"/>
      <c r="N210" s="364"/>
      <c r="O210" s="364"/>
      <c r="U210" s="182"/>
    </row>
    <row r="211" spans="1:21" s="1" customFormat="1" ht="38.25" x14ac:dyDescent="0.2">
      <c r="A211" s="110" t="str">
        <f ca="1">OFFSET(PO!J$12,ROW(A211)-ROW($A$12),0)</f>
        <v>Serviço</v>
      </c>
      <c r="B211" s="112" t="str">
        <f ca="1">IF($A211=0,"",OFFSET(PO!K$12,ROW(B211)-ROW(B$12),0))</f>
        <v>1.9.1.0.18.</v>
      </c>
      <c r="C211" s="109" t="str">
        <f ca="1">IF(OFFSET(PO!N$12,ROW(C211)-ROW(C$12),0)=0,"",OFFSET(PO!N$12,ROW(C211)-ROW(C$12),0))</f>
        <v>COTOVELO EM COBRE, DN 35 MM, 90 GRAUS, SEM ANEL DE SOLDA, INSTALADO EM PRUMADA DE HIDRÁULICA PREDIAL - FORNECIMENTO E INSTALAÇÃO. AF_04/2022</v>
      </c>
      <c r="D211" s="111" t="str">
        <f ca="1">IF(OFFSET(PO!O$12,ROW(D211)-ROW(D$12),0)=0,"",OFFSET(PO!O$12,ROW(D211)-ROW(D$12),0))</f>
        <v>UN</v>
      </c>
      <c r="E211" s="140">
        <f ca="1">IF($A211&lt;&gt;"Serviço",0,ROUND(SUMIF($F$9:$P$9,"&lt;&gt;",$F211:$P211),15-13*PO!$X$3))</f>
        <v>10</v>
      </c>
      <c r="F211" s="364">
        <f ca="1">OFFSET(PO!$P$12,ROW($E211)-ROW(F$12),0)</f>
        <v>10</v>
      </c>
      <c r="G211" s="364"/>
      <c r="H211" s="364"/>
      <c r="I211" s="364"/>
      <c r="J211" s="364"/>
      <c r="K211" s="364"/>
      <c r="L211" s="364"/>
      <c r="M211" s="364"/>
      <c r="N211" s="364"/>
      <c r="O211" s="364"/>
      <c r="U211" s="182"/>
    </row>
    <row r="212" spans="1:21" s="1" customFormat="1" ht="25.5" x14ac:dyDescent="0.2">
      <c r="A212" s="110" t="str">
        <f ca="1">OFFSET(PO!J$12,ROW(A212)-ROW($A$12),0)</f>
        <v>Serviço</v>
      </c>
      <c r="B212" s="112" t="str">
        <f ca="1">IF($A212=0,"",OFFSET(PO!K$12,ROW(B212)-ROW(B$12),0))</f>
        <v>1.9.1.0.19.</v>
      </c>
      <c r="C212" s="109" t="str">
        <f ca="1">IF(OFFSET(PO!N$12,ROW(C212)-ROW(C$12),0)=0,"",OFFSET(PO!N$12,ROW(C212)-ROW(C$12),0))</f>
        <v>Bucha de redução de cobre, juntas soldadas, 35 x 22mm - fornecimento e instalação</v>
      </c>
      <c r="D212" s="111" t="str">
        <f ca="1">IF(OFFSET(PO!O$12,ROW(D212)-ROW(D$12),0)=0,"",OFFSET(PO!O$12,ROW(D212)-ROW(D$12),0))</f>
        <v>PÇ</v>
      </c>
      <c r="E212" s="140">
        <f ca="1">IF($A212&lt;&gt;"Serviço",0,ROUND(SUMIF($F$9:$P$9,"&lt;&gt;",$F212:$P212),15-13*PO!$X$3))</f>
        <v>2</v>
      </c>
      <c r="F212" s="364">
        <f ca="1">OFFSET(PO!$P$12,ROW($E212)-ROW(F$12),0)</f>
        <v>2</v>
      </c>
      <c r="G212" s="364"/>
      <c r="H212" s="364"/>
      <c r="I212" s="364"/>
      <c r="J212" s="364"/>
      <c r="K212" s="364"/>
      <c r="L212" s="364"/>
      <c r="M212" s="364"/>
      <c r="N212" s="364"/>
      <c r="O212" s="364"/>
      <c r="U212" s="182"/>
    </row>
    <row r="213" spans="1:21" s="1" customFormat="1" ht="25.5" x14ac:dyDescent="0.2">
      <c r="A213" s="110" t="str">
        <f ca="1">OFFSET(PO!J$12,ROW(A213)-ROW($A$12),0)</f>
        <v>Serviço</v>
      </c>
      <c r="B213" s="112" t="str">
        <f ca="1">IF($A213=0,"",OFFSET(PO!K$12,ROW(B213)-ROW(B$12),0))</f>
        <v>1.9.1.0.20.</v>
      </c>
      <c r="C213" s="109" t="str">
        <f ca="1">IF(OFFSET(PO!N$12,ROW(C213)-ROW(C$12),0)=0,"",OFFSET(PO!N$12,ROW(C213)-ROW(C$12),0))</f>
        <v>Bucha de redução de cobre, juntas soldadas, 28 x 22mm - fornecimento e instalação</v>
      </c>
      <c r="D213" s="111" t="str">
        <f ca="1">IF(OFFSET(PO!O$12,ROW(D213)-ROW(D$12),0)=0,"",OFFSET(PO!O$12,ROW(D213)-ROW(D$12),0))</f>
        <v>PÇ</v>
      </c>
      <c r="E213" s="140">
        <f ca="1">IF($A213&lt;&gt;"Serviço",0,ROUND(SUMIF($F$9:$P$9,"&lt;&gt;",$F213:$P213),15-13*PO!$X$3))</f>
        <v>1</v>
      </c>
      <c r="F213" s="364">
        <f ca="1">OFFSET(PO!$P$12,ROW($E213)-ROW(F$12),0)</f>
        <v>1</v>
      </c>
      <c r="G213" s="364"/>
      <c r="H213" s="364"/>
      <c r="I213" s="364"/>
      <c r="J213" s="364"/>
      <c r="K213" s="364"/>
      <c r="L213" s="364"/>
      <c r="M213" s="364"/>
      <c r="N213" s="364"/>
      <c r="O213" s="364"/>
      <c r="U213" s="182"/>
    </row>
    <row r="214" spans="1:21" s="1" customFormat="1" ht="25.5" x14ac:dyDescent="0.2">
      <c r="A214" s="110" t="str">
        <f ca="1">OFFSET(PO!J$12,ROW(A214)-ROW($A$12),0)</f>
        <v>Serviço</v>
      </c>
      <c r="B214" s="112" t="str">
        <f ca="1">IF($A214=0,"",OFFSET(PO!K$12,ROW(B214)-ROW(B$12),0))</f>
        <v>1.9.1.0.21.</v>
      </c>
      <c r="C214" s="109" t="str">
        <f ca="1">IF(OFFSET(PO!N$12,ROW(C214)-ROW(C$12),0)=0,"",OFFSET(PO!N$12,ROW(C214)-ROW(C$12),0))</f>
        <v>Bucha de redução de cobre, juntas soldadas, 22 x 15mm - fornecimento e instalação</v>
      </c>
      <c r="D214" s="111" t="str">
        <f ca="1">IF(OFFSET(PO!O$12,ROW(D214)-ROW(D$12),0)=0,"",OFFSET(PO!O$12,ROW(D214)-ROW(D$12),0))</f>
        <v>PÇ</v>
      </c>
      <c r="E214" s="140">
        <f ca="1">IF($A214&lt;&gt;"Serviço",0,ROUND(SUMIF($F$9:$P$9,"&lt;&gt;",$F214:$P214),15-13*PO!$X$3))</f>
        <v>19</v>
      </c>
      <c r="F214" s="364">
        <f ca="1">OFFSET(PO!$P$12,ROW($E214)-ROW(F$12),0)</f>
        <v>19</v>
      </c>
      <c r="G214" s="364"/>
      <c r="H214" s="364"/>
      <c r="I214" s="364"/>
      <c r="J214" s="364"/>
      <c r="K214" s="364"/>
      <c r="L214" s="364"/>
      <c r="M214" s="364"/>
      <c r="N214" s="364"/>
      <c r="O214" s="364"/>
      <c r="U214" s="182"/>
    </row>
    <row r="215" spans="1:21" s="1" customFormat="1" ht="25.5" x14ac:dyDescent="0.2">
      <c r="A215" s="110" t="str">
        <f ca="1">OFFSET(PO!J$12,ROW(A215)-ROW($A$12),0)</f>
        <v>Serviço</v>
      </c>
      <c r="B215" s="112" t="str">
        <f ca="1">IF($A215=0,"",OFFSET(PO!K$12,ROW(B215)-ROW(B$12),0))</f>
        <v>1.9.1.0.22.</v>
      </c>
      <c r="C215" s="109" t="str">
        <f ca="1">IF(OFFSET(PO!N$12,ROW(C215)-ROW(C$12),0)=0,"",OFFSET(PO!N$12,ROW(C215)-ROW(C$12),0))</f>
        <v xml:space="preserve">Válvula de esfera triparida 1/2" total inox classe 300 lbs </v>
      </c>
      <c r="D215" s="111" t="str">
        <f ca="1">IF(OFFSET(PO!O$12,ROW(D215)-ROW(D$12),0)=0,"",OFFSET(PO!O$12,ROW(D215)-ROW(D$12),0))</f>
        <v>UNIDADE</v>
      </c>
      <c r="E215" s="140">
        <f ca="1">IF($A215&lt;&gt;"Serviço",0,ROUND(SUMIF($F$9:$P$9,"&lt;&gt;",$F215:$P215),15-13*PO!$X$3))</f>
        <v>22</v>
      </c>
      <c r="F215" s="364">
        <f ca="1">OFFSET(PO!$P$12,ROW($E215)-ROW(F$12),0)</f>
        <v>22</v>
      </c>
      <c r="G215" s="364"/>
      <c r="H215" s="364"/>
      <c r="I215" s="364"/>
      <c r="J215" s="364"/>
      <c r="K215" s="364"/>
      <c r="L215" s="364"/>
      <c r="M215" s="364"/>
      <c r="N215" s="364"/>
      <c r="O215" s="364"/>
      <c r="U215" s="182"/>
    </row>
    <row r="216" spans="1:21" s="1" customFormat="1" ht="25.5" x14ac:dyDescent="0.2">
      <c r="A216" s="110" t="str">
        <f ca="1">OFFSET(PO!J$12,ROW(A216)-ROW($A$12),0)</f>
        <v>Serviço</v>
      </c>
      <c r="B216" s="112" t="str">
        <f ca="1">IF($A216=0,"",OFFSET(PO!K$12,ROW(B216)-ROW(B$12),0))</f>
        <v>1.9.1.0.23.</v>
      </c>
      <c r="C216" s="109" t="str">
        <f ca="1">IF(OFFSET(PO!N$12,ROW(C216)-ROW(C$12),0)=0,"",OFFSET(PO!N$12,ROW(C216)-ROW(C$12),0))</f>
        <v xml:space="preserve">Válvula de esfera triparida 3/4" total inox classe 300 lbs </v>
      </c>
      <c r="D216" s="111" t="str">
        <f ca="1">IF(OFFSET(PO!O$12,ROW(D216)-ROW(D$12),0)=0,"",OFFSET(PO!O$12,ROW(D216)-ROW(D$12),0))</f>
        <v>UNIDADE</v>
      </c>
      <c r="E216" s="140">
        <f ca="1">IF($A216&lt;&gt;"Serviço",0,ROUND(SUMIF($F$9:$P$9,"&lt;&gt;",$F216:$P216),15-13*PO!$X$3))</f>
        <v>6</v>
      </c>
      <c r="F216" s="364">
        <f ca="1">OFFSET(PO!$P$12,ROW($E216)-ROW(F$12),0)</f>
        <v>6</v>
      </c>
      <c r="G216" s="364"/>
      <c r="H216" s="364"/>
      <c r="I216" s="364"/>
      <c r="J216" s="364"/>
      <c r="K216" s="364"/>
      <c r="L216" s="364"/>
      <c r="M216" s="364"/>
      <c r="N216" s="364"/>
      <c r="O216" s="364"/>
      <c r="U216" s="182"/>
    </row>
    <row r="217" spans="1:21" s="1" customFormat="1" ht="25.5" x14ac:dyDescent="0.2">
      <c r="A217" s="110" t="str">
        <f ca="1">OFFSET(PO!J$12,ROW(A217)-ROW($A$12),0)</f>
        <v>Serviço</v>
      </c>
      <c r="B217" s="112" t="str">
        <f ca="1">IF($A217=0,"",OFFSET(PO!K$12,ROW(B217)-ROW(B$12),0))</f>
        <v>1.9.1.0.24.</v>
      </c>
      <c r="C217" s="109" t="str">
        <f ca="1">IF(OFFSET(PO!N$12,ROW(C217)-ROW(C$12),0)=0,"",OFFSET(PO!N$12,ROW(C217)-ROW(C$12),0))</f>
        <v xml:space="preserve">Válvula de esfera triparida 1" total inox classe 300 lbs </v>
      </c>
      <c r="D217" s="111" t="str">
        <f ca="1">IF(OFFSET(PO!O$12,ROW(D217)-ROW(D$12),0)=0,"",OFFSET(PO!O$12,ROW(D217)-ROW(D$12),0))</f>
        <v>UNIDADE</v>
      </c>
      <c r="E217" s="140">
        <f ca="1">IF($A217&lt;&gt;"Serviço",0,ROUND(SUMIF($F$9:$P$9,"&lt;&gt;",$F217:$P217),15-13*PO!$X$3))</f>
        <v>2</v>
      </c>
      <c r="F217" s="364">
        <f ca="1">OFFSET(PO!$P$12,ROW($E217)-ROW(F$12),0)</f>
        <v>2</v>
      </c>
      <c r="G217" s="364"/>
      <c r="H217" s="364"/>
      <c r="I217" s="364"/>
      <c r="J217" s="364"/>
      <c r="K217" s="364"/>
      <c r="L217" s="364"/>
      <c r="M217" s="364"/>
      <c r="N217" s="364"/>
      <c r="O217" s="364"/>
      <c r="U217" s="182"/>
    </row>
    <row r="218" spans="1:21" s="1" customFormat="1" ht="25.5" x14ac:dyDescent="0.2">
      <c r="A218" s="110" t="str">
        <f ca="1">OFFSET(PO!J$12,ROW(A218)-ROW($A$12),0)</f>
        <v>Serviço</v>
      </c>
      <c r="B218" s="112" t="str">
        <f ca="1">IF($A218=0,"",OFFSET(PO!K$12,ROW(B218)-ROW(B$12),0))</f>
        <v>1.9.1.0.25.</v>
      </c>
      <c r="C218" s="109" t="str">
        <f ca="1">IF(OFFSET(PO!N$12,ROW(C218)-ROW(C$12),0)=0,"",OFFSET(PO!N$12,ROW(C218)-ROW(C$12),0))</f>
        <v xml:space="preserve">Válvula de esfera triparida 1 1/4" total inox classe 300 lbs </v>
      </c>
      <c r="D218" s="111" t="str">
        <f ca="1">IF(OFFSET(PO!O$12,ROW(D218)-ROW(D$12),0)=0,"",OFFSET(PO!O$12,ROW(D218)-ROW(D$12),0))</f>
        <v>UNIDADE</v>
      </c>
      <c r="E218" s="140">
        <f ca="1">IF($A218&lt;&gt;"Serviço",0,ROUND(SUMIF($F$9:$P$9,"&lt;&gt;",$F218:$P218),15-13*PO!$X$3))</f>
        <v>2</v>
      </c>
      <c r="F218" s="364">
        <f ca="1">OFFSET(PO!$P$12,ROW($E218)-ROW(F$12),0)</f>
        <v>2</v>
      </c>
      <c r="G218" s="364"/>
      <c r="H218" s="364"/>
      <c r="I218" s="364"/>
      <c r="J218" s="364"/>
      <c r="K218" s="364"/>
      <c r="L218" s="364"/>
      <c r="M218" s="364"/>
      <c r="N218" s="364"/>
      <c r="O218" s="364"/>
      <c r="U218" s="182"/>
    </row>
    <row r="219" spans="1:21" s="1" customFormat="1" x14ac:dyDescent="0.2">
      <c r="A219" s="110" t="str">
        <f ca="1">OFFSET(PO!J$12,ROW(A219)-ROW($A$12),0)</f>
        <v>Serviço</v>
      </c>
      <c r="B219" s="112" t="str">
        <f ca="1">IF($A219=0,"",OFFSET(PO!K$12,ROW(B219)-ROW(B$12),0))</f>
        <v>1.9.1.0.26.</v>
      </c>
      <c r="C219" s="109" t="str">
        <f ca="1">IF(OFFSET(PO!N$12,ROW(C219)-ROW(C$12),0)=0,"",OFFSET(PO!N$12,ROW(C219)-ROW(C$12),0))</f>
        <v>Conector macho bronze 1/2" x 15mm - fornecimento e instalação</v>
      </c>
      <c r="D219" s="111" t="str">
        <f ca="1">IF(OFFSET(PO!O$12,ROW(D219)-ROW(D$12),0)=0,"",OFFSET(PO!O$12,ROW(D219)-ROW(D$12),0))</f>
        <v>PÇ</v>
      </c>
      <c r="E219" s="140">
        <f ca="1">IF($A219&lt;&gt;"Serviço",0,ROUND(SUMIF($F$9:$P$9,"&lt;&gt;",$F219:$P219),15-13*PO!$X$3))</f>
        <v>44</v>
      </c>
      <c r="F219" s="364">
        <f ca="1">OFFSET(PO!$P$12,ROW($E219)-ROW(F$12),0)</f>
        <v>44</v>
      </c>
      <c r="G219" s="364"/>
      <c r="H219" s="364"/>
      <c r="I219" s="364"/>
      <c r="J219" s="364"/>
      <c r="K219" s="364"/>
      <c r="L219" s="364"/>
      <c r="M219" s="364"/>
      <c r="N219" s="364"/>
      <c r="O219" s="364"/>
      <c r="U219" s="182"/>
    </row>
    <row r="220" spans="1:21" s="1" customFormat="1" x14ac:dyDescent="0.2">
      <c r="A220" s="110" t="str">
        <f ca="1">OFFSET(PO!J$12,ROW(A220)-ROW($A$12),0)</f>
        <v>Serviço</v>
      </c>
      <c r="B220" s="112" t="str">
        <f ca="1">IF($A220=0,"",OFFSET(PO!K$12,ROW(B220)-ROW(B$12),0))</f>
        <v>1.9.1.0.27.</v>
      </c>
      <c r="C220" s="109" t="str">
        <f ca="1">IF(OFFSET(PO!N$12,ROW(C220)-ROW(C$12),0)=0,"",OFFSET(PO!N$12,ROW(C220)-ROW(C$12),0))</f>
        <v>Conector macho bronze 3/4" x 22mm - fornecimento e instalação</v>
      </c>
      <c r="D220" s="111" t="str">
        <f ca="1">IF(OFFSET(PO!O$12,ROW(D220)-ROW(D$12),0)=0,"",OFFSET(PO!O$12,ROW(D220)-ROW(D$12),0))</f>
        <v>PÇ</v>
      </c>
      <c r="E220" s="140">
        <f ca="1">IF($A220&lt;&gt;"Serviço",0,ROUND(SUMIF($F$9:$P$9,"&lt;&gt;",$F220:$P220),15-13*PO!$X$3))</f>
        <v>12</v>
      </c>
      <c r="F220" s="364">
        <f ca="1">OFFSET(PO!$P$12,ROW($E220)-ROW(F$12),0)</f>
        <v>12</v>
      </c>
      <c r="G220" s="364"/>
      <c r="H220" s="364"/>
      <c r="I220" s="364"/>
      <c r="J220" s="364"/>
      <c r="K220" s="364"/>
      <c r="L220" s="364"/>
      <c r="M220" s="364"/>
      <c r="N220" s="364"/>
      <c r="O220" s="364"/>
      <c r="U220" s="182"/>
    </row>
    <row r="221" spans="1:21" s="1" customFormat="1" x14ac:dyDescent="0.2">
      <c r="A221" s="110" t="str">
        <f ca="1">OFFSET(PO!J$12,ROW(A221)-ROW($A$12),0)</f>
        <v>Serviço</v>
      </c>
      <c r="B221" s="112" t="str">
        <f ca="1">IF($A221=0,"",OFFSET(PO!K$12,ROW(B221)-ROW(B$12),0))</f>
        <v>1.9.1.0.28.</v>
      </c>
      <c r="C221" s="109" t="str">
        <f ca="1">IF(OFFSET(PO!N$12,ROW(C221)-ROW(C$12),0)=0,"",OFFSET(PO!N$12,ROW(C221)-ROW(C$12),0))</f>
        <v>Conector macho bronze 1" x 28mm - fornecimento e instalação</v>
      </c>
      <c r="D221" s="111" t="str">
        <f ca="1">IF(OFFSET(PO!O$12,ROW(D221)-ROW(D$12),0)=0,"",OFFSET(PO!O$12,ROW(D221)-ROW(D$12),0))</f>
        <v>PÇ</v>
      </c>
      <c r="E221" s="140">
        <f ca="1">IF($A221&lt;&gt;"Serviço",0,ROUND(SUMIF($F$9:$P$9,"&lt;&gt;",$F221:$P221),15-13*PO!$X$3))</f>
        <v>12</v>
      </c>
      <c r="F221" s="364">
        <f ca="1">OFFSET(PO!$P$12,ROW($E221)-ROW(F$12),0)</f>
        <v>12</v>
      </c>
      <c r="G221" s="364"/>
      <c r="H221" s="364"/>
      <c r="I221" s="364"/>
      <c r="J221" s="364"/>
      <c r="K221" s="364"/>
      <c r="L221" s="364"/>
      <c r="M221" s="364"/>
      <c r="N221" s="364"/>
      <c r="O221" s="364"/>
      <c r="U221" s="182"/>
    </row>
    <row r="222" spans="1:21" s="1" customFormat="1" x14ac:dyDescent="0.2">
      <c r="A222" s="110" t="str">
        <f ca="1">OFFSET(PO!J$12,ROW(A222)-ROW($A$12),0)</f>
        <v>Serviço</v>
      </c>
      <c r="B222" s="112" t="str">
        <f ca="1">IF($A222=0,"",OFFSET(PO!K$12,ROW(B222)-ROW(B$12),0))</f>
        <v>1.9.1.0.29.</v>
      </c>
      <c r="C222" s="109" t="str">
        <f ca="1">IF(OFFSET(PO!N$12,ROW(C222)-ROW(C$12),0)=0,"",OFFSET(PO!N$12,ROW(C222)-ROW(C$12),0))</f>
        <v>Conector macho bronze 1 1/4" x 35mm - fornecimento e instalação</v>
      </c>
      <c r="D222" s="111" t="str">
        <f ca="1">IF(OFFSET(PO!O$12,ROW(D222)-ROW(D$12),0)=0,"",OFFSET(PO!O$12,ROW(D222)-ROW(D$12),0))</f>
        <v>PÇ</v>
      </c>
      <c r="E222" s="140">
        <f ca="1">IF($A222&lt;&gt;"Serviço",0,ROUND(SUMIF($F$9:$P$9,"&lt;&gt;",$F222:$P222),15-13*PO!$X$3))</f>
        <v>4</v>
      </c>
      <c r="F222" s="364">
        <f ca="1">OFFSET(PO!$P$12,ROW($E222)-ROW(F$12),0)</f>
        <v>4</v>
      </c>
      <c r="G222" s="364"/>
      <c r="H222" s="364"/>
      <c r="I222" s="364"/>
      <c r="J222" s="364"/>
      <c r="K222" s="364"/>
      <c r="L222" s="364"/>
      <c r="M222" s="364"/>
      <c r="N222" s="364"/>
      <c r="O222" s="364"/>
      <c r="U222" s="182"/>
    </row>
    <row r="223" spans="1:21" s="1" customFormat="1" x14ac:dyDescent="0.2">
      <c r="A223" s="110" t="str">
        <f ca="1">OFFSET(PO!J$12,ROW(A223)-ROW($A$12),0)</f>
        <v>Serviço</v>
      </c>
      <c r="B223" s="112" t="str">
        <f ca="1">IF($A223=0,"",OFFSET(PO!K$12,ROW(B223)-ROW(B$12),0))</f>
        <v>1.9.1.0.30.</v>
      </c>
      <c r="C223" s="109" t="str">
        <f ca="1">IF(OFFSET(PO!N$12,ROW(C223)-ROW(C$12),0)=0,"",OFFSET(PO!N$12,ROW(C223)-ROW(C$12),0))</f>
        <v>Suporte e fixação de tubulação em laje 100x100x50mm</v>
      </c>
      <c r="D223" s="111" t="str">
        <f ca="1">IF(OFFSET(PO!O$12,ROW(D223)-ROW(D$12),0)=0,"",OFFSET(PO!O$12,ROW(D223)-ROW(D$12),0))</f>
        <v>PÇ</v>
      </c>
      <c r="E223" s="140">
        <f ca="1">IF($A223&lt;&gt;"Serviço",0,ROUND(SUMIF($F$9:$P$9,"&lt;&gt;",$F223:$P223),15-13*PO!$X$3))</f>
        <v>256</v>
      </c>
      <c r="F223" s="364">
        <f ca="1">OFFSET(PO!$P$12,ROW($E223)-ROW(F$12),0)</f>
        <v>256</v>
      </c>
      <c r="G223" s="364"/>
      <c r="H223" s="364"/>
      <c r="I223" s="364"/>
      <c r="J223" s="364"/>
      <c r="K223" s="364"/>
      <c r="L223" s="364"/>
      <c r="M223" s="364"/>
      <c r="N223" s="364"/>
      <c r="O223" s="364"/>
      <c r="U223" s="182"/>
    </row>
    <row r="224" spans="1:21" s="1" customFormat="1" x14ac:dyDescent="0.2">
      <c r="A224" s="110" t="str">
        <f ca="1">OFFSET(PO!J$12,ROW(A224)-ROW($A$12),0)</f>
        <v>Serviço</v>
      </c>
      <c r="B224" s="112" t="str">
        <f ca="1">IF($A224=0,"",OFFSET(PO!K$12,ROW(B224)-ROW(B$12),0))</f>
        <v>1.9.1.0.31.</v>
      </c>
      <c r="C224" s="109" t="str">
        <f ca="1">IF(OFFSET(PO!N$12,ROW(C224)-ROW(C$12),0)=0,"",OFFSET(PO!N$12,ROW(C224)-ROW(C$12),0))</f>
        <v>Fluxo para pasta de solda Agflux</v>
      </c>
      <c r="D224" s="111" t="str">
        <f ca="1">IF(OFFSET(PO!O$12,ROW(D224)-ROW(D$12),0)=0,"",OFFSET(PO!O$12,ROW(D224)-ROW(D$12),0))</f>
        <v>KG</v>
      </c>
      <c r="E224" s="140">
        <f ca="1">IF($A224&lt;&gt;"Serviço",0,ROUND(SUMIF($F$9:$P$9,"&lt;&gt;",$F224:$P224),15-13*PO!$X$3))</f>
        <v>0.3</v>
      </c>
      <c r="F224" s="364">
        <f ca="1">OFFSET(PO!$P$12,ROW($E224)-ROW(F$12),0)</f>
        <v>0.3</v>
      </c>
      <c r="G224" s="364"/>
      <c r="H224" s="364"/>
      <c r="I224" s="364"/>
      <c r="J224" s="364"/>
      <c r="K224" s="364"/>
      <c r="L224" s="364"/>
      <c r="M224" s="364"/>
      <c r="N224" s="364"/>
      <c r="O224" s="364"/>
      <c r="U224" s="182"/>
    </row>
    <row r="225" spans="1:21" s="1" customFormat="1" x14ac:dyDescent="0.2">
      <c r="A225" s="110" t="str">
        <f ca="1">OFFSET(PO!J$12,ROW(A225)-ROW($A$12),0)</f>
        <v>Serviço</v>
      </c>
      <c r="B225" s="112" t="str">
        <f ca="1">IF($A225=0,"",OFFSET(PO!K$12,ROW(B225)-ROW(B$12),0))</f>
        <v>1.9.1.0.32.</v>
      </c>
      <c r="C225" s="109" t="str">
        <f ca="1">IF(OFFSET(PO!N$12,ROW(C225)-ROW(C$12),0)=0,"",OFFSET(PO!N$12,ROW(C225)-ROW(C$12),0))</f>
        <v>Enforce limpador alcalino</v>
      </c>
      <c r="D225" s="111" t="str">
        <f ca="1">IF(OFFSET(PO!O$12,ROW(D225)-ROW(D$12),0)=0,"",OFFSET(PO!O$12,ROW(D225)-ROW(D$12),0))</f>
        <v>LT</v>
      </c>
      <c r="E225" s="140">
        <f ca="1">IF($A225&lt;&gt;"Serviço",0,ROUND(SUMIF($F$9:$P$9,"&lt;&gt;",$F225:$P225),15-13*PO!$X$3))</f>
        <v>14</v>
      </c>
      <c r="F225" s="364">
        <f ca="1">OFFSET(PO!$P$12,ROW($E225)-ROW(F$12),0)</f>
        <v>14</v>
      </c>
      <c r="G225" s="364"/>
      <c r="H225" s="364"/>
      <c r="I225" s="364"/>
      <c r="J225" s="364"/>
      <c r="K225" s="364"/>
      <c r="L225" s="364"/>
      <c r="M225" s="364"/>
      <c r="N225" s="364"/>
      <c r="O225" s="364"/>
      <c r="U225" s="182"/>
    </row>
    <row r="226" spans="1:21" s="1" customFormat="1" x14ac:dyDescent="0.2">
      <c r="A226" s="110" t="str">
        <f ca="1">OFFSET(PO!J$12,ROW(A226)-ROW($A$12),0)</f>
        <v>Serviço</v>
      </c>
      <c r="B226" s="112" t="str">
        <f ca="1">IF($A226=0,"",OFFSET(PO!K$12,ROW(B226)-ROW(B$12),0))</f>
        <v>1.9.1.0.33.</v>
      </c>
      <c r="C226" s="109" t="str">
        <f ca="1">IF(OFFSET(PO!N$12,ROW(C226)-ROW(C$12),0)=0,"",OFFSET(PO!N$12,ROW(C226)-ROW(C$12),0))</f>
        <v xml:space="preserve">Nitrogênio </v>
      </c>
      <c r="D226" s="111" t="str">
        <f ca="1">IF(OFFSET(PO!O$12,ROW(D226)-ROW(D$12),0)=0,"",OFFSET(PO!O$12,ROW(D226)-ROW(D$12),0))</f>
        <v>M3</v>
      </c>
      <c r="E226" s="140">
        <f ca="1">IF($A226&lt;&gt;"Serviço",0,ROUND(SUMIF($F$9:$P$9,"&lt;&gt;",$F226:$P226),15-13*PO!$X$3))</f>
        <v>2</v>
      </c>
      <c r="F226" s="364">
        <f ca="1">OFFSET(PO!$P$12,ROW($E226)-ROW(F$12),0)</f>
        <v>2</v>
      </c>
      <c r="G226" s="364"/>
      <c r="H226" s="364"/>
      <c r="I226" s="364"/>
      <c r="J226" s="364"/>
      <c r="K226" s="364"/>
      <c r="L226" s="364"/>
      <c r="M226" s="364"/>
      <c r="N226" s="364"/>
      <c r="O226" s="364"/>
      <c r="U226" s="182"/>
    </row>
    <row r="227" spans="1:21" s="1" customFormat="1" x14ac:dyDescent="0.2">
      <c r="A227" s="110" t="str">
        <f ca="1">OFFSET(PO!J$12,ROW(A227)-ROW($A$12),0)</f>
        <v>Serviço</v>
      </c>
      <c r="B227" s="112" t="str">
        <f ca="1">IF($A227=0,"",OFFSET(PO!K$12,ROW(B227)-ROW(B$12),0))</f>
        <v>1.9.1.0.34.</v>
      </c>
      <c r="C227" s="109" t="str">
        <f ca="1">IF(OFFSET(PO!N$12,ROW(C227)-ROW(C$12),0)=0,"",OFFSET(PO!N$12,ROW(C227)-ROW(C$12),0))</f>
        <v>Oxigênio</v>
      </c>
      <c r="D227" s="111" t="str">
        <f ca="1">IF(OFFSET(PO!O$12,ROW(D227)-ROW(D$12),0)=0,"",OFFSET(PO!O$12,ROW(D227)-ROW(D$12),0))</f>
        <v>M3</v>
      </c>
      <c r="E227" s="140">
        <f ca="1">IF($A227&lt;&gt;"Serviço",0,ROUND(SUMIF($F$9:$P$9,"&lt;&gt;",$F227:$P227),15-13*PO!$X$3))</f>
        <v>0.3</v>
      </c>
      <c r="F227" s="364">
        <f ca="1">OFFSET(PO!$P$12,ROW($E227)-ROW(F$12),0)</f>
        <v>0.3</v>
      </c>
      <c r="G227" s="364"/>
      <c r="H227" s="364"/>
      <c r="I227" s="364"/>
      <c r="J227" s="364"/>
      <c r="K227" s="364"/>
      <c r="L227" s="364"/>
      <c r="M227" s="364"/>
      <c r="N227" s="364"/>
      <c r="O227" s="364"/>
      <c r="U227" s="182"/>
    </row>
    <row r="228" spans="1:21" s="1" customFormat="1" x14ac:dyDescent="0.2">
      <c r="A228" s="110" t="str">
        <f ca="1">OFFSET(PO!J$12,ROW(A228)-ROW($A$12),0)</f>
        <v>Serviço</v>
      </c>
      <c r="B228" s="112" t="str">
        <f ca="1">IF($A228=0,"",OFFSET(PO!K$12,ROW(B228)-ROW(B$12),0))</f>
        <v>1.9.1.0.35.</v>
      </c>
      <c r="C228" s="109" t="str">
        <f ca="1">IF(OFFSET(PO!N$12,ROW(C228)-ROW(C$12),0)=0,"",OFFSET(PO!N$12,ROW(C228)-ROW(C$12),0))</f>
        <v>Acetileno</v>
      </c>
      <c r="D228" s="111" t="str">
        <f ca="1">IF(OFFSET(PO!O$12,ROW(D228)-ROW(D$12),0)=0,"",OFFSET(PO!O$12,ROW(D228)-ROW(D$12),0))</f>
        <v>M3</v>
      </c>
      <c r="E228" s="140">
        <f ca="1">IF($A228&lt;&gt;"Serviço",0,ROUND(SUMIF($F$9:$P$9,"&lt;&gt;",$F228:$P228),15-13*PO!$X$3))</f>
        <v>0.3</v>
      </c>
      <c r="F228" s="364">
        <f ca="1">OFFSET(PO!$P$12,ROW($E228)-ROW(F$12),0)</f>
        <v>0.3</v>
      </c>
      <c r="G228" s="364"/>
      <c r="H228" s="364"/>
      <c r="I228" s="364"/>
      <c r="J228" s="364"/>
      <c r="K228" s="364"/>
      <c r="L228" s="364"/>
      <c r="M228" s="364"/>
      <c r="N228" s="364"/>
      <c r="O228" s="364"/>
      <c r="U228" s="182"/>
    </row>
    <row r="229" spans="1:21" s="1" customFormat="1" x14ac:dyDescent="0.2">
      <c r="A229" s="110" t="str">
        <f ca="1">OFFSET(PO!J$12,ROW(A229)-ROW($A$12),0)</f>
        <v>Serviço</v>
      </c>
      <c r="B229" s="112" t="str">
        <f ca="1">IF($A229=0,"",OFFSET(PO!K$12,ROW(B229)-ROW(B$12),0))</f>
        <v>1.9.1.0.36.</v>
      </c>
      <c r="C229" s="109" t="str">
        <f ca="1">IF(OFFSET(PO!N$12,ROW(C229)-ROW(C$12),0)=0,"",OFFSET(PO!N$12,ROW(C229)-ROW(C$12),0))</f>
        <v>Luva de cobre 35mm - fornecimento e instalação</v>
      </c>
      <c r="D229" s="111" t="str">
        <f ca="1">IF(OFFSET(PO!O$12,ROW(D229)-ROW(D$12),0)=0,"",OFFSET(PO!O$12,ROW(D229)-ROW(D$12),0))</f>
        <v>PÇ</v>
      </c>
      <c r="E229" s="140">
        <f ca="1">IF($A229&lt;&gt;"Serviço",0,ROUND(SUMIF($F$9:$P$9,"&lt;&gt;",$F229:$P229),15-13*PO!$X$3))</f>
        <v>10</v>
      </c>
      <c r="F229" s="364">
        <f ca="1">OFFSET(PO!$P$12,ROW($E229)-ROW(F$12),0)</f>
        <v>10</v>
      </c>
      <c r="G229" s="364"/>
      <c r="H229" s="364"/>
      <c r="I229" s="364"/>
      <c r="J229" s="364"/>
      <c r="K229" s="364"/>
      <c r="L229" s="364"/>
      <c r="M229" s="364"/>
      <c r="N229" s="364"/>
      <c r="O229" s="364"/>
      <c r="U229" s="182"/>
    </row>
    <row r="230" spans="1:21" s="1" customFormat="1" x14ac:dyDescent="0.2">
      <c r="A230" s="110" t="str">
        <f ca="1">OFFSET(PO!J$12,ROW(A230)-ROW($A$12),0)</f>
        <v>Serviço</v>
      </c>
      <c r="B230" s="112" t="str">
        <f ca="1">IF($A230=0,"",OFFSET(PO!K$12,ROW(B230)-ROW(B$12),0))</f>
        <v>1.9.1.0.37.</v>
      </c>
      <c r="C230" s="109" t="str">
        <f ca="1">IF(OFFSET(PO!N$12,ROW(C230)-ROW(C$12),0)=0,"",OFFSET(PO!N$12,ROW(C230)-ROW(C$12),0))</f>
        <v>Luva de cobre 28mm - fornecimento e instalação</v>
      </c>
      <c r="D230" s="111" t="str">
        <f ca="1">IF(OFFSET(PO!O$12,ROW(D230)-ROW(D$12),0)=0,"",OFFSET(PO!O$12,ROW(D230)-ROW(D$12),0))</f>
        <v>PÇ</v>
      </c>
      <c r="E230" s="140">
        <f ca="1">IF($A230&lt;&gt;"Serviço",0,ROUND(SUMIF($F$9:$P$9,"&lt;&gt;",$F230:$P230),15-13*PO!$X$3))</f>
        <v>5</v>
      </c>
      <c r="F230" s="364">
        <f ca="1">OFFSET(PO!$P$12,ROW($E230)-ROW(F$12),0)</f>
        <v>5</v>
      </c>
      <c r="G230" s="364"/>
      <c r="H230" s="364"/>
      <c r="I230" s="364"/>
      <c r="J230" s="364"/>
      <c r="K230" s="364"/>
      <c r="L230" s="364"/>
      <c r="M230" s="364"/>
      <c r="N230" s="364"/>
      <c r="O230" s="364"/>
      <c r="U230" s="182"/>
    </row>
    <row r="231" spans="1:21" s="1" customFormat="1" x14ac:dyDescent="0.2">
      <c r="A231" s="110" t="str">
        <f ca="1">OFFSET(PO!J$12,ROW(A231)-ROW($A$12),0)</f>
        <v>Serviço</v>
      </c>
      <c r="B231" s="112" t="str">
        <f ca="1">IF($A231=0,"",OFFSET(PO!K$12,ROW(B231)-ROW(B$12),0))</f>
        <v>1.9.1.0.38.</v>
      </c>
      <c r="C231" s="109" t="str">
        <f ca="1">IF(OFFSET(PO!N$12,ROW(C231)-ROW(C$12),0)=0,"",OFFSET(PO!N$12,ROW(C231)-ROW(C$12),0))</f>
        <v>Luva de cobre 22mm  - fornecimento e instalação</v>
      </c>
      <c r="D231" s="111" t="str">
        <f ca="1">IF(OFFSET(PO!O$12,ROW(D231)-ROW(D$12),0)=0,"",OFFSET(PO!O$12,ROW(D231)-ROW(D$12),0))</f>
        <v>PÇ</v>
      </c>
      <c r="E231" s="140">
        <f ca="1">IF($A231&lt;&gt;"Serviço",0,ROUND(SUMIF($F$9:$P$9,"&lt;&gt;",$F231:$P231),15-13*PO!$X$3))</f>
        <v>3</v>
      </c>
      <c r="F231" s="364">
        <f ca="1">OFFSET(PO!$P$12,ROW($E231)-ROW(F$12),0)</f>
        <v>3</v>
      </c>
      <c r="G231" s="364"/>
      <c r="H231" s="364"/>
      <c r="I231" s="364"/>
      <c r="J231" s="364"/>
      <c r="K231" s="364"/>
      <c r="L231" s="364"/>
      <c r="M231" s="364"/>
      <c r="N231" s="364"/>
      <c r="O231" s="364"/>
      <c r="U231" s="182"/>
    </row>
    <row r="232" spans="1:21" s="1" customFormat="1" ht="25.5" x14ac:dyDescent="0.2">
      <c r="A232" s="110" t="str">
        <f ca="1">OFFSET(PO!J$12,ROW(A232)-ROW($A$12),0)</f>
        <v>Serviço</v>
      </c>
      <c r="B232" s="112" t="str">
        <f ca="1">IF($A232=0,"",OFFSET(PO!K$12,ROW(B232)-ROW(B$12),0))</f>
        <v>1.9.1.0.39.</v>
      </c>
      <c r="C232" s="109" t="str">
        <f ca="1">IF(OFFSET(PO!N$12,ROW(C232)-ROW(C$12),0)=0,"",OFFSET(PO!N$12,ROW(C232)-ROW(C$12),0))</f>
        <v>Adesivos de identificação de tubulações - fornecimento e instalação</v>
      </c>
      <c r="D232" s="111" t="str">
        <f ca="1">IF(OFFSET(PO!O$12,ROW(D232)-ROW(D$12),0)=0,"",OFFSET(PO!O$12,ROW(D232)-ROW(D$12),0))</f>
        <v>UNIDADE</v>
      </c>
      <c r="E232" s="140">
        <f ca="1">IF($A232&lt;&gt;"Serviço",0,ROUND(SUMIF($F$9:$P$9,"&lt;&gt;",$F232:$P232),15-13*PO!$X$3))</f>
        <v>65</v>
      </c>
      <c r="F232" s="364">
        <f ca="1">OFFSET(PO!$P$12,ROW($E232)-ROW(F$12),0)</f>
        <v>65</v>
      </c>
      <c r="G232" s="364"/>
      <c r="H232" s="364"/>
      <c r="I232" s="364"/>
      <c r="J232" s="364"/>
      <c r="K232" s="364"/>
      <c r="L232" s="364"/>
      <c r="M232" s="364"/>
      <c r="N232" s="364"/>
      <c r="O232" s="364"/>
      <c r="U232" s="182"/>
    </row>
    <row r="233" spans="1:21" s="1" customFormat="1" ht="25.5" x14ac:dyDescent="0.2">
      <c r="A233" s="110" t="str">
        <f ca="1">OFFSET(PO!J$12,ROW(A233)-ROW($A$12),0)</f>
        <v>Serviço</v>
      </c>
      <c r="B233" s="112" t="str">
        <f ca="1">IF($A233=0,"",OFFSET(PO!K$12,ROW(B233)-ROW(B$12),0))</f>
        <v>1.9.1.0.40.</v>
      </c>
      <c r="C233" s="109" t="str">
        <f ca="1">IF(OFFSET(PO!N$12,ROW(C233)-ROW(C$12),0)=0,"",OFFSET(PO!N$12,ROW(C233)-ROW(C$12),0))</f>
        <v>Placa de identificação válvulas de esfera - fornecimento e instalação</v>
      </c>
      <c r="D233" s="111" t="str">
        <f ca="1">IF(OFFSET(PO!O$12,ROW(D233)-ROW(D$12),0)=0,"",OFFSET(PO!O$12,ROW(D233)-ROW(D$12),0))</f>
        <v>UNIDADE</v>
      </c>
      <c r="E233" s="140">
        <f ca="1">IF($A233&lt;&gt;"Serviço",0,ROUND(SUMIF($F$9:$P$9,"&lt;&gt;",$F233:$P233),15-13*PO!$X$3))</f>
        <v>17</v>
      </c>
      <c r="F233" s="364">
        <f ca="1">OFFSET(PO!$P$12,ROW($E233)-ROW(F$12),0)</f>
        <v>17</v>
      </c>
      <c r="G233" s="364"/>
      <c r="H233" s="364"/>
      <c r="I233" s="364"/>
      <c r="J233" s="364"/>
      <c r="K233" s="364"/>
      <c r="L233" s="364"/>
      <c r="M233" s="364"/>
      <c r="N233" s="364"/>
      <c r="O233" s="364"/>
      <c r="U233" s="182"/>
    </row>
    <row r="234" spans="1:21" s="1" customFormat="1" x14ac:dyDescent="0.2">
      <c r="A234" s="110" t="str">
        <f ca="1">OFFSET(PO!J$12,ROW(A234)-ROW($A$12),0)</f>
        <v>Serviço</v>
      </c>
      <c r="B234" s="112" t="str">
        <f ca="1">IF($A234=0,"",OFFSET(PO!K$12,ROW(B234)-ROW(B$12),0))</f>
        <v>1.9.1.0.41.</v>
      </c>
      <c r="C234" s="109" t="str">
        <f ca="1">IF(OFFSET(PO!N$12,ROW(C234)-ROW(C$12),0)=0,"",OFFSET(PO!N$12,ROW(C234)-ROW(C$12),0))</f>
        <v>Prolongador latão 30mm - fornecimento e instalação</v>
      </c>
      <c r="D234" s="111" t="str">
        <f ca="1">IF(OFFSET(PO!O$12,ROW(D234)-ROW(D$12),0)=0,"",OFFSET(PO!O$12,ROW(D234)-ROW(D$12),0))</f>
        <v>PÇ</v>
      </c>
      <c r="E234" s="140">
        <f ca="1">IF($A234&lt;&gt;"Serviço",0,ROUND(SUMIF($F$9:$P$9,"&lt;&gt;",$F234:$P234),15-13*PO!$X$3))</f>
        <v>44</v>
      </c>
      <c r="F234" s="364">
        <f ca="1">OFFSET(PO!$P$12,ROW($E234)-ROW(F$12),0)</f>
        <v>44</v>
      </c>
      <c r="G234" s="364"/>
      <c r="H234" s="364"/>
      <c r="I234" s="364"/>
      <c r="J234" s="364"/>
      <c r="K234" s="364"/>
      <c r="L234" s="364"/>
      <c r="M234" s="364"/>
      <c r="N234" s="364"/>
      <c r="O234" s="364"/>
      <c r="U234" s="182"/>
    </row>
    <row r="235" spans="1:21" s="1" customFormat="1" x14ac:dyDescent="0.2">
      <c r="A235" s="110" t="str">
        <f ca="1">OFFSET(PO!J$12,ROW(A235)-ROW($A$12),0)</f>
        <v>Serviço</v>
      </c>
      <c r="B235" s="112" t="str">
        <f ca="1">IF($A235=0,"",OFFSET(PO!K$12,ROW(B235)-ROW(B$12),0))</f>
        <v>1.9.1.0.42.</v>
      </c>
      <c r="C235" s="109" t="str">
        <f ca="1">IF(OFFSET(PO!N$12,ROW(C235)-ROW(C$12),0)=0,"",OFFSET(PO!N$12,ROW(C235)-ROW(C$12),0))</f>
        <v>Fixação de tubos em laje de concreto com abraçadeira metálica</v>
      </c>
      <c r="D235" s="111" t="str">
        <f ca="1">IF(OFFSET(PO!O$12,ROW(D235)-ROW(D$12),0)=0,"",OFFSET(PO!O$12,ROW(D235)-ROW(D$12),0))</f>
        <v xml:space="preserve">M </v>
      </c>
      <c r="E235" s="140">
        <f ca="1">IF($A235&lt;&gt;"Serviço",0,ROUND(SUMIF($F$9:$P$9,"&lt;&gt;",$F235:$P235),15-13*PO!$X$3))</f>
        <v>303.3</v>
      </c>
      <c r="F235" s="364">
        <f ca="1">OFFSET(PO!$P$12,ROW($E235)-ROW(F$12),0)</f>
        <v>303.3</v>
      </c>
      <c r="G235" s="364"/>
      <c r="H235" s="364"/>
      <c r="I235" s="364"/>
      <c r="J235" s="364"/>
      <c r="K235" s="364"/>
      <c r="L235" s="364"/>
      <c r="M235" s="364"/>
      <c r="N235" s="364"/>
      <c r="O235" s="364"/>
      <c r="U235" s="182"/>
    </row>
    <row r="236" spans="1:21" s="1" customFormat="1" x14ac:dyDescent="0.2">
      <c r="A236" s="110" t="str">
        <f ca="1">OFFSET(PO!J$12,ROW(A236)-ROW($A$12),0)</f>
        <v>Serviço</v>
      </c>
      <c r="B236" s="112" t="str">
        <f ca="1">IF($A236=0,"",OFFSET(PO!K$12,ROW(B236)-ROW(B$12),0))</f>
        <v>1.9.1.0.43.</v>
      </c>
      <c r="C236" s="109" t="str">
        <f ca="1">IF(OFFSET(PO!N$12,ROW(C236)-ROW(C$12),0)=0,"",OFFSET(PO!N$12,ROW(C236)-ROW(C$12),0))</f>
        <v>Fita anticorrosiva adesiva preta flexível 50mm</v>
      </c>
      <c r="D236" s="111" t="str">
        <f ca="1">IF(OFFSET(PO!O$12,ROW(D236)-ROW(D$12),0)=0,"",OFFSET(PO!O$12,ROW(D236)-ROW(D$12),0))</f>
        <v>M</v>
      </c>
      <c r="E236" s="140">
        <f ca="1">IF($A236&lt;&gt;"Serviço",0,ROUND(SUMIF($F$9:$P$9,"&lt;&gt;",$F236:$P236),15-13*PO!$X$3))</f>
        <v>606.6</v>
      </c>
      <c r="F236" s="364">
        <f ca="1">OFFSET(PO!$P$12,ROW($E236)-ROW(F$12),0)</f>
        <v>606.6</v>
      </c>
      <c r="G236" s="364"/>
      <c r="H236" s="364"/>
      <c r="I236" s="364"/>
      <c r="J236" s="364"/>
      <c r="K236" s="364"/>
      <c r="L236" s="364"/>
      <c r="M236" s="364"/>
      <c r="N236" s="364"/>
      <c r="O236" s="364"/>
      <c r="U236" s="182"/>
    </row>
    <row r="237" spans="1:21" s="1" customFormat="1" x14ac:dyDescent="0.2">
      <c r="A237" s="110" t="str">
        <f ca="1">OFFSET(PO!J$12,ROW(A237)-ROW($A$12),0)</f>
        <v>Serviço</v>
      </c>
      <c r="B237" s="112" t="str">
        <f ca="1">IF($A237=0,"",OFFSET(PO!K$12,ROW(B237)-ROW(B$12),0))</f>
        <v>1.9.1.0.44.</v>
      </c>
      <c r="C237" s="109" t="str">
        <f ca="1">IF(OFFSET(PO!N$12,ROW(C237)-ROW(C$12),0)=0,"",OFFSET(PO!N$12,ROW(C237)-ROW(C$12),0))</f>
        <v>Isolamento de tubos de cobre</v>
      </c>
      <c r="D237" s="111" t="str">
        <f ca="1">IF(OFFSET(PO!O$12,ROW(D237)-ROW(D$12),0)=0,"",OFFSET(PO!O$12,ROW(D237)-ROW(D$12),0))</f>
        <v>M</v>
      </c>
      <c r="E237" s="140">
        <f ca="1">IF($A237&lt;&gt;"Serviço",0,ROUND(SUMIF($F$9:$P$9,"&lt;&gt;",$F237:$P237),15-13*PO!$X$3))</f>
        <v>303.3</v>
      </c>
      <c r="F237" s="364">
        <f ca="1">OFFSET(PO!$P$12,ROW($E237)-ROW(F$12),0)</f>
        <v>303.3</v>
      </c>
      <c r="G237" s="364"/>
      <c r="H237" s="364"/>
      <c r="I237" s="364"/>
      <c r="J237" s="364"/>
      <c r="K237" s="364"/>
      <c r="L237" s="364"/>
      <c r="M237" s="364"/>
      <c r="N237" s="364"/>
      <c r="O237" s="364"/>
      <c r="U237" s="182"/>
    </row>
    <row r="238" spans="1:21" s="1" customFormat="1" ht="25.5" x14ac:dyDescent="0.2">
      <c r="A238" s="110" t="str">
        <f ca="1">OFFSET(PO!J$12,ROW(A238)-ROW($A$12),0)</f>
        <v>Serviço</v>
      </c>
      <c r="B238" s="112" t="str">
        <f ca="1">IF($A238=0,"",OFFSET(PO!K$12,ROW(B238)-ROW(B$12),0))</f>
        <v>1.9.1.0.45.</v>
      </c>
      <c r="C238" s="109" t="str">
        <f ca="1">IF(OFFSET(PO!N$12,ROW(C238)-ROW(C$12),0)=0,"",OFFSET(PO!N$12,ROW(C238)-ROW(C$12),0))</f>
        <v>Furos em concreto diâmetro até 100mm</v>
      </c>
      <c r="D238" s="111" t="str">
        <f ca="1">IF(OFFSET(PO!O$12,ROW(D238)-ROW(D$12),0)=0,"",OFFSET(PO!O$12,ROW(D238)-ROW(D$12),0))</f>
        <v>UNIDADE</v>
      </c>
      <c r="E238" s="140">
        <f ca="1">IF($A238&lt;&gt;"Serviço",0,ROUND(SUMIF($F$9:$P$9,"&lt;&gt;",$F238:$P238),15-13*PO!$X$3))</f>
        <v>64</v>
      </c>
      <c r="F238" s="364">
        <f ca="1">OFFSET(PO!$P$12,ROW($E238)-ROW(F$12),0)</f>
        <v>64</v>
      </c>
      <c r="G238" s="364"/>
      <c r="H238" s="364"/>
      <c r="I238" s="364"/>
      <c r="J238" s="364"/>
      <c r="K238" s="364"/>
      <c r="L238" s="364"/>
      <c r="M238" s="364"/>
      <c r="N238" s="364"/>
      <c r="O238" s="364"/>
      <c r="U238" s="182"/>
    </row>
    <row r="239" spans="1:21" s="1" customFormat="1" x14ac:dyDescent="0.2">
      <c r="A239" s="110" t="str">
        <f ca="1">OFFSET(PO!J$12,ROW(A239)-ROW($A$12),0)</f>
        <v>Serviço</v>
      </c>
      <c r="B239" s="112" t="str">
        <f ca="1">IF($A239=0,"",OFFSET(PO!K$12,ROW(B239)-ROW(B$12),0))</f>
        <v>1.9.1.0.46.</v>
      </c>
      <c r="C239" s="109" t="str">
        <f ca="1">IF(OFFSET(PO!N$12,ROW(C239)-ROW(C$12),0)=0,"",OFFSET(PO!N$12,ROW(C239)-ROW(C$12),0))</f>
        <v>Isolamento de tubulação com borracha elastomérica 5/8"</v>
      </c>
      <c r="D239" s="111" t="str">
        <f ca="1">IF(OFFSET(PO!O$12,ROW(D239)-ROW(D$12),0)=0,"",OFFSET(PO!O$12,ROW(D239)-ROW(D$12),0))</f>
        <v>M</v>
      </c>
      <c r="E239" s="140">
        <f ca="1">IF($A239&lt;&gt;"Serviço",0,ROUND(SUMIF($F$9:$P$9,"&lt;&gt;",$F239:$P239),15-13*PO!$X$3))</f>
        <v>303.3</v>
      </c>
      <c r="F239" s="364">
        <f ca="1">OFFSET(PO!$P$12,ROW($E239)-ROW(F$12),0)</f>
        <v>303.3</v>
      </c>
      <c r="G239" s="364"/>
      <c r="H239" s="364"/>
      <c r="I239" s="364"/>
      <c r="J239" s="364"/>
      <c r="K239" s="364"/>
      <c r="L239" s="364"/>
      <c r="M239" s="364"/>
      <c r="N239" s="364"/>
      <c r="O239" s="364"/>
      <c r="U239" s="182"/>
    </row>
    <row r="240" spans="1:21" s="1" customFormat="1" x14ac:dyDescent="0.2">
      <c r="A240" s="110" t="str">
        <f ca="1">OFFSET(PO!J$12,ROW(A240)-ROW($A$12),0)</f>
        <v>Nível 2</v>
      </c>
      <c r="B240" s="112" t="str">
        <f ca="1">IF($A240=0,"",OFFSET(PO!K$12,ROW(B240)-ROW(B$12),0))</f>
        <v>1.10.</v>
      </c>
      <c r="C240" s="109" t="str">
        <f ca="1">IF(OFFSET(PO!N$12,ROW(C240)-ROW(C$12),0)=0,"",OFFSET(PO!N$12,ROW(C240)-ROW(C$12),0))</f>
        <v>INSTALAÇÕES HIDROSSANITÁRIAS</v>
      </c>
      <c r="D240" s="111" t="str">
        <f ca="1">IF(OFFSET(PO!O$12,ROW(D240)-ROW(D$12),0)=0,"",OFFSET(PO!O$12,ROW(D240)-ROW(D$12),0))</f>
        <v/>
      </c>
      <c r="E240" s="140">
        <f ca="1">IF($A240&lt;&gt;"Serviço",0,ROUND(SUMIF($F$9:$P$9,"&lt;&gt;",$F240:$P240),15-13*PO!$X$3))</f>
        <v>0</v>
      </c>
      <c r="F240" s="364">
        <f ca="1">OFFSET(PO!$P$12,ROW($E240)-ROW(F$12),0)</f>
        <v>0</v>
      </c>
      <c r="G240" s="364"/>
      <c r="H240" s="364"/>
      <c r="I240" s="364"/>
      <c r="J240" s="364"/>
      <c r="K240" s="364"/>
      <c r="L240" s="364"/>
      <c r="M240" s="364"/>
      <c r="N240" s="364"/>
      <c r="O240" s="364"/>
      <c r="U240" s="182"/>
    </row>
    <row r="241" spans="1:21" s="1" customFormat="1" x14ac:dyDescent="0.2">
      <c r="A241" s="110" t="str">
        <f ca="1">OFFSET(PO!J$12,ROW(A241)-ROW($A$12),0)</f>
        <v>Nível 3</v>
      </c>
      <c r="B241" s="112" t="str">
        <f ca="1">IF($A241=0,"",OFFSET(PO!K$12,ROW(B241)-ROW(B$12),0))</f>
        <v>1.10.1.</v>
      </c>
      <c r="C241" s="109" t="str">
        <f ca="1">IF(OFFSET(PO!N$12,ROW(C241)-ROW(C$12),0)=0,"",OFFSET(PO!N$12,ROW(C241)-ROW(C$12),0))</f>
        <v>PONTOS HIDRÁULICOS</v>
      </c>
      <c r="D241" s="111" t="str">
        <f ca="1">IF(OFFSET(PO!O$12,ROW(D241)-ROW(D$12),0)=0,"",OFFSET(PO!O$12,ROW(D241)-ROW(D$12),0))</f>
        <v/>
      </c>
      <c r="E241" s="140">
        <f ca="1">IF($A241&lt;&gt;"Serviço",0,ROUND(SUMIF($F$9:$P$9,"&lt;&gt;",$F241:$P241),15-13*PO!$X$3))</f>
        <v>0</v>
      </c>
      <c r="F241" s="364">
        <f ca="1">OFFSET(PO!$P$12,ROW($E241)-ROW(F$12),0)</f>
        <v>0</v>
      </c>
      <c r="G241" s="364"/>
      <c r="H241" s="364"/>
      <c r="I241" s="364"/>
      <c r="J241" s="364"/>
      <c r="K241" s="364"/>
      <c r="L241" s="364"/>
      <c r="M241" s="364"/>
      <c r="N241" s="364"/>
      <c r="O241" s="364"/>
      <c r="U241" s="182"/>
    </row>
    <row r="242" spans="1:21" s="1" customFormat="1" ht="51" x14ac:dyDescent="0.2">
      <c r="A242" s="110" t="str">
        <f ca="1">OFFSET(PO!J$12,ROW(A242)-ROW($A$12),0)</f>
        <v>Serviço</v>
      </c>
      <c r="B242" s="112" t="str">
        <f ca="1">IF($A242=0,"",OFFSET(PO!K$12,ROW(B242)-ROW(B$12),0))</f>
        <v>1.10.1.0.1.</v>
      </c>
      <c r="C242" s="109" t="str">
        <f ca="1">IF(OFFSET(PO!N$12,ROW(C242)-ROW(C$12),0)=0,"",OFFSET(PO!N$12,ROW(C242)-ROW(C$12),0))</f>
        <v>ADAPTADOR CURTO COM BOLSA E ROSCA PARA REGISTRO, PVC, SOLDÁVEL, DN 25MM X 3/4, INSTALADO EM RAMAL OU SUB-RAMAL DE ÁGUA - FORNECIMENTO E INSTALAÇÃO. AF_06/2022</v>
      </c>
      <c r="D242" s="111" t="str">
        <f ca="1">IF(OFFSET(PO!O$12,ROW(D242)-ROW(D$12),0)=0,"",OFFSET(PO!O$12,ROW(D242)-ROW(D$12),0))</f>
        <v>UN</v>
      </c>
      <c r="E242" s="140">
        <f ca="1">IF($A242&lt;&gt;"Serviço",0,ROUND(SUMIF($F$9:$P$9,"&lt;&gt;",$F242:$P242),15-13*PO!$X$3))</f>
        <v>37</v>
      </c>
      <c r="F242" s="364">
        <f ca="1">OFFSET(PO!$P$12,ROW($E242)-ROW(F$12),0)</f>
        <v>37</v>
      </c>
      <c r="G242" s="364"/>
      <c r="H242" s="364"/>
      <c r="I242" s="364"/>
      <c r="J242" s="364"/>
      <c r="K242" s="364"/>
      <c r="L242" s="364"/>
      <c r="M242" s="364"/>
      <c r="N242" s="364"/>
      <c r="O242" s="364"/>
      <c r="U242" s="182"/>
    </row>
    <row r="243" spans="1:21" s="1" customFormat="1" ht="51" x14ac:dyDescent="0.2">
      <c r="A243" s="110" t="str">
        <f ca="1">OFFSET(PO!J$12,ROW(A243)-ROW($A$12),0)</f>
        <v>Serviço</v>
      </c>
      <c r="B243" s="112" t="str">
        <f ca="1">IF($A243=0,"",OFFSET(PO!K$12,ROW(B243)-ROW(B$12),0))</f>
        <v>1.10.1.0.2.</v>
      </c>
      <c r="C243" s="109" t="str">
        <f ca="1">IF(OFFSET(PO!N$12,ROW(C243)-ROW(C$12),0)=0,"",OFFSET(PO!N$12,ROW(C243)-ROW(C$12),0))</f>
        <v>ADAPTADOR CURTO COM BOLSA E ROSCA PARA REGISTRO, PVC, SOLDÁVEL, DN 50MM X 1.1/2", INSTALADO EM RAMAL DE DISTRIBUIÇÃO DE ÁGUA - FORNECIMENTO E INSTALAÇÃO. AF_06/2022</v>
      </c>
      <c r="D243" s="111" t="str">
        <f ca="1">IF(OFFSET(PO!O$12,ROW(D243)-ROW(D$12),0)=0,"",OFFSET(PO!O$12,ROW(D243)-ROW(D$12),0))</f>
        <v>UN</v>
      </c>
      <c r="E243" s="140">
        <f ca="1">IF($A243&lt;&gt;"Serviço",0,ROUND(SUMIF($F$9:$P$9,"&lt;&gt;",$F243:$P243),15-13*PO!$X$3))</f>
        <v>11</v>
      </c>
      <c r="F243" s="364">
        <f ca="1">OFFSET(PO!$P$12,ROW($E243)-ROW(F$12),0)</f>
        <v>11</v>
      </c>
      <c r="G243" s="364"/>
      <c r="H243" s="364"/>
      <c r="I243" s="364"/>
      <c r="J243" s="364"/>
      <c r="K243" s="364"/>
      <c r="L243" s="364"/>
      <c r="M243" s="364"/>
      <c r="N243" s="364"/>
      <c r="O243" s="364"/>
      <c r="U243" s="182"/>
    </row>
    <row r="244" spans="1:21" s="1" customFormat="1" ht="38.25" x14ac:dyDescent="0.2">
      <c r="A244" s="110" t="str">
        <f ca="1">OFFSET(PO!J$12,ROW(A244)-ROW($A$12),0)</f>
        <v>Serviço</v>
      </c>
      <c r="B244" s="112" t="str">
        <f ca="1">IF($A244=0,"",OFFSET(PO!K$12,ROW(B244)-ROW(B$12),0))</f>
        <v>1.10.1.0.3.</v>
      </c>
      <c r="C244" s="109" t="str">
        <f ca="1">IF(OFFSET(PO!N$12,ROW(C244)-ROW(C$12),0)=0,"",OFFSET(PO!N$12,ROW(C244)-ROW(C$12),0))</f>
        <v>BUCHA DE REDUÇÃO, LONGA, PVC, SOLDÁVEL, DN 50 X 25 MM, INSTALADO EM RAMAL DE DISTRIBUIÇÃO DE ÁGUA - FORNECIMENTO E INSTALAÇÃO. AF_06/2022</v>
      </c>
      <c r="D244" s="111" t="str">
        <f ca="1">IF(OFFSET(PO!O$12,ROW(D244)-ROW(D$12),0)=0,"",OFFSET(PO!O$12,ROW(D244)-ROW(D$12),0))</f>
        <v>UN</v>
      </c>
      <c r="E244" s="140">
        <f ca="1">IF($A244&lt;&gt;"Serviço",0,ROUND(SUMIF($F$9:$P$9,"&lt;&gt;",$F244:$P244),15-13*PO!$X$3))</f>
        <v>14</v>
      </c>
      <c r="F244" s="364">
        <f ca="1">OFFSET(PO!$P$12,ROW($E244)-ROW(F$12),0)</f>
        <v>14</v>
      </c>
      <c r="G244" s="364"/>
      <c r="H244" s="364"/>
      <c r="I244" s="364"/>
      <c r="J244" s="364"/>
      <c r="K244" s="364"/>
      <c r="L244" s="364"/>
      <c r="M244" s="364"/>
      <c r="N244" s="364"/>
      <c r="O244" s="364"/>
      <c r="U244" s="182"/>
    </row>
    <row r="245" spans="1:21" s="1" customFormat="1" ht="38.25" x14ac:dyDescent="0.2">
      <c r="A245" s="110" t="str">
        <f ca="1">OFFSET(PO!J$12,ROW(A245)-ROW($A$12),0)</f>
        <v>Serviço</v>
      </c>
      <c r="B245" s="112" t="str">
        <f ca="1">IF($A245=0,"",OFFSET(PO!K$12,ROW(B245)-ROW(B$12),0))</f>
        <v>1.10.1.0.4.</v>
      </c>
      <c r="C245" s="109" t="str">
        <f ca="1">IF(OFFSET(PO!N$12,ROW(C245)-ROW(C$12),0)=0,"",OFFSET(PO!N$12,ROW(C245)-ROW(C$12),0))</f>
        <v>BUCHA DE REDUÇÃO, LONGA, PVC, SOLDÁVEL, DN 75 X 50 MM, INSTALADO EM PRUMADA DE ÁGUA - FORNECIMENTO E INSTALAÇÃO. AF_06/2022</v>
      </c>
      <c r="D245" s="111" t="str">
        <f ca="1">IF(OFFSET(PO!O$12,ROW(D245)-ROW(D$12),0)=0,"",OFFSET(PO!O$12,ROW(D245)-ROW(D$12),0))</f>
        <v>UN</v>
      </c>
      <c r="E245" s="140">
        <f ca="1">IF($A245&lt;&gt;"Serviço",0,ROUND(SUMIF($F$9:$P$9,"&lt;&gt;",$F245:$P245),15-13*PO!$X$3))</f>
        <v>2</v>
      </c>
      <c r="F245" s="364">
        <f ca="1">OFFSET(PO!$P$12,ROW($E245)-ROW(F$12),0)</f>
        <v>2</v>
      </c>
      <c r="G245" s="364"/>
      <c r="H245" s="364"/>
      <c r="I245" s="364"/>
      <c r="J245" s="364"/>
      <c r="K245" s="364"/>
      <c r="L245" s="364"/>
      <c r="M245" s="364"/>
      <c r="N245" s="364"/>
      <c r="O245" s="364"/>
      <c r="U245" s="182"/>
    </row>
    <row r="246" spans="1:21" s="1" customFormat="1" ht="38.25" x14ac:dyDescent="0.2">
      <c r="A246" s="110" t="str">
        <f ca="1">OFFSET(PO!J$12,ROW(A246)-ROW($A$12),0)</f>
        <v>Serviço</v>
      </c>
      <c r="B246" s="112" t="str">
        <f ca="1">IF($A246=0,"",OFFSET(PO!K$12,ROW(B246)-ROW(B$12),0))</f>
        <v>1.10.1.0.5.</v>
      </c>
      <c r="C246" s="109" t="str">
        <f ca="1">IF(OFFSET(PO!N$12,ROW(C246)-ROW(C$12),0)=0,"",OFFSET(PO!N$12,ROW(C246)-ROW(C$12),0))</f>
        <v>JOELHO 90 GRAUS, PVC, SOLDÁVEL, DN 25MM, INSTALADO EM RAMAL OU SUB-RAMAL DE ÁGUA - FORNECIMENTO E INSTALAÇÃO. AF_06/2022</v>
      </c>
      <c r="D246" s="111" t="str">
        <f ca="1">IF(OFFSET(PO!O$12,ROW(D246)-ROW(D$12),0)=0,"",OFFSET(PO!O$12,ROW(D246)-ROW(D$12),0))</f>
        <v>UN</v>
      </c>
      <c r="E246" s="140">
        <f ca="1">IF($A246&lt;&gt;"Serviço",0,ROUND(SUMIF($F$9:$P$9,"&lt;&gt;",$F246:$P246),15-13*PO!$X$3))</f>
        <v>33</v>
      </c>
      <c r="F246" s="364">
        <f ca="1">OFFSET(PO!$P$12,ROW($E246)-ROW(F$12),0)</f>
        <v>33</v>
      </c>
      <c r="G246" s="364"/>
      <c r="H246" s="364"/>
      <c r="I246" s="364"/>
      <c r="J246" s="364"/>
      <c r="K246" s="364"/>
      <c r="L246" s="364"/>
      <c r="M246" s="364"/>
      <c r="N246" s="364"/>
      <c r="O246" s="364"/>
      <c r="U246" s="182"/>
    </row>
    <row r="247" spans="1:21" s="1" customFormat="1" ht="38.25" x14ac:dyDescent="0.2">
      <c r="A247" s="110" t="str">
        <f ca="1">OFFSET(PO!J$12,ROW(A247)-ROW($A$12),0)</f>
        <v>Serviço</v>
      </c>
      <c r="B247" s="112" t="str">
        <f ca="1">IF($A247=0,"",OFFSET(PO!K$12,ROW(B247)-ROW(B$12),0))</f>
        <v>1.10.1.0.6.</v>
      </c>
      <c r="C247" s="109" t="str">
        <f ca="1">IF(OFFSET(PO!N$12,ROW(C247)-ROW(C$12),0)=0,"",OFFSET(PO!N$12,ROW(C247)-ROW(C$12),0))</f>
        <v>JOELHO 90 GRAUS, PVC, SOLDÁVEL, DN 50MM, INSTALADO EM RAMAL DE DISTRIBUIÇÃO DE ÁGUA - FORNECIMENTO E INSTALAÇÃO. AF_06/2022</v>
      </c>
      <c r="D247" s="111" t="str">
        <f ca="1">IF(OFFSET(PO!O$12,ROW(D247)-ROW(D$12),0)=0,"",OFFSET(PO!O$12,ROW(D247)-ROW(D$12),0))</f>
        <v>UN</v>
      </c>
      <c r="E247" s="140">
        <f ca="1">IF($A247&lt;&gt;"Serviço",0,ROUND(SUMIF($F$9:$P$9,"&lt;&gt;",$F247:$P247),15-13*PO!$X$3))</f>
        <v>9</v>
      </c>
      <c r="F247" s="364">
        <f ca="1">OFFSET(PO!$P$12,ROW($E247)-ROW(F$12),0)</f>
        <v>9</v>
      </c>
      <c r="G247" s="364"/>
      <c r="H247" s="364"/>
      <c r="I247" s="364"/>
      <c r="J247" s="364"/>
      <c r="K247" s="364"/>
      <c r="L247" s="364"/>
      <c r="M247" s="364"/>
      <c r="N247" s="364"/>
      <c r="O247" s="364"/>
      <c r="U247" s="182"/>
    </row>
    <row r="248" spans="1:21" s="1" customFormat="1" ht="38.25" x14ac:dyDescent="0.2">
      <c r="A248" s="110" t="str">
        <f ca="1">OFFSET(PO!J$12,ROW(A248)-ROW($A$12),0)</f>
        <v>Serviço</v>
      </c>
      <c r="B248" s="112" t="str">
        <f ca="1">IF($A248=0,"",OFFSET(PO!K$12,ROW(B248)-ROW(B$12),0))</f>
        <v>1.10.1.0.7.</v>
      </c>
      <c r="C248" s="109" t="str">
        <f ca="1">IF(OFFSET(PO!N$12,ROW(C248)-ROW(C$12),0)=0,"",OFFSET(PO!N$12,ROW(C248)-ROW(C$12),0))</f>
        <v>JOELHO 90 GRAUS COM BUCHA DE LATÃO, PVC, SOLDÁVEL, DN 25MM, X 3/4 INSTALADO EM RAMAL OU SUB-RAMAL DE ÁGUA - FORNECIMENTO E INSTALAÇÃO. AF_06/2022</v>
      </c>
      <c r="D248" s="111" t="str">
        <f ca="1">IF(OFFSET(PO!O$12,ROW(D248)-ROW(D$12),0)=0,"",OFFSET(PO!O$12,ROW(D248)-ROW(D$12),0))</f>
        <v>UN</v>
      </c>
      <c r="E248" s="140">
        <f ca="1">IF($A248&lt;&gt;"Serviço",0,ROUND(SUMIF($F$9:$P$9,"&lt;&gt;",$F248:$P248),15-13*PO!$X$3))</f>
        <v>2</v>
      </c>
      <c r="F248" s="364">
        <f ca="1">OFFSET(PO!$P$12,ROW($E248)-ROW(F$12),0)</f>
        <v>2</v>
      </c>
      <c r="G248" s="364"/>
      <c r="H248" s="364"/>
      <c r="I248" s="364"/>
      <c r="J248" s="364"/>
      <c r="K248" s="364"/>
      <c r="L248" s="364"/>
      <c r="M248" s="364"/>
      <c r="N248" s="364"/>
      <c r="O248" s="364"/>
      <c r="U248" s="182"/>
    </row>
    <row r="249" spans="1:21" s="1" customFormat="1" ht="38.25" x14ac:dyDescent="0.2">
      <c r="A249" s="110" t="str">
        <f ca="1">OFFSET(PO!J$12,ROW(A249)-ROW($A$12),0)</f>
        <v>Serviço</v>
      </c>
      <c r="B249" s="112" t="str">
        <f ca="1">IF($A249=0,"",OFFSET(PO!K$12,ROW(B249)-ROW(B$12),0))</f>
        <v>1.10.1.0.8.</v>
      </c>
      <c r="C249" s="109" t="str">
        <f ca="1">IF(OFFSET(PO!N$12,ROW(C249)-ROW(C$12),0)=0,"",OFFSET(PO!N$12,ROW(C249)-ROW(C$12),0))</f>
        <v>JOELHO 90 GRAUS COM BUCHA DE LATÃO, PVC, SOLDÁVEL, DN 25MM, X 1/2 INSTALADO EM RAMAL OU SUB-RAMAL DE ÁGUA - FORNECIMENTO E INSTALAÇÃO. AF_06/2022</v>
      </c>
      <c r="D249" s="111" t="str">
        <f ca="1">IF(OFFSET(PO!O$12,ROW(D249)-ROW(D$12),0)=0,"",OFFSET(PO!O$12,ROW(D249)-ROW(D$12),0))</f>
        <v>UN</v>
      </c>
      <c r="E249" s="140">
        <f ca="1">IF($A249&lt;&gt;"Serviço",0,ROUND(SUMIF($F$9:$P$9,"&lt;&gt;",$F249:$P249),15-13*PO!$X$3))</f>
        <v>25</v>
      </c>
      <c r="F249" s="364">
        <f ca="1">OFFSET(PO!$P$12,ROW($E249)-ROW(F$12),0)</f>
        <v>25</v>
      </c>
      <c r="G249" s="364"/>
      <c r="H249" s="364"/>
      <c r="I249" s="364"/>
      <c r="J249" s="364"/>
      <c r="K249" s="364"/>
      <c r="L249" s="364"/>
      <c r="M249" s="364"/>
      <c r="N249" s="364"/>
      <c r="O249" s="364"/>
      <c r="U249" s="182"/>
    </row>
    <row r="250" spans="1:21" s="1" customFormat="1" ht="38.25" x14ac:dyDescent="0.2">
      <c r="A250" s="110" t="str">
        <f ca="1">OFFSET(PO!J$12,ROW(A250)-ROW($A$12),0)</f>
        <v>Serviço</v>
      </c>
      <c r="B250" s="112" t="str">
        <f ca="1">IF($A250=0,"",OFFSET(PO!K$12,ROW(B250)-ROW(B$12),0))</f>
        <v>1.10.1.0.9.</v>
      </c>
      <c r="C250" s="109" t="str">
        <f ca="1">IF(OFFSET(PO!N$12,ROW(C250)-ROW(C$12),0)=0,"",OFFSET(PO!N$12,ROW(C250)-ROW(C$12),0))</f>
        <v>JOELHO DE REDUÇÃO, 90 GRAUS, PVC, SOLDÁVEL, DN 25 MM X 20 MM, INSTALADO EM RAMAL OU SUB-RAMAL DE ÁGUA - FORNECIMENTO E INSTALAÇÃO. AF_06/2022</v>
      </c>
      <c r="D250" s="111" t="str">
        <f ca="1">IF(OFFSET(PO!O$12,ROW(D250)-ROW(D$12),0)=0,"",OFFSET(PO!O$12,ROW(D250)-ROW(D$12),0))</f>
        <v>UN</v>
      </c>
      <c r="E250" s="140">
        <f ca="1">IF($A250&lt;&gt;"Serviço",0,ROUND(SUMIF($F$9:$P$9,"&lt;&gt;",$F250:$P250),15-13*PO!$X$3))</f>
        <v>6</v>
      </c>
      <c r="F250" s="364">
        <f ca="1">OFFSET(PO!$P$12,ROW($E250)-ROW(F$12),0)</f>
        <v>6</v>
      </c>
      <c r="G250" s="364"/>
      <c r="H250" s="364"/>
      <c r="I250" s="364"/>
      <c r="J250" s="364"/>
      <c r="K250" s="364"/>
      <c r="L250" s="364"/>
      <c r="M250" s="364"/>
      <c r="N250" s="364"/>
      <c r="O250" s="364"/>
      <c r="U250" s="182"/>
    </row>
    <row r="251" spans="1:21" s="1" customFormat="1" ht="38.25" x14ac:dyDescent="0.2">
      <c r="A251" s="110" t="str">
        <f ca="1">OFFSET(PO!J$12,ROW(A251)-ROW($A$12),0)</f>
        <v>Serviço</v>
      </c>
      <c r="B251" s="112" t="str">
        <f ca="1">IF($A251=0,"",OFFSET(PO!K$12,ROW(B251)-ROW(B$12),0))</f>
        <v>1.10.1.0.10.</v>
      </c>
      <c r="C251" s="109" t="str">
        <f ca="1">IF(OFFSET(PO!N$12,ROW(C251)-ROW(C$12),0)=0,"",OFFSET(PO!N$12,ROW(C251)-ROW(C$12),0))</f>
        <v>LUVA SOLDÁVEL E COM ROSCA, PVC, SOLDÁVEL, DN 25MM X 3/4, INSTALADO EM RAMAL OU SUB-RAMAL DE ÁGUA - FORNECIMENTO E INSTALAÇÃO. AF_06/2022</v>
      </c>
      <c r="D251" s="111" t="str">
        <f ca="1">IF(OFFSET(PO!O$12,ROW(D251)-ROW(D$12),0)=0,"",OFFSET(PO!O$12,ROW(D251)-ROW(D$12),0))</f>
        <v>UN</v>
      </c>
      <c r="E251" s="140">
        <f ca="1">IF($A251&lt;&gt;"Serviço",0,ROUND(SUMIF($F$9:$P$9,"&lt;&gt;",$F251:$P251),15-13*PO!$X$3))</f>
        <v>1</v>
      </c>
      <c r="F251" s="364">
        <f ca="1">OFFSET(PO!$P$12,ROW($E251)-ROW(F$12),0)</f>
        <v>1</v>
      </c>
      <c r="G251" s="364"/>
      <c r="H251" s="364"/>
      <c r="I251" s="364"/>
      <c r="J251" s="364"/>
      <c r="K251" s="364"/>
      <c r="L251" s="364"/>
      <c r="M251" s="364"/>
      <c r="N251" s="364"/>
      <c r="O251" s="364"/>
      <c r="U251" s="182"/>
    </row>
    <row r="252" spans="1:21" s="1" customFormat="1" ht="38.25" x14ac:dyDescent="0.2">
      <c r="A252" s="110" t="str">
        <f ca="1">OFFSET(PO!J$12,ROW(A252)-ROW($A$12),0)</f>
        <v>Serviço</v>
      </c>
      <c r="B252" s="112" t="str">
        <f ca="1">IF($A252=0,"",OFFSET(PO!K$12,ROW(B252)-ROW(B$12),0))</f>
        <v>1.10.1.0.11.</v>
      </c>
      <c r="C252" s="109" t="str">
        <f ca="1">IF(OFFSET(PO!N$12,ROW(C252)-ROW(C$12),0)=0,"",OFFSET(PO!N$12,ROW(C252)-ROW(C$12),0))</f>
        <v>TUBO, PVC, SOLDÁVEL, DE 25MM, INSTALADO EM RAMAL OU SUB-RAMAL DE ÁGUA - FORNECIMENTO E INSTALAÇÃO. AF_06/2022</v>
      </c>
      <c r="D252" s="111" t="str">
        <f ca="1">IF(OFFSET(PO!O$12,ROW(D252)-ROW(D$12),0)=0,"",OFFSET(PO!O$12,ROW(D252)-ROW(D$12),0))</f>
        <v>M</v>
      </c>
      <c r="E252" s="140">
        <f ca="1">IF($A252&lt;&gt;"Serviço",0,ROUND(SUMIF($F$9:$P$9,"&lt;&gt;",$F252:$P252),15-13*PO!$X$3))</f>
        <v>76.83</v>
      </c>
      <c r="F252" s="364">
        <f ca="1">OFFSET(PO!$P$12,ROW($E252)-ROW(F$12),0)</f>
        <v>76.83</v>
      </c>
      <c r="G252" s="364"/>
      <c r="H252" s="364"/>
      <c r="I252" s="364"/>
      <c r="J252" s="364"/>
      <c r="K252" s="364"/>
      <c r="L252" s="364"/>
      <c r="M252" s="364"/>
      <c r="N252" s="364"/>
      <c r="O252" s="364"/>
      <c r="U252" s="182"/>
    </row>
    <row r="253" spans="1:21" s="1" customFormat="1" ht="38.25" x14ac:dyDescent="0.2">
      <c r="A253" s="110" t="str">
        <f ca="1">OFFSET(PO!J$12,ROW(A253)-ROW($A$12),0)</f>
        <v>Serviço</v>
      </c>
      <c r="B253" s="112" t="str">
        <f ca="1">IF($A253=0,"",OFFSET(PO!K$12,ROW(B253)-ROW(B$12),0))</f>
        <v>1.10.1.0.12.</v>
      </c>
      <c r="C253" s="109" t="str">
        <f ca="1">IF(OFFSET(PO!N$12,ROW(C253)-ROW(C$12),0)=0,"",OFFSET(PO!N$12,ROW(C253)-ROW(C$12),0))</f>
        <v>TUBO, PVC, SOLDÁVEL, DE 50MM, INSTALADO EM RAMAL DE DISTRIBUIÇÃO DE ÁGUA - FORNECIMENTO E INSTALAÇÃO. AF_06/2022</v>
      </c>
      <c r="D253" s="111" t="str">
        <f ca="1">IF(OFFSET(PO!O$12,ROW(D253)-ROW(D$12),0)=0,"",OFFSET(PO!O$12,ROW(D253)-ROW(D$12),0))</f>
        <v>M</v>
      </c>
      <c r="E253" s="140">
        <f ca="1">IF($A253&lt;&gt;"Serviço",0,ROUND(SUMIF($F$9:$P$9,"&lt;&gt;",$F253:$P253),15-13*PO!$X$3))</f>
        <v>80.92</v>
      </c>
      <c r="F253" s="364">
        <f ca="1">OFFSET(PO!$P$12,ROW($E253)-ROW(F$12),0)</f>
        <v>80.92</v>
      </c>
      <c r="G253" s="364"/>
      <c r="H253" s="364"/>
      <c r="I253" s="364"/>
      <c r="J253" s="364"/>
      <c r="K253" s="364"/>
      <c r="L253" s="364"/>
      <c r="M253" s="364"/>
      <c r="N253" s="364"/>
      <c r="O253" s="364"/>
      <c r="U253" s="182"/>
    </row>
    <row r="254" spans="1:21" s="1" customFormat="1" ht="25.5" x14ac:dyDescent="0.2">
      <c r="A254" s="110" t="str">
        <f ca="1">OFFSET(PO!J$12,ROW(A254)-ROW($A$12),0)</f>
        <v>Serviço</v>
      </c>
      <c r="B254" s="112" t="str">
        <f ca="1">IF($A254=0,"",OFFSET(PO!K$12,ROW(B254)-ROW(B$12),0))</f>
        <v>1.10.1.0.13.</v>
      </c>
      <c r="C254" s="109" t="str">
        <f ca="1">IF(OFFSET(PO!N$12,ROW(C254)-ROW(C$12),0)=0,"",OFFSET(PO!N$12,ROW(C254)-ROW(C$12),0))</f>
        <v>TUBO, PVC, SOLDÁVEL, DE 75MM, INSTALADO EM PRUMADA DE ÁGUA - FORNECIMENTO E INSTALAÇÃO. AF_06/2022</v>
      </c>
      <c r="D254" s="111" t="str">
        <f ca="1">IF(OFFSET(PO!O$12,ROW(D254)-ROW(D$12),0)=0,"",OFFSET(PO!O$12,ROW(D254)-ROW(D$12),0))</f>
        <v>M</v>
      </c>
      <c r="E254" s="140">
        <f ca="1">IF($A254&lt;&gt;"Serviço",0,ROUND(SUMIF($F$9:$P$9,"&lt;&gt;",$F254:$P254),15-13*PO!$X$3))</f>
        <v>33.61</v>
      </c>
      <c r="F254" s="364">
        <f ca="1">OFFSET(PO!$P$12,ROW($E254)-ROW(F$12),0)</f>
        <v>33.61</v>
      </c>
      <c r="G254" s="364"/>
      <c r="H254" s="364"/>
      <c r="I254" s="364"/>
      <c r="J254" s="364"/>
      <c r="K254" s="364"/>
      <c r="L254" s="364"/>
      <c r="M254" s="364"/>
      <c r="N254" s="364"/>
      <c r="O254" s="364"/>
      <c r="U254" s="182"/>
    </row>
    <row r="255" spans="1:21" s="1" customFormat="1" ht="25.5" x14ac:dyDescent="0.2">
      <c r="A255" s="110" t="str">
        <f ca="1">OFFSET(PO!J$12,ROW(A255)-ROW($A$12),0)</f>
        <v>Serviço</v>
      </c>
      <c r="B255" s="112" t="str">
        <f ca="1">IF($A255=0,"",OFFSET(PO!K$12,ROW(B255)-ROW(B$12),0))</f>
        <v>1.10.1.0.14.</v>
      </c>
      <c r="C255" s="109" t="str">
        <f ca="1">IF(OFFSET(PO!N$12,ROW(C255)-ROW(C$12),0)=0,"",OFFSET(PO!N$12,ROW(C255)-ROW(C$12),0))</f>
        <v>TE, PVC, SOLDÁVEL, DN 25MM, INSTALADO EM RAMAL OU SUB-RAMAL DE ÁGUA - FORNECIMENTO E INSTALAÇÃO. AF_06/2022</v>
      </c>
      <c r="D255" s="111" t="str">
        <f ca="1">IF(OFFSET(PO!O$12,ROW(D255)-ROW(D$12),0)=0,"",OFFSET(PO!O$12,ROW(D255)-ROW(D$12),0))</f>
        <v>UN</v>
      </c>
      <c r="E255" s="140">
        <f ca="1">IF($A255&lt;&gt;"Serviço",0,ROUND(SUMIF($F$9:$P$9,"&lt;&gt;",$F255:$P255),15-13*PO!$X$3))</f>
        <v>14</v>
      </c>
      <c r="F255" s="364">
        <f ca="1">OFFSET(PO!$P$12,ROW($E255)-ROW(F$12),0)</f>
        <v>14</v>
      </c>
      <c r="G255" s="364"/>
      <c r="H255" s="364"/>
      <c r="I255" s="364"/>
      <c r="J255" s="364"/>
      <c r="K255" s="364"/>
      <c r="L255" s="364"/>
      <c r="M255" s="364"/>
      <c r="N255" s="364"/>
      <c r="O255" s="364"/>
      <c r="U255" s="182"/>
    </row>
    <row r="256" spans="1:21" s="1" customFormat="1" ht="38.25" x14ac:dyDescent="0.2">
      <c r="A256" s="110" t="str">
        <f ca="1">OFFSET(PO!J$12,ROW(A256)-ROW($A$12),0)</f>
        <v>Serviço</v>
      </c>
      <c r="B256" s="112" t="str">
        <f ca="1">IF($A256=0,"",OFFSET(PO!K$12,ROW(B256)-ROW(B$12),0))</f>
        <v>1.10.1.0.15.</v>
      </c>
      <c r="C256" s="109" t="str">
        <f ca="1">IF(OFFSET(PO!N$12,ROW(C256)-ROW(C$12),0)=0,"",OFFSET(PO!N$12,ROW(C256)-ROW(C$12),0))</f>
        <v>TE, PVC, SOLDÁVEL, DN 50MM, INSTALADO EM RAMAL DE DISTRIBUIÇÃO DE ÁGUA - FORNECIMENTO E INSTALAÇÃO. AF_06/2022</v>
      </c>
      <c r="D256" s="111" t="str">
        <f ca="1">IF(OFFSET(PO!O$12,ROW(D256)-ROW(D$12),0)=0,"",OFFSET(PO!O$12,ROW(D256)-ROW(D$12),0))</f>
        <v>UN</v>
      </c>
      <c r="E256" s="140">
        <f ca="1">IF($A256&lt;&gt;"Serviço",0,ROUND(SUMIF($F$9:$P$9,"&lt;&gt;",$F256:$P256),15-13*PO!$X$3))</f>
        <v>4</v>
      </c>
      <c r="F256" s="364">
        <f ca="1">OFFSET(PO!$P$12,ROW($E256)-ROW(F$12),0)</f>
        <v>4</v>
      </c>
      <c r="G256" s="364"/>
      <c r="H256" s="364"/>
      <c r="I256" s="364"/>
      <c r="J256" s="364"/>
      <c r="K256" s="364"/>
      <c r="L256" s="364"/>
      <c r="M256" s="364"/>
      <c r="N256" s="364"/>
      <c r="O256" s="364"/>
      <c r="U256" s="182"/>
    </row>
    <row r="257" spans="1:21" s="1" customFormat="1" ht="38.25" x14ac:dyDescent="0.2">
      <c r="A257" s="110" t="str">
        <f ca="1">OFFSET(PO!J$12,ROW(A257)-ROW($A$12),0)</f>
        <v>Serviço</v>
      </c>
      <c r="B257" s="112" t="str">
        <f ca="1">IF($A257=0,"",OFFSET(PO!K$12,ROW(B257)-ROW(B$12),0))</f>
        <v>1.10.1.0.16.</v>
      </c>
      <c r="C257" s="109" t="str">
        <f ca="1">IF(OFFSET(PO!N$12,ROW(C257)-ROW(C$12),0)=0,"",OFFSET(PO!N$12,ROW(C257)-ROW(C$12),0))</f>
        <v>TÊ DE REDUÇÃO, PVC, SOLDÁVEL, DN 50MM X 25MM, INSTALADO EM RAMAL DE DISTRIBUIÇÃO DE ÁGUA - FORNECIMENTO E INSTALAÇÃO. AF_06/2022</v>
      </c>
      <c r="D257" s="111" t="str">
        <f ca="1">IF(OFFSET(PO!O$12,ROW(D257)-ROW(D$12),0)=0,"",OFFSET(PO!O$12,ROW(D257)-ROW(D$12),0))</f>
        <v>UN</v>
      </c>
      <c r="E257" s="140">
        <f ca="1">IF($A257&lt;&gt;"Serviço",0,ROUND(SUMIF($F$9:$P$9,"&lt;&gt;",$F257:$P257),15-13*PO!$X$3))</f>
        <v>5</v>
      </c>
      <c r="F257" s="364">
        <f ca="1">OFFSET(PO!$P$12,ROW($E257)-ROW(F$12),0)</f>
        <v>5</v>
      </c>
      <c r="G257" s="364"/>
      <c r="H257" s="364"/>
      <c r="I257" s="364"/>
      <c r="J257" s="364"/>
      <c r="K257" s="364"/>
      <c r="L257" s="364"/>
      <c r="M257" s="364"/>
      <c r="N257" s="364"/>
      <c r="O257" s="364"/>
      <c r="U257" s="182"/>
    </row>
    <row r="258" spans="1:21" s="1" customFormat="1" ht="38.25" x14ac:dyDescent="0.2">
      <c r="A258" s="110" t="str">
        <f ca="1">OFFSET(PO!J$12,ROW(A258)-ROW($A$12),0)</f>
        <v>Serviço</v>
      </c>
      <c r="B258" s="112" t="str">
        <f ca="1">IF($A258=0,"",OFFSET(PO!K$12,ROW(B258)-ROW(B$12),0))</f>
        <v>1.10.1.0.17.</v>
      </c>
      <c r="C258" s="109" t="str">
        <f ca="1">IF(OFFSET(PO!N$12,ROW(C258)-ROW(C$12),0)=0,"",OFFSET(PO!N$12,ROW(C258)-ROW(C$12),0))</f>
        <v>TE DE REDUÇÃO, PVC, SOLDÁVEL, DN 75MM X 50MM, INSTALADO EM PRUMADA DE ÁGUA - FORNECIMENTO E INSTALAÇÃO. AF_06/2022</v>
      </c>
      <c r="D258" s="111" t="str">
        <f ca="1">IF(OFFSET(PO!O$12,ROW(D258)-ROW(D$12),0)=0,"",OFFSET(PO!O$12,ROW(D258)-ROW(D$12),0))</f>
        <v>UN</v>
      </c>
      <c r="E258" s="140">
        <f ca="1">IF($A258&lt;&gt;"Serviço",0,ROUND(SUMIF($F$9:$P$9,"&lt;&gt;",$F258:$P258),15-13*PO!$X$3))</f>
        <v>17</v>
      </c>
      <c r="F258" s="364">
        <f ca="1">OFFSET(PO!$P$12,ROW($E258)-ROW(F$12),0)</f>
        <v>17</v>
      </c>
      <c r="G258" s="364"/>
      <c r="H258" s="364"/>
      <c r="I258" s="364"/>
      <c r="J258" s="364"/>
      <c r="K258" s="364"/>
      <c r="L258" s="364"/>
      <c r="M258" s="364"/>
      <c r="N258" s="364"/>
      <c r="O258" s="364"/>
      <c r="U258" s="182"/>
    </row>
    <row r="259" spans="1:21" s="1" customFormat="1" ht="38.25" x14ac:dyDescent="0.2">
      <c r="A259" s="110" t="str">
        <f ca="1">OFFSET(PO!J$12,ROW(A259)-ROW($A$12),0)</f>
        <v>Serviço</v>
      </c>
      <c r="B259" s="112" t="str">
        <f ca="1">IF($A259=0,"",OFFSET(PO!K$12,ROW(B259)-ROW(B$12),0))</f>
        <v>1.10.1.0.18.</v>
      </c>
      <c r="C259" s="109" t="str">
        <f ca="1">IF(OFFSET(PO!N$12,ROW(C259)-ROW(C$12),0)=0,"",OFFSET(PO!N$12,ROW(C259)-ROW(C$12),0))</f>
        <v>RASGO LINEAR MANUAL EM ALVENARIA, PARA RAMAIS/ DISTRIBUIÇÃO DE INSTALAÇÕES HIDRÁULICAS, DIÂMETROS MENORES OU IGUAIS A 40 MM. AF_09/2023</v>
      </c>
      <c r="D259" s="111" t="str">
        <f ca="1">IF(OFFSET(PO!O$12,ROW(D259)-ROW(D$12),0)=0,"",OFFSET(PO!O$12,ROW(D259)-ROW(D$12),0))</f>
        <v>M</v>
      </c>
      <c r="E259" s="140">
        <f ca="1">IF($A259&lt;&gt;"Serviço",0,ROUND(SUMIF($F$9:$P$9,"&lt;&gt;",$F259:$P259),15-13*PO!$X$3))</f>
        <v>36.75</v>
      </c>
      <c r="F259" s="364">
        <f ca="1">OFFSET(PO!$P$12,ROW($E259)-ROW(F$12),0)</f>
        <v>36.75</v>
      </c>
      <c r="G259" s="364"/>
      <c r="H259" s="364"/>
      <c r="I259" s="364"/>
      <c r="J259" s="364"/>
      <c r="K259" s="364"/>
      <c r="L259" s="364"/>
      <c r="M259" s="364"/>
      <c r="N259" s="364"/>
      <c r="O259" s="364"/>
      <c r="U259" s="182"/>
    </row>
    <row r="260" spans="1:21" s="1" customFormat="1" ht="38.25" x14ac:dyDescent="0.2">
      <c r="A260" s="110" t="str">
        <f ca="1">OFFSET(PO!J$12,ROW(A260)-ROW($A$12),0)</f>
        <v>Serviço</v>
      </c>
      <c r="B260" s="112" t="str">
        <f ca="1">IF($A260=0,"",OFFSET(PO!K$12,ROW(B260)-ROW(B$12),0))</f>
        <v>1.10.1.0.19.</v>
      </c>
      <c r="C260" s="109" t="str">
        <f ca="1">IF(OFFSET(PO!N$12,ROW(C260)-ROW(C$12),0)=0,"",OFFSET(PO!N$12,ROW(C260)-ROW(C$12),0))</f>
        <v>CHUMBAMENTO LINEAR EM ALVENARIA PARA RAMAIS/DISTRIBUIÇÃO DE INSTALAÇÕES HIDRÁULICAS COM DIÂMETROS MENORES OU IGUAIS A 40 MM. AF_09/2023</v>
      </c>
      <c r="D260" s="111" t="str">
        <f ca="1">IF(OFFSET(PO!O$12,ROW(D260)-ROW(D$12),0)=0,"",OFFSET(PO!O$12,ROW(D260)-ROW(D$12),0))</f>
        <v>M</v>
      </c>
      <c r="E260" s="140">
        <f ca="1">IF($A260&lt;&gt;"Serviço",0,ROUND(SUMIF($F$9:$P$9,"&lt;&gt;",$F260:$P260),15-13*PO!$X$3))</f>
        <v>36.75</v>
      </c>
      <c r="F260" s="364">
        <f ca="1">OFFSET(PO!$P$12,ROW($E260)-ROW(F$12),0)</f>
        <v>36.75</v>
      </c>
      <c r="G260" s="364"/>
      <c r="H260" s="364"/>
      <c r="I260" s="364"/>
      <c r="J260" s="364"/>
      <c r="K260" s="364"/>
      <c r="L260" s="364"/>
      <c r="M260" s="364"/>
      <c r="N260" s="364"/>
      <c r="O260" s="364"/>
      <c r="U260" s="182"/>
    </row>
    <row r="261" spans="1:21" s="1" customFormat="1" ht="51" x14ac:dyDescent="0.2">
      <c r="A261" s="110" t="str">
        <f ca="1">OFFSET(PO!J$12,ROW(A261)-ROW($A$12),0)</f>
        <v>Serviço</v>
      </c>
      <c r="B261" s="112" t="str">
        <f ca="1">IF($A261=0,"",OFFSET(PO!K$12,ROW(B261)-ROW(B$12),0))</f>
        <v>1.10.1.0.20.</v>
      </c>
      <c r="C261" s="109" t="str">
        <f ca="1">IF(OFFSET(PO!N$12,ROW(C261)-ROW(C$12),0)=0,"",OFFSET(PO!N$12,ROW(C261)-ROW(C$12),0))</f>
        <v>RASGO LINEAR MANUAL EM ALVENARIA, PARA RAMAIS/ DISTRIBUIÇÃO DE INSTALAÇÕES HIDRÁULICAS, DIÂMETROS MAIORES QUE 40 MM E MENORES OU IGUAIS A 75 MM. AF_09/2023</v>
      </c>
      <c r="D261" s="111" t="str">
        <f ca="1">IF(OFFSET(PO!O$12,ROW(D261)-ROW(D$12),0)=0,"",OFFSET(PO!O$12,ROW(D261)-ROW(D$12),0))</f>
        <v>M</v>
      </c>
      <c r="E261" s="140">
        <f ca="1">IF($A261&lt;&gt;"Serviço",0,ROUND(SUMIF($F$9:$P$9,"&lt;&gt;",$F261:$P261),15-13*PO!$X$3))</f>
        <v>5.15</v>
      </c>
      <c r="F261" s="364">
        <f ca="1">OFFSET(PO!$P$12,ROW($E261)-ROW(F$12),0)</f>
        <v>5.15</v>
      </c>
      <c r="G261" s="364"/>
      <c r="H261" s="364"/>
      <c r="I261" s="364"/>
      <c r="J261" s="364"/>
      <c r="K261" s="364"/>
      <c r="L261" s="364"/>
      <c r="M261" s="364"/>
      <c r="N261" s="364"/>
      <c r="O261" s="364"/>
      <c r="U261" s="182"/>
    </row>
    <row r="262" spans="1:21" s="1" customFormat="1" ht="51" x14ac:dyDescent="0.2">
      <c r="A262" s="110" t="str">
        <f ca="1">OFFSET(PO!J$12,ROW(A262)-ROW($A$12),0)</f>
        <v>Serviço</v>
      </c>
      <c r="B262" s="112" t="str">
        <f ca="1">IF($A262=0,"",OFFSET(PO!K$12,ROW(B262)-ROW(B$12),0))</f>
        <v>1.10.1.0.21.</v>
      </c>
      <c r="C262" s="109" t="str">
        <f ca="1">IF(OFFSET(PO!N$12,ROW(C262)-ROW(C$12),0)=0,"",OFFSET(PO!N$12,ROW(C262)-ROW(C$12),0))</f>
        <v>CHUMBAMENTO LINEAR EM ALVENARIA PARA RAMAIS/DISTRIBUIÇÃO DE INSTALAÇÕES HIDRÁULICAS COM DIÂMETROS MAIORES QUE 40 MM E MENORES OU IGUAIS A 75 MM. AF_09/2023</v>
      </c>
      <c r="D262" s="111" t="str">
        <f ca="1">IF(OFFSET(PO!O$12,ROW(D262)-ROW(D$12),0)=0,"",OFFSET(PO!O$12,ROW(D262)-ROW(D$12),0))</f>
        <v>M</v>
      </c>
      <c r="E262" s="140">
        <f ca="1">IF($A262&lt;&gt;"Serviço",0,ROUND(SUMIF($F$9:$P$9,"&lt;&gt;",$F262:$P262),15-13*PO!$X$3))</f>
        <v>5.15</v>
      </c>
      <c r="F262" s="364">
        <f ca="1">OFFSET(PO!$P$12,ROW($E262)-ROW(F$12),0)</f>
        <v>5.15</v>
      </c>
      <c r="G262" s="364"/>
      <c r="H262" s="364"/>
      <c r="I262" s="364"/>
      <c r="J262" s="364"/>
      <c r="K262" s="364"/>
      <c r="L262" s="364"/>
      <c r="M262" s="364"/>
      <c r="N262" s="364"/>
      <c r="O262" s="364"/>
      <c r="U262" s="182"/>
    </row>
    <row r="263" spans="1:21" s="1" customFormat="1" x14ac:dyDescent="0.2">
      <c r="A263" s="110" t="str">
        <f ca="1">OFFSET(PO!J$12,ROW(A263)-ROW($A$12),0)</f>
        <v>Nível 3</v>
      </c>
      <c r="B263" s="112" t="str">
        <f ca="1">IF($A263=0,"",OFFSET(PO!K$12,ROW(B263)-ROW(B$12),0))</f>
        <v>1.10.2.</v>
      </c>
      <c r="C263" s="109" t="str">
        <f ca="1">IF(OFFSET(PO!N$12,ROW(C263)-ROW(C$12),0)=0,"",OFFSET(PO!N$12,ROW(C263)-ROW(C$12),0))</f>
        <v>PONTOS DE ESGOTO CLOACAL E PLUVIAL</v>
      </c>
      <c r="D263" s="111" t="str">
        <f ca="1">IF(OFFSET(PO!O$12,ROW(D263)-ROW(D$12),0)=0,"",OFFSET(PO!O$12,ROW(D263)-ROW(D$12),0))</f>
        <v/>
      </c>
      <c r="E263" s="140">
        <f ca="1">IF($A263&lt;&gt;"Serviço",0,ROUND(SUMIF($F$9:$P$9,"&lt;&gt;",$F263:$P263),15-13*PO!$X$3))</f>
        <v>0</v>
      </c>
      <c r="F263" s="364">
        <f ca="1">OFFSET(PO!$P$12,ROW($E263)-ROW(F$12),0)</f>
        <v>0</v>
      </c>
      <c r="G263" s="364"/>
      <c r="H263" s="364"/>
      <c r="I263" s="364"/>
      <c r="J263" s="364"/>
      <c r="K263" s="364"/>
      <c r="L263" s="364"/>
      <c r="M263" s="364"/>
      <c r="N263" s="364"/>
      <c r="O263" s="364"/>
      <c r="U263" s="182"/>
    </row>
    <row r="264" spans="1:21" s="1" customFormat="1" ht="38.25" x14ac:dyDescent="0.2">
      <c r="A264" s="110" t="str">
        <f ca="1">OFFSET(PO!J$12,ROW(A264)-ROW($A$12),0)</f>
        <v>Serviço</v>
      </c>
      <c r="B264" s="112" t="str">
        <f ca="1">IF($A264=0,"",OFFSET(PO!K$12,ROW(B264)-ROW(B$12),0))</f>
        <v>1.10.2.0.1.</v>
      </c>
      <c r="C264" s="109" t="str">
        <f ca="1">IF(OFFSET(PO!N$12,ROW(C264)-ROW(C$12),0)=0,"",OFFSET(PO!N$12,ROW(C264)-ROW(C$12),0))</f>
        <v>CAIXA ENTERRADA HIDRÁULICA RETANGULAR EM ALVENARIA COM TIJOLOS CERÂMICOS MACIÇOS, DIMENSÕES INTERNAS: 0,6X0,6X0,6 M PARA REDE DE ESGOTO. AF_12/2020</v>
      </c>
      <c r="D264" s="111" t="str">
        <f ca="1">IF(OFFSET(PO!O$12,ROW(D264)-ROW(D$12),0)=0,"",OFFSET(PO!O$12,ROW(D264)-ROW(D$12),0))</f>
        <v>UN</v>
      </c>
      <c r="E264" s="140">
        <f ca="1">IF($A264&lt;&gt;"Serviço",0,ROUND(SUMIF($F$9:$P$9,"&lt;&gt;",$F264:$P264),15-13*PO!$X$3))</f>
        <v>5</v>
      </c>
      <c r="F264" s="364">
        <f ca="1">OFFSET(PO!$P$12,ROW($E264)-ROW(F$12),0)</f>
        <v>5</v>
      </c>
      <c r="G264" s="364"/>
      <c r="H264" s="364"/>
      <c r="I264" s="364"/>
      <c r="J264" s="364"/>
      <c r="K264" s="364"/>
      <c r="L264" s="364"/>
      <c r="M264" s="364"/>
      <c r="N264" s="364"/>
      <c r="O264" s="364"/>
      <c r="U264" s="182"/>
    </row>
    <row r="265" spans="1:21" s="1" customFormat="1" ht="38.25" x14ac:dyDescent="0.2">
      <c r="A265" s="110" t="str">
        <f ca="1">OFFSET(PO!J$12,ROW(A265)-ROW($A$12),0)</f>
        <v>Serviço</v>
      </c>
      <c r="B265" s="112" t="str">
        <f ca="1">IF($A265=0,"",OFFSET(PO!K$12,ROW(B265)-ROW(B$12),0))</f>
        <v>1.10.2.0.2.</v>
      </c>
      <c r="C265" s="109" t="str">
        <f ca="1">IF(OFFSET(PO!N$12,ROW(C265)-ROW(C$12),0)=0,"",OFFSET(PO!N$12,ROW(C265)-ROW(C$12),0))</f>
        <v>CAIXA ENTERRADA HIDRÁULICA RETANGULAR EM ALVENARIA COM TIJOLOS CERÂMICOS MACIÇOS, DIMENSÕES INTERNAS: 0,8X0,8X0,6 M PARA REDE DE ESGOTO. AF_12/2020</v>
      </c>
      <c r="D265" s="111" t="str">
        <f ca="1">IF(OFFSET(PO!O$12,ROW(D265)-ROW(D$12),0)=0,"",OFFSET(PO!O$12,ROW(D265)-ROW(D$12),0))</f>
        <v>UN</v>
      </c>
      <c r="E265" s="140">
        <f ca="1">IF($A265&lt;&gt;"Serviço",0,ROUND(SUMIF($F$9:$P$9,"&lt;&gt;",$F265:$P265),15-13*PO!$X$3))</f>
        <v>1</v>
      </c>
      <c r="F265" s="364">
        <f ca="1">OFFSET(PO!$P$12,ROW($E265)-ROW(F$12),0)</f>
        <v>1</v>
      </c>
      <c r="G265" s="364"/>
      <c r="H265" s="364"/>
      <c r="I265" s="364"/>
      <c r="J265" s="364"/>
      <c r="K265" s="364"/>
      <c r="L265" s="364"/>
      <c r="M265" s="364"/>
      <c r="N265" s="364"/>
      <c r="O265" s="364"/>
      <c r="U265" s="182"/>
    </row>
    <row r="266" spans="1:21" s="1" customFormat="1" ht="51" x14ac:dyDescent="0.2">
      <c r="A266" s="110" t="str">
        <f ca="1">OFFSET(PO!J$12,ROW(A266)-ROW($A$12),0)</f>
        <v>Serviço</v>
      </c>
      <c r="B266" s="112" t="str">
        <f ca="1">IF($A266=0,"",OFFSET(PO!K$12,ROW(B266)-ROW(B$12),0))</f>
        <v>1.10.2.0.3.</v>
      </c>
      <c r="C266" s="109" t="str">
        <f ca="1">IF(OFFSET(PO!N$12,ROW(C266)-ROW(C$12),0)=0,"",OFFSET(PO!N$12,ROW(C266)-ROW(C$12),0))</f>
        <v>CAIXA SIFONADA, COM GRELHA QUADRADA, PVC, DN 150 X 150 X 50 MM, JUNTA SOLDÁVEL, FORNECIDA E INSTALADA EM RAMAL DE DESCARGA OU EM RAMAL DE ESGOTO SANITÁRIO. AF_08/2022</v>
      </c>
      <c r="D266" s="111" t="str">
        <f ca="1">IF(OFFSET(PO!O$12,ROW(D266)-ROW(D$12),0)=0,"",OFFSET(PO!O$12,ROW(D266)-ROW(D$12),0))</f>
        <v>UN</v>
      </c>
      <c r="E266" s="140">
        <f ca="1">IF($A266&lt;&gt;"Serviço",0,ROUND(SUMIF($F$9:$P$9,"&lt;&gt;",$F266:$P266),15-13*PO!$X$3))</f>
        <v>16</v>
      </c>
      <c r="F266" s="364">
        <f ca="1">OFFSET(PO!$P$12,ROW($E266)-ROW(F$12),0)</f>
        <v>16</v>
      </c>
      <c r="G266" s="364"/>
      <c r="H266" s="364"/>
      <c r="I266" s="364"/>
      <c r="J266" s="364"/>
      <c r="K266" s="364"/>
      <c r="L266" s="364"/>
      <c r="M266" s="364"/>
      <c r="N266" s="364"/>
      <c r="O266" s="364"/>
      <c r="U266" s="182"/>
    </row>
    <row r="267" spans="1:21" s="1" customFormat="1" ht="38.25" x14ac:dyDescent="0.2">
      <c r="A267" s="110" t="str">
        <f ca="1">OFFSET(PO!J$12,ROW(A267)-ROW($A$12),0)</f>
        <v>Serviço</v>
      </c>
      <c r="B267" s="112" t="str">
        <f ca="1">IF($A267=0,"",OFFSET(PO!K$12,ROW(B267)-ROW(B$12),0))</f>
        <v>1.10.2.0.4.</v>
      </c>
      <c r="C267" s="109" t="str">
        <f ca="1">IF(OFFSET(PO!N$12,ROW(C267)-ROW(C$12),0)=0,"",OFFSET(PO!N$12,ROW(C267)-ROW(C$12),0))</f>
        <v>RALO SIFONADO, PVC, DN 100 X 40 MM, JUNTA SOLDÁVEL, FORNECIDO E INSTALADO EM RAMAL DE DESCARGA OU EM RAMAL DE ESGOTO SANITÁRIO. AF_08/2022</v>
      </c>
      <c r="D267" s="111" t="str">
        <f ca="1">IF(OFFSET(PO!O$12,ROW(D267)-ROW(D$12),0)=0,"",OFFSET(PO!O$12,ROW(D267)-ROW(D$12),0))</f>
        <v>UN</v>
      </c>
      <c r="E267" s="140">
        <f ca="1">IF($A267&lt;&gt;"Serviço",0,ROUND(SUMIF($F$9:$P$9,"&lt;&gt;",$F267:$P267),15-13*PO!$X$3))</f>
        <v>1</v>
      </c>
      <c r="F267" s="364">
        <f ca="1">OFFSET(PO!$P$12,ROW($E267)-ROW(F$12),0)</f>
        <v>1</v>
      </c>
      <c r="G267" s="364"/>
      <c r="H267" s="364"/>
      <c r="I267" s="364"/>
      <c r="J267" s="364"/>
      <c r="K267" s="364"/>
      <c r="L267" s="364"/>
      <c r="M267" s="364"/>
      <c r="N267" s="364"/>
      <c r="O267" s="364"/>
      <c r="U267" s="182"/>
    </row>
    <row r="268" spans="1:21" s="1" customFormat="1" ht="51" x14ac:dyDescent="0.2">
      <c r="A268" s="110" t="str">
        <f ca="1">OFFSET(PO!J$12,ROW(A268)-ROW($A$12),0)</f>
        <v>Serviço</v>
      </c>
      <c r="B268" s="112" t="str">
        <f ca="1">IF($A268=0,"",OFFSET(PO!K$12,ROW(B268)-ROW(B$12),0))</f>
        <v>1.10.2.0.5.</v>
      </c>
      <c r="C268" s="109" t="str">
        <f ca="1">IF(OFFSET(PO!N$12,ROW(C268)-ROW(C$12),0)=0,"",OFFSET(PO!N$12,ROW(C268)-ROW(C$12),0))</f>
        <v>CURVA CURTA 90 GRAUS, PVC, SERIE NORMAL, ESGOTO PREDIAL, DN 100 MM, JUNTA ELÁSTICA, FORNECIDO E INSTALADO EM RAMAL DE DESCARGA OU RAMAL DE ESGOTO SANITÁRIO. AF_08/2022</v>
      </c>
      <c r="D268" s="111" t="str">
        <f ca="1">IF(OFFSET(PO!O$12,ROW(D268)-ROW(D$12),0)=0,"",OFFSET(PO!O$12,ROW(D268)-ROW(D$12),0))</f>
        <v>UN</v>
      </c>
      <c r="E268" s="140">
        <f ca="1">IF($A268&lt;&gt;"Serviço",0,ROUND(SUMIF($F$9:$P$9,"&lt;&gt;",$F268:$P268),15-13*PO!$X$3))</f>
        <v>1</v>
      </c>
      <c r="F268" s="364">
        <f ca="1">OFFSET(PO!$P$12,ROW($E268)-ROW(F$12),0)</f>
        <v>1</v>
      </c>
      <c r="G268" s="364"/>
      <c r="H268" s="364"/>
      <c r="I268" s="364"/>
      <c r="J268" s="364"/>
      <c r="K268" s="364"/>
      <c r="L268" s="364"/>
      <c r="M268" s="364"/>
      <c r="N268" s="364"/>
      <c r="O268" s="364"/>
      <c r="U268" s="182"/>
    </row>
    <row r="269" spans="1:21" s="1" customFormat="1" ht="51" x14ac:dyDescent="0.2">
      <c r="A269" s="110" t="str">
        <f ca="1">OFFSET(PO!J$12,ROW(A269)-ROW($A$12),0)</f>
        <v>Serviço</v>
      </c>
      <c r="B269" s="112" t="str">
        <f ca="1">IF($A269=0,"",OFFSET(PO!K$12,ROW(B269)-ROW(B$12),0))</f>
        <v>1.10.2.0.6.</v>
      </c>
      <c r="C269" s="109" t="str">
        <f ca="1">IF(OFFSET(PO!N$12,ROW(C269)-ROW(C$12),0)=0,"",OFFSET(PO!N$12,ROW(C269)-ROW(C$12),0))</f>
        <v>CURVA CURTA 90 GRAUS, PVC, SERIE NORMAL, ESGOTO PREDIAL, DN 40 MM, JUNTA SOLDÁVEL, FORNECIDO E INSTALADO EM RAMAL DE DESCARGA OU RAMAL DE ESGOTO SANITÁRIO. AF_08/2022</v>
      </c>
      <c r="D269" s="111" t="str">
        <f ca="1">IF(OFFSET(PO!O$12,ROW(D269)-ROW(D$12),0)=0,"",OFFSET(PO!O$12,ROW(D269)-ROW(D$12),0))</f>
        <v>UN</v>
      </c>
      <c r="E269" s="140">
        <f ca="1">IF($A269&lt;&gt;"Serviço",0,ROUND(SUMIF($F$9:$P$9,"&lt;&gt;",$F269:$P269),15-13*PO!$X$3))</f>
        <v>12</v>
      </c>
      <c r="F269" s="364">
        <f ca="1">OFFSET(PO!$P$12,ROW($E269)-ROW(F$12),0)</f>
        <v>12</v>
      </c>
      <c r="G269" s="364"/>
      <c r="H269" s="364"/>
      <c r="I269" s="364"/>
      <c r="J269" s="364"/>
      <c r="K269" s="364"/>
      <c r="L269" s="364"/>
      <c r="M269" s="364"/>
      <c r="N269" s="364"/>
      <c r="O269" s="364"/>
      <c r="U269" s="182"/>
    </row>
    <row r="270" spans="1:21" s="1" customFormat="1" ht="51" x14ac:dyDescent="0.2">
      <c r="A270" s="110" t="str">
        <f ca="1">OFFSET(PO!J$12,ROW(A270)-ROW($A$12),0)</f>
        <v>Serviço</v>
      </c>
      <c r="B270" s="112" t="str">
        <f ca="1">IF($A270=0,"",OFFSET(PO!K$12,ROW(B270)-ROW(B$12),0))</f>
        <v>1.10.2.0.7.</v>
      </c>
      <c r="C270" s="109" t="str">
        <f ca="1">IF(OFFSET(PO!N$12,ROW(C270)-ROW(C$12),0)=0,"",OFFSET(PO!N$12,ROW(C270)-ROW(C$12),0))</f>
        <v>JOELHO 45 GRAUS, PVC, SERIE NORMAL, ESGOTO PREDIAL, DN 100 MM, JUNTA ELÁSTICA, FORNECIDO E INSTALADO EM RAMAL DE DESCARGA OU RAMAL DE ESGOTO SANITÁRIO. AF_08/2022</v>
      </c>
      <c r="D270" s="111" t="str">
        <f ca="1">IF(OFFSET(PO!O$12,ROW(D270)-ROW(D$12),0)=0,"",OFFSET(PO!O$12,ROW(D270)-ROW(D$12),0))</f>
        <v>UN</v>
      </c>
      <c r="E270" s="140">
        <f ca="1">IF($A270&lt;&gt;"Serviço",0,ROUND(SUMIF($F$9:$P$9,"&lt;&gt;",$F270:$P270),15-13*PO!$X$3))</f>
        <v>3</v>
      </c>
      <c r="F270" s="364">
        <f ca="1">OFFSET(PO!$P$12,ROW($E270)-ROW(F$12),0)</f>
        <v>3</v>
      </c>
      <c r="G270" s="364"/>
      <c r="H270" s="364"/>
      <c r="I270" s="364"/>
      <c r="J270" s="364"/>
      <c r="K270" s="364"/>
      <c r="L270" s="364"/>
      <c r="M270" s="364"/>
      <c r="N270" s="364"/>
      <c r="O270" s="364"/>
      <c r="U270" s="182"/>
    </row>
    <row r="271" spans="1:21" s="1" customFormat="1" ht="51" x14ac:dyDescent="0.2">
      <c r="A271" s="110" t="str">
        <f ca="1">OFFSET(PO!J$12,ROW(A271)-ROW($A$12),0)</f>
        <v>Serviço</v>
      </c>
      <c r="B271" s="112" t="str">
        <f ca="1">IF($A271=0,"",OFFSET(PO!K$12,ROW(B271)-ROW(B$12),0))</f>
        <v>1.10.2.0.8.</v>
      </c>
      <c r="C271" s="109" t="str">
        <f ca="1">IF(OFFSET(PO!N$12,ROW(C271)-ROW(C$12),0)=0,"",OFFSET(PO!N$12,ROW(C271)-ROW(C$12),0))</f>
        <v>JOELHO 45 GRAUS, PVC, SERIE NORMAL, ESGOTO PREDIAL, DN 40 MM, JUNTA SOLDÁVEL, FORNECIDO E INSTALADO EM RAMAL DE DESCARGA OU RAMAL DE ESGOTO SANITÁRIO. AF_08/2022</v>
      </c>
      <c r="D271" s="111" t="str">
        <f ca="1">IF(OFFSET(PO!O$12,ROW(D271)-ROW(D$12),0)=0,"",OFFSET(PO!O$12,ROW(D271)-ROW(D$12),0))</f>
        <v>UN</v>
      </c>
      <c r="E271" s="140">
        <f ca="1">IF($A271&lt;&gt;"Serviço",0,ROUND(SUMIF($F$9:$P$9,"&lt;&gt;",$F271:$P271),15-13*PO!$X$3))</f>
        <v>2</v>
      </c>
      <c r="F271" s="364">
        <f ca="1">OFFSET(PO!$P$12,ROW($E271)-ROW(F$12),0)</f>
        <v>2</v>
      </c>
      <c r="G271" s="364"/>
      <c r="H271" s="364"/>
      <c r="I271" s="364"/>
      <c r="J271" s="364"/>
      <c r="K271" s="364"/>
      <c r="L271" s="364"/>
      <c r="M271" s="364"/>
      <c r="N271" s="364"/>
      <c r="O271" s="364"/>
      <c r="U271" s="182"/>
    </row>
    <row r="272" spans="1:21" s="1" customFormat="1" ht="51" x14ac:dyDescent="0.2">
      <c r="A272" s="110" t="str">
        <f ca="1">OFFSET(PO!J$12,ROW(A272)-ROW($A$12),0)</f>
        <v>Serviço</v>
      </c>
      <c r="B272" s="112" t="str">
        <f ca="1">IF($A272=0,"",OFFSET(PO!K$12,ROW(B272)-ROW(B$12),0))</f>
        <v>1.10.2.0.9.</v>
      </c>
      <c r="C272" s="109" t="str">
        <f ca="1">IF(OFFSET(PO!N$12,ROW(C272)-ROW(C$12),0)=0,"",OFFSET(PO!N$12,ROW(C272)-ROW(C$12),0))</f>
        <v>JOELHO 45 GRAUS, PVC, SERIE NORMAL, ESGOTO PREDIAL, DN 50 MM, JUNTA ELÁSTICA, FORNECIDO E INSTALADO EM RAMAL DE DESCARGA OU RAMAL DE ESGOTO SANITÁRIO. AF_08/2022</v>
      </c>
      <c r="D272" s="111" t="str">
        <f ca="1">IF(OFFSET(PO!O$12,ROW(D272)-ROW(D$12),0)=0,"",OFFSET(PO!O$12,ROW(D272)-ROW(D$12),0))</f>
        <v>UN</v>
      </c>
      <c r="E272" s="140">
        <f ca="1">IF($A272&lt;&gt;"Serviço",0,ROUND(SUMIF($F$9:$P$9,"&lt;&gt;",$F272:$P272),15-13*PO!$X$3))</f>
        <v>8</v>
      </c>
      <c r="F272" s="364">
        <f ca="1">OFFSET(PO!$P$12,ROW($E272)-ROW(F$12),0)</f>
        <v>8</v>
      </c>
      <c r="G272" s="364"/>
      <c r="H272" s="364"/>
      <c r="I272" s="364"/>
      <c r="J272" s="364"/>
      <c r="K272" s="364"/>
      <c r="L272" s="364"/>
      <c r="M272" s="364"/>
      <c r="N272" s="364"/>
      <c r="O272" s="364"/>
      <c r="U272" s="182"/>
    </row>
    <row r="273" spans="1:21" s="1" customFormat="1" ht="51" x14ac:dyDescent="0.2">
      <c r="A273" s="110" t="str">
        <f ca="1">OFFSET(PO!J$12,ROW(A273)-ROW($A$12),0)</f>
        <v>Serviço</v>
      </c>
      <c r="B273" s="112" t="str">
        <f ca="1">IF($A273=0,"",OFFSET(PO!K$12,ROW(B273)-ROW(B$12),0))</f>
        <v>1.10.2.0.10.</v>
      </c>
      <c r="C273" s="109" t="str">
        <f ca="1">IF(OFFSET(PO!N$12,ROW(C273)-ROW(C$12),0)=0,"",OFFSET(PO!N$12,ROW(C273)-ROW(C$12),0))</f>
        <v>JOELHO 90 GRAUS, PVC, SERIE NORMAL, ESGOTO PREDIAL, DN 100 MM, JUNTA ELÁSTICA, FORNECIDO E INSTALADO EM RAMAL DE DESCARGA OU RAMAL DE ESGOTO SANITÁRIO. AF_08/2022</v>
      </c>
      <c r="D273" s="111" t="str">
        <f ca="1">IF(OFFSET(PO!O$12,ROW(D273)-ROW(D$12),0)=0,"",OFFSET(PO!O$12,ROW(D273)-ROW(D$12),0))</f>
        <v>UN</v>
      </c>
      <c r="E273" s="140">
        <f ca="1">IF($A273&lt;&gt;"Serviço",0,ROUND(SUMIF($F$9:$P$9,"&lt;&gt;",$F273:$P273),15-13*PO!$X$3))</f>
        <v>6</v>
      </c>
      <c r="F273" s="364">
        <f ca="1">OFFSET(PO!$P$12,ROW($E273)-ROW(F$12),0)</f>
        <v>6</v>
      </c>
      <c r="G273" s="364"/>
      <c r="H273" s="364"/>
      <c r="I273" s="364"/>
      <c r="J273" s="364"/>
      <c r="K273" s="364"/>
      <c r="L273" s="364"/>
      <c r="M273" s="364"/>
      <c r="N273" s="364"/>
      <c r="O273" s="364"/>
      <c r="U273" s="182"/>
    </row>
    <row r="274" spans="1:21" s="1" customFormat="1" ht="51" x14ac:dyDescent="0.2">
      <c r="A274" s="110" t="str">
        <f ca="1">OFFSET(PO!J$12,ROW(A274)-ROW($A$12),0)</f>
        <v>Serviço</v>
      </c>
      <c r="B274" s="112" t="str">
        <f ca="1">IF($A274=0,"",OFFSET(PO!K$12,ROW(B274)-ROW(B$12),0))</f>
        <v>1.10.2.0.11.</v>
      </c>
      <c r="C274" s="109" t="str">
        <f ca="1">IF(OFFSET(PO!N$12,ROW(C274)-ROW(C$12),0)=0,"",OFFSET(PO!N$12,ROW(C274)-ROW(C$12),0))</f>
        <v>JOELHO 90 GRAUS, PVC, SERIE NORMAL, ESGOTO PREDIAL, DN 40 MM, JUNTA SOLDÁVEL, FORNECIDO E INSTALADO EM RAMAL DE DESCARGA OU RAMAL DE ESGOTO SANITÁRIO. AF_08/2022</v>
      </c>
      <c r="D274" s="111" t="str">
        <f ca="1">IF(OFFSET(PO!O$12,ROW(D274)-ROW(D$12),0)=0,"",OFFSET(PO!O$12,ROW(D274)-ROW(D$12),0))</f>
        <v>UN</v>
      </c>
      <c r="E274" s="140">
        <f ca="1">IF($A274&lt;&gt;"Serviço",0,ROUND(SUMIF($F$9:$P$9,"&lt;&gt;",$F274:$P274),15-13*PO!$X$3))</f>
        <v>4</v>
      </c>
      <c r="F274" s="364">
        <f ca="1">OFFSET(PO!$P$12,ROW($E274)-ROW(F$12),0)</f>
        <v>4</v>
      </c>
      <c r="G274" s="364"/>
      <c r="H274" s="364"/>
      <c r="I274" s="364"/>
      <c r="J274" s="364"/>
      <c r="K274" s="364"/>
      <c r="L274" s="364"/>
      <c r="M274" s="364"/>
      <c r="N274" s="364"/>
      <c r="O274" s="364"/>
      <c r="U274" s="182"/>
    </row>
    <row r="275" spans="1:21" s="1" customFormat="1" ht="51" x14ac:dyDescent="0.2">
      <c r="A275" s="110" t="str">
        <f ca="1">OFFSET(PO!J$12,ROW(A275)-ROW($A$12),0)</f>
        <v>Serviço</v>
      </c>
      <c r="B275" s="112" t="str">
        <f ca="1">IF($A275=0,"",OFFSET(PO!K$12,ROW(B275)-ROW(B$12),0))</f>
        <v>1.10.2.0.12.</v>
      </c>
      <c r="C275" s="109" t="str">
        <f ca="1">IF(OFFSET(PO!N$12,ROW(C275)-ROW(C$12),0)=0,"",OFFSET(PO!N$12,ROW(C275)-ROW(C$12),0))</f>
        <v>JOELHO 90 GRAUS, PVC, SERIE NORMAL, ESGOTO PREDIAL, DN 50 MM, JUNTA ELÁSTICA, FORNECIDO E INSTALADO EM RAMAL DE DESCARGA OU RAMAL DE ESGOTO SANITÁRIO. AF_08/2022</v>
      </c>
      <c r="D275" s="111" t="str">
        <f ca="1">IF(OFFSET(PO!O$12,ROW(D275)-ROW(D$12),0)=0,"",OFFSET(PO!O$12,ROW(D275)-ROW(D$12),0))</f>
        <v>UN</v>
      </c>
      <c r="E275" s="140">
        <f ca="1">IF($A275&lt;&gt;"Serviço",0,ROUND(SUMIF($F$9:$P$9,"&lt;&gt;",$F275:$P275),15-13*PO!$X$3))</f>
        <v>1</v>
      </c>
      <c r="F275" s="364">
        <f ca="1">OFFSET(PO!$P$12,ROW($E275)-ROW(F$12),0)</f>
        <v>1</v>
      </c>
      <c r="G275" s="364"/>
      <c r="H275" s="364"/>
      <c r="I275" s="364"/>
      <c r="J275" s="364"/>
      <c r="K275" s="364"/>
      <c r="L275" s="364"/>
      <c r="M275" s="364"/>
      <c r="N275" s="364"/>
      <c r="O275" s="364"/>
      <c r="U275" s="182"/>
    </row>
    <row r="276" spans="1:21" s="1" customFormat="1" ht="51" x14ac:dyDescent="0.2">
      <c r="A276" s="110" t="str">
        <f ca="1">OFFSET(PO!J$12,ROW(A276)-ROW($A$12),0)</f>
        <v>Serviço</v>
      </c>
      <c r="B276" s="112" t="str">
        <f ca="1">IF($A276=0,"",OFFSET(PO!K$12,ROW(B276)-ROW(B$12),0))</f>
        <v>1.10.2.0.13.</v>
      </c>
      <c r="C276" s="109" t="str">
        <f ca="1">IF(OFFSET(PO!N$12,ROW(C276)-ROW(C$12),0)=0,"",OFFSET(PO!N$12,ROW(C276)-ROW(C$12),0))</f>
        <v>JOELHO 90 GRAUS, PVC, SERIE NORMAL, ESGOTO PREDIAL, DN 40 MM, JUNTA SOLDÁVEL, FORNECIDO E INSTALADO EM RAMAL DE DESCARGA OU RAMAL DE ESGOTO SANITÁRIO. AF_08/2022</v>
      </c>
      <c r="D276" s="111" t="str">
        <f ca="1">IF(OFFSET(PO!O$12,ROW(D276)-ROW(D$12),0)=0,"",OFFSET(PO!O$12,ROW(D276)-ROW(D$12),0))</f>
        <v>UN</v>
      </c>
      <c r="E276" s="140">
        <f ca="1">IF($A276&lt;&gt;"Serviço",0,ROUND(SUMIF($F$9:$P$9,"&lt;&gt;",$F276:$P276),15-13*PO!$X$3))</f>
        <v>11</v>
      </c>
      <c r="F276" s="364">
        <f ca="1">OFFSET(PO!$P$12,ROW($E276)-ROW(F$12),0)</f>
        <v>11</v>
      </c>
      <c r="G276" s="364"/>
      <c r="H276" s="364"/>
      <c r="I276" s="364"/>
      <c r="J276" s="364"/>
      <c r="K276" s="364"/>
      <c r="L276" s="364"/>
      <c r="M276" s="364"/>
      <c r="N276" s="364"/>
      <c r="O276" s="364"/>
      <c r="U276" s="182"/>
    </row>
    <row r="277" spans="1:21" s="1" customFormat="1" ht="51" x14ac:dyDescent="0.2">
      <c r="A277" s="110" t="str">
        <f ca="1">OFFSET(PO!J$12,ROW(A277)-ROW($A$12),0)</f>
        <v>Serviço</v>
      </c>
      <c r="B277" s="112" t="str">
        <f ca="1">IF($A277=0,"",OFFSET(PO!K$12,ROW(B277)-ROW(B$12),0))</f>
        <v>1.10.2.0.14.</v>
      </c>
      <c r="C277" s="109" t="str">
        <f ca="1">IF(OFFSET(PO!N$12,ROW(C277)-ROW(C$12),0)=0,"",OFFSET(PO!N$12,ROW(C277)-ROW(C$12),0))</f>
        <v>JUNÇÃO DE REDUÇÃO INVERTIDA, PVC, SÉRIE NORMAL, ESGOTO PREDIAL, DN 100 X 50 MM, JUNTA ELÁSTICA, FORNECIDO E INSTALADO EM RAMAL DE DESCARGA OU RAMAL DE ESGOTO SANITÁRIO. AF_08/2022</v>
      </c>
      <c r="D277" s="111" t="str">
        <f ca="1">IF(OFFSET(PO!O$12,ROW(D277)-ROW(D$12),0)=0,"",OFFSET(PO!O$12,ROW(D277)-ROW(D$12),0))</f>
        <v>UN</v>
      </c>
      <c r="E277" s="140">
        <f ca="1">IF($A277&lt;&gt;"Serviço",0,ROUND(SUMIF($F$9:$P$9,"&lt;&gt;",$F277:$P277),15-13*PO!$X$3))</f>
        <v>12</v>
      </c>
      <c r="F277" s="364">
        <f ca="1">OFFSET(PO!$P$12,ROW($E277)-ROW(F$12),0)</f>
        <v>12</v>
      </c>
      <c r="G277" s="364"/>
      <c r="H277" s="364"/>
      <c r="I277" s="364"/>
      <c r="J277" s="364"/>
      <c r="K277" s="364"/>
      <c r="L277" s="364"/>
      <c r="M277" s="364"/>
      <c r="N277" s="364"/>
      <c r="O277" s="364"/>
      <c r="U277" s="182"/>
    </row>
    <row r="278" spans="1:21" s="1" customFormat="1" ht="51" x14ac:dyDescent="0.2">
      <c r="A278" s="110" t="str">
        <f ca="1">OFFSET(PO!J$12,ROW(A278)-ROW($A$12),0)</f>
        <v>Serviço</v>
      </c>
      <c r="B278" s="112" t="str">
        <f ca="1">IF($A278=0,"",OFFSET(PO!K$12,ROW(B278)-ROW(B$12),0))</f>
        <v>1.10.2.0.15.</v>
      </c>
      <c r="C278" s="109" t="str">
        <f ca="1">IF(OFFSET(PO!N$12,ROW(C278)-ROW(C$12),0)=0,"",OFFSET(PO!N$12,ROW(C278)-ROW(C$12),0))</f>
        <v>JUNÇÃO SIMPLES, PVC, SERIE NORMAL, ESGOTO PREDIAL, DN 100 X 100 MM, JUNTA ELÁSTICA, FORNECIDO E INSTALADO EM RAMAL DE DESCARGA OU RAMAL DE ESGOTO SANITÁRIO. AF_08/2022</v>
      </c>
      <c r="D278" s="111" t="str">
        <f ca="1">IF(OFFSET(PO!O$12,ROW(D278)-ROW(D$12),0)=0,"",OFFSET(PO!O$12,ROW(D278)-ROW(D$12),0))</f>
        <v>UN</v>
      </c>
      <c r="E278" s="140">
        <f ca="1">IF($A278&lt;&gt;"Serviço",0,ROUND(SUMIF($F$9:$P$9,"&lt;&gt;",$F278:$P278),15-13*PO!$X$3))</f>
        <v>3</v>
      </c>
      <c r="F278" s="364">
        <f ca="1">OFFSET(PO!$P$12,ROW($E278)-ROW(F$12),0)</f>
        <v>3</v>
      </c>
      <c r="G278" s="364"/>
      <c r="H278" s="364"/>
      <c r="I278" s="364"/>
      <c r="J278" s="364"/>
      <c r="K278" s="364"/>
      <c r="L278" s="364"/>
      <c r="M278" s="364"/>
      <c r="N278" s="364"/>
      <c r="O278" s="364"/>
      <c r="U278" s="182"/>
    </row>
    <row r="279" spans="1:21" s="1" customFormat="1" ht="38.25" x14ac:dyDescent="0.2">
      <c r="A279" s="110" t="str">
        <f ca="1">OFFSET(PO!J$12,ROW(A279)-ROW($A$12),0)</f>
        <v>Serviço</v>
      </c>
      <c r="B279" s="112" t="str">
        <f ca="1">IF($A279=0,"",OFFSET(PO!K$12,ROW(B279)-ROW(B$12),0))</f>
        <v>1.10.2.0.16.</v>
      </c>
      <c r="C279" s="109" t="str">
        <f ca="1">IF(OFFSET(PO!N$12,ROW(C279)-ROW(C$12),0)=0,"",OFFSET(PO!N$12,ROW(C279)-ROW(C$12),0))</f>
        <v>JUNÇÃO SIMPLES, PVC, SERIE R, ÁGUA PLUVIAL, DN 150 X 150 MM, JUNTA ELÁSTICA, FORNECIDO E INSTALADO EM RAMAL DE ENCAMINHAMENTO. AF_06/2022</v>
      </c>
      <c r="D279" s="111" t="str">
        <f ca="1">IF(OFFSET(PO!O$12,ROW(D279)-ROW(D$12),0)=0,"",OFFSET(PO!O$12,ROW(D279)-ROW(D$12),0))</f>
        <v>UN</v>
      </c>
      <c r="E279" s="140">
        <f ca="1">IF($A279&lt;&gt;"Serviço",0,ROUND(SUMIF($F$9:$P$9,"&lt;&gt;",$F279:$P279),15-13*PO!$X$3))</f>
        <v>1</v>
      </c>
      <c r="F279" s="364">
        <f ca="1">OFFSET(PO!$P$12,ROW($E279)-ROW(F$12),0)</f>
        <v>1</v>
      </c>
      <c r="G279" s="364"/>
      <c r="H279" s="364"/>
      <c r="I279" s="364"/>
      <c r="J279" s="364"/>
      <c r="K279" s="364"/>
      <c r="L279" s="364"/>
      <c r="M279" s="364"/>
      <c r="N279" s="364"/>
      <c r="O279" s="364"/>
      <c r="U279" s="182"/>
    </row>
    <row r="280" spans="1:21" s="1" customFormat="1" ht="38.25" x14ac:dyDescent="0.2">
      <c r="A280" s="110" t="str">
        <f ca="1">OFFSET(PO!J$12,ROW(A280)-ROW($A$12),0)</f>
        <v>Serviço</v>
      </c>
      <c r="B280" s="112" t="str">
        <f ca="1">IF($A280=0,"",OFFSET(PO!K$12,ROW(B280)-ROW(B$12),0))</f>
        <v>1.10.2.0.17.</v>
      </c>
      <c r="C280" s="109" t="str">
        <f ca="1">IF(OFFSET(PO!N$12,ROW(C280)-ROW(C$12),0)=0,"",OFFSET(PO!N$12,ROW(C280)-ROW(C$12),0))</f>
        <v>TUBO PVC, SERIE NORMAL, ESGOTO PREDIAL, DN 100 MM, FORNECIDO E INSTALADO EM RAMAL DE DESCARGA OU RAMAL DE ESGOTO SANITÁRIO. AF_08/2022</v>
      </c>
      <c r="D280" s="111" t="str">
        <f ca="1">IF(OFFSET(PO!O$12,ROW(D280)-ROW(D$12),0)=0,"",OFFSET(PO!O$12,ROW(D280)-ROW(D$12),0))</f>
        <v>M</v>
      </c>
      <c r="E280" s="140">
        <f ca="1">IF($A280&lt;&gt;"Serviço",0,ROUND(SUMIF($F$9:$P$9,"&lt;&gt;",$F280:$P280),15-13*PO!$X$3))</f>
        <v>64.5</v>
      </c>
      <c r="F280" s="364">
        <f ca="1">OFFSET(PO!$P$12,ROW($E280)-ROW(F$12),0)</f>
        <v>64.5</v>
      </c>
      <c r="G280" s="364"/>
      <c r="H280" s="364"/>
      <c r="I280" s="364"/>
      <c r="J280" s="364"/>
      <c r="K280" s="364"/>
      <c r="L280" s="364"/>
      <c r="M280" s="364"/>
      <c r="N280" s="364"/>
      <c r="O280" s="364"/>
      <c r="U280" s="182"/>
    </row>
    <row r="281" spans="1:21" s="1" customFormat="1" ht="38.25" x14ac:dyDescent="0.2">
      <c r="A281" s="110" t="str">
        <f ca="1">OFFSET(PO!J$12,ROW(A281)-ROW($A$12),0)</f>
        <v>Serviço</v>
      </c>
      <c r="B281" s="112" t="str">
        <f ca="1">IF($A281=0,"",OFFSET(PO!K$12,ROW(B281)-ROW(B$12),0))</f>
        <v>1.10.2.0.18.</v>
      </c>
      <c r="C281" s="109" t="str">
        <f ca="1">IF(OFFSET(PO!N$12,ROW(C281)-ROW(C$12),0)=0,"",OFFSET(PO!N$12,ROW(C281)-ROW(C$12),0))</f>
        <v>TUBO DE PVC PARA REDE COLETORA DE ESGOTO DE PAREDE MACIÇA, DN 150 MM, JUNTA ELÁSTICA - FORNECIMENTO E ASSENTAMENTO. AF_01/2021</v>
      </c>
      <c r="D281" s="111" t="str">
        <f ca="1">IF(OFFSET(PO!O$12,ROW(D281)-ROW(D$12),0)=0,"",OFFSET(PO!O$12,ROW(D281)-ROW(D$12),0))</f>
        <v>M</v>
      </c>
      <c r="E281" s="140">
        <f ca="1">IF($A281&lt;&gt;"Serviço",0,ROUND(SUMIF($F$9:$P$9,"&lt;&gt;",$F281:$P281),15-13*PO!$X$3))</f>
        <v>5.77</v>
      </c>
      <c r="F281" s="364">
        <f ca="1">OFFSET(PO!$P$12,ROW($E281)-ROW(F$12),0)</f>
        <v>5.77</v>
      </c>
      <c r="G281" s="364"/>
      <c r="H281" s="364"/>
      <c r="I281" s="364"/>
      <c r="J281" s="364"/>
      <c r="K281" s="364"/>
      <c r="L281" s="364"/>
      <c r="M281" s="364"/>
      <c r="N281" s="364"/>
      <c r="O281" s="364"/>
      <c r="U281" s="182"/>
    </row>
    <row r="282" spans="1:21" s="1" customFormat="1" ht="38.25" x14ac:dyDescent="0.2">
      <c r="A282" s="110" t="str">
        <f ca="1">OFFSET(PO!J$12,ROW(A282)-ROW($A$12),0)</f>
        <v>Serviço</v>
      </c>
      <c r="B282" s="112" t="str">
        <f ca="1">IF($A282=0,"",OFFSET(PO!K$12,ROW(B282)-ROW(B$12),0))</f>
        <v>1.10.2.0.19.</v>
      </c>
      <c r="C282" s="109" t="str">
        <f ca="1">IF(OFFSET(PO!N$12,ROW(C282)-ROW(C$12),0)=0,"",OFFSET(PO!N$12,ROW(C282)-ROW(C$12),0))</f>
        <v>TUBO PVC, SERIE NORMAL, ESGOTO PREDIAL, DN 50 MM, FORNECIDO E INSTALADO EM RAMAL DE DESCARGA OU RAMAL DE ESGOTO SANITÁRIO. AF_08/2022</v>
      </c>
      <c r="D282" s="111" t="str">
        <f ca="1">IF(OFFSET(PO!O$12,ROW(D282)-ROW(D$12),0)=0,"",OFFSET(PO!O$12,ROW(D282)-ROW(D$12),0))</f>
        <v>M</v>
      </c>
      <c r="E282" s="140">
        <f ca="1">IF($A282&lt;&gt;"Serviço",0,ROUND(SUMIF($F$9:$P$9,"&lt;&gt;",$F282:$P282),15-13*PO!$X$3))</f>
        <v>35.15</v>
      </c>
      <c r="F282" s="364">
        <f ca="1">OFFSET(PO!$P$12,ROW($E282)-ROW(F$12),0)</f>
        <v>35.15</v>
      </c>
      <c r="G282" s="364"/>
      <c r="H282" s="364"/>
      <c r="I282" s="364"/>
      <c r="J282" s="364"/>
      <c r="K282" s="364"/>
      <c r="L282" s="364"/>
      <c r="M282" s="364"/>
      <c r="N282" s="364"/>
      <c r="O282" s="364"/>
      <c r="U282" s="182"/>
    </row>
    <row r="283" spans="1:21" s="1" customFormat="1" ht="38.25" x14ac:dyDescent="0.2">
      <c r="A283" s="110" t="str">
        <f ca="1">OFFSET(PO!J$12,ROW(A283)-ROW($A$12),0)</f>
        <v>Serviço</v>
      </c>
      <c r="B283" s="112" t="str">
        <f ca="1">IF($A283=0,"",OFFSET(PO!K$12,ROW(B283)-ROW(B$12),0))</f>
        <v>1.10.2.0.20.</v>
      </c>
      <c r="C283" s="109" t="str">
        <f ca="1">IF(OFFSET(PO!N$12,ROW(C283)-ROW(C$12),0)=0,"",OFFSET(PO!N$12,ROW(C283)-ROW(C$12),0))</f>
        <v>TUBO PVC, SERIE NORMAL, ESGOTO PREDIAL, DN 40 MM, FORNECIDO E INSTALADO EM RAMAL DE DESCARGA OU RAMAL DE ESGOTO SANITÁRIO. AF_08/2022</v>
      </c>
      <c r="D283" s="111" t="str">
        <f ca="1">IF(OFFSET(PO!O$12,ROW(D283)-ROW(D$12),0)=0,"",OFFSET(PO!O$12,ROW(D283)-ROW(D$12),0))</f>
        <v>M</v>
      </c>
      <c r="E283" s="140">
        <f ca="1">IF($A283&lt;&gt;"Serviço",0,ROUND(SUMIF($F$9:$P$9,"&lt;&gt;",$F283:$P283),15-13*PO!$X$3))</f>
        <v>20</v>
      </c>
      <c r="F283" s="364">
        <f ca="1">OFFSET(PO!$P$12,ROW($E283)-ROW(F$12),0)</f>
        <v>20</v>
      </c>
      <c r="G283" s="364"/>
      <c r="H283" s="364"/>
      <c r="I283" s="364"/>
      <c r="J283" s="364"/>
      <c r="K283" s="364"/>
      <c r="L283" s="364"/>
      <c r="M283" s="364"/>
      <c r="N283" s="364"/>
      <c r="O283" s="364"/>
      <c r="U283" s="182"/>
    </row>
    <row r="284" spans="1:21" s="1" customFormat="1" ht="38.25" x14ac:dyDescent="0.2">
      <c r="A284" s="110" t="str">
        <f ca="1">OFFSET(PO!J$12,ROW(A284)-ROW($A$12),0)</f>
        <v>Serviço</v>
      </c>
      <c r="B284" s="112" t="str">
        <f ca="1">IF($A284=0,"",OFFSET(PO!K$12,ROW(B284)-ROW(B$12),0))</f>
        <v>1.10.2.0.21.</v>
      </c>
      <c r="C284" s="109" t="str">
        <f ca="1">IF(OFFSET(PO!N$12,ROW(C284)-ROW(C$12),0)=0,"",OFFSET(PO!N$12,ROW(C284)-ROW(C$12),0))</f>
        <v>TUBO, PVC, SOLDÁVEL, DE 25MM, INSTALADO EM DRENO DE AR-CONDICIONADO - FORNECIMENTO E INSTALAÇÃO. AF_08/2022</v>
      </c>
      <c r="D284" s="111" t="str">
        <f ca="1">IF(OFFSET(PO!O$12,ROW(D284)-ROW(D$12),0)=0,"",OFFSET(PO!O$12,ROW(D284)-ROW(D$12),0))</f>
        <v>M</v>
      </c>
      <c r="E284" s="140">
        <f ca="1">IF($A284&lt;&gt;"Serviço",0,ROUND(SUMIF($F$9:$P$9,"&lt;&gt;",$F284:$P284),15-13*PO!$X$3))</f>
        <v>30</v>
      </c>
      <c r="F284" s="364">
        <f ca="1">OFFSET(PO!$P$12,ROW($E284)-ROW(F$12),0)</f>
        <v>30</v>
      </c>
      <c r="G284" s="364"/>
      <c r="H284" s="364"/>
      <c r="I284" s="364"/>
      <c r="J284" s="364"/>
      <c r="K284" s="364"/>
      <c r="L284" s="364"/>
      <c r="M284" s="364"/>
      <c r="N284" s="364"/>
      <c r="O284" s="364"/>
      <c r="U284" s="182"/>
    </row>
    <row r="285" spans="1:21" s="1" customFormat="1" ht="38.25" x14ac:dyDescent="0.2">
      <c r="A285" s="110" t="str">
        <f ca="1">OFFSET(PO!J$12,ROW(A285)-ROW($A$12),0)</f>
        <v>Serviço</v>
      </c>
      <c r="B285" s="112" t="str">
        <f ca="1">IF($A285=0,"",OFFSET(PO!K$12,ROW(B285)-ROW(B$12),0))</f>
        <v>1.10.2.0.22.</v>
      </c>
      <c r="C285" s="109" t="str">
        <f ca="1">IF(OFFSET(PO!N$12,ROW(C285)-ROW(C$12),0)=0,"",OFFSET(PO!N$12,ROW(C285)-ROW(C$12),0))</f>
        <v>TE, PVC, SERIE NORMAL, ESGOTO PREDIAL, DN 50 X 50 MM, JUNTA ELÁSTICA, FORNECIDO E INSTALADO EM RAMAL DE DESCARGA OU RAMAL DE ESGOTO SANITÁRIO. AF_08/2022</v>
      </c>
      <c r="D285" s="111" t="str">
        <f ca="1">IF(OFFSET(PO!O$12,ROW(D285)-ROW(D$12),0)=0,"",OFFSET(PO!O$12,ROW(D285)-ROW(D$12),0))</f>
        <v>UN</v>
      </c>
      <c r="E285" s="140">
        <f ca="1">IF($A285&lt;&gt;"Serviço",0,ROUND(SUMIF($F$9:$P$9,"&lt;&gt;",$F285:$P285),15-13*PO!$X$3))</f>
        <v>1</v>
      </c>
      <c r="F285" s="364">
        <f ca="1">OFFSET(PO!$P$12,ROW($E285)-ROW(F$12),0)</f>
        <v>1</v>
      </c>
      <c r="G285" s="364"/>
      <c r="H285" s="364"/>
      <c r="I285" s="364"/>
      <c r="J285" s="364"/>
      <c r="K285" s="364"/>
      <c r="L285" s="364"/>
      <c r="M285" s="364"/>
      <c r="N285" s="364"/>
      <c r="O285" s="364"/>
      <c r="U285" s="182"/>
    </row>
    <row r="286" spans="1:21" s="1" customFormat="1" ht="51" x14ac:dyDescent="0.2">
      <c r="A286" s="110" t="str">
        <f ca="1">OFFSET(PO!J$12,ROW(A286)-ROW($A$12),0)</f>
        <v>Serviço</v>
      </c>
      <c r="B286" s="112" t="str">
        <f ca="1">IF($A286=0,"",OFFSET(PO!K$12,ROW(B286)-ROW(B$12),0))</f>
        <v>1.10.2.0.23.</v>
      </c>
      <c r="C286" s="109" t="str">
        <f ca="1">IF(OFFSET(PO!N$12,ROW(C286)-ROW(C$12),0)=0,"",OFFSET(PO!N$12,ROW(C286)-ROW(C$12),0))</f>
        <v>CAIXA SIFONADA, COM GRELHA QUADRADA, PVC, DN 150 X 150 X 50 MM, JUNTA SOLDÁVEL, FORNECIDA E INSTALADA EM RAMAL DE DESCARGA OU EM RAMAL DE ESGOTO SANITÁRIO. AF_08/2022</v>
      </c>
      <c r="D286" s="111" t="str">
        <f ca="1">IF(OFFSET(PO!O$12,ROW(D286)-ROW(D$12),0)=0,"",OFFSET(PO!O$12,ROW(D286)-ROW(D$12),0))</f>
        <v>UN</v>
      </c>
      <c r="E286" s="140">
        <f ca="1">IF($A286&lt;&gt;"Serviço",0,ROUND(SUMIF($F$9:$P$9,"&lt;&gt;",$F286:$P286),15-13*PO!$X$3))</f>
        <v>3</v>
      </c>
      <c r="F286" s="364">
        <f ca="1">OFFSET(PO!$P$12,ROW($E286)-ROW(F$12),0)</f>
        <v>3</v>
      </c>
      <c r="G286" s="364"/>
      <c r="H286" s="364"/>
      <c r="I286" s="364"/>
      <c r="J286" s="364"/>
      <c r="K286" s="364"/>
      <c r="L286" s="364"/>
      <c r="M286" s="364"/>
      <c r="N286" s="364"/>
      <c r="O286" s="364"/>
      <c r="U286" s="182"/>
    </row>
    <row r="287" spans="1:21" s="1" customFormat="1" ht="38.25" x14ac:dyDescent="0.2">
      <c r="A287" s="110" t="str">
        <f ca="1">OFFSET(PO!J$12,ROW(A287)-ROW($A$12),0)</f>
        <v>Serviço</v>
      </c>
      <c r="B287" s="112" t="str">
        <f ca="1">IF($A287=0,"",OFFSET(PO!K$12,ROW(B287)-ROW(B$12),0))</f>
        <v>1.10.2.0.24.</v>
      </c>
      <c r="C287" s="109" t="str">
        <f ca="1">IF(OFFSET(PO!N$12,ROW(C287)-ROW(C$12),0)=0,"",OFFSET(PO!N$12,ROW(C287)-ROW(C$12),0))</f>
        <v>JOELHO 45 GRAUS, PVC, SERIE NORMAL, ESGOTO PREDIAL, DN 50 MM, JUNTA ELÁSTICA, FORNECIDO E INSTALADO EM PRUMADA DE ESGOTO SANITÁRIO OU VENTILAÇÃO. AF_08/2022</v>
      </c>
      <c r="D287" s="111" t="str">
        <f ca="1">IF(OFFSET(PO!O$12,ROW(D287)-ROW(D$12),0)=0,"",OFFSET(PO!O$12,ROW(D287)-ROW(D$12),0))</f>
        <v>UN</v>
      </c>
      <c r="E287" s="140">
        <f ca="1">IF($A287&lt;&gt;"Serviço",0,ROUND(SUMIF($F$9:$P$9,"&lt;&gt;",$F287:$P287),15-13*PO!$X$3))</f>
        <v>2</v>
      </c>
      <c r="F287" s="364">
        <f ca="1">OFFSET(PO!$P$12,ROW($E287)-ROW(F$12),0)</f>
        <v>2</v>
      </c>
      <c r="G287" s="364"/>
      <c r="H287" s="364"/>
      <c r="I287" s="364"/>
      <c r="J287" s="364"/>
      <c r="K287" s="364"/>
      <c r="L287" s="364"/>
      <c r="M287" s="364"/>
      <c r="N287" s="364"/>
      <c r="O287" s="364"/>
      <c r="U287" s="182"/>
    </row>
    <row r="288" spans="1:21" s="1" customFormat="1" ht="38.25" x14ac:dyDescent="0.2">
      <c r="A288" s="110" t="str">
        <f ca="1">OFFSET(PO!J$12,ROW(A288)-ROW($A$12),0)</f>
        <v>Serviço</v>
      </c>
      <c r="B288" s="112" t="str">
        <f ca="1">IF($A288=0,"",OFFSET(PO!K$12,ROW(B288)-ROW(B$12),0))</f>
        <v>1.10.2.0.25.</v>
      </c>
      <c r="C288" s="109" t="str">
        <f ca="1">IF(OFFSET(PO!N$12,ROW(C288)-ROW(C$12),0)=0,"",OFFSET(PO!N$12,ROW(C288)-ROW(C$12),0))</f>
        <v>JOELHO 90 GRAUS, PVC, SERIE NORMAL, ESGOTO PREDIAL, DN 50 MM, JUNTA ELÁSTICA, FORNECIDO E INSTALADO EM PRUMADA DE ESGOTO SANITÁRIO OU VENTILAÇÃO. AF_08/2022</v>
      </c>
      <c r="D288" s="111" t="str">
        <f ca="1">IF(OFFSET(PO!O$12,ROW(D288)-ROW(D$12),0)=0,"",OFFSET(PO!O$12,ROW(D288)-ROW(D$12),0))</f>
        <v>UN</v>
      </c>
      <c r="E288" s="140">
        <f ca="1">IF($A288&lt;&gt;"Serviço",0,ROUND(SUMIF($F$9:$P$9,"&lt;&gt;",$F288:$P288),15-13*PO!$X$3))</f>
        <v>10</v>
      </c>
      <c r="F288" s="364">
        <f ca="1">OFFSET(PO!$P$12,ROW($E288)-ROW(F$12),0)</f>
        <v>10</v>
      </c>
      <c r="G288" s="364"/>
      <c r="H288" s="364"/>
      <c r="I288" s="364"/>
      <c r="J288" s="364"/>
      <c r="K288" s="364"/>
      <c r="L288" s="364"/>
      <c r="M288" s="364"/>
      <c r="N288" s="364"/>
      <c r="O288" s="364"/>
      <c r="U288" s="182"/>
    </row>
    <row r="289" spans="1:21" s="1" customFormat="1" ht="38.25" x14ac:dyDescent="0.2">
      <c r="A289" s="110" t="str">
        <f ca="1">OFFSET(PO!J$12,ROW(A289)-ROW($A$12),0)</f>
        <v>Serviço</v>
      </c>
      <c r="B289" s="112" t="str">
        <f ca="1">IF($A289=0,"",OFFSET(PO!K$12,ROW(B289)-ROW(B$12),0))</f>
        <v>1.10.2.0.26.</v>
      </c>
      <c r="C289" s="109" t="str">
        <f ca="1">IF(OFFSET(PO!N$12,ROW(C289)-ROW(C$12),0)=0,"",OFFSET(PO!N$12,ROW(C289)-ROW(C$12),0))</f>
        <v>TUBO PVC, SERIE NORMAL, ESGOTO PREDIAL, DN 50 MM, FORNECIDO E INSTALADO EM PRUMADA DE ESGOTO SANITÁRIO OU VENTILAÇÃO. AF_08/2022</v>
      </c>
      <c r="D289" s="111" t="str">
        <f ca="1">IF(OFFSET(PO!O$12,ROW(D289)-ROW(D$12),0)=0,"",OFFSET(PO!O$12,ROW(D289)-ROW(D$12),0))</f>
        <v>M</v>
      </c>
      <c r="E289" s="140">
        <f ca="1">IF($A289&lt;&gt;"Serviço",0,ROUND(SUMIF($F$9:$P$9,"&lt;&gt;",$F289:$P289),15-13*PO!$X$3))</f>
        <v>24</v>
      </c>
      <c r="F289" s="364">
        <f ca="1">OFFSET(PO!$P$12,ROW($E289)-ROW(F$12),0)</f>
        <v>24</v>
      </c>
      <c r="G289" s="364"/>
      <c r="H289" s="364"/>
      <c r="I289" s="364"/>
      <c r="J289" s="364"/>
      <c r="K289" s="364"/>
      <c r="L289" s="364"/>
      <c r="M289" s="364"/>
      <c r="N289" s="364"/>
      <c r="O289" s="364"/>
      <c r="U289" s="182"/>
    </row>
    <row r="290" spans="1:21" s="1" customFormat="1" ht="38.25" x14ac:dyDescent="0.2">
      <c r="A290" s="110" t="str">
        <f ca="1">OFFSET(PO!J$12,ROW(A290)-ROW($A$12),0)</f>
        <v>Serviço</v>
      </c>
      <c r="B290" s="112" t="str">
        <f ca="1">IF($A290=0,"",OFFSET(PO!K$12,ROW(B290)-ROW(B$12),0))</f>
        <v>1.10.2.0.27.</v>
      </c>
      <c r="C290" s="109" t="str">
        <f ca="1">IF(OFFSET(PO!N$12,ROW(C290)-ROW(C$12),0)=0,"",OFFSET(PO!N$12,ROW(C290)-ROW(C$12),0))</f>
        <v>TE, PVC, SERIE NORMAL, ESGOTO PREDIAL, DN 50 X 50 MM, JUNTA ELÁSTICA, FORNECIDO E INSTALADO EM PRUMADA DE ESGOTO SANITÁRIO OU VENTILAÇÃO. AF_08/2022</v>
      </c>
      <c r="D290" s="111" t="str">
        <f ca="1">IF(OFFSET(PO!O$12,ROW(D290)-ROW(D$12),0)=0,"",OFFSET(PO!O$12,ROW(D290)-ROW(D$12),0))</f>
        <v>UN</v>
      </c>
      <c r="E290" s="140">
        <f ca="1">IF($A290&lt;&gt;"Serviço",0,ROUND(SUMIF($F$9:$P$9,"&lt;&gt;",$F290:$P290),15-13*PO!$X$3))</f>
        <v>4</v>
      </c>
      <c r="F290" s="364">
        <f ca="1">OFFSET(PO!$P$12,ROW($E290)-ROW(F$12),0)</f>
        <v>4</v>
      </c>
      <c r="G290" s="364"/>
      <c r="H290" s="364"/>
      <c r="I290" s="364"/>
      <c r="J290" s="364"/>
      <c r="K290" s="364"/>
      <c r="L290" s="364"/>
      <c r="M290" s="364"/>
      <c r="N290" s="364"/>
      <c r="O290" s="364"/>
      <c r="U290" s="182"/>
    </row>
    <row r="291" spans="1:21" s="1" customFormat="1" ht="51" x14ac:dyDescent="0.2">
      <c r="A291" s="110" t="str">
        <f ca="1">OFFSET(PO!J$12,ROW(A291)-ROW($A$12),0)</f>
        <v>Serviço</v>
      </c>
      <c r="B291" s="112" t="str">
        <f ca="1">IF($A291=0,"",OFFSET(PO!K$12,ROW(B291)-ROW(B$12),0))</f>
        <v>1.10.2.0.28.</v>
      </c>
      <c r="C291" s="109" t="str">
        <f ca="1">IF(OFFSET(PO!N$12,ROW(C291)-ROW(C$12),0)=0,"",OFFSET(PO!N$12,ROW(C291)-ROW(C$12),0))</f>
        <v>TERMINAL DE VENTILAÇÃO, PVC, SÉRIE NORMAL, ESGOTO PREDIAL, DN 50 MM, JUNTA SOLDÁVEL, FORNECIDO E INSTALADO EM PRUMADA DE ESGOTO SANITÁRIO OU VENTILAÇÃO. AF_08/2022</v>
      </c>
      <c r="D291" s="111" t="str">
        <f ca="1">IF(OFFSET(PO!O$12,ROW(D291)-ROW(D$12),0)=0,"",OFFSET(PO!O$12,ROW(D291)-ROW(D$12),0))</f>
        <v>UN</v>
      </c>
      <c r="E291" s="140">
        <f ca="1">IF($A291&lt;&gt;"Serviço",0,ROUND(SUMIF($F$9:$P$9,"&lt;&gt;",$F291:$P291),15-13*PO!$X$3))</f>
        <v>6</v>
      </c>
      <c r="F291" s="364">
        <f ca="1">OFFSET(PO!$P$12,ROW($E291)-ROW(F$12),0)</f>
        <v>6</v>
      </c>
      <c r="G291" s="364"/>
      <c r="H291" s="364"/>
      <c r="I291" s="364"/>
      <c r="J291" s="364"/>
      <c r="K291" s="364"/>
      <c r="L291" s="364"/>
      <c r="M291" s="364"/>
      <c r="N291" s="364"/>
      <c r="O291" s="364"/>
      <c r="U291" s="182"/>
    </row>
    <row r="292" spans="1:21" s="1" customFormat="1" ht="25.5" x14ac:dyDescent="0.2">
      <c r="A292" s="110" t="str">
        <f ca="1">OFFSET(PO!J$12,ROW(A292)-ROW($A$12),0)</f>
        <v>Serviço</v>
      </c>
      <c r="B292" s="112" t="str">
        <f ca="1">IF($A292=0,"",OFFSET(PO!K$12,ROW(B292)-ROW(B$12),0))</f>
        <v>1.10.2.0.29.</v>
      </c>
      <c r="C292" s="109" t="str">
        <f ca="1">IF(OFFSET(PO!N$12,ROW(C292)-ROW(C$12),0)=0,"",OFFSET(PO!N$12,ROW(C292)-ROW(C$12),0))</f>
        <v>Furos em concreto diâmetro até 100mm</v>
      </c>
      <c r="D292" s="111" t="str">
        <f ca="1">IF(OFFSET(PO!O$12,ROW(D292)-ROW(D$12),0)=0,"",OFFSET(PO!O$12,ROW(D292)-ROW(D$12),0))</f>
        <v>UNIDADE</v>
      </c>
      <c r="E292" s="140">
        <f ca="1">IF($A292&lt;&gt;"Serviço",0,ROUND(SUMIF($F$9:$P$9,"&lt;&gt;",$F292:$P292),15-13*PO!$X$3))</f>
        <v>23</v>
      </c>
      <c r="F292" s="364">
        <f ca="1">OFFSET(PO!$P$12,ROW($E292)-ROW(F$12),0)</f>
        <v>23</v>
      </c>
      <c r="G292" s="364"/>
      <c r="H292" s="364"/>
      <c r="I292" s="364"/>
      <c r="J292" s="364"/>
      <c r="K292" s="364"/>
      <c r="L292" s="364"/>
      <c r="M292" s="364"/>
      <c r="N292" s="364"/>
      <c r="O292" s="364"/>
      <c r="U292" s="182"/>
    </row>
    <row r="293" spans="1:21" s="1" customFormat="1" ht="38.25" x14ac:dyDescent="0.2">
      <c r="A293" s="110" t="str">
        <f ca="1">OFFSET(PO!J$12,ROW(A293)-ROW($A$12),0)</f>
        <v>Serviço</v>
      </c>
      <c r="B293" s="112" t="str">
        <f ca="1">IF($A293=0,"",OFFSET(PO!K$12,ROW(B293)-ROW(B$12),0))</f>
        <v>1.10.2.0.30.</v>
      </c>
      <c r="C293" s="109" t="str">
        <f ca="1">IF(OFFSET(PO!N$12,ROW(C293)-ROW(C$12),0)=0,"",OFFSET(PO!N$12,ROW(C293)-ROW(C$12),0))</f>
        <v>TUBO PVC, SÉRIE R, ÁGUA PLUVIAL, DN 100 MM, FORNECIDO E INSTALADO EM CONDUTORES VERTICAIS DE ÁGUAS PLUVIAIS. AF_06/2022</v>
      </c>
      <c r="D293" s="111" t="str">
        <f ca="1">IF(OFFSET(PO!O$12,ROW(D293)-ROW(D$12),0)=0,"",OFFSET(PO!O$12,ROW(D293)-ROW(D$12),0))</f>
        <v>M</v>
      </c>
      <c r="E293" s="140">
        <f ca="1">IF($A293&lt;&gt;"Serviço",0,ROUND(SUMIF($F$9:$P$9,"&lt;&gt;",$F293:$P293),15-13*PO!$X$3))</f>
        <v>24</v>
      </c>
      <c r="F293" s="364">
        <f ca="1">OFFSET(PO!$P$12,ROW($E293)-ROW(F$12),0)</f>
        <v>24</v>
      </c>
      <c r="G293" s="364"/>
      <c r="H293" s="364"/>
      <c r="I293" s="364"/>
      <c r="J293" s="364"/>
      <c r="K293" s="364"/>
      <c r="L293" s="364"/>
      <c r="M293" s="364"/>
      <c r="N293" s="364"/>
      <c r="O293" s="364"/>
      <c r="U293" s="182"/>
    </row>
    <row r="294" spans="1:21" s="1" customFormat="1" ht="38.25" x14ac:dyDescent="0.2">
      <c r="A294" s="110" t="str">
        <f ca="1">OFFSET(PO!J$12,ROW(A294)-ROW($A$12),0)</f>
        <v>Serviço</v>
      </c>
      <c r="B294" s="112" t="str">
        <f ca="1">IF($A294=0,"",OFFSET(PO!K$12,ROW(B294)-ROW(B$12),0))</f>
        <v>1.10.2.0.31.</v>
      </c>
      <c r="C294" s="109" t="str">
        <f ca="1">IF(OFFSET(PO!N$12,ROW(C294)-ROW(C$12),0)=0,"",OFFSET(PO!N$12,ROW(C294)-ROW(C$12),0))</f>
        <v>CAIXA ENTERRADA HIDRÁULICA RETANGULAR EM ALVENARIA COM TIJOLOS CERÂMICOS MACIÇOS, DIMENSÕES INTERNAS: 0,6X0,6X0,6 M PARA REDE DE DRENAGEM. AF_12/2020</v>
      </c>
      <c r="D294" s="111" t="str">
        <f ca="1">IF(OFFSET(PO!O$12,ROW(D294)-ROW(D$12),0)=0,"",OFFSET(PO!O$12,ROW(D294)-ROW(D$12),0))</f>
        <v>UN</v>
      </c>
      <c r="E294" s="140">
        <f ca="1">IF($A294&lt;&gt;"Serviço",0,ROUND(SUMIF($F$9:$P$9,"&lt;&gt;",$F294:$P294),15-13*PO!$X$3))</f>
        <v>6</v>
      </c>
      <c r="F294" s="364">
        <f ca="1">OFFSET(PO!$P$12,ROW($E294)-ROW(F$12),0)</f>
        <v>6</v>
      </c>
      <c r="G294" s="364"/>
      <c r="H294" s="364"/>
      <c r="I294" s="364"/>
      <c r="J294" s="364"/>
      <c r="K294" s="364"/>
      <c r="L294" s="364"/>
      <c r="M294" s="364"/>
      <c r="N294" s="364"/>
      <c r="O294" s="364"/>
      <c r="U294" s="182"/>
    </row>
    <row r="295" spans="1:21" s="1" customFormat="1" ht="25.5" x14ac:dyDescent="0.2">
      <c r="A295" s="110" t="str">
        <f ca="1">OFFSET(PO!J$12,ROW(A295)-ROW($A$12),0)</f>
        <v>Serviço</v>
      </c>
      <c r="B295" s="112" t="str">
        <f ca="1">IF($A295=0,"",OFFSET(PO!K$12,ROW(B295)-ROW(B$12),0))</f>
        <v>1.10.2.0.32.</v>
      </c>
      <c r="C295" s="109" t="str">
        <f ca="1">IF(OFFSET(PO!N$12,ROW(C295)-ROW(C$12),0)=0,"",OFFSET(PO!N$12,ROW(C295)-ROW(C$12),0))</f>
        <v>TUBO PVC, SÉRIE R, ÁGUA PLUVIAL, DN 100 MM, FORNECIDO E INSTALADO EM RAMAL DE ENCAMINHAMENTO. AF_06/2022</v>
      </c>
      <c r="D295" s="111" t="str">
        <f ca="1">IF(OFFSET(PO!O$12,ROW(D295)-ROW(D$12),0)=0,"",OFFSET(PO!O$12,ROW(D295)-ROW(D$12),0))</f>
        <v>M</v>
      </c>
      <c r="E295" s="140">
        <f ca="1">IF($A295&lt;&gt;"Serviço",0,ROUND(SUMIF($F$9:$P$9,"&lt;&gt;",$F295:$P295),15-13*PO!$X$3))</f>
        <v>43</v>
      </c>
      <c r="F295" s="364">
        <f ca="1">OFFSET(PO!$P$12,ROW($E295)-ROW(F$12),0)</f>
        <v>43</v>
      </c>
      <c r="G295" s="364"/>
      <c r="H295" s="364"/>
      <c r="I295" s="364"/>
      <c r="J295" s="364"/>
      <c r="K295" s="364"/>
      <c r="L295" s="364"/>
      <c r="M295" s="364"/>
      <c r="N295" s="364"/>
      <c r="O295" s="364"/>
      <c r="U295" s="182"/>
    </row>
    <row r="296" spans="1:21" s="1" customFormat="1" ht="25.5" x14ac:dyDescent="0.2">
      <c r="A296" s="110" t="str">
        <f ca="1">OFFSET(PO!J$12,ROW(A296)-ROW($A$12),0)</f>
        <v>Serviço</v>
      </c>
      <c r="B296" s="112" t="str">
        <f ca="1">IF($A296=0,"",OFFSET(PO!K$12,ROW(B296)-ROW(B$12),0))</f>
        <v>1.10.2.0.33.</v>
      </c>
      <c r="C296" s="109" t="str">
        <f ca="1">IF(OFFSET(PO!N$12,ROW(C296)-ROW(C$12),0)=0,"",OFFSET(PO!N$12,ROW(C296)-ROW(C$12),0))</f>
        <v>TUBO PVC, SÉRIE R, ÁGUA PLUVIAL, DN 150 MM, FORNECIDO E INSTALADO EM RAMAL DE ENCAMINHAMENTO. AF_06/2022</v>
      </c>
      <c r="D296" s="111" t="str">
        <f ca="1">IF(OFFSET(PO!O$12,ROW(D296)-ROW(D$12),0)=0,"",OFFSET(PO!O$12,ROW(D296)-ROW(D$12),0))</f>
        <v>M</v>
      </c>
      <c r="E296" s="140">
        <f ca="1">IF($A296&lt;&gt;"Serviço",0,ROUND(SUMIF($F$9:$P$9,"&lt;&gt;",$F296:$P296),15-13*PO!$X$3))</f>
        <v>5</v>
      </c>
      <c r="F296" s="364">
        <f ca="1">OFFSET(PO!$P$12,ROW($E296)-ROW(F$12),0)</f>
        <v>5</v>
      </c>
      <c r="G296" s="364"/>
      <c r="H296" s="364"/>
      <c r="I296" s="364"/>
      <c r="J296" s="364"/>
      <c r="K296" s="364"/>
      <c r="L296" s="364"/>
      <c r="M296" s="364"/>
      <c r="N296" s="364"/>
      <c r="O296" s="364"/>
      <c r="U296" s="182"/>
    </row>
    <row r="297" spans="1:21" s="1" customFormat="1" x14ac:dyDescent="0.2">
      <c r="A297" s="110" t="str">
        <f ca="1">OFFSET(PO!J$12,ROW(A297)-ROW($A$12),0)</f>
        <v>Serviço</v>
      </c>
      <c r="B297" s="112" t="str">
        <f ca="1">IF($A297=0,"",OFFSET(PO!K$12,ROW(B297)-ROW(B$12),0))</f>
        <v>1.10.2.0.34.</v>
      </c>
      <c r="C297" s="109" t="str">
        <f ca="1">IF(OFFSET(PO!N$12,ROW(C297)-ROW(C$12),0)=0,"",OFFSET(PO!N$12,ROW(C297)-ROW(C$12),0))</f>
        <v>ESCAVAÇÃO MANUAL DE VALA. AF_09/2024</v>
      </c>
      <c r="D297" s="111" t="str">
        <f ca="1">IF(OFFSET(PO!O$12,ROW(D297)-ROW(D$12),0)=0,"",OFFSET(PO!O$12,ROW(D297)-ROW(D$12),0))</f>
        <v>M3</v>
      </c>
      <c r="E297" s="140">
        <f ca="1">IF($A297&lt;&gt;"Serviço",0,ROUND(SUMIF($F$9:$P$9,"&lt;&gt;",$F297:$P297),15-13*PO!$X$3))</f>
        <v>9.5</v>
      </c>
      <c r="F297" s="364">
        <f ca="1">OFFSET(PO!$P$12,ROW($E297)-ROW(F$12),0)</f>
        <v>9.5</v>
      </c>
      <c r="G297" s="364"/>
      <c r="H297" s="364"/>
      <c r="I297" s="364"/>
      <c r="J297" s="364"/>
      <c r="K297" s="364"/>
      <c r="L297" s="364"/>
      <c r="M297" s="364"/>
      <c r="N297" s="364"/>
      <c r="O297" s="364"/>
      <c r="U297" s="182"/>
    </row>
    <row r="298" spans="1:21" s="1" customFormat="1" ht="25.5" x14ac:dyDescent="0.2">
      <c r="A298" s="110" t="str">
        <f ca="1">OFFSET(PO!J$12,ROW(A298)-ROW($A$12),0)</f>
        <v>Serviço</v>
      </c>
      <c r="B298" s="112" t="str">
        <f ca="1">IF($A298=0,"",OFFSET(PO!K$12,ROW(B298)-ROW(B$12),0))</f>
        <v>1.10.2.0.35.</v>
      </c>
      <c r="C298" s="109" t="str">
        <f ca="1">IF(OFFSET(PO!N$12,ROW(C298)-ROW(C$12),0)=0,"",OFFSET(PO!N$12,ROW(C298)-ROW(C$12),0))</f>
        <v>REATERRO MANUAL DE VALAS, COM COMPACTADOR DE SOLOS DE PERCUSSÃO. AF_08/2023</v>
      </c>
      <c r="D298" s="111" t="str">
        <f ca="1">IF(OFFSET(PO!O$12,ROW(D298)-ROW(D$12),0)=0,"",OFFSET(PO!O$12,ROW(D298)-ROW(D$12),0))</f>
        <v>M3</v>
      </c>
      <c r="E298" s="140">
        <f ca="1">IF($A298&lt;&gt;"Serviço",0,ROUND(SUMIF($F$9:$P$9,"&lt;&gt;",$F298:$P298),15-13*PO!$X$3))</f>
        <v>9.5</v>
      </c>
      <c r="F298" s="364">
        <f ca="1">OFFSET(PO!$P$12,ROW($E298)-ROW(F$12),0)</f>
        <v>9.5</v>
      </c>
      <c r="G298" s="364"/>
      <c r="H298" s="364"/>
      <c r="I298" s="364"/>
      <c r="J298" s="364"/>
      <c r="K298" s="364"/>
      <c r="L298" s="364"/>
      <c r="M298" s="364"/>
      <c r="N298" s="364"/>
      <c r="O298" s="364"/>
      <c r="U298" s="182"/>
    </row>
    <row r="299" spans="1:21" s="1" customFormat="1" x14ac:dyDescent="0.2">
      <c r="A299" s="110" t="str">
        <f ca="1">OFFSET(PO!J$12,ROW(A299)-ROW($A$12),0)</f>
        <v>Nível 3</v>
      </c>
      <c r="B299" s="112" t="str">
        <f ca="1">IF($A299=0,"",OFFSET(PO!K$12,ROW(B299)-ROW(B$12),0))</f>
        <v>1.10.3.</v>
      </c>
      <c r="C299" s="109" t="str">
        <f ca="1">IF(OFFSET(PO!N$12,ROW(C299)-ROW(C$12),0)=0,"",OFFSET(PO!N$12,ROW(C299)-ROW(C$12),0))</f>
        <v>LOUÇAS, METAIS E REGISTROS</v>
      </c>
      <c r="D299" s="111" t="str">
        <f ca="1">IF(OFFSET(PO!O$12,ROW(D299)-ROW(D$12),0)=0,"",OFFSET(PO!O$12,ROW(D299)-ROW(D$12),0))</f>
        <v/>
      </c>
      <c r="E299" s="140">
        <f ca="1">IF($A299&lt;&gt;"Serviço",0,ROUND(SUMIF($F$9:$P$9,"&lt;&gt;",$F299:$P299),15-13*PO!$X$3))</f>
        <v>0</v>
      </c>
      <c r="F299" s="364">
        <f ca="1">OFFSET(PO!$P$12,ROW($E299)-ROW(F$12),0)</f>
        <v>0</v>
      </c>
      <c r="G299" s="364"/>
      <c r="H299" s="364"/>
      <c r="I299" s="364"/>
      <c r="J299" s="364"/>
      <c r="K299" s="364"/>
      <c r="L299" s="364"/>
      <c r="M299" s="364"/>
      <c r="N299" s="364"/>
      <c r="O299" s="364"/>
      <c r="U299" s="182"/>
    </row>
    <row r="300" spans="1:21" s="1" customFormat="1" ht="51" x14ac:dyDescent="0.2">
      <c r="A300" s="110" t="str">
        <f ca="1">OFFSET(PO!J$12,ROW(A300)-ROW($A$12),0)</f>
        <v>Serviço</v>
      </c>
      <c r="B300" s="112" t="str">
        <f ca="1">IF($A300=0,"",OFFSET(PO!K$12,ROW(B300)-ROW(B$12),0))</f>
        <v>1.10.3.0.1.</v>
      </c>
      <c r="C300" s="109" t="str">
        <f ca="1">IF(OFFSET(PO!N$12,ROW(C300)-ROW(C$12),0)=0,"",OFFSET(PO!N$12,ROW(C300)-ROW(C$12),0))</f>
        <v>VASO SANITÁRIO SIFONADO COM CAIXA ACOPLADA LOUÇA BRANCA - PADRÃO MÉDIO, INCLUSO ENGATE FLEXÍVEL EM METAL CROMADO, 1/2 X 40CM - FORNECIMENTO E INSTALAÇÃO. AF_01/2020</v>
      </c>
      <c r="D300" s="111" t="str">
        <f ca="1">IF(OFFSET(PO!O$12,ROW(D300)-ROW(D$12),0)=0,"",OFFSET(PO!O$12,ROW(D300)-ROW(D$12),0))</f>
        <v>UN</v>
      </c>
      <c r="E300" s="140">
        <f ca="1">IF($A300&lt;&gt;"Serviço",0,ROUND(SUMIF($F$9:$P$9,"&lt;&gt;",$F300:$P300),15-13*PO!$X$3))</f>
        <v>6</v>
      </c>
      <c r="F300" s="364">
        <f ca="1">OFFSET(PO!$P$12,ROW($E300)-ROW(F$12),0)</f>
        <v>6</v>
      </c>
      <c r="G300" s="364"/>
      <c r="H300" s="364"/>
      <c r="I300" s="364"/>
      <c r="J300" s="364"/>
      <c r="K300" s="364"/>
      <c r="L300" s="364"/>
      <c r="M300" s="364"/>
      <c r="N300" s="364"/>
      <c r="O300" s="364"/>
      <c r="U300" s="182"/>
    </row>
    <row r="301" spans="1:21" s="1" customFormat="1" ht="51" x14ac:dyDescent="0.2">
      <c r="A301" s="110" t="str">
        <f ca="1">OFFSET(PO!J$12,ROW(A301)-ROW($A$12),0)</f>
        <v>Serviço</v>
      </c>
      <c r="B301" s="112" t="str">
        <f ca="1">IF($A301=0,"",OFFSET(PO!K$12,ROW(B301)-ROW(B$12),0))</f>
        <v>1.10.3.0.2.</v>
      </c>
      <c r="C301" s="109" t="str">
        <f ca="1">IF(OFFSET(PO!N$12,ROW(C301)-ROW(C$12),0)=0,"",OFFSET(PO!N$12,ROW(C301)-ROW(C$12),0))</f>
        <v>VASO SANITARIO SIFONADO CONVENCIONAL PARA PCD SEM FURO FRONTAL COM LOUÇA BRANCA SEM ASSENTO, INCLUSO CONJUNTO DE LIGAÇÃO PARA BACIA SANITÁRIA AJUSTÁVEL - FORNECIMENTO E INSTALAÇÃO. AF_01/2020</v>
      </c>
      <c r="D301" s="111" t="str">
        <f ca="1">IF(OFFSET(PO!O$12,ROW(D301)-ROW(D$12),0)=0,"",OFFSET(PO!O$12,ROW(D301)-ROW(D$12),0))</f>
        <v>UN</v>
      </c>
      <c r="E301" s="140">
        <f ca="1">IF($A301&lt;&gt;"Serviço",0,ROUND(SUMIF($F$9:$P$9,"&lt;&gt;",$F301:$P301),15-13*PO!$X$3))</f>
        <v>2</v>
      </c>
      <c r="F301" s="364">
        <f ca="1">OFFSET(PO!$P$12,ROW($E301)-ROW(F$12),0)</f>
        <v>2</v>
      </c>
      <c r="G301" s="364"/>
      <c r="H301" s="364"/>
      <c r="I301" s="364"/>
      <c r="J301" s="364"/>
      <c r="K301" s="364"/>
      <c r="L301" s="364"/>
      <c r="M301" s="364"/>
      <c r="N301" s="364"/>
      <c r="O301" s="364"/>
      <c r="U301" s="182"/>
    </row>
    <row r="302" spans="1:21" s="1" customFormat="1" ht="25.5" x14ac:dyDescent="0.2">
      <c r="A302" s="110" t="str">
        <f ca="1">OFFSET(PO!J$12,ROW(A302)-ROW($A$12),0)</f>
        <v>Serviço</v>
      </c>
      <c r="B302" s="112" t="str">
        <f ca="1">IF($A302=0,"",OFFSET(PO!K$12,ROW(B302)-ROW(B$12),0))</f>
        <v>1.10.3.0.3.</v>
      </c>
      <c r="C302" s="109" t="str">
        <f ca="1">IF(OFFSET(PO!N$12,ROW(C302)-ROW(C$12),0)=0,"",OFFSET(PO!N$12,ROW(C302)-ROW(C$12),0))</f>
        <v>ASSENTO SANITÁRIO CONVENCIONAL - FORNECIMENTO E INSTALACAO. AF_01/2020</v>
      </c>
      <c r="D302" s="111" t="str">
        <f ca="1">IF(OFFSET(PO!O$12,ROW(D302)-ROW(D$12),0)=0,"",OFFSET(PO!O$12,ROW(D302)-ROW(D$12),0))</f>
        <v>UN</v>
      </c>
      <c r="E302" s="140">
        <f ca="1">IF($A302&lt;&gt;"Serviço",0,ROUND(SUMIF($F$9:$P$9,"&lt;&gt;",$F302:$P302),15-13*PO!$X$3))</f>
        <v>8</v>
      </c>
      <c r="F302" s="364">
        <f ca="1">OFFSET(PO!$P$12,ROW($E302)-ROW(F$12),0)</f>
        <v>8</v>
      </c>
      <c r="G302" s="364"/>
      <c r="H302" s="364"/>
      <c r="I302" s="364"/>
      <c r="J302" s="364"/>
      <c r="K302" s="364"/>
      <c r="L302" s="364"/>
      <c r="M302" s="364"/>
      <c r="N302" s="364"/>
      <c r="O302" s="364"/>
      <c r="U302" s="182"/>
    </row>
    <row r="303" spans="1:21" s="1" customFormat="1" ht="63.75" x14ac:dyDescent="0.2">
      <c r="A303" s="110" t="str">
        <f ca="1">OFFSET(PO!J$12,ROW(A303)-ROW($A$12),0)</f>
        <v>Serviço</v>
      </c>
      <c r="B303" s="112" t="str">
        <f ca="1">IF($A303=0,"",OFFSET(PO!K$12,ROW(B303)-ROW(B$12),0))</f>
        <v>1.10.3.0.4.</v>
      </c>
      <c r="C303" s="109" t="str">
        <f ca="1">IF(OFFSET(PO!N$12,ROW(C303)-ROW(C$12),0)=0,"",OFFSET(PO!N$12,ROW(C303)-ROW(C$12),0))</f>
        <v>LAVATÓRIO LOUÇA BRANCA COM COLUNA, 45 X 55CM OU EQUIVALENTE, PADRÃO MÉDIO, INCLUSO SIFÃO TIPO GARRAFA, VÁLVULA E ENGATE FLEXÍVEL DE 40CM EM METAL CROMADO, COM TORNEIRA CROMADA DE MESA, PADRÃO MÉDIO - FORNECIMENTO E INSTALAÇÃO. AF_01/2020</v>
      </c>
      <c r="D303" s="111" t="str">
        <f ca="1">IF(OFFSET(PO!O$12,ROW(D303)-ROW(D$12),0)=0,"",OFFSET(PO!O$12,ROW(D303)-ROW(D$12),0))</f>
        <v>UN</v>
      </c>
      <c r="E303" s="140">
        <f ca="1">IF($A303&lt;&gt;"Serviço",0,ROUND(SUMIF($F$9:$P$9,"&lt;&gt;",$F303:$P303),15-13*PO!$X$3))</f>
        <v>8</v>
      </c>
      <c r="F303" s="364">
        <f ca="1">OFFSET(PO!$P$12,ROW($E303)-ROW(F$12),0)</f>
        <v>8</v>
      </c>
      <c r="G303" s="364"/>
      <c r="H303" s="364"/>
      <c r="I303" s="364"/>
      <c r="J303" s="364"/>
      <c r="K303" s="364"/>
      <c r="L303" s="364"/>
      <c r="M303" s="364"/>
      <c r="N303" s="364"/>
      <c r="O303" s="364"/>
      <c r="U303" s="182"/>
    </row>
    <row r="304" spans="1:21" s="1" customFormat="1" ht="63.75" x14ac:dyDescent="0.2">
      <c r="A304" s="110" t="str">
        <f ca="1">OFFSET(PO!J$12,ROW(A304)-ROW($A$12),0)</f>
        <v>Serviço</v>
      </c>
      <c r="B304" s="112" t="str">
        <f ca="1">IF($A304=0,"",OFFSET(PO!K$12,ROW(B304)-ROW(B$12),0))</f>
        <v>1.10.3.0.5.</v>
      </c>
      <c r="C304" s="109" t="str">
        <f ca="1">IF(OFFSET(PO!N$12,ROW(C304)-ROW(C$12),0)=0,"",OFFSET(PO!N$12,ROW(C304)-ROW(C$12),0))</f>
        <v>LAVATÓRIO LOUÇA BRANCA SUSPENSO, 29,5 X 39CM OU EQUIVALENTE, PADRÃO POPULAR, INCLUSO SIFÃO TIPO GARRAFA EM PVC, VÁLVULA E ENGATE FLEXÍVEL 30CM EM PLÁSTICO E TORNEIRA CROMADA DE MESA, PADRÃO POPULAR - FORNECIMENTO E INSTALAÇÃO. AF_01/2020</v>
      </c>
      <c r="D304" s="111" t="str">
        <f ca="1">IF(OFFSET(PO!O$12,ROW(D304)-ROW(D$12),0)=0,"",OFFSET(PO!O$12,ROW(D304)-ROW(D$12),0))</f>
        <v>UN</v>
      </c>
      <c r="E304" s="140">
        <f ca="1">IF($A304&lt;&gt;"Serviço",0,ROUND(SUMIF($F$9:$P$9,"&lt;&gt;",$F304:$P304),15-13*PO!$X$3))</f>
        <v>5</v>
      </c>
      <c r="F304" s="364">
        <f ca="1">OFFSET(PO!$P$12,ROW($E304)-ROW(F$12),0)</f>
        <v>5</v>
      </c>
      <c r="G304" s="364"/>
      <c r="H304" s="364"/>
      <c r="I304" s="364"/>
      <c r="J304" s="364"/>
      <c r="K304" s="364"/>
      <c r="L304" s="364"/>
      <c r="M304" s="364"/>
      <c r="N304" s="364"/>
      <c r="O304" s="364"/>
      <c r="U304" s="182"/>
    </row>
    <row r="305" spans="1:21" s="1" customFormat="1" ht="25.5" x14ac:dyDescent="0.2">
      <c r="A305" s="110" t="str">
        <f ca="1">OFFSET(PO!J$12,ROW(A305)-ROW($A$12),0)</f>
        <v>Serviço</v>
      </c>
      <c r="B305" s="112" t="str">
        <f ca="1">IF($A305=0,"",OFFSET(PO!K$12,ROW(B305)-ROW(B$12),0))</f>
        <v>1.10.3.0.6.</v>
      </c>
      <c r="C305" s="109" t="str">
        <f ca="1">IF(OFFSET(PO!N$12,ROW(C305)-ROW(C$12),0)=0,"",OFFSET(PO!N$12,ROW(C305)-ROW(C$12),0))</f>
        <v>CHUVEIRO ELÉTRICO COMUM CORPO PLÁSTICO, TIPO DUCHA - FORNECIMENTO E INSTALAÇÃO. AF_01/2020</v>
      </c>
      <c r="D305" s="111" t="str">
        <f ca="1">IF(OFFSET(PO!O$12,ROW(D305)-ROW(D$12),0)=0,"",OFFSET(PO!O$12,ROW(D305)-ROW(D$12),0))</f>
        <v>UN</v>
      </c>
      <c r="E305" s="140">
        <f ca="1">IF($A305&lt;&gt;"Serviço",0,ROUND(SUMIF($F$9:$P$9,"&lt;&gt;",$F305:$P305),15-13*PO!$X$3))</f>
        <v>1</v>
      </c>
      <c r="F305" s="364">
        <f ca="1">OFFSET(PO!$P$12,ROW($E305)-ROW(F$12),0)</f>
        <v>1</v>
      </c>
      <c r="G305" s="364"/>
      <c r="H305" s="364"/>
      <c r="I305" s="364"/>
      <c r="J305" s="364"/>
      <c r="K305" s="364"/>
      <c r="L305" s="364"/>
      <c r="M305" s="364"/>
      <c r="N305" s="364"/>
      <c r="O305" s="364"/>
      <c r="U305" s="182"/>
    </row>
    <row r="306" spans="1:21" s="1" customFormat="1" ht="51" x14ac:dyDescent="0.2">
      <c r="A306" s="110" t="str">
        <f ca="1">OFFSET(PO!J$12,ROW(A306)-ROW($A$12),0)</f>
        <v>Serviço</v>
      </c>
      <c r="B306" s="112" t="str">
        <f ca="1">IF($A306=0,"",OFFSET(PO!K$12,ROW(B306)-ROW(B$12),0))</f>
        <v>1.10.3.0.7.</v>
      </c>
      <c r="C306" s="109" t="str">
        <f ca="1">IF(OFFSET(PO!N$12,ROW(C306)-ROW(C$12),0)=0,"",OFFSET(PO!N$12,ROW(C306)-ROW(C$12),0))</f>
        <v>TANQUE DE LOUÇA BRANCA COM COLUNA, 30L OU EQUIVALENTE, INCLUSO SIFÃO FLEXÍVEL EM PVC, VÁLVULA METÁLICA E TORNEIRA DE METAL CROMADO PADRÃO MÉDIO - FORNECIMENTO E INSTALAÇÃO. AF_01/2020</v>
      </c>
      <c r="D306" s="111" t="str">
        <f ca="1">IF(OFFSET(PO!O$12,ROW(D306)-ROW(D$12),0)=0,"",OFFSET(PO!O$12,ROW(D306)-ROW(D$12),0))</f>
        <v>UN</v>
      </c>
      <c r="E306" s="140">
        <f ca="1">IF($A306&lt;&gt;"Serviço",0,ROUND(SUMIF($F$9:$P$9,"&lt;&gt;",$F306:$P306),15-13*PO!$X$3))</f>
        <v>2</v>
      </c>
      <c r="F306" s="364">
        <f ca="1">OFFSET(PO!$P$12,ROW($E306)-ROW(F$12),0)</f>
        <v>2</v>
      </c>
      <c r="G306" s="364"/>
      <c r="H306" s="364"/>
      <c r="I306" s="364"/>
      <c r="J306" s="364"/>
      <c r="K306" s="364"/>
      <c r="L306" s="364"/>
      <c r="M306" s="364"/>
      <c r="N306" s="364"/>
      <c r="O306" s="364"/>
      <c r="U306" s="182"/>
    </row>
    <row r="307" spans="1:21" s="1" customFormat="1" ht="38.25" x14ac:dyDescent="0.2">
      <c r="A307" s="110" t="str">
        <f ca="1">OFFSET(PO!J$12,ROW(A307)-ROW($A$12),0)</f>
        <v>Serviço</v>
      </c>
      <c r="B307" s="112" t="str">
        <f ca="1">IF($A307=0,"",OFFSET(PO!K$12,ROW(B307)-ROW(B$12),0))</f>
        <v>1.10.3.0.8.</v>
      </c>
      <c r="C307" s="109" t="str">
        <f ca="1">IF(OFFSET(PO!N$12,ROW(C307)-ROW(C$12),0)=0,"",OFFSET(PO!N$12,ROW(C307)-ROW(C$12),0))</f>
        <v>TORNEIRA ELÉTRICA DE PAREDE, PLÁSTICA, BICA ALTA, PARA COZINHA, 5500W (110/220V) - FORNECIMENTO E INSTALAÇÃO (BASE REF. 100860)</v>
      </c>
      <c r="D307" s="111" t="str">
        <f ca="1">IF(OFFSET(PO!O$12,ROW(D307)-ROW(D$12),0)=0,"",OFFSET(PO!O$12,ROW(D307)-ROW(D$12),0))</f>
        <v>UN</v>
      </c>
      <c r="E307" s="140">
        <f ca="1">IF($A307&lt;&gt;"Serviço",0,ROUND(SUMIF($F$9:$P$9,"&lt;&gt;",$F307:$P307),15-13*PO!$X$3))</f>
        <v>1</v>
      </c>
      <c r="F307" s="364">
        <f ca="1">OFFSET(PO!$P$12,ROW($E307)-ROW(F$12),0)</f>
        <v>1</v>
      </c>
      <c r="G307" s="364"/>
      <c r="H307" s="364"/>
      <c r="I307" s="364"/>
      <c r="J307" s="364"/>
      <c r="K307" s="364"/>
      <c r="L307" s="364"/>
      <c r="M307" s="364"/>
      <c r="N307" s="364"/>
      <c r="O307" s="364"/>
      <c r="U307" s="182"/>
    </row>
    <row r="308" spans="1:21" s="1" customFormat="1" ht="38.25" x14ac:dyDescent="0.2">
      <c r="A308" s="110" t="str">
        <f ca="1">OFFSET(PO!J$12,ROW(A308)-ROW($A$12),0)</f>
        <v>Serviço</v>
      </c>
      <c r="B308" s="112" t="str">
        <f ca="1">IF($A308=0,"",OFFSET(PO!K$12,ROW(B308)-ROW(B$12),0))</f>
        <v>1.10.3.0.9.</v>
      </c>
      <c r="C308" s="109" t="str">
        <f ca="1">IF(OFFSET(PO!N$12,ROW(C308)-ROW(C$12),0)=0,"",OFFSET(PO!N$12,ROW(C308)-ROW(C$12),0))</f>
        <v>BARRA DE APOIO RETA, EM ACO INOX POLIDO, COMPRIMENTO 80 CM, FIXADA NA PAREDE - FORNECIMENTO E INSTALAÇÃO. AF_01/2020</v>
      </c>
      <c r="D308" s="111" t="str">
        <f ca="1">IF(OFFSET(PO!O$12,ROW(D308)-ROW(D$12),0)=0,"",OFFSET(PO!O$12,ROW(D308)-ROW(D$12),0))</f>
        <v>UN</v>
      </c>
      <c r="E308" s="140">
        <f ca="1">IF($A308&lt;&gt;"Serviço",0,ROUND(SUMIF($F$9:$P$9,"&lt;&gt;",$F308:$P308),15-13*PO!$X$3))</f>
        <v>6</v>
      </c>
      <c r="F308" s="364">
        <f ca="1">OFFSET(PO!$P$12,ROW($E308)-ROW(F$12),0)</f>
        <v>6</v>
      </c>
      <c r="G308" s="364"/>
      <c r="H308" s="364"/>
      <c r="I308" s="364"/>
      <c r="J308" s="364"/>
      <c r="K308" s="364"/>
      <c r="L308" s="364"/>
      <c r="M308" s="364"/>
      <c r="N308" s="364"/>
      <c r="O308" s="364"/>
      <c r="U308" s="182"/>
    </row>
    <row r="309" spans="1:21" s="1" customFormat="1" ht="38.25" x14ac:dyDescent="0.2">
      <c r="A309" s="110" t="str">
        <f ca="1">OFFSET(PO!J$12,ROW(A309)-ROW($A$12),0)</f>
        <v>Serviço</v>
      </c>
      <c r="B309" s="112" t="str">
        <f ca="1">IF($A309=0,"",OFFSET(PO!K$12,ROW(B309)-ROW(B$12),0))</f>
        <v>1.10.3.0.10.</v>
      </c>
      <c r="C309" s="109" t="str">
        <f ca="1">IF(OFFSET(PO!N$12,ROW(C309)-ROW(C$12),0)=0,"",OFFSET(PO!N$12,ROW(C309)-ROW(C$12),0))</f>
        <v>BARRA DE APOIO RETA, EM ACO INOX POLIDO, COMPRIMENTO 60CM, FIXADA NA PAREDE - FORNECIMENTO E INSTALAÇÃO. AF_01/2020</v>
      </c>
      <c r="D309" s="111" t="str">
        <f ca="1">IF(OFFSET(PO!O$12,ROW(D309)-ROW(D$12),0)=0,"",OFFSET(PO!O$12,ROW(D309)-ROW(D$12),0))</f>
        <v>UN</v>
      </c>
      <c r="E309" s="140">
        <f ca="1">IF($A309&lt;&gt;"Serviço",0,ROUND(SUMIF($F$9:$P$9,"&lt;&gt;",$F309:$P309),15-13*PO!$X$3))</f>
        <v>4</v>
      </c>
      <c r="F309" s="364">
        <f ca="1">OFFSET(PO!$P$12,ROW($E309)-ROW(F$12),0)</f>
        <v>4</v>
      </c>
      <c r="G309" s="364"/>
      <c r="H309" s="364"/>
      <c r="I309" s="364"/>
      <c r="J309" s="364"/>
      <c r="K309" s="364"/>
      <c r="L309" s="364"/>
      <c r="M309" s="364"/>
      <c r="N309" s="364"/>
      <c r="O309" s="364"/>
      <c r="U309" s="182"/>
    </row>
    <row r="310" spans="1:21" s="1" customFormat="1" ht="38.25" x14ac:dyDescent="0.2">
      <c r="A310" s="110" t="str">
        <f ca="1">OFFSET(PO!J$12,ROW(A310)-ROW($A$12),0)</f>
        <v>Serviço</v>
      </c>
      <c r="B310" s="112" t="str">
        <f ca="1">IF($A310=0,"",OFFSET(PO!K$12,ROW(B310)-ROW(B$12),0))</f>
        <v>1.10.3.0.11.</v>
      </c>
      <c r="C310" s="109" t="str">
        <f ca="1">IF(OFFSET(PO!N$12,ROW(C310)-ROW(C$12),0)=0,"",OFFSET(PO!N$12,ROW(C310)-ROW(C$12),0))</f>
        <v>DIVISÓRIA EM VIDRO TEMPERADO 10 MM COM PORTA DE CORRER, INCLUSIVE FERRAGENS - FORNECIMENTO E INSTALAÇÃO (BASE REF. 102236)</v>
      </c>
      <c r="D310" s="111" t="str">
        <f ca="1">IF(OFFSET(PO!O$12,ROW(D310)-ROW(D$12),0)=0,"",OFFSET(PO!O$12,ROW(D310)-ROW(D$12),0))</f>
        <v>M2</v>
      </c>
      <c r="E310" s="140">
        <f ca="1">IF($A310&lt;&gt;"Serviço",0,ROUND(SUMIF($F$9:$P$9,"&lt;&gt;",$F310:$P310),15-13*PO!$X$3))</f>
        <v>3.23</v>
      </c>
      <c r="F310" s="364">
        <f ca="1">OFFSET(PO!$P$12,ROW($E310)-ROW(F$12),0)</f>
        <v>3.23</v>
      </c>
      <c r="G310" s="364"/>
      <c r="H310" s="364"/>
      <c r="I310" s="364"/>
      <c r="J310" s="364"/>
      <c r="K310" s="364"/>
      <c r="L310" s="364"/>
      <c r="M310" s="364"/>
      <c r="N310" s="364"/>
      <c r="O310" s="364"/>
      <c r="U310" s="182"/>
    </row>
    <row r="311" spans="1:21" s="1" customFormat="1" ht="38.25" x14ac:dyDescent="0.2">
      <c r="A311" s="110" t="str">
        <f ca="1">OFFSET(PO!J$12,ROW(A311)-ROW($A$12),0)</f>
        <v>Serviço</v>
      </c>
      <c r="B311" s="112" t="str">
        <f ca="1">IF($A311=0,"",OFFSET(PO!K$12,ROW(B311)-ROW(B$12),0))</f>
        <v>1.10.3.0.12.</v>
      </c>
      <c r="C311" s="109" t="str">
        <f ca="1">IF(OFFSET(PO!N$12,ROW(C311)-ROW(C$12),0)=0,"",OFFSET(PO!N$12,ROW(C311)-ROW(C$12),0))</f>
        <v>VÁLVULA DE DESCARGA METÁLICA, BASE 1 1/2", ACABAMENTO METALICO CROMADO - FORNECIMENTO E INSTALAÇÃO. AF_08/2021</v>
      </c>
      <c r="D311" s="111" t="str">
        <f ca="1">IF(OFFSET(PO!O$12,ROW(D311)-ROW(D$12),0)=0,"",OFFSET(PO!O$12,ROW(D311)-ROW(D$12),0))</f>
        <v>UN</v>
      </c>
      <c r="E311" s="140">
        <f ca="1">IF($A311&lt;&gt;"Serviço",0,ROUND(SUMIF($F$9:$P$9,"&lt;&gt;",$F311:$P311),15-13*PO!$X$3))</f>
        <v>2</v>
      </c>
      <c r="F311" s="364">
        <f ca="1">OFFSET(PO!$P$12,ROW($E311)-ROW(F$12),0)</f>
        <v>2</v>
      </c>
      <c r="G311" s="364"/>
      <c r="H311" s="364"/>
      <c r="I311" s="364"/>
      <c r="J311" s="364"/>
      <c r="K311" s="364"/>
      <c r="L311" s="364"/>
      <c r="M311" s="364"/>
      <c r="N311" s="364"/>
      <c r="O311" s="364"/>
      <c r="U311" s="182"/>
    </row>
    <row r="312" spans="1:21" s="1" customFormat="1" ht="38.25" x14ac:dyDescent="0.2">
      <c r="A312" s="110" t="str">
        <f ca="1">OFFSET(PO!J$12,ROW(A312)-ROW($A$12),0)</f>
        <v>Serviço</v>
      </c>
      <c r="B312" s="112" t="str">
        <f ca="1">IF($A312=0,"",OFFSET(PO!K$12,ROW(B312)-ROW(B$12),0))</f>
        <v>1.10.3.0.13.</v>
      </c>
      <c r="C312" s="109" t="str">
        <f ca="1">IF(OFFSET(PO!N$12,ROW(C312)-ROW(C$12),0)=0,"",OFFSET(PO!N$12,ROW(C312)-ROW(C$12),0))</f>
        <v>SABONETEIRA PLASTICA TIPO DISPENSER PARA SABONETE LIQUIDO COM RESERVATORIO 800 A 1500 ML, INCLUSO FIXAÇÃO. AF_01/2020</v>
      </c>
      <c r="D312" s="111" t="str">
        <f ca="1">IF(OFFSET(PO!O$12,ROW(D312)-ROW(D$12),0)=0,"",OFFSET(PO!O$12,ROW(D312)-ROW(D$12),0))</f>
        <v>UN</v>
      </c>
      <c r="E312" s="140">
        <f ca="1">IF($A312&lt;&gt;"Serviço",0,ROUND(SUMIF($F$9:$P$9,"&lt;&gt;",$F312:$P312),15-13*PO!$X$3))</f>
        <v>19</v>
      </c>
      <c r="F312" s="364">
        <f ca="1">OFFSET(PO!$P$12,ROW($E312)-ROW(F$12),0)</f>
        <v>19</v>
      </c>
      <c r="G312" s="364"/>
      <c r="H312" s="364"/>
      <c r="I312" s="364"/>
      <c r="J312" s="364"/>
      <c r="K312" s="364"/>
      <c r="L312" s="364"/>
      <c r="M312" s="364"/>
      <c r="N312" s="364"/>
      <c r="O312" s="364"/>
      <c r="U312" s="182"/>
    </row>
    <row r="313" spans="1:21" s="1" customFormat="1" ht="25.5" x14ac:dyDescent="0.2">
      <c r="A313" s="110" t="str">
        <f ca="1">OFFSET(PO!J$12,ROW(A313)-ROW($A$12),0)</f>
        <v>Serviço</v>
      </c>
      <c r="B313" s="112" t="str">
        <f ca="1">IF($A313=0,"",OFFSET(PO!K$12,ROW(B313)-ROW(B$12),0))</f>
        <v>1.10.3.0.14.</v>
      </c>
      <c r="C313" s="109" t="str">
        <f ca="1">IF(OFFSET(PO!N$12,ROW(C313)-ROW(C$12),0)=0,"",OFFSET(PO!N$12,ROW(C313)-ROW(C$12),0))</f>
        <v>PORTA TOALHA BANHO EM METAL CROMADO, TIPO BARRA, INCLUSO FIXAÇÃO. AF_01/2020</v>
      </c>
      <c r="D313" s="111" t="str">
        <f ca="1">IF(OFFSET(PO!O$12,ROW(D313)-ROW(D$12),0)=0,"",OFFSET(PO!O$12,ROW(D313)-ROW(D$12),0))</f>
        <v>UN</v>
      </c>
      <c r="E313" s="140">
        <f ca="1">IF($A313&lt;&gt;"Serviço",0,ROUND(SUMIF($F$9:$P$9,"&lt;&gt;",$F313:$P313),15-13*PO!$X$3))</f>
        <v>2</v>
      </c>
      <c r="F313" s="364">
        <f ca="1">OFFSET(PO!$P$12,ROW($E313)-ROW(F$12),0)</f>
        <v>2</v>
      </c>
      <c r="G313" s="364"/>
      <c r="H313" s="364"/>
      <c r="I313" s="364"/>
      <c r="J313" s="364"/>
      <c r="K313" s="364"/>
      <c r="L313" s="364"/>
      <c r="M313" s="364"/>
      <c r="N313" s="364"/>
      <c r="O313" s="364"/>
      <c r="U313" s="182"/>
    </row>
    <row r="314" spans="1:21" s="1" customFormat="1" ht="25.5" x14ac:dyDescent="0.2">
      <c r="A314" s="110" t="str">
        <f ca="1">OFFSET(PO!J$12,ROW(A314)-ROW($A$12),0)</f>
        <v>Serviço</v>
      </c>
      <c r="B314" s="112" t="str">
        <f ca="1">IF($A314=0,"",OFFSET(PO!K$12,ROW(B314)-ROW(B$12),0))</f>
        <v>1.10.3.0.15.</v>
      </c>
      <c r="C314" s="109" t="str">
        <f ca="1">IF(OFFSET(PO!N$12,ROW(C314)-ROW(C$12),0)=0,"",OFFSET(PO!N$12,ROW(C314)-ROW(C$12),0))</f>
        <v>PAPELEIRA PLASTICA TIPO DISPENSER PARA PAPEL HIGIENICO ROLAO, INCLUSO FIXAÇÃO (BASE REF. 95547)</v>
      </c>
      <c r="D314" s="111" t="str">
        <f ca="1">IF(OFFSET(PO!O$12,ROW(D314)-ROW(D$12),0)=0,"",OFFSET(PO!O$12,ROW(D314)-ROW(D$12),0))</f>
        <v>UN</v>
      </c>
      <c r="E314" s="140">
        <f ca="1">IF($A314&lt;&gt;"Serviço",0,ROUND(SUMIF($F$9:$P$9,"&lt;&gt;",$F314:$P314),15-13*PO!$X$3))</f>
        <v>8</v>
      </c>
      <c r="F314" s="364">
        <f ca="1">OFFSET(PO!$P$12,ROW($E314)-ROW(F$12),0)</f>
        <v>8</v>
      </c>
      <c r="G314" s="364"/>
      <c r="H314" s="364"/>
      <c r="I314" s="364"/>
      <c r="J314" s="364"/>
      <c r="K314" s="364"/>
      <c r="L314" s="364"/>
      <c r="M314" s="364"/>
      <c r="N314" s="364"/>
      <c r="O314" s="364"/>
      <c r="U314" s="182"/>
    </row>
    <row r="315" spans="1:21" s="1" customFormat="1" ht="25.5" x14ac:dyDescent="0.2">
      <c r="A315" s="110" t="str">
        <f ca="1">OFFSET(PO!J$12,ROW(A315)-ROW($A$12),0)</f>
        <v>Serviço</v>
      </c>
      <c r="B315" s="112" t="str">
        <f ca="1">IF($A315=0,"",OFFSET(PO!K$12,ROW(B315)-ROW(B$12),0))</f>
        <v>1.10.3.0.16.</v>
      </c>
      <c r="C315" s="109" t="str">
        <f ca="1">IF(OFFSET(PO!N$12,ROW(C315)-ROW(C$12),0)=0,"",OFFSET(PO!N$12,ROW(C315)-ROW(C$12),0))</f>
        <v>TOALHEIRO PLASTICO TIPO DISPENSER PARA PAPEL TOALHA INTERFOLHADO, INCLUSO FIXAÇÃO (BASE REF. 95547)</v>
      </c>
      <c r="D315" s="111" t="str">
        <f ca="1">IF(OFFSET(PO!O$12,ROW(D315)-ROW(D$12),0)=0,"",OFFSET(PO!O$12,ROW(D315)-ROW(D$12),0))</f>
        <v>UN</v>
      </c>
      <c r="E315" s="140">
        <f ca="1">IF($A315&lt;&gt;"Serviço",0,ROUND(SUMIF($F$9:$P$9,"&lt;&gt;",$F315:$P315),15-13*PO!$X$3))</f>
        <v>19</v>
      </c>
      <c r="F315" s="364">
        <f ca="1">OFFSET(PO!$P$12,ROW($E315)-ROW(F$12),0)</f>
        <v>19</v>
      </c>
      <c r="G315" s="364"/>
      <c r="H315" s="364"/>
      <c r="I315" s="364"/>
      <c r="J315" s="364"/>
      <c r="K315" s="364"/>
      <c r="L315" s="364"/>
      <c r="M315" s="364"/>
      <c r="N315" s="364"/>
      <c r="O315" s="364"/>
      <c r="U315" s="182"/>
    </row>
    <row r="316" spans="1:21" s="1" customFormat="1" ht="25.5" x14ac:dyDescent="0.2">
      <c r="A316" s="110" t="str">
        <f ca="1">OFFSET(PO!J$12,ROW(A316)-ROW($A$12),0)</f>
        <v>Serviço</v>
      </c>
      <c r="B316" s="112" t="str">
        <f ca="1">IF($A316=0,"",OFFSET(PO!K$12,ROW(B316)-ROW(B$12),0))</f>
        <v>1.10.3.0.17.</v>
      </c>
      <c r="C316" s="109" t="str">
        <f ca="1">IF(OFFSET(PO!N$12,ROW(C316)-ROW(C$12),0)=0,"",OFFSET(PO!N$12,ROW(C316)-ROW(C$12),0))</f>
        <v>DISPENSER PLÁSTICO PARA ÁLCOOL, INCLUSO FIXAÇÃO (BASE REF. 95547)</v>
      </c>
      <c r="D316" s="111" t="str">
        <f ca="1">IF(OFFSET(PO!O$12,ROW(D316)-ROW(D$12),0)=0,"",OFFSET(PO!O$12,ROW(D316)-ROW(D$12),0))</f>
        <v>UN</v>
      </c>
      <c r="E316" s="140">
        <f ca="1">IF($A316&lt;&gt;"Serviço",0,ROUND(SUMIF($F$9:$P$9,"&lt;&gt;",$F316:$P316),15-13*PO!$X$3))</f>
        <v>23</v>
      </c>
      <c r="F316" s="364">
        <f ca="1">OFFSET(PO!$P$12,ROW($E316)-ROW(F$12),0)</f>
        <v>23</v>
      </c>
      <c r="G316" s="364"/>
      <c r="H316" s="364"/>
      <c r="I316" s="364"/>
      <c r="J316" s="364"/>
      <c r="K316" s="364"/>
      <c r="L316" s="364"/>
      <c r="M316" s="364"/>
      <c r="N316" s="364"/>
      <c r="O316" s="364"/>
      <c r="U316" s="182"/>
    </row>
    <row r="317" spans="1:21" s="1" customFormat="1" ht="25.5" x14ac:dyDescent="0.2">
      <c r="A317" s="110" t="str">
        <f ca="1">OFFSET(PO!J$12,ROW(A317)-ROW($A$12),0)</f>
        <v>Serviço</v>
      </c>
      <c r="B317" s="112" t="str">
        <f ca="1">IF($A317=0,"",OFFSET(PO!K$12,ROW(B317)-ROW(B$12),0))</f>
        <v>1.10.3.0.18.</v>
      </c>
      <c r="C317" s="109" t="str">
        <f ca="1">IF(OFFSET(PO!N$12,ROW(C317)-ROW(C$12),0)=0,"",OFFSET(PO!N$12,ROW(C317)-ROW(C$12),0))</f>
        <v>SABONETEIRA DE PAREDE EM METAL CROMADO, INCLUSO FIXAÇÃO. AF_01/2020</v>
      </c>
      <c r="D317" s="111" t="str">
        <f ca="1">IF(OFFSET(PO!O$12,ROW(D317)-ROW(D$12),0)=0,"",OFFSET(PO!O$12,ROW(D317)-ROW(D$12),0))</f>
        <v>UN</v>
      </c>
      <c r="E317" s="140">
        <f ca="1">IF($A317&lt;&gt;"Serviço",0,ROUND(SUMIF($F$9:$P$9,"&lt;&gt;",$F317:$P317),15-13*PO!$X$3))</f>
        <v>1</v>
      </c>
      <c r="F317" s="364">
        <f ca="1">OFFSET(PO!$P$12,ROW($E317)-ROW(F$12),0)</f>
        <v>1</v>
      </c>
      <c r="G317" s="364"/>
      <c r="H317" s="364"/>
      <c r="I317" s="364"/>
      <c r="J317" s="364"/>
      <c r="K317" s="364"/>
      <c r="L317" s="364"/>
      <c r="M317" s="364"/>
      <c r="N317" s="364"/>
      <c r="O317" s="364"/>
      <c r="U317" s="182"/>
    </row>
    <row r="318" spans="1:21" s="1" customFormat="1" ht="25.5" x14ac:dyDescent="0.2">
      <c r="A318" s="110" t="str">
        <f ca="1">OFFSET(PO!J$12,ROW(A318)-ROW($A$12),0)</f>
        <v>Serviço</v>
      </c>
      <c r="B318" s="112" t="str">
        <f ca="1">IF($A318=0,"",OFFSET(PO!K$12,ROW(B318)-ROW(B$12),0))</f>
        <v>1.10.3.0.19.</v>
      </c>
      <c r="C318" s="109" t="str">
        <f ca="1">IF(OFFSET(PO!N$12,ROW(C318)-ROW(C$12),0)=0,"",OFFSET(PO!N$12,ROW(C318)-ROW(C$12),0))</f>
        <v>ESPELHO CRISTAL, ESPESSURA 4 MM, SEM MOLDURA, ADERIDO COM ADESIVO FIXA-ESPELHO (BASE REF. 102147)</v>
      </c>
      <c r="D318" s="111" t="str">
        <f ca="1">IF(OFFSET(PO!O$12,ROW(D318)-ROW(D$12),0)=0,"",OFFSET(PO!O$12,ROW(D318)-ROW(D$12),0))</f>
        <v>M2</v>
      </c>
      <c r="E318" s="140">
        <f ca="1">IF($A318&lt;&gt;"Serviço",0,ROUND(SUMIF($F$9:$P$9,"&lt;&gt;",$F318:$P318),15-13*PO!$X$3))</f>
        <v>2.16</v>
      </c>
      <c r="F318" s="364">
        <f ca="1">OFFSET(PO!$P$12,ROW($E318)-ROW(F$12),0)</f>
        <v>2.16</v>
      </c>
      <c r="G318" s="364"/>
      <c r="H318" s="364"/>
      <c r="I318" s="364"/>
      <c r="J318" s="364"/>
      <c r="K318" s="364"/>
      <c r="L318" s="364"/>
      <c r="M318" s="364"/>
      <c r="N318" s="364"/>
      <c r="O318" s="364"/>
      <c r="U318" s="182"/>
    </row>
    <row r="319" spans="1:21" s="1" customFormat="1" ht="38.25" x14ac:dyDescent="0.2">
      <c r="A319" s="110" t="str">
        <f ca="1">OFFSET(PO!J$12,ROW(A319)-ROW($A$12),0)</f>
        <v>Serviço</v>
      </c>
      <c r="B319" s="112" t="str">
        <f ca="1">IF($A319=0,"",OFFSET(PO!K$12,ROW(B319)-ROW(B$12),0))</f>
        <v>1.10.3.0.20.</v>
      </c>
      <c r="C319" s="109" t="str">
        <f ca="1">IF(OFFSET(PO!N$12,ROW(C319)-ROW(C$12),0)=0,"",OFFSET(PO!N$12,ROW(C319)-ROW(C$12),0))</f>
        <v>REGISTRO DE GAVETA BRUTO, LATÃO, ROSCÁVEL, 1 1/2", COM ACABAMENTO E CANOPLA CROMADOS - FORNECIMENTO E INSTALAÇÃO. AF_08/2021</v>
      </c>
      <c r="D319" s="111" t="str">
        <f ca="1">IF(OFFSET(PO!O$12,ROW(D319)-ROW(D$12),0)=0,"",OFFSET(PO!O$12,ROW(D319)-ROW(D$12),0))</f>
        <v>UN</v>
      </c>
      <c r="E319" s="140">
        <f ca="1">IF($A319&lt;&gt;"Serviço",0,ROUND(SUMIF($F$9:$P$9,"&lt;&gt;",$F319:$P319),15-13*PO!$X$3))</f>
        <v>4</v>
      </c>
      <c r="F319" s="364">
        <f ca="1">OFFSET(PO!$P$12,ROW($E319)-ROW(F$12),0)</f>
        <v>4</v>
      </c>
      <c r="G319" s="364"/>
      <c r="H319" s="364"/>
      <c r="I319" s="364"/>
      <c r="J319" s="364"/>
      <c r="K319" s="364"/>
      <c r="L319" s="364"/>
      <c r="M319" s="364"/>
      <c r="N319" s="364"/>
      <c r="O319" s="364"/>
      <c r="U319" s="182"/>
    </row>
    <row r="320" spans="1:21" s="1" customFormat="1" ht="38.25" x14ac:dyDescent="0.2">
      <c r="A320" s="110" t="str">
        <f ca="1">OFFSET(PO!J$12,ROW(A320)-ROW($A$12),0)</f>
        <v>Serviço</v>
      </c>
      <c r="B320" s="112" t="str">
        <f ca="1">IF($A320=0,"",OFFSET(PO!K$12,ROW(B320)-ROW(B$12),0))</f>
        <v>1.10.3.0.21.</v>
      </c>
      <c r="C320" s="109" t="str">
        <f ca="1">IF(OFFSET(PO!N$12,ROW(C320)-ROW(C$12),0)=0,"",OFFSET(PO!N$12,ROW(C320)-ROW(C$12),0))</f>
        <v>REGISTRO DE GAVETA BRUTO, LATÃO, ROSCÁVEL, 3/4", COM ACABAMENTO E CANOPLA CROMADOS - FORNECIMENTO E INSTALAÇÃO. AF_08/2021</v>
      </c>
      <c r="D320" s="111" t="str">
        <f ca="1">IF(OFFSET(PO!O$12,ROW(D320)-ROW(D$12),0)=0,"",OFFSET(PO!O$12,ROW(D320)-ROW(D$12),0))</f>
        <v>UN</v>
      </c>
      <c r="E320" s="140">
        <f ca="1">IF($A320&lt;&gt;"Serviço",0,ROUND(SUMIF($F$9:$P$9,"&lt;&gt;",$F320:$P320),15-13*PO!$X$3))</f>
        <v>18</v>
      </c>
      <c r="F320" s="364">
        <f ca="1">OFFSET(PO!$P$12,ROW($E320)-ROW(F$12),0)</f>
        <v>18</v>
      </c>
      <c r="G320" s="364"/>
      <c r="H320" s="364"/>
      <c r="I320" s="364"/>
      <c r="J320" s="364"/>
      <c r="K320" s="364"/>
      <c r="L320" s="364"/>
      <c r="M320" s="364"/>
      <c r="N320" s="364"/>
      <c r="O320" s="364"/>
      <c r="U320" s="182"/>
    </row>
    <row r="321" spans="1:21" s="1" customFormat="1" ht="38.25" x14ac:dyDescent="0.2">
      <c r="A321" s="110" t="str">
        <f ca="1">OFFSET(PO!J$12,ROW(A321)-ROW($A$12),0)</f>
        <v>Serviço</v>
      </c>
      <c r="B321" s="112" t="str">
        <f ca="1">IF($A321=0,"",OFFSET(PO!K$12,ROW(B321)-ROW(B$12),0))</f>
        <v>1.10.3.0.22.</v>
      </c>
      <c r="C321" s="109" t="str">
        <f ca="1">IF(OFFSET(PO!N$12,ROW(C321)-ROW(C$12),0)=0,"",OFFSET(PO!N$12,ROW(C321)-ROW(C$12),0))</f>
        <v>REGISTRO DE PRESSÃO BRUTO, LATÃO, ROSCÁVEL, 3/4", COM ACABAMENTO E CANOPLA CROMADOS - FORNECIMENTO E INSTALAÇÃO. AF_08/2021</v>
      </c>
      <c r="D321" s="111" t="str">
        <f ca="1">IF(OFFSET(PO!O$12,ROW(D321)-ROW(D$12),0)=0,"",OFFSET(PO!O$12,ROW(D321)-ROW(D$12),0))</f>
        <v>UN</v>
      </c>
      <c r="E321" s="140">
        <f ca="1">IF($A321&lt;&gt;"Serviço",0,ROUND(SUMIF($F$9:$P$9,"&lt;&gt;",$F321:$P321),15-13*PO!$X$3))</f>
        <v>1</v>
      </c>
      <c r="F321" s="364">
        <f ca="1">OFFSET(PO!$P$12,ROW($E321)-ROW(F$12),0)</f>
        <v>1</v>
      </c>
      <c r="G321" s="364"/>
      <c r="H321" s="364"/>
      <c r="I321" s="364"/>
      <c r="J321" s="364"/>
      <c r="K321" s="364"/>
      <c r="L321" s="364"/>
      <c r="M321" s="364"/>
      <c r="N321" s="364"/>
      <c r="O321" s="364"/>
      <c r="U321" s="182"/>
    </row>
    <row r="322" spans="1:21" s="1" customFormat="1" ht="25.5" x14ac:dyDescent="0.2">
      <c r="A322" s="110" t="str">
        <f ca="1">OFFSET(PO!J$12,ROW(A322)-ROW($A$12),0)</f>
        <v>Serviço</v>
      </c>
      <c r="B322" s="112" t="str">
        <f ca="1">IF($A322=0,"",OFFSET(PO!K$12,ROW(B322)-ROW(B$12),0))</f>
        <v>1.10.3.0.23.</v>
      </c>
      <c r="C322" s="109" t="str">
        <f ca="1">IF(OFFSET(PO!N$12,ROW(C322)-ROW(C$12),0)=0,"",OFFSET(PO!N$12,ROW(C322)-ROW(C$12),0))</f>
        <v>ACABAMENTO PARA RALO, TAMPA INOX, ESCAMOTEÁVEL</v>
      </c>
      <c r="D322" s="111" t="str">
        <f ca="1">IF(OFFSET(PO!O$12,ROW(D322)-ROW(D$12),0)=0,"",OFFSET(PO!O$12,ROW(D322)-ROW(D$12),0))</f>
        <v>UNIDADE</v>
      </c>
      <c r="E322" s="140">
        <f ca="1">IF($A322&lt;&gt;"Serviço",0,ROUND(SUMIF($F$9:$P$9,"&lt;&gt;",$F322:$P322),15-13*PO!$X$3))</f>
        <v>17</v>
      </c>
      <c r="F322" s="364">
        <f ca="1">OFFSET(PO!$P$12,ROW($E322)-ROW(F$12),0)</f>
        <v>17</v>
      </c>
      <c r="G322" s="364"/>
      <c r="H322" s="364"/>
      <c r="I322" s="364"/>
      <c r="J322" s="364"/>
      <c r="K322" s="364"/>
      <c r="L322" s="364"/>
      <c r="M322" s="364"/>
      <c r="N322" s="364"/>
      <c r="O322" s="364"/>
      <c r="U322" s="182"/>
    </row>
    <row r="323" spans="1:21" s="1" customFormat="1" ht="25.5" x14ac:dyDescent="0.2">
      <c r="A323" s="110" t="str">
        <f ca="1">OFFSET(PO!J$12,ROW(A323)-ROW($A$12),0)</f>
        <v>Serviço</v>
      </c>
      <c r="B323" s="112" t="str">
        <f ca="1">IF($A323=0,"",OFFSET(PO!K$12,ROW(B323)-ROW(B$12),0))</f>
        <v>1.10.3.0.24.</v>
      </c>
      <c r="C323" s="109" t="str">
        <f ca="1">IF(OFFSET(PO!N$12,ROW(C323)-ROW(C$12),0)=0,"",OFFSET(PO!N$12,ROW(C323)-ROW(C$12),0))</f>
        <v>DUCHA HIGIENICA PLASTICA COM REGISTRO METALICO - FORNECIMENTO E INSTALAÇÃO (BASE REF. 100860)</v>
      </c>
      <c r="D323" s="111" t="str">
        <f ca="1">IF(OFFSET(PO!O$12,ROW(D323)-ROW(D$12),0)=0,"",OFFSET(PO!O$12,ROW(D323)-ROW(D$12),0))</f>
        <v>UN</v>
      </c>
      <c r="E323" s="140">
        <f ca="1">IF($A323&lt;&gt;"Serviço",0,ROUND(SUMIF($F$9:$P$9,"&lt;&gt;",$F323:$P323),15-13*PO!$X$3))</f>
        <v>4</v>
      </c>
      <c r="F323" s="364">
        <f ca="1">OFFSET(PO!$P$12,ROW($E323)-ROW(F$12),0)</f>
        <v>4</v>
      </c>
      <c r="G323" s="364"/>
      <c r="H323" s="364"/>
      <c r="I323" s="364"/>
      <c r="J323" s="364"/>
      <c r="K323" s="364"/>
      <c r="L323" s="364"/>
      <c r="M323" s="364"/>
      <c r="N323" s="364"/>
      <c r="O323" s="364"/>
      <c r="U323" s="182"/>
    </row>
    <row r="324" spans="1:21" s="1" customFormat="1" x14ac:dyDescent="0.2">
      <c r="A324" s="110" t="str">
        <f ca="1">OFFSET(PO!J$12,ROW(A324)-ROW($A$12),0)</f>
        <v>Nível 2</v>
      </c>
      <c r="B324" s="112" t="str">
        <f ca="1">IF($A324=0,"",OFFSET(PO!K$12,ROW(B324)-ROW(B$12),0))</f>
        <v>1.11.</v>
      </c>
      <c r="C324" s="109" t="str">
        <f ca="1">IF(OFFSET(PO!N$12,ROW(C324)-ROW(C$12),0)=0,"",OFFSET(PO!N$12,ROW(C324)-ROW(C$12),0))</f>
        <v>INSTALAÇÕES ELÉTRICAS</v>
      </c>
      <c r="D324" s="111" t="str">
        <f ca="1">IF(OFFSET(PO!O$12,ROW(D324)-ROW(D$12),0)=0,"",OFFSET(PO!O$12,ROW(D324)-ROW(D$12),0))</f>
        <v/>
      </c>
      <c r="E324" s="140">
        <f ca="1">IF($A324&lt;&gt;"Serviço",0,ROUND(SUMIF($F$9:$P$9,"&lt;&gt;",$F324:$P324),15-13*PO!$X$3))</f>
        <v>0</v>
      </c>
      <c r="F324" s="364">
        <f ca="1">OFFSET(PO!$P$12,ROW($E324)-ROW(F$12),0)</f>
        <v>0</v>
      </c>
      <c r="G324" s="364"/>
      <c r="H324" s="364"/>
      <c r="I324" s="364"/>
      <c r="J324" s="364"/>
      <c r="K324" s="364"/>
      <c r="L324" s="364"/>
      <c r="M324" s="364"/>
      <c r="N324" s="364"/>
      <c r="O324" s="364"/>
      <c r="U324" s="182"/>
    </row>
    <row r="325" spans="1:21" s="1" customFormat="1" x14ac:dyDescent="0.2">
      <c r="A325" s="110" t="str">
        <f ca="1">OFFSET(PO!J$12,ROW(A325)-ROW($A$12),0)</f>
        <v>Nível 3</v>
      </c>
      <c r="B325" s="112" t="str">
        <f ca="1">IF($A325=0,"",OFFSET(PO!K$12,ROW(B325)-ROW(B$12),0))</f>
        <v>1.11.1.</v>
      </c>
      <c r="C325" s="109" t="str">
        <f ca="1">IF(OFFSET(PO!N$12,ROW(C325)-ROW(C$12),0)=0,"",OFFSET(PO!N$12,ROW(C325)-ROW(C$12),0))</f>
        <v>INSTALAÇÕES ELÉTRICAS</v>
      </c>
      <c r="D325" s="111" t="str">
        <f ca="1">IF(OFFSET(PO!O$12,ROW(D325)-ROW(D$12),0)=0,"",OFFSET(PO!O$12,ROW(D325)-ROW(D$12),0))</f>
        <v/>
      </c>
      <c r="E325" s="140">
        <f ca="1">IF($A325&lt;&gt;"Serviço",0,ROUND(SUMIF($F$9:$P$9,"&lt;&gt;",$F325:$P325),15-13*PO!$X$3))</f>
        <v>0</v>
      </c>
      <c r="F325" s="364">
        <f ca="1">OFFSET(PO!$P$12,ROW($E325)-ROW(F$12),0)</f>
        <v>0</v>
      </c>
      <c r="G325" s="364"/>
      <c r="H325" s="364"/>
      <c r="I325" s="364"/>
      <c r="J325" s="364"/>
      <c r="K325" s="364"/>
      <c r="L325" s="364"/>
      <c r="M325" s="364"/>
      <c r="N325" s="364"/>
      <c r="O325" s="364"/>
      <c r="U325" s="182"/>
    </row>
    <row r="326" spans="1:21" s="1" customFormat="1" ht="38.25" x14ac:dyDescent="0.2">
      <c r="A326" s="110" t="str">
        <f ca="1">OFFSET(PO!J$12,ROW(A326)-ROW($A$12),0)</f>
        <v>Serviço</v>
      </c>
      <c r="B326" s="112" t="str">
        <f ca="1">IF($A326=0,"",OFFSET(PO!K$12,ROW(B326)-ROW(B$12),0))</f>
        <v>1.11.1.0.1.</v>
      </c>
      <c r="C326" s="109" t="str">
        <f ca="1">IF(OFFSET(PO!N$12,ROW(C326)-ROW(C$12),0)=0,"",OFFSET(PO!N$12,ROW(C326)-ROW(C$12),0))</f>
        <v>CABO DE COBRE FLEXÍVEL ISOLADO, 1,5 MM², ANTI-CHAMA 450/750 V, PARA CIRCUITOS TERMINAIS - FORNECIMENTO E INSTALAÇÃO. AF_03/2023</v>
      </c>
      <c r="D326" s="111" t="str">
        <f ca="1">IF(OFFSET(PO!O$12,ROW(D326)-ROW(D$12),0)=0,"",OFFSET(PO!O$12,ROW(D326)-ROW(D$12),0))</f>
        <v>M</v>
      </c>
      <c r="E326" s="140">
        <f ca="1">IF($A326&lt;&gt;"Serviço",0,ROUND(SUMIF($F$9:$P$9,"&lt;&gt;",$F326:$P326),15-13*PO!$X$3))</f>
        <v>715</v>
      </c>
      <c r="F326" s="364">
        <f ca="1">OFFSET(PO!$P$12,ROW($E326)-ROW(F$12),0)</f>
        <v>715</v>
      </c>
      <c r="G326" s="364"/>
      <c r="H326" s="364"/>
      <c r="I326" s="364"/>
      <c r="J326" s="364"/>
      <c r="K326" s="364"/>
      <c r="L326" s="364"/>
      <c r="M326" s="364"/>
      <c r="N326" s="364"/>
      <c r="O326" s="364"/>
      <c r="U326" s="182"/>
    </row>
    <row r="327" spans="1:21" s="1" customFormat="1" ht="38.25" x14ac:dyDescent="0.2">
      <c r="A327" s="110" t="str">
        <f ca="1">OFFSET(PO!J$12,ROW(A327)-ROW($A$12),0)</f>
        <v>Serviço</v>
      </c>
      <c r="B327" s="112" t="str">
        <f ca="1">IF($A327=0,"",OFFSET(PO!K$12,ROW(B327)-ROW(B$12),0))</f>
        <v>1.11.1.0.2.</v>
      </c>
      <c r="C327" s="109" t="str">
        <f ca="1">IF(OFFSET(PO!N$12,ROW(C327)-ROW(C$12),0)=0,"",OFFSET(PO!N$12,ROW(C327)-ROW(C$12),0))</f>
        <v>CABO DE COBRE FLEXÍVEL ISOLADO, 2,5 MM², ANTI-CHAMA 450/750 V, PARA CIRCUITOS TERMINAIS - FORNECIMENTO E INSTALAÇÃO. AF_03/2023</v>
      </c>
      <c r="D327" s="111" t="str">
        <f ca="1">IF(OFFSET(PO!O$12,ROW(D327)-ROW(D$12),0)=0,"",OFFSET(PO!O$12,ROW(D327)-ROW(D$12),0))</f>
        <v>M</v>
      </c>
      <c r="E327" s="140">
        <f ca="1">IF($A327&lt;&gt;"Serviço",0,ROUND(SUMIF($F$9:$P$9,"&lt;&gt;",$F327:$P327),15-13*PO!$X$3))</f>
        <v>440</v>
      </c>
      <c r="F327" s="364">
        <f ca="1">OFFSET(PO!$P$12,ROW($E327)-ROW(F$12),0)</f>
        <v>440</v>
      </c>
      <c r="G327" s="364"/>
      <c r="H327" s="364"/>
      <c r="I327" s="364"/>
      <c r="J327" s="364"/>
      <c r="K327" s="364"/>
      <c r="L327" s="364"/>
      <c r="M327" s="364"/>
      <c r="N327" s="364"/>
      <c r="O327" s="364"/>
      <c r="U327" s="182"/>
    </row>
    <row r="328" spans="1:21" s="1" customFormat="1" ht="38.25" x14ac:dyDescent="0.2">
      <c r="A328" s="110" t="str">
        <f ca="1">OFFSET(PO!J$12,ROW(A328)-ROW($A$12),0)</f>
        <v>Serviço</v>
      </c>
      <c r="B328" s="112" t="str">
        <f ca="1">IF($A328=0,"",OFFSET(PO!K$12,ROW(B328)-ROW(B$12),0))</f>
        <v>1.11.1.0.3.</v>
      </c>
      <c r="C328" s="109" t="str">
        <f ca="1">IF(OFFSET(PO!N$12,ROW(C328)-ROW(C$12),0)=0,"",OFFSET(PO!N$12,ROW(C328)-ROW(C$12),0))</f>
        <v>CABO DE COBRE FLEXÍVEL ISOLADO, 6 MM², ANTI-CHAMA 450/750 V, PARA CIRCUITOS TERMINAIS - FORNECIMENTO E INSTALAÇÃO. AF_03/2023</v>
      </c>
      <c r="D328" s="111" t="str">
        <f ca="1">IF(OFFSET(PO!O$12,ROW(D328)-ROW(D$12),0)=0,"",OFFSET(PO!O$12,ROW(D328)-ROW(D$12),0))</f>
        <v>M</v>
      </c>
      <c r="E328" s="140">
        <f ca="1">IF($A328&lt;&gt;"Serviço",0,ROUND(SUMIF($F$9:$P$9,"&lt;&gt;",$F328:$P328),15-13*PO!$X$3))</f>
        <v>660</v>
      </c>
      <c r="F328" s="364">
        <f ca="1">OFFSET(PO!$P$12,ROW($E328)-ROW(F$12),0)</f>
        <v>660</v>
      </c>
      <c r="G328" s="364"/>
      <c r="H328" s="364"/>
      <c r="I328" s="364"/>
      <c r="J328" s="364"/>
      <c r="K328" s="364"/>
      <c r="L328" s="364"/>
      <c r="M328" s="364"/>
      <c r="N328" s="364"/>
      <c r="O328" s="364"/>
      <c r="U328" s="182"/>
    </row>
    <row r="329" spans="1:21" s="1" customFormat="1" ht="38.25" x14ac:dyDescent="0.2">
      <c r="A329" s="110" t="str">
        <f ca="1">OFFSET(PO!J$12,ROW(A329)-ROW($A$12),0)</f>
        <v>Serviço</v>
      </c>
      <c r="B329" s="112" t="str">
        <f ca="1">IF($A329=0,"",OFFSET(PO!K$12,ROW(B329)-ROW(B$12),0))</f>
        <v>1.11.1.0.4.</v>
      </c>
      <c r="C329" s="109" t="str">
        <f ca="1">IF(OFFSET(PO!N$12,ROW(C329)-ROW(C$12),0)=0,"",OFFSET(PO!N$12,ROW(C329)-ROW(C$12),0))</f>
        <v>CABO DE COBRE FLEXÍVEL ISOLADO, 10 MM², ANTI-CHAMA 450/750 V, PARA CIRCUITOS TERMINAIS - FORNECIMENTO E INSTALAÇÃO. AF_03/2023</v>
      </c>
      <c r="D329" s="111" t="str">
        <f ca="1">IF(OFFSET(PO!O$12,ROW(D329)-ROW(D$12),0)=0,"",OFFSET(PO!O$12,ROW(D329)-ROW(D$12),0))</f>
        <v>M</v>
      </c>
      <c r="E329" s="140">
        <f ca="1">IF($A329&lt;&gt;"Serviço",0,ROUND(SUMIF($F$9:$P$9,"&lt;&gt;",$F329:$P329),15-13*PO!$X$3))</f>
        <v>55</v>
      </c>
      <c r="F329" s="364">
        <f ca="1">OFFSET(PO!$P$12,ROW($E329)-ROW(F$12),0)</f>
        <v>55</v>
      </c>
      <c r="G329" s="364"/>
      <c r="H329" s="364"/>
      <c r="I329" s="364"/>
      <c r="J329" s="364"/>
      <c r="K329" s="364"/>
      <c r="L329" s="364"/>
      <c r="M329" s="364"/>
      <c r="N329" s="364"/>
      <c r="O329" s="364"/>
      <c r="U329" s="182"/>
    </row>
    <row r="330" spans="1:21" s="1" customFormat="1" ht="38.25" x14ac:dyDescent="0.2">
      <c r="A330" s="110" t="str">
        <f ca="1">OFFSET(PO!J$12,ROW(A330)-ROW($A$12),0)</f>
        <v>Serviço</v>
      </c>
      <c r="B330" s="112" t="str">
        <f ca="1">IF($A330=0,"",OFFSET(PO!K$12,ROW(B330)-ROW(B$12),0))</f>
        <v>1.11.1.0.5.</v>
      </c>
      <c r="C330" s="109" t="str">
        <f ca="1">IF(OFFSET(PO!N$12,ROW(C330)-ROW(C$12),0)=0,"",OFFSET(PO!N$12,ROW(C330)-ROW(C$12),0))</f>
        <v>CABO DE COBRE FLEXÍVEL ISOLADO, 16 MM², ANTI-CHAMA 450/750 V, PARA CIRCUITOS TERMINAIS - FORNECIMENTO E INSTALAÇÃO. AF_03/2023</v>
      </c>
      <c r="D330" s="111" t="str">
        <f ca="1">IF(OFFSET(PO!O$12,ROW(D330)-ROW(D$12),0)=0,"",OFFSET(PO!O$12,ROW(D330)-ROW(D$12),0))</f>
        <v>M</v>
      </c>
      <c r="E330" s="140">
        <f ca="1">IF($A330&lt;&gt;"Serviço",0,ROUND(SUMIF($F$9:$P$9,"&lt;&gt;",$F330:$P330),15-13*PO!$X$3))</f>
        <v>275</v>
      </c>
      <c r="F330" s="364">
        <f ca="1">OFFSET(PO!$P$12,ROW($E330)-ROW(F$12),0)</f>
        <v>275</v>
      </c>
      <c r="G330" s="364"/>
      <c r="H330" s="364"/>
      <c r="I330" s="364"/>
      <c r="J330" s="364"/>
      <c r="K330" s="364"/>
      <c r="L330" s="364"/>
      <c r="M330" s="364"/>
      <c r="N330" s="364"/>
      <c r="O330" s="364"/>
      <c r="U330" s="182"/>
    </row>
    <row r="331" spans="1:21" s="1" customFormat="1" ht="51" x14ac:dyDescent="0.2">
      <c r="A331" s="110" t="str">
        <f ca="1">OFFSET(PO!J$12,ROW(A331)-ROW($A$12),0)</f>
        <v>Serviço</v>
      </c>
      <c r="B331" s="112" t="str">
        <f ca="1">IF($A331=0,"",OFFSET(PO!K$12,ROW(B331)-ROW(B$12),0))</f>
        <v>1.11.1.0.6.</v>
      </c>
      <c r="C331" s="109" t="str">
        <f ca="1">IF(OFFSET(PO!N$12,ROW(C331)-ROW(C$12),0)=0,"",OFFSET(PO!N$12,ROW(C331)-ROW(C$12),0))</f>
        <v>CABO DE COBRE FLEXÍVEL ISOLADO, 35 MM², ANTI-CHAMA 0,6/1,0 KV, PARA REDE ENTERRADA DE DISTRIBUIÇÃO DE ENERGIA ELÉTRICA - FORNECIMENTO E INSTALAÇÃO. AF_12/2021</v>
      </c>
      <c r="D331" s="111" t="str">
        <f ca="1">IF(OFFSET(PO!O$12,ROW(D331)-ROW(D$12),0)=0,"",OFFSET(PO!O$12,ROW(D331)-ROW(D$12),0))</f>
        <v>M</v>
      </c>
      <c r="E331" s="140">
        <f ca="1">IF($A331&lt;&gt;"Serviço",0,ROUND(SUMIF($F$9:$P$9,"&lt;&gt;",$F331:$P331),15-13*PO!$X$3))</f>
        <v>385</v>
      </c>
      <c r="F331" s="364">
        <f ca="1">OFFSET(PO!$P$12,ROW($E331)-ROW(F$12),0)</f>
        <v>385</v>
      </c>
      <c r="G331" s="364"/>
      <c r="H331" s="364"/>
      <c r="I331" s="364"/>
      <c r="J331" s="364"/>
      <c r="K331" s="364"/>
      <c r="L331" s="364"/>
      <c r="M331" s="364"/>
      <c r="N331" s="364"/>
      <c r="O331" s="364"/>
      <c r="U331" s="182"/>
    </row>
    <row r="332" spans="1:21" s="1" customFormat="1" ht="38.25" x14ac:dyDescent="0.2">
      <c r="A332" s="110" t="str">
        <f ca="1">OFFSET(PO!J$12,ROW(A332)-ROW($A$12),0)</f>
        <v>Serviço</v>
      </c>
      <c r="B332" s="112" t="str">
        <f ca="1">IF($A332=0,"",OFFSET(PO!K$12,ROW(B332)-ROW(B$12),0))</f>
        <v>1.11.1.0.7.</v>
      </c>
      <c r="C332" s="109" t="str">
        <f ca="1">IF(OFFSET(PO!N$12,ROW(C332)-ROW(C$12),0)=0,"",OFFSET(PO!N$12,ROW(C332)-ROW(C$12),0))</f>
        <v>ELETRODUTO FLEXÍVEL CORRUGADO REFORÇADO, PVC, DN 25 MM (3/4"), PARA CIRCUITOS TERMINAIS, INSTALADO EM LAJE - FORNECIMENTO E INSTALAÇÃO. AF_03/2023</v>
      </c>
      <c r="D332" s="111" t="str">
        <f ca="1">IF(OFFSET(PO!O$12,ROW(D332)-ROW(D$12),0)=0,"",OFFSET(PO!O$12,ROW(D332)-ROW(D$12),0))</f>
        <v>M</v>
      </c>
      <c r="E332" s="140">
        <f ca="1">IF($A332&lt;&gt;"Serviço",0,ROUND(SUMIF($F$9:$P$9,"&lt;&gt;",$F332:$P332),15-13*PO!$X$3))</f>
        <v>495</v>
      </c>
      <c r="F332" s="364">
        <f ca="1">OFFSET(PO!$P$12,ROW($E332)-ROW(F$12),0)</f>
        <v>495</v>
      </c>
      <c r="G332" s="364"/>
      <c r="H332" s="364"/>
      <c r="I332" s="364"/>
      <c r="J332" s="364"/>
      <c r="K332" s="364"/>
      <c r="L332" s="364"/>
      <c r="M332" s="364"/>
      <c r="N332" s="364"/>
      <c r="O332" s="364"/>
      <c r="U332" s="182"/>
    </row>
    <row r="333" spans="1:21" s="1" customFormat="1" ht="38.25" x14ac:dyDescent="0.2">
      <c r="A333" s="110" t="str">
        <f ca="1">OFFSET(PO!J$12,ROW(A333)-ROW($A$12),0)</f>
        <v>Serviço</v>
      </c>
      <c r="B333" s="112" t="str">
        <f ca="1">IF($A333=0,"",OFFSET(PO!K$12,ROW(B333)-ROW(B$12),0))</f>
        <v>1.11.1.0.8.</v>
      </c>
      <c r="C333" s="109" t="str">
        <f ca="1">IF(OFFSET(PO!N$12,ROW(C333)-ROW(C$12),0)=0,"",OFFSET(PO!N$12,ROW(C333)-ROW(C$12),0))</f>
        <v>ELETRODUTO FLEXÍVEL CORRUGADO REFORÇADO, PVC, DN 32 MM (1"), PARA CIRCUITOS TERMINAIS, INSTALADO EM PAREDE - FORNECIMENTO E INSTALAÇÃO. AF_03/2023</v>
      </c>
      <c r="D333" s="111" t="str">
        <f ca="1">IF(OFFSET(PO!O$12,ROW(D333)-ROW(D$12),0)=0,"",OFFSET(PO!O$12,ROW(D333)-ROW(D$12),0))</f>
        <v>M</v>
      </c>
      <c r="E333" s="140">
        <f ca="1">IF($A333&lt;&gt;"Serviço",0,ROUND(SUMIF($F$9:$P$9,"&lt;&gt;",$F333:$P333),15-13*PO!$X$3))</f>
        <v>104.5</v>
      </c>
      <c r="F333" s="364">
        <f ca="1">OFFSET(PO!$P$12,ROW($E333)-ROW(F$12),0)</f>
        <v>104.5</v>
      </c>
      <c r="G333" s="364"/>
      <c r="H333" s="364"/>
      <c r="I333" s="364"/>
      <c r="J333" s="364"/>
      <c r="K333" s="364"/>
      <c r="L333" s="364"/>
      <c r="M333" s="364"/>
      <c r="N333" s="364"/>
      <c r="O333" s="364"/>
      <c r="U333" s="182"/>
    </row>
    <row r="334" spans="1:21" s="1" customFormat="1" ht="38.25" x14ac:dyDescent="0.2">
      <c r="A334" s="110" t="str">
        <f ca="1">OFFSET(PO!J$12,ROW(A334)-ROW($A$12),0)</f>
        <v>Serviço</v>
      </c>
      <c r="B334" s="112" t="str">
        <f ca="1">IF($A334=0,"",OFFSET(PO!K$12,ROW(B334)-ROW(B$12),0))</f>
        <v>1.11.1.0.9.</v>
      </c>
      <c r="C334" s="109" t="str">
        <f ca="1">IF(OFFSET(PO!N$12,ROW(C334)-ROW(C$12),0)=0,"",OFFSET(PO!N$12,ROW(C334)-ROW(C$12),0))</f>
        <v>ELETRODUTO FLEXÍVEL CORRUGADO, PEAD, DN 63 (2"), PARA REDE ENTERRADA DE DISTRIBUIÇÃO DE ENERGIA ELÉTRICA - FORNECIMENTO E INSTALAÇÃO. AF_12/2021</v>
      </c>
      <c r="D334" s="111" t="str">
        <f ca="1">IF(OFFSET(PO!O$12,ROW(D334)-ROW(D$12),0)=0,"",OFFSET(PO!O$12,ROW(D334)-ROW(D$12),0))</f>
        <v>M</v>
      </c>
      <c r="E334" s="140">
        <f ca="1">IF($A334&lt;&gt;"Serviço",0,ROUND(SUMIF($F$9:$P$9,"&lt;&gt;",$F334:$P334),15-13*PO!$X$3))</f>
        <v>264</v>
      </c>
      <c r="F334" s="364">
        <f ca="1">OFFSET(PO!$P$12,ROW($E334)-ROW(F$12),0)</f>
        <v>264</v>
      </c>
      <c r="G334" s="364"/>
      <c r="H334" s="364"/>
      <c r="I334" s="364"/>
      <c r="J334" s="364"/>
      <c r="K334" s="364"/>
      <c r="L334" s="364"/>
      <c r="M334" s="364"/>
      <c r="N334" s="364"/>
      <c r="O334" s="364"/>
      <c r="U334" s="182"/>
    </row>
    <row r="335" spans="1:21" s="1" customFormat="1" x14ac:dyDescent="0.2">
      <c r="A335" s="110" t="str">
        <f ca="1">OFFSET(PO!J$12,ROW(A335)-ROW($A$12),0)</f>
        <v>Serviço</v>
      </c>
      <c r="B335" s="112" t="str">
        <f ca="1">IF($A335=0,"",OFFSET(PO!K$12,ROW(B335)-ROW(B$12),0))</f>
        <v>1.11.1.0.10.</v>
      </c>
      <c r="C335" s="109" t="str">
        <f ca="1">IF(OFFSET(PO!N$12,ROW(C335)-ROW(C$12),0)=0,"",OFFSET(PO!N$12,ROW(C335)-ROW(C$12),0))</f>
        <v>ESCAVAÇÃO MANUAL DE VALA. AF_09/2024</v>
      </c>
      <c r="D335" s="111" t="str">
        <f ca="1">IF(OFFSET(PO!O$12,ROW(D335)-ROW(D$12),0)=0,"",OFFSET(PO!O$12,ROW(D335)-ROW(D$12),0))</f>
        <v>M3</v>
      </c>
      <c r="E335" s="140">
        <f ca="1">IF($A335&lt;&gt;"Serviço",0,ROUND(SUMIF($F$9:$P$9,"&lt;&gt;",$F335:$P335),15-13*PO!$X$3))</f>
        <v>12.8</v>
      </c>
      <c r="F335" s="364">
        <f ca="1">OFFSET(PO!$P$12,ROW($E335)-ROW(F$12),0)</f>
        <v>12.8</v>
      </c>
      <c r="G335" s="364"/>
      <c r="H335" s="364"/>
      <c r="I335" s="364"/>
      <c r="J335" s="364"/>
      <c r="K335" s="364"/>
      <c r="L335" s="364"/>
      <c r="M335" s="364"/>
      <c r="N335" s="364"/>
      <c r="O335" s="364"/>
      <c r="U335" s="182"/>
    </row>
    <row r="336" spans="1:21" s="1" customFormat="1" ht="38.25" x14ac:dyDescent="0.2">
      <c r="A336" s="110" t="str">
        <f ca="1">OFFSET(PO!J$12,ROW(A336)-ROW($A$12),0)</f>
        <v>Serviço</v>
      </c>
      <c r="B336" s="112" t="str">
        <f ca="1">IF($A336=0,"",OFFSET(PO!K$12,ROW(B336)-ROW(B$12),0))</f>
        <v>1.11.1.0.11.</v>
      </c>
      <c r="C336" s="109" t="str">
        <f ca="1">IF(OFFSET(PO!N$12,ROW(C336)-ROW(C$12),0)=0,"",OFFSET(PO!N$12,ROW(C336)-ROW(C$12),0))</f>
        <v>CAIXA ENTERRADA ELÉTRICA RETANGULAR, EM ALVENARIA COM BLOCOS DE CONCRETO, FUNDO COM BRITA, DIMENSÕES INTERNAS: 0,6X0,6X0,6 M. AF_12/2020</v>
      </c>
      <c r="D336" s="111" t="str">
        <f ca="1">IF(OFFSET(PO!O$12,ROW(D336)-ROW(D$12),0)=0,"",OFFSET(PO!O$12,ROW(D336)-ROW(D$12),0))</f>
        <v>UN</v>
      </c>
      <c r="E336" s="140">
        <f ca="1">IF($A336&lt;&gt;"Serviço",0,ROUND(SUMIF($F$9:$P$9,"&lt;&gt;",$F336:$P336),15-13*PO!$X$3))</f>
        <v>4</v>
      </c>
      <c r="F336" s="364">
        <f ca="1">OFFSET(PO!$P$12,ROW($E336)-ROW(F$12),0)</f>
        <v>4</v>
      </c>
      <c r="G336" s="364"/>
      <c r="H336" s="364"/>
      <c r="I336" s="364"/>
      <c r="J336" s="364"/>
      <c r="K336" s="364"/>
      <c r="L336" s="364"/>
      <c r="M336" s="364"/>
      <c r="N336" s="364"/>
      <c r="O336" s="364"/>
      <c r="U336" s="182"/>
    </row>
    <row r="337" spans="1:21" s="1" customFormat="1" ht="38.25" x14ac:dyDescent="0.2">
      <c r="A337" s="110" t="str">
        <f ca="1">OFFSET(PO!J$12,ROW(A337)-ROW($A$12),0)</f>
        <v>Serviço</v>
      </c>
      <c r="B337" s="112" t="str">
        <f ca="1">IF($A337=0,"",OFFSET(PO!K$12,ROW(B337)-ROW(B$12),0))</f>
        <v>1.11.1.0.12.</v>
      </c>
      <c r="C337" s="109" t="str">
        <f ca="1">IF(OFFSET(PO!N$12,ROW(C337)-ROW(C$12),0)=0,"",OFFSET(PO!N$12,ROW(C337)-ROW(C$12),0))</f>
        <v>CAIXA RETANGULAR 4" X 2" BAIXA (0,30 M DO PISO), PVC, INSTALADA EM PAREDE - FORNECIMENTO E INSTALAÇÃO. AF_03/2023</v>
      </c>
      <c r="D337" s="111" t="str">
        <f ca="1">IF(OFFSET(PO!O$12,ROW(D337)-ROW(D$12),0)=0,"",OFFSET(PO!O$12,ROW(D337)-ROW(D$12),0))</f>
        <v>UN</v>
      </c>
      <c r="E337" s="140">
        <f ca="1">IF($A337&lt;&gt;"Serviço",0,ROUND(SUMIF($F$9:$P$9,"&lt;&gt;",$F337:$P337),15-13*PO!$X$3))</f>
        <v>153</v>
      </c>
      <c r="F337" s="364">
        <f ca="1">OFFSET(PO!$P$12,ROW($E337)-ROW(F$12),0)</f>
        <v>153</v>
      </c>
      <c r="G337" s="364"/>
      <c r="H337" s="364"/>
      <c r="I337" s="364"/>
      <c r="J337" s="364"/>
      <c r="K337" s="364"/>
      <c r="L337" s="364"/>
      <c r="M337" s="364"/>
      <c r="N337" s="364"/>
      <c r="O337" s="364"/>
      <c r="U337" s="182"/>
    </row>
    <row r="338" spans="1:21" s="1" customFormat="1" ht="25.5" x14ac:dyDescent="0.2">
      <c r="A338" s="110" t="str">
        <f ca="1">OFFSET(PO!J$12,ROW(A338)-ROW($A$12),0)</f>
        <v>Serviço</v>
      </c>
      <c r="B338" s="112" t="str">
        <f ca="1">IF($A338=0,"",OFFSET(PO!K$12,ROW(B338)-ROW(B$12),0))</f>
        <v>1.11.1.0.13.</v>
      </c>
      <c r="C338" s="109" t="str">
        <f ca="1">IF(OFFSET(PO!N$12,ROW(C338)-ROW(C$12),0)=0,"",OFFSET(PO!N$12,ROW(C338)-ROW(C$12),0))</f>
        <v>CAIXA OCTOGONAL 4" X 4", PVC, INSTALADA EM LAJE - FORNECIMENTO E INSTALAÇÃO. AF_03/2023</v>
      </c>
      <c r="D338" s="111" t="str">
        <f ca="1">IF(OFFSET(PO!O$12,ROW(D338)-ROW(D$12),0)=0,"",OFFSET(PO!O$12,ROW(D338)-ROW(D$12),0))</f>
        <v>UN</v>
      </c>
      <c r="E338" s="140">
        <f ca="1">IF($A338&lt;&gt;"Serviço",0,ROUND(SUMIF($F$9:$P$9,"&lt;&gt;",$F338:$P338),15-13*PO!$X$3))</f>
        <v>71</v>
      </c>
      <c r="F338" s="364">
        <f ca="1">OFFSET(PO!$P$12,ROW($E338)-ROW(F$12),0)</f>
        <v>71</v>
      </c>
      <c r="G338" s="364"/>
      <c r="H338" s="364"/>
      <c r="I338" s="364"/>
      <c r="J338" s="364"/>
      <c r="K338" s="364"/>
      <c r="L338" s="364"/>
      <c r="M338" s="364"/>
      <c r="N338" s="364"/>
      <c r="O338" s="364"/>
      <c r="U338" s="182"/>
    </row>
    <row r="339" spans="1:21" s="1" customFormat="1" ht="25.5" x14ac:dyDescent="0.2">
      <c r="A339" s="110" t="str">
        <f ca="1">OFFSET(PO!J$12,ROW(A339)-ROW($A$12),0)</f>
        <v>Serviço</v>
      </c>
      <c r="B339" s="112" t="str">
        <f ca="1">IF($A339=0,"",OFFSET(PO!K$12,ROW(B339)-ROW(B$12),0))</f>
        <v>1.11.1.0.14.</v>
      </c>
      <c r="C339" s="109" t="str">
        <f ca="1">IF(OFFSET(PO!N$12,ROW(C339)-ROW(C$12),0)=0,"",OFFSET(PO!N$12,ROW(C339)-ROW(C$12),0))</f>
        <v>CAIXA OCTOGONAL 4" X 4", PVC, INSTALADA EM LAJE - FORNECIMENTO E INSTALAÇÃO. AF_03/2023</v>
      </c>
      <c r="D339" s="111" t="str">
        <f ca="1">IF(OFFSET(PO!O$12,ROW(D339)-ROW(D$12),0)=0,"",OFFSET(PO!O$12,ROW(D339)-ROW(D$12),0))</f>
        <v>UN</v>
      </c>
      <c r="E339" s="140">
        <f ca="1">IF($A339&lt;&gt;"Serviço",0,ROUND(SUMIF($F$9:$P$9,"&lt;&gt;",$F339:$P339),15-13*PO!$X$3))</f>
        <v>10</v>
      </c>
      <c r="F339" s="364">
        <f ca="1">OFFSET(PO!$P$12,ROW($E339)-ROW(F$12),0)</f>
        <v>10</v>
      </c>
      <c r="G339" s="364"/>
      <c r="H339" s="364"/>
      <c r="I339" s="364"/>
      <c r="J339" s="364"/>
      <c r="K339" s="364"/>
      <c r="L339" s="364"/>
      <c r="M339" s="364"/>
      <c r="N339" s="364"/>
      <c r="O339" s="364"/>
      <c r="U339" s="182"/>
    </row>
    <row r="340" spans="1:21" s="1" customFormat="1" ht="38.25" x14ac:dyDescent="0.2">
      <c r="A340" s="110" t="str">
        <f ca="1">OFFSET(PO!J$12,ROW(A340)-ROW($A$12),0)</f>
        <v>Serviço</v>
      </c>
      <c r="B340" s="112" t="str">
        <f ca="1">IF($A340=0,"",OFFSET(PO!K$12,ROW(B340)-ROW(B$12),0))</f>
        <v>1.11.1.0.15.</v>
      </c>
      <c r="C340" s="109" t="str">
        <f ca="1">IF(OFFSET(PO!N$12,ROW(C340)-ROW(C$12),0)=0,"",OFFSET(PO!N$12,ROW(C340)-ROW(C$12),0))</f>
        <v>INTERRUPTOR SIMPLES (1 MÓDULO), 10A/250V, INCLUINDO SUPORTE E PLACA - FORNECIMENTO E INSTALAÇÃO. AF_03/2023</v>
      </c>
      <c r="D340" s="111" t="str">
        <f ca="1">IF(OFFSET(PO!O$12,ROW(D340)-ROW(D$12),0)=0,"",OFFSET(PO!O$12,ROW(D340)-ROW(D$12),0))</f>
        <v>UN</v>
      </c>
      <c r="E340" s="140">
        <f ca="1">IF($A340&lt;&gt;"Serviço",0,ROUND(SUMIF($F$9:$P$9,"&lt;&gt;",$F340:$P340),15-13*PO!$X$3))</f>
        <v>15</v>
      </c>
      <c r="F340" s="364">
        <f ca="1">OFFSET(PO!$P$12,ROW($E340)-ROW(F$12),0)</f>
        <v>15</v>
      </c>
      <c r="G340" s="364"/>
      <c r="H340" s="364"/>
      <c r="I340" s="364"/>
      <c r="J340" s="364"/>
      <c r="K340" s="364"/>
      <c r="L340" s="364"/>
      <c r="M340" s="364"/>
      <c r="N340" s="364"/>
      <c r="O340" s="364"/>
      <c r="U340" s="182"/>
    </row>
    <row r="341" spans="1:21" s="1" customFormat="1" ht="38.25" x14ac:dyDescent="0.2">
      <c r="A341" s="110" t="str">
        <f ca="1">OFFSET(PO!J$12,ROW(A341)-ROW($A$12),0)</f>
        <v>Serviço</v>
      </c>
      <c r="B341" s="112" t="str">
        <f ca="1">IF($A341=0,"",OFFSET(PO!K$12,ROW(B341)-ROW(B$12),0))</f>
        <v>1.11.1.0.16.</v>
      </c>
      <c r="C341" s="109" t="str">
        <f ca="1">IF(OFFSET(PO!N$12,ROW(C341)-ROW(C$12),0)=0,"",OFFSET(PO!N$12,ROW(C341)-ROW(C$12),0))</f>
        <v>INTERRUPTOR PARALELO (1 MÓDULO), 10A/250V, INCLUINDO SUPORTE E PLACA - FORNECIMENTO E INSTALAÇÃO. AF_03/2023</v>
      </c>
      <c r="D341" s="111" t="str">
        <f ca="1">IF(OFFSET(PO!O$12,ROW(D341)-ROW(D$12),0)=0,"",OFFSET(PO!O$12,ROW(D341)-ROW(D$12),0))</f>
        <v>UN</v>
      </c>
      <c r="E341" s="140">
        <f ca="1">IF($A341&lt;&gt;"Serviço",0,ROUND(SUMIF($F$9:$P$9,"&lt;&gt;",$F341:$P341),15-13*PO!$X$3))</f>
        <v>9</v>
      </c>
      <c r="F341" s="364">
        <f ca="1">OFFSET(PO!$P$12,ROW($E341)-ROW(F$12),0)</f>
        <v>9</v>
      </c>
      <c r="G341" s="364"/>
      <c r="H341" s="364"/>
      <c r="I341" s="364"/>
      <c r="J341" s="364"/>
      <c r="K341" s="364"/>
      <c r="L341" s="364"/>
      <c r="M341" s="364"/>
      <c r="N341" s="364"/>
      <c r="O341" s="364"/>
      <c r="U341" s="182"/>
    </row>
    <row r="342" spans="1:21" s="1" customFormat="1" ht="38.25" x14ac:dyDescent="0.2">
      <c r="A342" s="110" t="str">
        <f ca="1">OFFSET(PO!J$12,ROW(A342)-ROW($A$12),0)</f>
        <v>Serviço</v>
      </c>
      <c r="B342" s="112" t="str">
        <f ca="1">IF($A342=0,"",OFFSET(PO!K$12,ROW(B342)-ROW(B$12),0))</f>
        <v>1.11.1.0.17.</v>
      </c>
      <c r="C342" s="109" t="str">
        <f ca="1">IF(OFFSET(PO!N$12,ROW(C342)-ROW(C$12),0)=0,"",OFFSET(PO!N$12,ROW(C342)-ROW(C$12),0))</f>
        <v>INTERRUPTOR SIMPLES (1 MÓDULO) COM 1 TOMADA DE EMBUTIR 2P+T 10 A, INCLUINDO SUPORTE E PLACA - FORNECIMENTO E INSTALAÇÃO. AF_03/2023</v>
      </c>
      <c r="D342" s="111" t="str">
        <f ca="1">IF(OFFSET(PO!O$12,ROW(D342)-ROW(D$12),0)=0,"",OFFSET(PO!O$12,ROW(D342)-ROW(D$12),0))</f>
        <v>UN</v>
      </c>
      <c r="E342" s="140">
        <f ca="1">IF($A342&lt;&gt;"Serviço",0,ROUND(SUMIF($F$9:$P$9,"&lt;&gt;",$F342:$P342),15-13*PO!$X$3))</f>
        <v>13</v>
      </c>
      <c r="F342" s="364">
        <f ca="1">OFFSET(PO!$P$12,ROW($E342)-ROW(F$12),0)</f>
        <v>13</v>
      </c>
      <c r="G342" s="364"/>
      <c r="H342" s="364"/>
      <c r="I342" s="364"/>
      <c r="J342" s="364"/>
      <c r="K342" s="364"/>
      <c r="L342" s="364"/>
      <c r="M342" s="364"/>
      <c r="N342" s="364"/>
      <c r="O342" s="364"/>
      <c r="U342" s="182"/>
    </row>
    <row r="343" spans="1:21" s="1" customFormat="1" ht="38.25" x14ac:dyDescent="0.2">
      <c r="A343" s="110" t="str">
        <f ca="1">OFFSET(PO!J$12,ROW(A343)-ROW($A$12),0)</f>
        <v>Serviço</v>
      </c>
      <c r="B343" s="112" t="str">
        <f ca="1">IF($A343=0,"",OFFSET(PO!K$12,ROW(B343)-ROW(B$12),0))</f>
        <v>1.11.1.0.18.</v>
      </c>
      <c r="C343" s="109" t="str">
        <f ca="1">IF(OFFSET(PO!N$12,ROW(C343)-ROW(C$12),0)=0,"",OFFSET(PO!N$12,ROW(C343)-ROW(C$12),0))</f>
        <v>INTERRUPTOR SIMPLES (2 MÓDULOS), 10A/250V, INCLUINDO SUPORTE E PLACA - FORNECIMENTO E INSTALAÇÃO. AF_03/2023</v>
      </c>
      <c r="D343" s="111" t="str">
        <f ca="1">IF(OFFSET(PO!O$12,ROW(D343)-ROW(D$12),0)=0,"",OFFSET(PO!O$12,ROW(D343)-ROW(D$12),0))</f>
        <v>UN</v>
      </c>
      <c r="E343" s="140">
        <f ca="1">IF($A343&lt;&gt;"Serviço",0,ROUND(SUMIF($F$9:$P$9,"&lt;&gt;",$F343:$P343),15-13*PO!$X$3))</f>
        <v>2</v>
      </c>
      <c r="F343" s="364">
        <f ca="1">OFFSET(PO!$P$12,ROW($E343)-ROW(F$12),0)</f>
        <v>2</v>
      </c>
      <c r="G343" s="364"/>
      <c r="H343" s="364"/>
      <c r="I343" s="364"/>
      <c r="J343" s="364"/>
      <c r="K343" s="364"/>
      <c r="L343" s="364"/>
      <c r="M343" s="364"/>
      <c r="N343" s="364"/>
      <c r="O343" s="364"/>
      <c r="U343" s="182"/>
    </row>
    <row r="344" spans="1:21" s="1" customFormat="1" ht="38.25" x14ac:dyDescent="0.2">
      <c r="A344" s="110" t="str">
        <f ca="1">OFFSET(PO!J$12,ROW(A344)-ROW($A$12),0)</f>
        <v>Serviço</v>
      </c>
      <c r="B344" s="112" t="str">
        <f ca="1">IF($A344=0,"",OFFSET(PO!K$12,ROW(B344)-ROW(B$12),0))</f>
        <v>1.11.1.0.19.</v>
      </c>
      <c r="C344" s="109" t="str">
        <f ca="1">IF(OFFSET(PO!N$12,ROW(C344)-ROW(C$12),0)=0,"",OFFSET(PO!N$12,ROW(C344)-ROW(C$12),0))</f>
        <v>TOMADA ALTA DE EMBUTIR (1 MÓDULO), 2P+T 20 A, INCLUINDO SUPORTE E PLACA - FORNECIMENTO E INSTALAÇÃO. AF_03/2023</v>
      </c>
      <c r="D344" s="111" t="str">
        <f ca="1">IF(OFFSET(PO!O$12,ROW(D344)-ROW(D$12),0)=0,"",OFFSET(PO!O$12,ROW(D344)-ROW(D$12),0))</f>
        <v>UN</v>
      </c>
      <c r="E344" s="140">
        <f ca="1">IF($A344&lt;&gt;"Serviço",0,ROUND(SUMIF($F$9:$P$9,"&lt;&gt;",$F344:$P344),15-13*PO!$X$3))</f>
        <v>95</v>
      </c>
      <c r="F344" s="364">
        <f ca="1">OFFSET(PO!$P$12,ROW($E344)-ROW(F$12),0)</f>
        <v>95</v>
      </c>
      <c r="G344" s="364"/>
      <c r="H344" s="364"/>
      <c r="I344" s="364"/>
      <c r="J344" s="364"/>
      <c r="K344" s="364"/>
      <c r="L344" s="364"/>
      <c r="M344" s="364"/>
      <c r="N344" s="364"/>
      <c r="O344" s="364"/>
      <c r="U344" s="182"/>
    </row>
    <row r="345" spans="1:21" s="1" customFormat="1" ht="25.5" x14ac:dyDescent="0.2">
      <c r="A345" s="110" t="str">
        <f ca="1">OFFSET(PO!J$12,ROW(A345)-ROW($A$12),0)</f>
        <v>Serviço</v>
      </c>
      <c r="B345" s="112" t="str">
        <f ca="1">IF($A345=0,"",OFFSET(PO!K$12,ROW(B345)-ROW(B$12),0))</f>
        <v>1.11.1.0.20.</v>
      </c>
      <c r="C345" s="109" t="str">
        <f ca="1">IF(OFFSET(PO!N$12,ROW(C345)-ROW(C$12),0)=0,"",OFFSET(PO!N$12,ROW(C345)-ROW(C$12),0))</f>
        <v>DISJUNTOR MONOPOLAR TIPO DIN, CORRENTE NOMINAL DE 10A - FORNECIMENTO E INSTALAÇÃO. AF_07/2025</v>
      </c>
      <c r="D345" s="111" t="str">
        <f ca="1">IF(OFFSET(PO!O$12,ROW(D345)-ROW(D$12),0)=0,"",OFFSET(PO!O$12,ROW(D345)-ROW(D$12),0))</f>
        <v>UN</v>
      </c>
      <c r="E345" s="140">
        <f ca="1">IF($A345&lt;&gt;"Serviço",0,ROUND(SUMIF($F$9:$P$9,"&lt;&gt;",$F345:$P345),15-13*PO!$X$3))</f>
        <v>4</v>
      </c>
      <c r="F345" s="364">
        <f ca="1">OFFSET(PO!$P$12,ROW($E345)-ROW(F$12),0)</f>
        <v>4</v>
      </c>
      <c r="G345" s="364"/>
      <c r="H345" s="364"/>
      <c r="I345" s="364"/>
      <c r="J345" s="364"/>
      <c r="K345" s="364"/>
      <c r="L345" s="364"/>
      <c r="M345" s="364"/>
      <c r="N345" s="364"/>
      <c r="O345" s="364"/>
      <c r="U345" s="182"/>
    </row>
    <row r="346" spans="1:21" s="1" customFormat="1" ht="25.5" x14ac:dyDescent="0.2">
      <c r="A346" s="110" t="str">
        <f ca="1">OFFSET(PO!J$12,ROW(A346)-ROW($A$12),0)</f>
        <v>Serviço</v>
      </c>
      <c r="B346" s="112" t="str">
        <f ca="1">IF($A346=0,"",OFFSET(PO!K$12,ROW(B346)-ROW(B$12),0))</f>
        <v>1.11.1.0.21.</v>
      </c>
      <c r="C346" s="109" t="str">
        <f ca="1">IF(OFFSET(PO!N$12,ROW(C346)-ROW(C$12),0)=0,"",OFFSET(PO!N$12,ROW(C346)-ROW(C$12),0))</f>
        <v>DISJUNTOR MONOPOLAR TIPO DIN, CORRENTE NOMINAL DE 16A - FORNECIMENTO E INSTALAÇÃO. AF_07/2025</v>
      </c>
      <c r="D346" s="111" t="str">
        <f ca="1">IF(OFFSET(PO!O$12,ROW(D346)-ROW(D$12),0)=0,"",OFFSET(PO!O$12,ROW(D346)-ROW(D$12),0))</f>
        <v>UN</v>
      </c>
      <c r="E346" s="140">
        <f ca="1">IF($A346&lt;&gt;"Serviço",0,ROUND(SUMIF($F$9:$P$9,"&lt;&gt;",$F346:$P346),15-13*PO!$X$3))</f>
        <v>2</v>
      </c>
      <c r="F346" s="364">
        <f ca="1">OFFSET(PO!$P$12,ROW($E346)-ROW(F$12),0)</f>
        <v>2</v>
      </c>
      <c r="G346" s="364"/>
      <c r="H346" s="364"/>
      <c r="I346" s="364"/>
      <c r="J346" s="364"/>
      <c r="K346" s="364"/>
      <c r="L346" s="364"/>
      <c r="M346" s="364"/>
      <c r="N346" s="364"/>
      <c r="O346" s="364"/>
      <c r="U346" s="182"/>
    </row>
    <row r="347" spans="1:21" s="1" customFormat="1" ht="25.5" x14ac:dyDescent="0.2">
      <c r="A347" s="110" t="str">
        <f ca="1">OFFSET(PO!J$12,ROW(A347)-ROW($A$12),0)</f>
        <v>Serviço</v>
      </c>
      <c r="B347" s="112" t="str">
        <f ca="1">IF($A347=0,"",OFFSET(PO!K$12,ROW(B347)-ROW(B$12),0))</f>
        <v>1.11.1.0.22.</v>
      </c>
      <c r="C347" s="109" t="str">
        <f ca="1">IF(OFFSET(PO!N$12,ROW(C347)-ROW(C$12),0)=0,"",OFFSET(PO!N$12,ROW(C347)-ROW(C$12),0))</f>
        <v>DISJUNTOR MONOPOLAR TIPO DIN, CORRENTE NOMINAL DE 25A - FORNECIMENTO E INSTALAÇÃO. AF_07/2025</v>
      </c>
      <c r="D347" s="111" t="str">
        <f ca="1">IF(OFFSET(PO!O$12,ROW(D347)-ROW(D$12),0)=0,"",OFFSET(PO!O$12,ROW(D347)-ROW(D$12),0))</f>
        <v>UN</v>
      </c>
      <c r="E347" s="140">
        <f ca="1">IF($A347&lt;&gt;"Serviço",0,ROUND(SUMIF($F$9:$P$9,"&lt;&gt;",$F347:$P347),15-13*PO!$X$3))</f>
        <v>1</v>
      </c>
      <c r="F347" s="364">
        <f ca="1">OFFSET(PO!$P$12,ROW($E347)-ROW(F$12),0)</f>
        <v>1</v>
      </c>
      <c r="G347" s="364"/>
      <c r="H347" s="364"/>
      <c r="I347" s="364"/>
      <c r="J347" s="364"/>
      <c r="K347" s="364"/>
      <c r="L347" s="364"/>
      <c r="M347" s="364"/>
      <c r="N347" s="364"/>
      <c r="O347" s="364"/>
      <c r="U347" s="182"/>
    </row>
    <row r="348" spans="1:21" s="1" customFormat="1" ht="25.5" x14ac:dyDescent="0.2">
      <c r="A348" s="110" t="str">
        <f ca="1">OFFSET(PO!J$12,ROW(A348)-ROW($A$12),0)</f>
        <v>Serviço</v>
      </c>
      <c r="B348" s="112" t="str">
        <f ca="1">IF($A348=0,"",OFFSET(PO!K$12,ROW(B348)-ROW(B$12),0))</f>
        <v>1.11.1.0.23.</v>
      </c>
      <c r="C348" s="109" t="str">
        <f ca="1">IF(OFFSET(PO!N$12,ROW(C348)-ROW(C$12),0)=0,"",OFFSET(PO!N$12,ROW(C348)-ROW(C$12),0))</f>
        <v>DISJUNTOR MONOPOLAR TIPO DIN, CORRENTE NOMINAL DE 32A - FORNECIMENTO E INSTALAÇÃO. AF_07/2025</v>
      </c>
      <c r="D348" s="111" t="str">
        <f ca="1">IF(OFFSET(PO!O$12,ROW(D348)-ROW(D$12),0)=0,"",OFFSET(PO!O$12,ROW(D348)-ROW(D$12),0))</f>
        <v>UN</v>
      </c>
      <c r="E348" s="140">
        <f ca="1">IF($A348&lt;&gt;"Serviço",0,ROUND(SUMIF($F$9:$P$9,"&lt;&gt;",$F348:$P348),15-13*PO!$X$3))</f>
        <v>16</v>
      </c>
      <c r="F348" s="364">
        <f ca="1">OFFSET(PO!$P$12,ROW($E348)-ROW(F$12),0)</f>
        <v>16</v>
      </c>
      <c r="G348" s="364"/>
      <c r="H348" s="364"/>
      <c r="I348" s="364"/>
      <c r="J348" s="364"/>
      <c r="K348" s="364"/>
      <c r="L348" s="364"/>
      <c r="M348" s="364"/>
      <c r="N348" s="364"/>
      <c r="O348" s="364"/>
      <c r="U348" s="182"/>
    </row>
    <row r="349" spans="1:21" s="1" customFormat="1" x14ac:dyDescent="0.2">
      <c r="A349" s="110" t="str">
        <f ca="1">OFFSET(PO!J$12,ROW(A349)-ROW($A$12),0)</f>
        <v>Serviço</v>
      </c>
      <c r="B349" s="112" t="str">
        <f ca="1">IF($A349=0,"",OFFSET(PO!K$12,ROW(B349)-ROW(B$12),0))</f>
        <v>1.11.1.0.24.</v>
      </c>
      <c r="C349" s="109" t="str">
        <f ca="1">IF(OFFSET(PO!N$12,ROW(C349)-ROW(C$12),0)=0,"",OFFSET(PO!N$12,ROW(C349)-ROW(C$12),0))</f>
        <v>DISPOSITIVO DR 25 A - FORNECIMENTO E INSTALAÇÃO</v>
      </c>
      <c r="D349" s="111" t="str">
        <f ca="1">IF(OFFSET(PO!O$12,ROW(D349)-ROW(D$12),0)=0,"",OFFSET(PO!O$12,ROW(D349)-ROW(D$12),0))</f>
        <v>U N</v>
      </c>
      <c r="E349" s="140">
        <f ca="1">IF($A349&lt;&gt;"Serviço",0,ROUND(SUMIF($F$9:$P$9,"&lt;&gt;",$F349:$P349),15-13*PO!$X$3))</f>
        <v>3</v>
      </c>
      <c r="F349" s="364">
        <f ca="1">OFFSET(PO!$P$12,ROW($E349)-ROW(F$12),0)</f>
        <v>3</v>
      </c>
      <c r="G349" s="364"/>
      <c r="H349" s="364"/>
      <c r="I349" s="364"/>
      <c r="J349" s="364"/>
      <c r="K349" s="364"/>
      <c r="L349" s="364"/>
      <c r="M349" s="364"/>
      <c r="N349" s="364"/>
      <c r="O349" s="364"/>
      <c r="U349" s="182"/>
    </row>
    <row r="350" spans="1:21" s="1" customFormat="1" ht="25.5" x14ac:dyDescent="0.2">
      <c r="A350" s="110" t="str">
        <f ca="1">OFFSET(PO!J$12,ROW(A350)-ROW($A$12),0)</f>
        <v>Serviço</v>
      </c>
      <c r="B350" s="112" t="str">
        <f ca="1">IF($A350=0,"",OFFSET(PO!K$12,ROW(B350)-ROW(B$12),0))</f>
        <v>1.11.1.0.25.</v>
      </c>
      <c r="C350" s="109" t="str">
        <f ca="1">IF(OFFSET(PO!N$12,ROW(C350)-ROW(C$12),0)=0,"",OFFSET(PO!N$12,ROW(C350)-ROW(C$12),0))</f>
        <v>DISPOSITIVO DPS TENSÃO MÁXIMA DE 275 V - FORNECIMENTO E INSTALAÇÃO</v>
      </c>
      <c r="D350" s="111" t="str">
        <f ca="1">IF(OFFSET(PO!O$12,ROW(D350)-ROW(D$12),0)=0,"",OFFSET(PO!O$12,ROW(D350)-ROW(D$12),0))</f>
        <v>U N</v>
      </c>
      <c r="E350" s="140">
        <f ca="1">IF($A350&lt;&gt;"Serviço",0,ROUND(SUMIF($F$9:$P$9,"&lt;&gt;",$F350:$P350),15-13*PO!$X$3))</f>
        <v>1</v>
      </c>
      <c r="F350" s="364">
        <f ca="1">OFFSET(PO!$P$12,ROW($E350)-ROW(F$12),0)</f>
        <v>1</v>
      </c>
      <c r="G350" s="364"/>
      <c r="H350" s="364"/>
      <c r="I350" s="364"/>
      <c r="J350" s="364"/>
      <c r="K350" s="364"/>
      <c r="L350" s="364"/>
      <c r="M350" s="364"/>
      <c r="N350" s="364"/>
      <c r="O350" s="364"/>
      <c r="U350" s="182"/>
    </row>
    <row r="351" spans="1:21" s="1" customFormat="1" ht="38.25" x14ac:dyDescent="0.2">
      <c r="A351" s="110" t="str">
        <f ca="1">OFFSET(PO!J$12,ROW(A351)-ROW($A$12),0)</f>
        <v>Serviço</v>
      </c>
      <c r="B351" s="112" t="str">
        <f ca="1">IF($A351=0,"",OFFSET(PO!K$12,ROW(B351)-ROW(B$12),0))</f>
        <v>1.11.1.0.26.</v>
      </c>
      <c r="C351" s="109" t="str">
        <f ca="1">IF(OFFSET(PO!N$12,ROW(C351)-ROW(C$12),0)=0,"",OFFSET(PO!N$12,ROW(C351)-ROW(C$12),0))</f>
        <v>LUMINÁRIA TIPO CALHA, DE EMBUTIR, COM 2 LÂMPADAS TUBULARES DE LED DE 18W - FORNECIMENTO E INSTALAÇÃO (INCLUÍDAS AS LÂMPADAS) (BASE REF. 100916)</v>
      </c>
      <c r="D351" s="111" t="str">
        <f ca="1">IF(OFFSET(PO!O$12,ROW(D351)-ROW(D$12),0)=0,"",OFFSET(PO!O$12,ROW(D351)-ROW(D$12),0))</f>
        <v>UN</v>
      </c>
      <c r="E351" s="140">
        <f ca="1">IF($A351&lt;&gt;"Serviço",0,ROUND(SUMIF($F$9:$P$9,"&lt;&gt;",$F351:$P351),15-13*PO!$X$3))</f>
        <v>42</v>
      </c>
      <c r="F351" s="364">
        <f ca="1">OFFSET(PO!$P$12,ROW($E351)-ROW(F$12),0)</f>
        <v>42</v>
      </c>
      <c r="G351" s="364"/>
      <c r="H351" s="364"/>
      <c r="I351" s="364"/>
      <c r="J351" s="364"/>
      <c r="K351" s="364"/>
      <c r="L351" s="364"/>
      <c r="M351" s="364"/>
      <c r="N351" s="364"/>
      <c r="O351" s="364"/>
      <c r="U351" s="182"/>
    </row>
    <row r="352" spans="1:21" s="1" customFormat="1" ht="38.25" x14ac:dyDescent="0.2">
      <c r="A352" s="110" t="str">
        <f ca="1">OFFSET(PO!J$12,ROW(A352)-ROW($A$12),0)</f>
        <v>Serviço</v>
      </c>
      <c r="B352" s="112" t="str">
        <f ca="1">IF($A352=0,"",OFFSET(PO!K$12,ROW(B352)-ROW(B$12),0))</f>
        <v>1.11.1.0.27.</v>
      </c>
      <c r="C352" s="109" t="str">
        <f ca="1">IF(OFFSET(PO!N$12,ROW(C352)-ROW(C$12),0)=0,"",OFFSET(PO!N$12,ROW(C352)-ROW(C$12),0))</f>
        <v>LUMINÁRIA ARANDELA TIPO MEIA LUA, DE SOBREPOR, COM 1 LÂMPADA LED DE 6 W, SEM REATOR - FORNECIMENTO E INSTALAÇÃO. AF_09/2024</v>
      </c>
      <c r="D352" s="111" t="str">
        <f ca="1">IF(OFFSET(PO!O$12,ROW(D352)-ROW(D$12),0)=0,"",OFFSET(PO!O$12,ROW(D352)-ROW(D$12),0))</f>
        <v>UN</v>
      </c>
      <c r="E352" s="140">
        <f ca="1">IF($A352&lt;&gt;"Serviço",0,ROUND(SUMIF($F$9:$P$9,"&lt;&gt;",$F352:$P352),15-13*PO!$X$3))</f>
        <v>10</v>
      </c>
      <c r="F352" s="364">
        <f ca="1">OFFSET(PO!$P$12,ROW($E352)-ROW(F$12),0)</f>
        <v>10</v>
      </c>
      <c r="G352" s="364"/>
      <c r="H352" s="364"/>
      <c r="I352" s="364"/>
      <c r="J352" s="364"/>
      <c r="K352" s="364"/>
      <c r="L352" s="364"/>
      <c r="M352" s="364"/>
      <c r="N352" s="364"/>
      <c r="O352" s="364"/>
      <c r="U352" s="182"/>
    </row>
    <row r="353" spans="1:21" s="1" customFormat="1" ht="25.5" x14ac:dyDescent="0.2">
      <c r="A353" s="110" t="str">
        <f ca="1">OFFSET(PO!J$12,ROW(A353)-ROW($A$12),0)</f>
        <v>Serviço</v>
      </c>
      <c r="B353" s="112" t="str">
        <f ca="1">IF($A353=0,"",OFFSET(PO!K$12,ROW(B353)-ROW(B$12),0))</f>
        <v>1.11.1.0.28.</v>
      </c>
      <c r="C353" s="109" t="str">
        <f ca="1">IF(OFFSET(PO!N$12,ROW(C353)-ROW(C$12),0)=0,"",OFFSET(PO!N$12,ROW(C353)-ROW(C$12),0))</f>
        <v>LUMINÁRIA TIPO PLAFON QUADRADA, DE EMBUTIR, COM LED DE 24W - FORNECIMENTO E INSTALAÇÃO (BASE REF. 103788)</v>
      </c>
      <c r="D353" s="111" t="str">
        <f ca="1">IF(OFFSET(PO!O$12,ROW(D353)-ROW(D$12),0)=0,"",OFFSET(PO!O$12,ROW(D353)-ROW(D$12),0))</f>
        <v>UN</v>
      </c>
      <c r="E353" s="140">
        <f ca="1">IF($A353&lt;&gt;"Serviço",0,ROUND(SUMIF($F$9:$P$9,"&lt;&gt;",$F353:$P353),15-13*PO!$X$3))</f>
        <v>12</v>
      </c>
      <c r="F353" s="364">
        <f ca="1">OFFSET(PO!$P$12,ROW($E353)-ROW(F$12),0)</f>
        <v>12</v>
      </c>
      <c r="G353" s="364"/>
      <c r="H353" s="364"/>
      <c r="I353" s="364"/>
      <c r="J353" s="364"/>
      <c r="K353" s="364"/>
      <c r="L353" s="364"/>
      <c r="M353" s="364"/>
      <c r="N353" s="364"/>
      <c r="O353" s="364"/>
      <c r="U353" s="182"/>
    </row>
    <row r="354" spans="1:21" s="1" customFormat="1" ht="38.25" x14ac:dyDescent="0.2">
      <c r="A354" s="110" t="str">
        <f ca="1">OFFSET(PO!J$12,ROW(A354)-ROW($A$12),0)</f>
        <v>Serviço</v>
      </c>
      <c r="B354" s="112" t="str">
        <f ca="1">IF($A354=0,"",OFFSET(PO!K$12,ROW(B354)-ROW(B$12),0))</f>
        <v>1.11.1.0.29.</v>
      </c>
      <c r="C354" s="109" t="str">
        <f ca="1">IF(OFFSET(PO!N$12,ROW(C354)-ROW(C$12),0)=0,"",OFFSET(PO!N$12,ROW(C354)-ROW(C$12),0))</f>
        <v>ARANDELA DE SOM, ALTOFALANTE, 30W, PARA SISTEMA DE SOM CENTRAL - FORNECIMENTO E INSTALAÇÃO (BASE REF. 103788)</v>
      </c>
      <c r="D354" s="111" t="str">
        <f ca="1">IF(OFFSET(PO!O$12,ROW(D354)-ROW(D$12),0)=0,"",OFFSET(PO!O$12,ROW(D354)-ROW(D$12),0))</f>
        <v>UN</v>
      </c>
      <c r="E354" s="140">
        <f ca="1">IF($A354&lt;&gt;"Serviço",0,ROUND(SUMIF($F$9:$P$9,"&lt;&gt;",$F354:$P354),15-13*PO!$X$3))</f>
        <v>4</v>
      </c>
      <c r="F354" s="364">
        <f ca="1">OFFSET(PO!$P$12,ROW($E354)-ROW(F$12),0)</f>
        <v>4</v>
      </c>
      <c r="G354" s="364"/>
      <c r="H354" s="364"/>
      <c r="I354" s="364"/>
      <c r="J354" s="364"/>
      <c r="K354" s="364"/>
      <c r="L354" s="364"/>
      <c r="M354" s="364"/>
      <c r="N354" s="364"/>
      <c r="O354" s="364"/>
      <c r="U354" s="182"/>
    </row>
    <row r="355" spans="1:21" s="1" customFormat="1" ht="38.25" x14ac:dyDescent="0.2">
      <c r="A355" s="110" t="str">
        <f ca="1">OFFSET(PO!J$12,ROW(A355)-ROW($A$12),0)</f>
        <v>Serviço</v>
      </c>
      <c r="B355" s="112" t="str">
        <f ca="1">IF($A355=0,"",OFFSET(PO!K$12,ROW(B355)-ROW(B$12),0))</f>
        <v>1.11.1.0.30.</v>
      </c>
      <c r="C355" s="109" t="str">
        <f ca="1">IF(OFFSET(PO!N$12,ROW(C355)-ROW(C$12),0)=0,"",OFFSET(PO!N$12,ROW(C355)-ROW(C$12),0))</f>
        <v>AMPLIFICADOR PARA SISTEMA DE SOM CENTRAL, 40W, RMS, BLUETOOTH, USB, RÁDIO, MICROFONE, EQUALIZADOR - FORNECIMENTO E INSTALAÇÃO</v>
      </c>
      <c r="D355" s="111" t="str">
        <f ca="1">IF(OFFSET(PO!O$12,ROW(D355)-ROW(D$12),0)=0,"",OFFSET(PO!O$12,ROW(D355)-ROW(D$12),0))</f>
        <v>UN</v>
      </c>
      <c r="E355" s="140">
        <f ca="1">IF($A355&lt;&gt;"Serviço",0,ROUND(SUMIF($F$9:$P$9,"&lt;&gt;",$F355:$P355),15-13*PO!$X$3))</f>
        <v>1</v>
      </c>
      <c r="F355" s="364">
        <f ca="1">OFFSET(PO!$P$12,ROW($E355)-ROW(F$12),0)</f>
        <v>1</v>
      </c>
      <c r="G355" s="364"/>
      <c r="H355" s="364"/>
      <c r="I355" s="364"/>
      <c r="J355" s="364"/>
      <c r="K355" s="364"/>
      <c r="L355" s="364"/>
      <c r="M355" s="364"/>
      <c r="N355" s="364"/>
      <c r="O355" s="364"/>
      <c r="U355" s="182"/>
    </row>
    <row r="356" spans="1:21" s="1" customFormat="1" ht="25.5" x14ac:dyDescent="0.2">
      <c r="A356" s="110" t="str">
        <f ca="1">OFFSET(PO!J$12,ROW(A356)-ROW($A$12),0)</f>
        <v>Serviço</v>
      </c>
      <c r="B356" s="112" t="str">
        <f ca="1">IF($A356=0,"",OFFSET(PO!K$12,ROW(B356)-ROW(B$12),0))</f>
        <v>1.11.1.0.31.</v>
      </c>
      <c r="C356" s="109" t="str">
        <f ca="1">IF(OFFSET(PO!N$12,ROW(C356)-ROW(C$12),0)=0,"",OFFSET(PO!N$12,ROW(C356)-ROW(C$12),0))</f>
        <v>HASTE DE ATERRAMENTO, DIÂMETRO 3/4", COM 3 METROS - FORNECIMENTO E INSTALAÇÃO. AF_08/2023</v>
      </c>
      <c r="D356" s="111" t="str">
        <f ca="1">IF(OFFSET(PO!O$12,ROW(D356)-ROW(D$12),0)=0,"",OFFSET(PO!O$12,ROW(D356)-ROW(D$12),0))</f>
        <v>UN</v>
      </c>
      <c r="E356" s="140">
        <f ca="1">IF($A356&lt;&gt;"Serviço",0,ROUND(SUMIF($F$9:$P$9,"&lt;&gt;",$F356:$P356),15-13*PO!$X$3))</f>
        <v>12</v>
      </c>
      <c r="F356" s="364">
        <f ca="1">OFFSET(PO!$P$12,ROW($E356)-ROW(F$12),0)</f>
        <v>12</v>
      </c>
      <c r="G356" s="364"/>
      <c r="H356" s="364"/>
      <c r="I356" s="364"/>
      <c r="J356" s="364"/>
      <c r="K356" s="364"/>
      <c r="L356" s="364"/>
      <c r="M356" s="364"/>
      <c r="N356" s="364"/>
      <c r="O356" s="364"/>
      <c r="U356" s="182"/>
    </row>
    <row r="357" spans="1:21" s="1" customFormat="1" ht="51" x14ac:dyDescent="0.2">
      <c r="A357" s="110" t="str">
        <f ca="1">OFFSET(PO!J$12,ROW(A357)-ROW($A$12),0)</f>
        <v>Serviço</v>
      </c>
      <c r="B357" s="112" t="str">
        <f ca="1">IF($A357=0,"",OFFSET(PO!K$12,ROW(B357)-ROW(B$12),0))</f>
        <v>1.11.1.0.32.</v>
      </c>
      <c r="C357" s="109" t="str">
        <f ca="1">IF(OFFSET(PO!N$12,ROW(C357)-ROW(C$12),0)=0,"",OFFSET(PO!N$12,ROW(C357)-ROW(C$12),0))</f>
        <v>QUADRO DE DISTRIBUIÇÃO DE ENERGIA EM CHAPA DE AÇO GALVANIZADO, DE EMBUTIR, COM BARRAMENTO TRIFÁSICO, PARA 12 DISJUNTORES DIN 100A - FORNECIMENTO E INSTALAÇÃO. AF_07/2025</v>
      </c>
      <c r="D357" s="111" t="str">
        <f ca="1">IF(OFFSET(PO!O$12,ROW(D357)-ROW(D$12),0)=0,"",OFFSET(PO!O$12,ROW(D357)-ROW(D$12),0))</f>
        <v>UN</v>
      </c>
      <c r="E357" s="140">
        <f ca="1">IF($A357&lt;&gt;"Serviço",0,ROUND(SUMIF($F$9:$P$9,"&lt;&gt;",$F357:$P357),15-13*PO!$X$3))</f>
        <v>5</v>
      </c>
      <c r="F357" s="364">
        <f ca="1">OFFSET(PO!$P$12,ROW($E357)-ROW(F$12),0)</f>
        <v>5</v>
      </c>
      <c r="G357" s="364"/>
      <c r="H357" s="364"/>
      <c r="I357" s="364"/>
      <c r="J357" s="364"/>
      <c r="K357" s="364"/>
      <c r="L357" s="364"/>
      <c r="M357" s="364"/>
      <c r="N357" s="364"/>
      <c r="O357" s="364"/>
      <c r="U357" s="182"/>
    </row>
    <row r="358" spans="1:21" s="1" customFormat="1" x14ac:dyDescent="0.2">
      <c r="A358" s="110" t="str">
        <f ca="1">OFFSET(PO!J$12,ROW(A358)-ROW($A$12),0)</f>
        <v>Nível 3</v>
      </c>
      <c r="B358" s="112" t="str">
        <f ca="1">IF($A358=0,"",OFFSET(PO!K$12,ROW(B358)-ROW(B$12),0))</f>
        <v>1.11.2.</v>
      </c>
      <c r="C358" s="109" t="str">
        <f ca="1">IF(OFFSET(PO!N$12,ROW(C358)-ROW(C$12),0)=0,"",OFFSET(PO!N$12,ROW(C358)-ROW(C$12),0))</f>
        <v>LÓGICA</v>
      </c>
      <c r="D358" s="111" t="str">
        <f ca="1">IF(OFFSET(PO!O$12,ROW(D358)-ROW(D$12),0)=0,"",OFFSET(PO!O$12,ROW(D358)-ROW(D$12),0))</f>
        <v/>
      </c>
      <c r="E358" s="140">
        <f ca="1">IF($A358&lt;&gt;"Serviço",0,ROUND(SUMIF($F$9:$P$9,"&lt;&gt;",$F358:$P358),15-13*PO!$X$3))</f>
        <v>0</v>
      </c>
      <c r="F358" s="364">
        <f ca="1">OFFSET(PO!$P$12,ROW($E358)-ROW(F$12),0)</f>
        <v>0</v>
      </c>
      <c r="G358" s="364"/>
      <c r="H358" s="364"/>
      <c r="I358" s="364"/>
      <c r="J358" s="364"/>
      <c r="K358" s="364"/>
      <c r="L358" s="364"/>
      <c r="M358" s="364"/>
      <c r="N358" s="364"/>
      <c r="O358" s="364"/>
      <c r="U358" s="182"/>
    </row>
    <row r="359" spans="1:21" s="1" customFormat="1" ht="38.25" x14ac:dyDescent="0.2">
      <c r="A359" s="110" t="str">
        <f ca="1">OFFSET(PO!J$12,ROW(A359)-ROW($A$12),0)</f>
        <v>Serviço</v>
      </c>
      <c r="B359" s="112" t="str">
        <f ca="1">IF($A359=0,"",OFFSET(PO!K$12,ROW(B359)-ROW(B$12),0))</f>
        <v>1.11.2.0.1.</v>
      </c>
      <c r="C359" s="109" t="str">
        <f ca="1">IF(OFFSET(PO!N$12,ROW(C359)-ROW(C$12),0)=0,"",OFFSET(PO!N$12,ROW(C359)-ROW(C$12),0))</f>
        <v>CABO ELETRÔNICO CATEGORIA 5E, INSTALADO EM EDIFICAÇÃO INSTITUCIONAL - FORNECIMENTO E INSTALAÇÃO. AF_08/2025</v>
      </c>
      <c r="D359" s="111" t="str">
        <f ca="1">IF(OFFSET(PO!O$12,ROW(D359)-ROW(D$12),0)=0,"",OFFSET(PO!O$12,ROW(D359)-ROW(D$12),0))</f>
        <v>M</v>
      </c>
      <c r="E359" s="140">
        <f ca="1">IF($A359&lt;&gt;"Serviço",0,ROUND(SUMIF($F$9:$P$9,"&lt;&gt;",$F359:$P359),15-13*PO!$X$3))</f>
        <v>829.95</v>
      </c>
      <c r="F359" s="364">
        <f ca="1">OFFSET(PO!$P$12,ROW($E359)-ROW(F$12),0)</f>
        <v>829.95</v>
      </c>
      <c r="G359" s="364"/>
      <c r="H359" s="364"/>
      <c r="I359" s="364"/>
      <c r="J359" s="364"/>
      <c r="K359" s="364"/>
      <c r="L359" s="364"/>
      <c r="M359" s="364"/>
      <c r="N359" s="364"/>
      <c r="O359" s="364"/>
      <c r="U359" s="182"/>
    </row>
    <row r="360" spans="1:21" s="1" customFormat="1" ht="25.5" x14ac:dyDescent="0.2">
      <c r="A360" s="110" t="str">
        <f ca="1">OFFSET(PO!J$12,ROW(A360)-ROW($A$12),0)</f>
        <v>Serviço</v>
      </c>
      <c r="B360" s="112" t="str">
        <f ca="1">IF($A360=0,"",OFFSET(PO!K$12,ROW(B360)-ROW(B$12),0))</f>
        <v>1.11.2.0.2.</v>
      </c>
      <c r="C360" s="109" t="str">
        <f ca="1">IF(OFFSET(PO!N$12,ROW(C360)-ROW(C$12),0)=0,"",OFFSET(PO!N$12,ROW(C360)-ROW(C$12),0))</f>
        <v>PATCH PANEL 48 PORTAS, CATEGORIA 5E - FORNECIMENTO E INSTALAÇÃO. AF_08/2025</v>
      </c>
      <c r="D360" s="111" t="str">
        <f ca="1">IF(OFFSET(PO!O$12,ROW(D360)-ROW(D$12),0)=0,"",OFFSET(PO!O$12,ROW(D360)-ROW(D$12),0))</f>
        <v>UN</v>
      </c>
      <c r="E360" s="140">
        <f ca="1">IF($A360&lt;&gt;"Serviço",0,ROUND(SUMIF($F$9:$P$9,"&lt;&gt;",$F360:$P360),15-13*PO!$X$3))</f>
        <v>1</v>
      </c>
      <c r="F360" s="364">
        <f ca="1">OFFSET(PO!$P$12,ROW($E360)-ROW(F$12),0)</f>
        <v>1</v>
      </c>
      <c r="G360" s="364"/>
      <c r="H360" s="364"/>
      <c r="I360" s="364"/>
      <c r="J360" s="364"/>
      <c r="K360" s="364"/>
      <c r="L360" s="364"/>
      <c r="M360" s="364"/>
      <c r="N360" s="364"/>
      <c r="O360" s="364"/>
      <c r="U360" s="182"/>
    </row>
    <row r="361" spans="1:21" s="1" customFormat="1" ht="25.5" x14ac:dyDescent="0.2">
      <c r="A361" s="110" t="str">
        <f ca="1">OFFSET(PO!J$12,ROW(A361)-ROW($A$12),0)</f>
        <v>Serviço</v>
      </c>
      <c r="B361" s="112" t="str">
        <f ca="1">IF($A361=0,"",OFFSET(PO!K$12,ROW(B361)-ROW(B$12),0))</f>
        <v>1.11.2.0.3.</v>
      </c>
      <c r="C361" s="109" t="str">
        <f ca="1">IF(OFFSET(PO!N$12,ROW(C361)-ROW(C$12),0)=0,"",OFFSET(PO!N$12,ROW(C361)-ROW(C$12),0))</f>
        <v>TOMADA DE REDE RJ45 - FORNECIMENTO E INSTALAÇÃO. AF_08/2025</v>
      </c>
      <c r="D361" s="111" t="str">
        <f ca="1">IF(OFFSET(PO!O$12,ROW(D361)-ROW(D$12),0)=0,"",OFFSET(PO!O$12,ROW(D361)-ROW(D$12),0))</f>
        <v>UN</v>
      </c>
      <c r="E361" s="140">
        <f ca="1">IF($A361&lt;&gt;"Serviço",0,ROUND(SUMIF($F$9:$P$9,"&lt;&gt;",$F361:$P361),15-13*PO!$X$3))</f>
        <v>30</v>
      </c>
      <c r="F361" s="364">
        <f ca="1">OFFSET(PO!$P$12,ROW($E361)-ROW(F$12),0)</f>
        <v>30</v>
      </c>
      <c r="G361" s="364"/>
      <c r="H361" s="364"/>
      <c r="I361" s="364"/>
      <c r="J361" s="364"/>
      <c r="K361" s="364"/>
      <c r="L361" s="364"/>
      <c r="M361" s="364"/>
      <c r="N361" s="364"/>
      <c r="O361" s="364"/>
      <c r="U361" s="182"/>
    </row>
    <row r="362" spans="1:21" s="1" customFormat="1" ht="38.25" x14ac:dyDescent="0.2">
      <c r="A362" s="110" t="str">
        <f ca="1">OFFSET(PO!J$12,ROW(A362)-ROW($A$12),0)</f>
        <v>Serviço</v>
      </c>
      <c r="B362" s="112" t="str">
        <f ca="1">IF($A362=0,"",OFFSET(PO!K$12,ROW(B362)-ROW(B$12),0))</f>
        <v>1.11.2.0.4.</v>
      </c>
      <c r="C362" s="109" t="str">
        <f ca="1">IF(OFFSET(PO!N$12,ROW(C362)-ROW(C$12),0)=0,"",OFFSET(PO!N$12,ROW(C362)-ROW(C$12),0))</f>
        <v>CAIXA DE PASSAGEM ELETRICA DE PAREDE, DE SOBREPOR, EM PVC, COM TAMPA APARAFUSADA, DIMENSOES 300 X 300 X *100* MM</v>
      </c>
      <c r="D362" s="111" t="str">
        <f ca="1">IF(OFFSET(PO!O$12,ROW(D362)-ROW(D$12),0)=0,"",OFFSET(PO!O$12,ROW(D362)-ROW(D$12),0))</f>
        <v>UN</v>
      </c>
      <c r="E362" s="140">
        <f ca="1">IF($A362&lt;&gt;"Serviço",0,ROUND(SUMIF($F$9:$P$9,"&lt;&gt;",$F362:$P362),15-13*PO!$X$3))</f>
        <v>8</v>
      </c>
      <c r="F362" s="364">
        <f ca="1">OFFSET(PO!$P$12,ROW($E362)-ROW(F$12),0)</f>
        <v>8</v>
      </c>
      <c r="G362" s="364"/>
      <c r="H362" s="364"/>
      <c r="I362" s="364"/>
      <c r="J362" s="364"/>
      <c r="K362" s="364"/>
      <c r="L362" s="364"/>
      <c r="M362" s="364"/>
      <c r="N362" s="364"/>
      <c r="O362" s="364"/>
      <c r="U362" s="182"/>
    </row>
    <row r="363" spans="1:21" s="1" customFormat="1" ht="38.25" x14ac:dyDescent="0.2">
      <c r="A363" s="110" t="str">
        <f ca="1">OFFSET(PO!J$12,ROW(A363)-ROW($A$12),0)</f>
        <v>Serviço</v>
      </c>
      <c r="B363" s="112" t="str">
        <f ca="1">IF($A363=0,"",OFFSET(PO!K$12,ROW(B363)-ROW(B$12),0))</f>
        <v>1.11.2.0.5.</v>
      </c>
      <c r="C363" s="109" t="str">
        <f ca="1">IF(OFFSET(PO!N$12,ROW(C363)-ROW(C$12),0)=0,"",OFFSET(PO!N$12,ROW(C363)-ROW(C$12),0))</f>
        <v>ELETRODUTO FLEXÍVEL CORRUGADO REFORÇADO, PVC, DN 25 MM (3/4"), PARA CIRCUITOS TERMINAIS, INSTALADO EM FORRO - FORNECIMENTO E INSTALAÇÃO. AF_03/2023</v>
      </c>
      <c r="D363" s="111" t="str">
        <f ca="1">IF(OFFSET(PO!O$12,ROW(D363)-ROW(D$12),0)=0,"",OFFSET(PO!O$12,ROW(D363)-ROW(D$12),0))</f>
        <v>M</v>
      </c>
      <c r="E363" s="140">
        <f ca="1">IF($A363&lt;&gt;"Serviço",0,ROUND(SUMIF($F$9:$P$9,"&lt;&gt;",$F363:$P363),15-13*PO!$X$3))</f>
        <v>63.7</v>
      </c>
      <c r="F363" s="364">
        <f ca="1">OFFSET(PO!$P$12,ROW($E363)-ROW(F$12),0)</f>
        <v>63.7</v>
      </c>
      <c r="G363" s="364"/>
      <c r="H363" s="364"/>
      <c r="I363" s="364"/>
      <c r="J363" s="364"/>
      <c r="K363" s="364"/>
      <c r="L363" s="364"/>
      <c r="M363" s="364"/>
      <c r="N363" s="364"/>
      <c r="O363" s="364"/>
      <c r="U363" s="182"/>
    </row>
    <row r="364" spans="1:21" s="1" customFormat="1" ht="38.25" x14ac:dyDescent="0.2">
      <c r="A364" s="110" t="str">
        <f ca="1">OFFSET(PO!J$12,ROW(A364)-ROW($A$12),0)</f>
        <v>Serviço</v>
      </c>
      <c r="B364" s="112" t="str">
        <f ca="1">IF($A364=0,"",OFFSET(PO!K$12,ROW(B364)-ROW(B$12),0))</f>
        <v>1.11.2.0.6.</v>
      </c>
      <c r="C364" s="109" t="str">
        <f ca="1">IF(OFFSET(PO!N$12,ROW(C364)-ROW(C$12),0)=0,"",OFFSET(PO!N$12,ROW(C364)-ROW(C$12),0))</f>
        <v>ELETRODUTO FLEXÍVEL CORRUGADO REFORÇADO, PVC, DN 32 MM (1"), PARA CIRCUITOS TERMINAIS, INSTALADO EM FORRO - FORNECIMENTO E INSTALAÇÃO. AF_03/2023</v>
      </c>
      <c r="D364" s="111" t="str">
        <f ca="1">IF(OFFSET(PO!O$12,ROW(D364)-ROW(D$12),0)=0,"",OFFSET(PO!O$12,ROW(D364)-ROW(D$12),0))</f>
        <v>M</v>
      </c>
      <c r="E364" s="140">
        <f ca="1">IF($A364&lt;&gt;"Serviço",0,ROUND(SUMIF($F$9:$P$9,"&lt;&gt;",$F364:$P364),15-13*PO!$X$3))</f>
        <v>78.599999999999994</v>
      </c>
      <c r="F364" s="364">
        <f ca="1">OFFSET(PO!$P$12,ROW($E364)-ROW(F$12),0)</f>
        <v>78.599999999999994</v>
      </c>
      <c r="G364" s="364"/>
      <c r="H364" s="364"/>
      <c r="I364" s="364"/>
      <c r="J364" s="364"/>
      <c r="K364" s="364"/>
      <c r="L364" s="364"/>
      <c r="M364" s="364"/>
      <c r="N364" s="364"/>
      <c r="O364" s="364"/>
      <c r="U364" s="182"/>
    </row>
    <row r="365" spans="1:21" s="1" customFormat="1" ht="38.25" x14ac:dyDescent="0.2">
      <c r="A365" s="110" t="str">
        <f ca="1">OFFSET(PO!J$12,ROW(A365)-ROW($A$12),0)</f>
        <v>Serviço</v>
      </c>
      <c r="B365" s="112" t="str">
        <f ca="1">IF($A365=0,"",OFFSET(PO!K$12,ROW(B365)-ROW(B$12),0))</f>
        <v>1.11.2.0.7.</v>
      </c>
      <c r="C365" s="109" t="str">
        <f ca="1">IF(OFFSET(PO!N$12,ROW(C365)-ROW(C$12),0)=0,"",OFFSET(PO!N$12,ROW(C365)-ROW(C$12),0))</f>
        <v>ELETRODUTO FLEXÍVEL CORRUGADO REFORÇADO, PVC, DN 25 MM (3/4"), PARA CIRCUITOS TERMINAIS, INSTALADO EM PAREDE - FORNECIMENTO E INSTALAÇÃO. AF_03/2023</v>
      </c>
      <c r="D365" s="111" t="str">
        <f ca="1">IF(OFFSET(PO!O$12,ROW(D365)-ROW(D$12),0)=0,"",OFFSET(PO!O$12,ROW(D365)-ROW(D$12),0))</f>
        <v>M</v>
      </c>
      <c r="E365" s="140">
        <f ca="1">IF($A365&lt;&gt;"Serviço",0,ROUND(SUMIF($F$9:$P$9,"&lt;&gt;",$F365:$P365),15-13*PO!$X$3))</f>
        <v>57.6</v>
      </c>
      <c r="F365" s="364">
        <f ca="1">OFFSET(PO!$P$12,ROW($E365)-ROW(F$12),0)</f>
        <v>57.6</v>
      </c>
      <c r="G365" s="364"/>
      <c r="H365" s="364"/>
      <c r="I365" s="364"/>
      <c r="J365" s="364"/>
      <c r="K365" s="364"/>
      <c r="L365" s="364"/>
      <c r="M365" s="364"/>
      <c r="N365" s="364"/>
      <c r="O365" s="364"/>
      <c r="U365" s="182"/>
    </row>
    <row r="366" spans="1:21" s="1" customFormat="1" ht="38.25" x14ac:dyDescent="0.2">
      <c r="A366" s="110" t="str">
        <f ca="1">OFFSET(PO!J$12,ROW(A366)-ROW($A$12),0)</f>
        <v>Serviço</v>
      </c>
      <c r="B366" s="112" t="str">
        <f ca="1">IF($A366=0,"",OFFSET(PO!K$12,ROW(B366)-ROW(B$12),0))</f>
        <v>1.11.2.0.8.</v>
      </c>
      <c r="C366" s="109" t="str">
        <f ca="1">IF(OFFSET(PO!N$12,ROW(C366)-ROW(C$12),0)=0,"",OFFSET(PO!N$12,ROW(C366)-ROW(C$12),0))</f>
        <v>ELETRODUTO FLEXÍVEL CORRUGADO REFORÇADO, PVC, DN 32 MM (1"), PARA CIRCUITOS TERMINAIS, INSTALADO EM PAREDE - FORNECIMENTO E INSTALAÇÃO. AF_03/2023</v>
      </c>
      <c r="D366" s="111" t="str">
        <f ca="1">IF(OFFSET(PO!O$12,ROW(D366)-ROW(D$12),0)=0,"",OFFSET(PO!O$12,ROW(D366)-ROW(D$12),0))</f>
        <v>M</v>
      </c>
      <c r="E366" s="140">
        <f ca="1">IF($A366&lt;&gt;"Serviço",0,ROUND(SUMIF($F$9:$P$9,"&lt;&gt;",$F366:$P366),15-13*PO!$X$3))</f>
        <v>9</v>
      </c>
      <c r="F366" s="364">
        <f ca="1">OFFSET(PO!$P$12,ROW($E366)-ROW(F$12),0)</f>
        <v>9</v>
      </c>
      <c r="G366" s="364"/>
      <c r="H366" s="364"/>
      <c r="I366" s="364"/>
      <c r="J366" s="364"/>
      <c r="K366" s="364"/>
      <c r="L366" s="364"/>
      <c r="M366" s="364"/>
      <c r="N366" s="364"/>
      <c r="O366" s="364"/>
      <c r="U366" s="182"/>
    </row>
    <row r="367" spans="1:21" s="1" customFormat="1" ht="25.5" x14ac:dyDescent="0.2">
      <c r="A367" s="110" t="str">
        <f ca="1">OFFSET(PO!J$12,ROW(A367)-ROW($A$12),0)</f>
        <v>Serviço</v>
      </c>
      <c r="B367" s="112" t="str">
        <f ca="1">IF($A367=0,"",OFFSET(PO!K$12,ROW(B367)-ROW(B$12),0))</f>
        <v>1.11.2.0.9.</v>
      </c>
      <c r="C367" s="109" t="str">
        <f ca="1">IF(OFFSET(PO!N$12,ROW(C367)-ROW(C$12),0)=0,"",OFFSET(PO!N$12,ROW(C367)-ROW(C$12),0))</f>
        <v>RACK FECHADO 44U PARA SERVIDOR - FORNECIMENTO E INSTALAÇÃO. AF_08/2025</v>
      </c>
      <c r="D367" s="111" t="str">
        <f ca="1">IF(OFFSET(PO!O$12,ROW(D367)-ROW(D$12),0)=0,"",OFFSET(PO!O$12,ROW(D367)-ROW(D$12),0))</f>
        <v>UN</v>
      </c>
      <c r="E367" s="140">
        <f ca="1">IF($A367&lt;&gt;"Serviço",0,ROUND(SUMIF($F$9:$P$9,"&lt;&gt;",$F367:$P367),15-13*PO!$X$3))</f>
        <v>1</v>
      </c>
      <c r="F367" s="364">
        <f ca="1">OFFSET(PO!$P$12,ROW($E367)-ROW(F$12),0)</f>
        <v>1</v>
      </c>
      <c r="G367" s="364"/>
      <c r="H367" s="364"/>
      <c r="I367" s="364"/>
      <c r="J367" s="364"/>
      <c r="K367" s="364"/>
      <c r="L367" s="364"/>
      <c r="M367" s="364"/>
      <c r="N367" s="364"/>
      <c r="O367" s="364"/>
      <c r="U367" s="182"/>
    </row>
    <row r="368" spans="1:21" s="1" customFormat="1" x14ac:dyDescent="0.2">
      <c r="A368" s="110" t="str">
        <f ca="1">OFFSET(PO!J$12,ROW(A368)-ROW($A$12),0)</f>
        <v>Nível 2</v>
      </c>
      <c r="B368" s="112" t="str">
        <f ca="1">IF($A368=0,"",OFFSET(PO!K$12,ROW(B368)-ROW(B$12),0))</f>
        <v>1.12.</v>
      </c>
      <c r="C368" s="109" t="str">
        <f ca="1">IF(OFFSET(PO!N$12,ROW(C368)-ROW(C$12),0)=0,"",OFFSET(PO!N$12,ROW(C368)-ROW(C$12),0))</f>
        <v>CLIMATIZAÇÃO</v>
      </c>
      <c r="D368" s="111" t="str">
        <f ca="1">IF(OFFSET(PO!O$12,ROW(D368)-ROW(D$12),0)=0,"",OFFSET(PO!O$12,ROW(D368)-ROW(D$12),0))</f>
        <v/>
      </c>
      <c r="E368" s="140">
        <f ca="1">IF($A368&lt;&gt;"Serviço",0,ROUND(SUMIF($F$9:$P$9,"&lt;&gt;",$F368:$P368),15-13*PO!$X$3))</f>
        <v>0</v>
      </c>
      <c r="F368" s="364">
        <f ca="1">OFFSET(PO!$P$12,ROW($E368)-ROW(F$12),0)</f>
        <v>0</v>
      </c>
      <c r="G368" s="364"/>
      <c r="H368" s="364"/>
      <c r="I368" s="364"/>
      <c r="J368" s="364"/>
      <c r="K368" s="364"/>
      <c r="L368" s="364"/>
      <c r="M368" s="364"/>
      <c r="N368" s="364"/>
      <c r="O368" s="364"/>
      <c r="U368" s="182"/>
    </row>
    <row r="369" spans="1:21" s="1" customFormat="1" x14ac:dyDescent="0.2">
      <c r="A369" s="110" t="str">
        <f ca="1">OFFSET(PO!J$12,ROW(A369)-ROW($A$12),0)</f>
        <v>Nível 3</v>
      </c>
      <c r="B369" s="112" t="str">
        <f ca="1">IF($A369=0,"",OFFSET(PO!K$12,ROW(B369)-ROW(B$12),0))</f>
        <v>1.12.1.</v>
      </c>
      <c r="C369" s="109" t="str">
        <f ca="1">IF(OFFSET(PO!N$12,ROW(C369)-ROW(C$12),0)=0,"",OFFSET(PO!N$12,ROW(C369)-ROW(C$12),0))</f>
        <v>EQUIPAMENTOS E ACESSÓRIOS</v>
      </c>
      <c r="D369" s="111" t="str">
        <f ca="1">IF(OFFSET(PO!O$12,ROW(D369)-ROW(D$12),0)=0,"",OFFSET(PO!O$12,ROW(D369)-ROW(D$12),0))</f>
        <v/>
      </c>
      <c r="E369" s="140">
        <f ca="1">IF($A369&lt;&gt;"Serviço",0,ROUND(SUMIF($F$9:$P$9,"&lt;&gt;",$F369:$P369),15-13*PO!$X$3))</f>
        <v>0</v>
      </c>
      <c r="F369" s="364">
        <f ca="1">OFFSET(PO!$P$12,ROW($E369)-ROW(F$12),0)</f>
        <v>0</v>
      </c>
      <c r="G369" s="364"/>
      <c r="H369" s="364"/>
      <c r="I369" s="364"/>
      <c r="J369" s="364"/>
      <c r="K369" s="364"/>
      <c r="L369" s="364"/>
      <c r="M369" s="364"/>
      <c r="N369" s="364"/>
      <c r="O369" s="364"/>
      <c r="U369" s="182"/>
    </row>
    <row r="370" spans="1:21" s="1" customFormat="1" ht="102" x14ac:dyDescent="0.2">
      <c r="A370" s="110" t="str">
        <f ca="1">OFFSET(PO!J$12,ROW(A370)-ROW($A$12),0)</f>
        <v>Serviço</v>
      </c>
      <c r="B370" s="112" t="str">
        <f ca="1">IF($A370=0,"",OFFSET(PO!K$12,ROW(B370)-ROW(B$12),0))</f>
        <v>1.12.1.0.1.</v>
      </c>
      <c r="C370" s="109" t="str">
        <f ca="1">IF(OFFSET(PO!N$12,ROW(C370)-ROW(C$12),0)=0,"",OFFSET(PO!N$12,ROW(C370)-ROW(C$12),0))</f>
        <v>Fornecimento e Instalação de Unidade climatizadora do tipo AHU para expansão direta. Capacidade 2TR. Vazão de insuflamento 839 m³/h. Vazão de Retorno: 596 m³/h. Vazão de ar externo: 243 m³/h. Perda de carga disponível 15mmca.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v>
      </c>
      <c r="D370" s="111" t="str">
        <f ca="1">IF(OFFSET(PO!O$12,ROW(D370)-ROW(D$12),0)=0,"",OFFSET(PO!O$12,ROW(D370)-ROW(D$12),0))</f>
        <v>UNIDADE</v>
      </c>
      <c r="E370" s="140">
        <f ca="1">IF($A370&lt;&gt;"Serviço",0,ROUND(SUMIF($F$9:$P$9,"&lt;&gt;",$F370:$P370),15-13*PO!$X$3))</f>
        <v>1</v>
      </c>
      <c r="F370" s="364">
        <f ca="1">OFFSET(PO!$P$12,ROW($E370)-ROW(F$12),0)</f>
        <v>1</v>
      </c>
      <c r="G370" s="364"/>
      <c r="H370" s="364"/>
      <c r="I370" s="364"/>
      <c r="J370" s="364"/>
      <c r="K370" s="364"/>
      <c r="L370" s="364"/>
      <c r="M370" s="364"/>
      <c r="N370" s="364"/>
      <c r="O370" s="364"/>
      <c r="U370" s="182"/>
    </row>
    <row r="371" spans="1:21" s="1" customFormat="1" ht="114.75" x14ac:dyDescent="0.2">
      <c r="A371" s="110" t="str">
        <f ca="1">OFFSET(PO!J$12,ROW(A371)-ROW($A$12),0)</f>
        <v>Serviço</v>
      </c>
      <c r="B371" s="112" t="str">
        <f ca="1">IF($A371=0,"",OFFSET(PO!K$12,ROW(B371)-ROW(B$12),0))</f>
        <v>1.12.1.0.2.</v>
      </c>
      <c r="C371" s="109" t="str">
        <f ca="1">IF(OFFSET(PO!N$12,ROW(C371)-ROW(C$12),0)=0,"",OFFSET(PO!N$12,ROW(C371)-ROW(C$12),0))</f>
        <v>Fornecimento e Instalação de Unidade climatizadora do tipo AHU para expansão direta. Capacidade 2,5TR. Vazão de insuflamento 1303 m³/h. Vazão de Retorno: 1110 m³/h. Vazão de ar externo: 193 m³/h. Perda de carga disponível 15mmca.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v>
      </c>
      <c r="D371" s="111" t="str">
        <f ca="1">IF(OFFSET(PO!O$12,ROW(D371)-ROW(D$12),0)=0,"",OFFSET(PO!O$12,ROW(D371)-ROW(D$12),0))</f>
        <v>UNIDADE</v>
      </c>
      <c r="E371" s="140">
        <f ca="1">IF($A371&lt;&gt;"Serviço",0,ROUND(SUMIF($F$9:$P$9,"&lt;&gt;",$F371:$P371),15-13*PO!$X$3))</f>
        <v>1</v>
      </c>
      <c r="F371" s="364">
        <f ca="1">OFFSET(PO!$P$12,ROW($E371)-ROW(F$12),0)</f>
        <v>1</v>
      </c>
      <c r="G371" s="364"/>
      <c r="H371" s="364"/>
      <c r="I371" s="364"/>
      <c r="J371" s="364"/>
      <c r="K371" s="364"/>
      <c r="L371" s="364"/>
      <c r="M371" s="364"/>
      <c r="N371" s="364"/>
      <c r="O371" s="364"/>
      <c r="U371" s="182"/>
    </row>
    <row r="372" spans="1:21" s="1" customFormat="1" ht="102" x14ac:dyDescent="0.2">
      <c r="A372" s="110" t="str">
        <f ca="1">OFFSET(PO!J$12,ROW(A372)-ROW($A$12),0)</f>
        <v>Serviço</v>
      </c>
      <c r="B372" s="112" t="str">
        <f ca="1">IF($A372=0,"",OFFSET(PO!K$12,ROW(B372)-ROW(B$12),0))</f>
        <v>1.12.1.0.3.</v>
      </c>
      <c r="C372" s="109" t="str">
        <f ca="1">IF(OFFSET(PO!N$12,ROW(C372)-ROW(C$12),0)=0,"",OFFSET(PO!N$12,ROW(C372)-ROW(C$12),0))</f>
        <v>Fornecimento e Instalação de Unidade climatizadora do tipo AHU para expansão direta. Capacidade 5TR. Vazão de insuflamento 1328 m³/h. Vazão de Retorno: 404 m³/h. Vazão de ar externo: 924 m³/h. Perda de carga disponível 20mmca.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v>
      </c>
      <c r="D372" s="111" t="str">
        <f ca="1">IF(OFFSET(PO!O$12,ROW(D372)-ROW(D$12),0)=0,"",OFFSET(PO!O$12,ROW(D372)-ROW(D$12),0))</f>
        <v>UNIDADE</v>
      </c>
      <c r="E372" s="140">
        <f ca="1">IF($A372&lt;&gt;"Serviço",0,ROUND(SUMIF($F$9:$P$9,"&lt;&gt;",$F372:$P372),15-13*PO!$X$3))</f>
        <v>1</v>
      </c>
      <c r="F372" s="364">
        <f ca="1">OFFSET(PO!$P$12,ROW($E372)-ROW(F$12),0)</f>
        <v>1</v>
      </c>
      <c r="G372" s="364"/>
      <c r="H372" s="364"/>
      <c r="I372" s="364"/>
      <c r="J372" s="364"/>
      <c r="K372" s="364"/>
      <c r="L372" s="364"/>
      <c r="M372" s="364"/>
      <c r="N372" s="364"/>
      <c r="O372" s="364"/>
      <c r="U372" s="182"/>
    </row>
    <row r="373" spans="1:21" s="1" customFormat="1" ht="102" x14ac:dyDescent="0.2">
      <c r="A373" s="110" t="str">
        <f ca="1">OFFSET(PO!J$12,ROW(A373)-ROW($A$12),0)</f>
        <v>Serviço</v>
      </c>
      <c r="B373" s="112" t="str">
        <f ca="1">IF($A373=0,"",OFFSET(PO!K$12,ROW(B373)-ROW(B$12),0))</f>
        <v>1.12.1.0.4.</v>
      </c>
      <c r="C373" s="109" t="str">
        <f ca="1">IF(OFFSET(PO!N$12,ROW(C373)-ROW(C$12),0)=0,"",OFFSET(PO!N$12,ROW(C373)-ROW(C$12),0))</f>
        <v>Fornecimento e Instalação de Unidade climatizadora do tipo AHU para expansão direta. Capacidade 10TR. Vazão de insuflamento 4601 m³/h. Vazão de Retorno: 3665 m³/h. Vazão de ar externo: 936 m³/h. Perda de carga disponível 20mmca. Filtragem G4 + F8 plissado. Ventilador do tipo centrífugo Sirocco. 3 Módulos: Ventilador, Trocador de Calor   e Caixa de Mistura com filtragem grossa e filtragem fina. Com Quadro Elétrico de Força e Comando com CLPs integrado e No break. Incluso também Kit Caixa de Controle e Válvula de expansão.</v>
      </c>
      <c r="D373" s="111" t="str">
        <f ca="1">IF(OFFSET(PO!O$12,ROW(D373)-ROW(D$12),0)=0,"",OFFSET(PO!O$12,ROW(D373)-ROW(D$12),0))</f>
        <v>UNIDADE</v>
      </c>
      <c r="E373" s="140">
        <f ca="1">IF($A373&lt;&gt;"Serviço",0,ROUND(SUMIF($F$9:$P$9,"&lt;&gt;",$F373:$P373),15-13*PO!$X$3))</f>
        <v>1</v>
      </c>
      <c r="F373" s="364">
        <f ca="1">OFFSET(PO!$P$12,ROW($E373)-ROW(F$12),0)</f>
        <v>1</v>
      </c>
      <c r="G373" s="364"/>
      <c r="H373" s="364"/>
      <c r="I373" s="364"/>
      <c r="J373" s="364"/>
      <c r="K373" s="364"/>
      <c r="L373" s="364"/>
      <c r="M373" s="364"/>
      <c r="N373" s="364"/>
      <c r="O373" s="364"/>
      <c r="U373" s="182"/>
    </row>
    <row r="374" spans="1:21" s="1" customFormat="1" ht="51" x14ac:dyDescent="0.2">
      <c r="A374" s="110" t="str">
        <f ca="1">OFFSET(PO!J$12,ROW(A374)-ROW($A$12),0)</f>
        <v>Serviço</v>
      </c>
      <c r="B374" s="112" t="str">
        <f ca="1">IF($A374=0,"",OFFSET(PO!K$12,ROW(B374)-ROW(B$12),0))</f>
        <v>1.12.1.0.5.</v>
      </c>
      <c r="C374" s="109" t="str">
        <f ca="1">IF(OFFSET(PO!N$12,ROW(C374)-ROW(C$12),0)=0,"",OFFSET(PO!N$12,ROW(C374)-ROW(C$12),0))</f>
        <v>Unidade Condensadora, 100% Inverter, tipo VRF com compressor tipo scroll, fluido refrigerante R410A, ciclo reverso/quente e frio, capacidade térmica de refrigeração de 8HP,  condensação a ar. Fornecimento e instalação</v>
      </c>
      <c r="D374" s="111" t="str">
        <f ca="1">IF(OFFSET(PO!O$12,ROW(D374)-ROW(D$12),0)=0,"",OFFSET(PO!O$12,ROW(D374)-ROW(D$12),0))</f>
        <v>UNIDADE</v>
      </c>
      <c r="E374" s="140">
        <f ca="1">IF($A374&lt;&gt;"Serviço",0,ROUND(SUMIF($F$9:$P$9,"&lt;&gt;",$F374:$P374),15-13*PO!$X$3))</f>
        <v>1</v>
      </c>
      <c r="F374" s="364">
        <f ca="1">OFFSET(PO!$P$12,ROW($E374)-ROW(F$12),0)</f>
        <v>1</v>
      </c>
      <c r="G374" s="364"/>
      <c r="H374" s="364"/>
      <c r="I374" s="364"/>
      <c r="J374" s="364"/>
      <c r="K374" s="364"/>
      <c r="L374" s="364"/>
      <c r="M374" s="364"/>
      <c r="N374" s="364"/>
      <c r="O374" s="364"/>
      <c r="U374" s="182"/>
    </row>
    <row r="375" spans="1:21" s="1" customFormat="1" ht="51" x14ac:dyDescent="0.2">
      <c r="A375" s="110" t="str">
        <f ca="1">OFFSET(PO!J$12,ROW(A375)-ROW($A$12),0)</f>
        <v>Serviço</v>
      </c>
      <c r="B375" s="112" t="str">
        <f ca="1">IF($A375=0,"",OFFSET(PO!K$12,ROW(B375)-ROW(B$12),0))</f>
        <v>1.12.1.0.6.</v>
      </c>
      <c r="C375" s="109" t="str">
        <f ca="1">IF(OFFSET(PO!N$12,ROW(C375)-ROW(C$12),0)=0,"",OFFSET(PO!N$12,ROW(C375)-ROW(C$12),0))</f>
        <v>Unidade Condensadora, 100% Inverter, tipo VRF com compressor tipo scroll, fluido refrigerante R410A, ciclo reverso/quente e frio, capacidade térmica de refrigeração de 14HP,  condensação a ar. Fornecimento e instalação</v>
      </c>
      <c r="D375" s="111" t="str">
        <f ca="1">IF(OFFSET(PO!O$12,ROW(D375)-ROW(D$12),0)=0,"",OFFSET(PO!O$12,ROW(D375)-ROW(D$12),0))</f>
        <v>UNIDADE</v>
      </c>
      <c r="E375" s="140">
        <f ca="1">IF($A375&lt;&gt;"Serviço",0,ROUND(SUMIF($F$9:$P$9,"&lt;&gt;",$F375:$P375),15-13*PO!$X$3))</f>
        <v>1</v>
      </c>
      <c r="F375" s="364">
        <f ca="1">OFFSET(PO!$P$12,ROW($E375)-ROW(F$12),0)</f>
        <v>1</v>
      </c>
      <c r="G375" s="364"/>
      <c r="H375" s="364"/>
      <c r="I375" s="364"/>
      <c r="J375" s="364"/>
      <c r="K375" s="364"/>
      <c r="L375" s="364"/>
      <c r="M375" s="364"/>
      <c r="N375" s="364"/>
      <c r="O375" s="364"/>
      <c r="U375" s="182"/>
    </row>
    <row r="376" spans="1:21" s="1" customFormat="1" ht="51" x14ac:dyDescent="0.2">
      <c r="A376" s="110" t="str">
        <f ca="1">OFFSET(PO!J$12,ROW(A376)-ROW($A$12),0)</f>
        <v>Serviço</v>
      </c>
      <c r="B376" s="112" t="str">
        <f ca="1">IF($A376=0,"",OFFSET(PO!K$12,ROW(B376)-ROW(B$12),0))</f>
        <v>1.12.1.0.7.</v>
      </c>
      <c r="C376" s="109" t="str">
        <f ca="1">IF(OFFSET(PO!N$12,ROW(C376)-ROW(C$12),0)=0,"",OFFSET(PO!N$12,ROW(C376)-ROW(C$12),0))</f>
        <v>Unidade Condensadora, 100% Inverter, tipo mini VRF com compressor tipo scroll, fluido refrigerante R410A, ciclo reverso/quente e frio, capacidade térmica de refrigeração de 3HP,  condensação a ar. Fornecimento e instalação</v>
      </c>
      <c r="D376" s="111" t="str">
        <f ca="1">IF(OFFSET(PO!O$12,ROW(D376)-ROW(D$12),0)=0,"",OFFSET(PO!O$12,ROW(D376)-ROW(D$12),0))</f>
        <v>UNIDADE</v>
      </c>
      <c r="E376" s="140">
        <f ca="1">IF($A376&lt;&gt;"Serviço",0,ROUND(SUMIF($F$9:$P$9,"&lt;&gt;",$F376:$P376),15-13*PO!$X$3))</f>
        <v>1</v>
      </c>
      <c r="F376" s="364">
        <f ca="1">OFFSET(PO!$P$12,ROW($E376)-ROW(F$12),0)</f>
        <v>1</v>
      </c>
      <c r="G376" s="364"/>
      <c r="H376" s="364"/>
      <c r="I376" s="364"/>
      <c r="J376" s="364"/>
      <c r="K376" s="364"/>
      <c r="L376" s="364"/>
      <c r="M376" s="364"/>
      <c r="N376" s="364"/>
      <c r="O376" s="364"/>
      <c r="U376" s="182"/>
    </row>
    <row r="377" spans="1:21" s="1" customFormat="1" ht="51" x14ac:dyDescent="0.2">
      <c r="A377" s="110" t="str">
        <f ca="1">OFFSET(PO!J$12,ROW(A377)-ROW($A$12),0)</f>
        <v>Serviço</v>
      </c>
      <c r="B377" s="112" t="str">
        <f ca="1">IF($A377=0,"",OFFSET(PO!K$12,ROW(B377)-ROW(B$12),0))</f>
        <v>1.12.1.0.8.</v>
      </c>
      <c r="C377" s="109" t="str">
        <f ca="1">IF(OFFSET(PO!N$12,ROW(C377)-ROW(C$12),0)=0,"",OFFSET(PO!N$12,ROW(C377)-ROW(C$12),0))</f>
        <v>Unidade Condensadora, 100% Inverter, tipo mini VRF com compressor tipo scroll, fluido refrigerante R410A, ciclo reverso/quente e frio,  capacidade térmica de refrigeração de 4HP,  condensação a ar. Fornecimento e instalação</v>
      </c>
      <c r="D377" s="111" t="str">
        <f ca="1">IF(OFFSET(PO!O$12,ROW(D377)-ROW(D$12),0)=0,"",OFFSET(PO!O$12,ROW(D377)-ROW(D$12),0))</f>
        <v>UNIDADE</v>
      </c>
      <c r="E377" s="140">
        <f ca="1">IF($A377&lt;&gt;"Serviço",0,ROUND(SUMIF($F$9:$P$9,"&lt;&gt;",$F377:$P377),15-13*PO!$X$3))</f>
        <v>1</v>
      </c>
      <c r="F377" s="364">
        <f ca="1">OFFSET(PO!$P$12,ROW($E377)-ROW(F$12),0)</f>
        <v>1</v>
      </c>
      <c r="G377" s="364"/>
      <c r="H377" s="364"/>
      <c r="I377" s="364"/>
      <c r="J377" s="364"/>
      <c r="K377" s="364"/>
      <c r="L377" s="364"/>
      <c r="M377" s="364"/>
      <c r="N377" s="364"/>
      <c r="O377" s="364"/>
      <c r="U377" s="182"/>
    </row>
    <row r="378" spans="1:21" s="1" customFormat="1" x14ac:dyDescent="0.2">
      <c r="A378" s="110" t="str">
        <f ca="1">OFFSET(PO!J$12,ROW(A378)-ROW($A$12),0)</f>
        <v>Nível 3</v>
      </c>
      <c r="B378" s="112" t="str">
        <f ca="1">IF($A378=0,"",OFFSET(PO!K$12,ROW(B378)-ROW(B$12),0))</f>
        <v>1.12.2.</v>
      </c>
      <c r="C378" s="109" t="str">
        <f ca="1">IF(OFFSET(PO!N$12,ROW(C378)-ROW(C$12),0)=0,"",OFFSET(PO!N$12,ROW(C378)-ROW(C$12),0))</f>
        <v>REDE DE DUTOS E ACESSÓRIOS</v>
      </c>
      <c r="D378" s="111" t="str">
        <f ca="1">IF(OFFSET(PO!O$12,ROW(D378)-ROW(D$12),0)=0,"",OFFSET(PO!O$12,ROW(D378)-ROW(D$12),0))</f>
        <v/>
      </c>
      <c r="E378" s="140">
        <f ca="1">IF($A378&lt;&gt;"Serviço",0,ROUND(SUMIF($F$9:$P$9,"&lt;&gt;",$F378:$P378),15-13*PO!$X$3))</f>
        <v>0</v>
      </c>
      <c r="F378" s="364">
        <f ca="1">OFFSET(PO!$P$12,ROW($E378)-ROW(F$12),0)</f>
        <v>0</v>
      </c>
      <c r="G378" s="364"/>
      <c r="H378" s="364"/>
      <c r="I378" s="364"/>
      <c r="J378" s="364"/>
      <c r="K378" s="364"/>
      <c r="L378" s="364"/>
      <c r="M378" s="364"/>
      <c r="N378" s="364"/>
      <c r="O378" s="364"/>
      <c r="U378" s="182"/>
    </row>
    <row r="379" spans="1:21" s="1" customFormat="1" ht="25.5" x14ac:dyDescent="0.2">
      <c r="A379" s="110" t="str">
        <f ca="1">OFFSET(PO!J$12,ROW(A379)-ROW($A$12),0)</f>
        <v>Serviço</v>
      </c>
      <c r="B379" s="112" t="str">
        <f ca="1">IF($A379=0,"",OFFSET(PO!K$12,ROW(B379)-ROW(B$12),0))</f>
        <v>1.12.2.0.1.</v>
      </c>
      <c r="C379" s="109" t="str">
        <f ca="1">IF(OFFSET(PO!N$12,ROW(C379)-ROW(C$12),0)=0,"",OFFSET(PO!N$12,ROW(C379)-ROW(C$12),0))</f>
        <v>Painel de MPU para dutos de ar condicionado, espessura 20mm e acessórios de montagem</v>
      </c>
      <c r="D379" s="111" t="str">
        <f ca="1">IF(OFFSET(PO!O$12,ROW(D379)-ROW(D$12),0)=0,"",OFFSET(PO!O$12,ROW(D379)-ROW(D$12),0))</f>
        <v>M2</v>
      </c>
      <c r="E379" s="140">
        <f ca="1">IF($A379&lt;&gt;"Serviço",0,ROUND(SUMIF($F$9:$P$9,"&lt;&gt;",$F379:$P379),15-13*PO!$X$3))</f>
        <v>250</v>
      </c>
      <c r="F379" s="364">
        <f ca="1">OFFSET(PO!$P$12,ROW($E379)-ROW(F$12),0)</f>
        <v>250</v>
      </c>
      <c r="G379" s="364"/>
      <c r="H379" s="364"/>
      <c r="I379" s="364"/>
      <c r="J379" s="364"/>
      <c r="K379" s="364"/>
      <c r="L379" s="364"/>
      <c r="M379" s="364"/>
      <c r="N379" s="364"/>
      <c r="O379" s="364"/>
      <c r="U379" s="182"/>
    </row>
    <row r="380" spans="1:21" s="1" customFormat="1" ht="25.5" x14ac:dyDescent="0.2">
      <c r="A380" s="110" t="str">
        <f ca="1">OFFSET(PO!J$12,ROW(A380)-ROW($A$12),0)</f>
        <v>Serviço</v>
      </c>
      <c r="B380" s="112" t="str">
        <f ca="1">IF($A380=0,"",OFFSET(PO!K$12,ROW(B380)-ROW(B$12),0))</f>
        <v>1.12.2.0.2.</v>
      </c>
      <c r="C380" s="109" t="str">
        <f ca="1">IF(OFFSET(PO!N$12,ROW(C380)-ROW(C$12),0)=0,"",OFFSET(PO!N$12,ROW(C380)-ROW(C$12),0))</f>
        <v>Chapa de aço galvanizado bitola 24, espessura 0,64 mm (5,12 kg/m²) - Fornecimento e instalação</v>
      </c>
      <c r="D380" s="111" t="str">
        <f ca="1">IF(OFFSET(PO!O$12,ROW(D380)-ROW(D$12),0)=0,"",OFFSET(PO!O$12,ROW(D380)-ROW(D$12),0))</f>
        <v>kg</v>
      </c>
      <c r="E380" s="140">
        <f ca="1">IF($A380&lt;&gt;"Serviço",0,ROUND(SUMIF($F$9:$P$9,"&lt;&gt;",$F380:$P380),15-13*PO!$X$3))</f>
        <v>256</v>
      </c>
      <c r="F380" s="364">
        <f ca="1">OFFSET(PO!$P$12,ROW($E380)-ROW(F$12),0)</f>
        <v>256</v>
      </c>
      <c r="G380" s="364"/>
      <c r="H380" s="364"/>
      <c r="I380" s="364"/>
      <c r="J380" s="364"/>
      <c r="K380" s="364"/>
      <c r="L380" s="364"/>
      <c r="M380" s="364"/>
      <c r="N380" s="364"/>
      <c r="O380" s="364"/>
      <c r="U380" s="182"/>
    </row>
    <row r="381" spans="1:21" s="1" customFormat="1" ht="25.5" x14ac:dyDescent="0.2">
      <c r="A381" s="110" t="str">
        <f ca="1">OFFSET(PO!J$12,ROW(A381)-ROW($A$12),0)</f>
        <v>Serviço</v>
      </c>
      <c r="B381" s="112" t="str">
        <f ca="1">IF($A381=0,"",OFFSET(PO!K$12,ROW(B381)-ROW(B$12),0))</f>
        <v>1.12.2.0.3.</v>
      </c>
      <c r="C381" s="109" t="str">
        <f ca="1">IF(OFFSET(PO!N$12,ROW(C381)-ROW(C$12),0)=0,"",OFFSET(PO!N$12,ROW(C381)-ROW(C$12),0))</f>
        <v>Difusor 4 vias em alumínio anodizado com registro - 361x361mm</v>
      </c>
      <c r="D381" s="111" t="str">
        <f ca="1">IF(OFFSET(PO!O$12,ROW(D381)-ROW(D$12),0)=0,"",OFFSET(PO!O$12,ROW(D381)-ROW(D$12),0))</f>
        <v>UNIDADE</v>
      </c>
      <c r="E381" s="140">
        <f ca="1">IF($A381&lt;&gt;"Serviço",0,ROUND(SUMIF($F$9:$P$9,"&lt;&gt;",$F381:$P381),15-13*PO!$X$3))</f>
        <v>15</v>
      </c>
      <c r="F381" s="364">
        <f ca="1">OFFSET(PO!$P$12,ROW($E381)-ROW(F$12),0)</f>
        <v>15</v>
      </c>
      <c r="G381" s="364"/>
      <c r="H381" s="364"/>
      <c r="I381" s="364"/>
      <c r="J381" s="364"/>
      <c r="K381" s="364"/>
      <c r="L381" s="364"/>
      <c r="M381" s="364"/>
      <c r="N381" s="364"/>
      <c r="O381" s="364"/>
      <c r="U381" s="182"/>
    </row>
    <row r="382" spans="1:21" s="1" customFormat="1" ht="25.5" x14ac:dyDescent="0.2">
      <c r="A382" s="110" t="str">
        <f ca="1">OFFSET(PO!J$12,ROW(A382)-ROW($A$12),0)</f>
        <v>Serviço</v>
      </c>
      <c r="B382" s="112" t="str">
        <f ca="1">IF($A382=0,"",OFFSET(PO!K$12,ROW(B382)-ROW(B$12),0))</f>
        <v>1.12.2.0.4.</v>
      </c>
      <c r="C382" s="109" t="str">
        <f ca="1">IF(OFFSET(PO!N$12,ROW(C382)-ROW(C$12),0)=0,"",OFFSET(PO!N$12,ROW(C382)-ROW(C$12),0))</f>
        <v>Difusor 4 vias em alumínio anodizado com registro - 491x491mm</v>
      </c>
      <c r="D382" s="111" t="str">
        <f ca="1">IF(OFFSET(PO!O$12,ROW(D382)-ROW(D$12),0)=0,"",OFFSET(PO!O$12,ROW(D382)-ROW(D$12),0))</f>
        <v>UNIDADE</v>
      </c>
      <c r="E382" s="140">
        <f ca="1">IF($A382&lt;&gt;"Serviço",0,ROUND(SUMIF($F$9:$P$9,"&lt;&gt;",$F382:$P382),15-13*PO!$X$3))</f>
        <v>12</v>
      </c>
      <c r="F382" s="364">
        <f ca="1">OFFSET(PO!$P$12,ROW($E382)-ROW(F$12),0)</f>
        <v>12</v>
      </c>
      <c r="G382" s="364"/>
      <c r="H382" s="364"/>
      <c r="I382" s="364"/>
      <c r="J382" s="364"/>
      <c r="K382" s="364"/>
      <c r="L382" s="364"/>
      <c r="M382" s="364"/>
      <c r="N382" s="364"/>
      <c r="O382" s="364"/>
      <c r="U382" s="182"/>
    </row>
    <row r="383" spans="1:21" s="1" customFormat="1" ht="25.5" x14ac:dyDescent="0.2">
      <c r="A383" s="110" t="str">
        <f ca="1">OFFSET(PO!J$12,ROW(A383)-ROW($A$12),0)</f>
        <v>Serviço</v>
      </c>
      <c r="B383" s="112" t="str">
        <f ca="1">IF($A383=0,"",OFFSET(PO!K$12,ROW(B383)-ROW(B$12),0))</f>
        <v>1.12.2.0.5.</v>
      </c>
      <c r="C383" s="109" t="str">
        <f ca="1">IF(OFFSET(PO!N$12,ROW(C383)-ROW(C$12),0)=0,"",OFFSET(PO!N$12,ROW(C383)-ROW(C$12),0))</f>
        <v>Grelha de retorno em alumínio anodizado com registro - 225x525mm</v>
      </c>
      <c r="D383" s="111" t="str">
        <f ca="1">IF(OFFSET(PO!O$12,ROW(D383)-ROW(D$12),0)=0,"",OFFSET(PO!O$12,ROW(D383)-ROW(D$12),0))</f>
        <v>UNIDADE</v>
      </c>
      <c r="E383" s="140">
        <f ca="1">IF($A383&lt;&gt;"Serviço",0,ROUND(SUMIF($F$9:$P$9,"&lt;&gt;",$F383:$P383),15-13*PO!$X$3))</f>
        <v>2</v>
      </c>
      <c r="F383" s="364">
        <f ca="1">OFFSET(PO!$P$12,ROW($E383)-ROW(F$12),0)</f>
        <v>2</v>
      </c>
      <c r="G383" s="364"/>
      <c r="H383" s="364"/>
      <c r="I383" s="364"/>
      <c r="J383" s="364"/>
      <c r="K383" s="364"/>
      <c r="L383" s="364"/>
      <c r="M383" s="364"/>
      <c r="N383" s="364"/>
      <c r="O383" s="364"/>
      <c r="U383" s="182"/>
    </row>
    <row r="384" spans="1:21" s="1" customFormat="1" ht="25.5" x14ac:dyDescent="0.2">
      <c r="A384" s="110" t="str">
        <f ca="1">OFFSET(PO!J$12,ROW(A384)-ROW($A$12),0)</f>
        <v>Serviço</v>
      </c>
      <c r="B384" s="112" t="str">
        <f ca="1">IF($A384=0,"",OFFSET(PO!K$12,ROW(B384)-ROW(B$12),0))</f>
        <v>1.12.2.0.6.</v>
      </c>
      <c r="C384" s="109" t="str">
        <f ca="1">IF(OFFSET(PO!N$12,ROW(C384)-ROW(C$12),0)=0,"",OFFSET(PO!N$12,ROW(C384)-ROW(C$12),0))</f>
        <v>Grelha de retorno em alumínio anodizado com registro - 225x325mm</v>
      </c>
      <c r="D384" s="111" t="str">
        <f ca="1">IF(OFFSET(PO!O$12,ROW(D384)-ROW(D$12),0)=0,"",OFFSET(PO!O$12,ROW(D384)-ROW(D$12),0))</f>
        <v>UNIDADE</v>
      </c>
      <c r="E384" s="140">
        <f ca="1">IF($A384&lt;&gt;"Serviço",0,ROUND(SUMIF($F$9:$P$9,"&lt;&gt;",$F384:$P384),15-13*PO!$X$3))</f>
        <v>3</v>
      </c>
      <c r="F384" s="364">
        <f ca="1">OFFSET(PO!$P$12,ROW($E384)-ROW(F$12),0)</f>
        <v>3</v>
      </c>
      <c r="G384" s="364"/>
      <c r="H384" s="364"/>
      <c r="I384" s="364"/>
      <c r="J384" s="364"/>
      <c r="K384" s="364"/>
      <c r="L384" s="364"/>
      <c r="M384" s="364"/>
      <c r="N384" s="364"/>
      <c r="O384" s="364"/>
      <c r="U384" s="182"/>
    </row>
    <row r="385" spans="1:21" s="1" customFormat="1" ht="25.5" x14ac:dyDescent="0.2">
      <c r="A385" s="110" t="str">
        <f ca="1">OFFSET(PO!J$12,ROW(A385)-ROW($A$12),0)</f>
        <v>Serviço</v>
      </c>
      <c r="B385" s="112" t="str">
        <f ca="1">IF($A385=0,"",OFFSET(PO!K$12,ROW(B385)-ROW(B$12),0))</f>
        <v>1.12.2.0.7.</v>
      </c>
      <c r="C385" s="109" t="str">
        <f ca="1">IF(OFFSET(PO!N$12,ROW(C385)-ROW(C$12),0)=0,"",OFFSET(PO!N$12,ROW(C385)-ROW(C$12),0))</f>
        <v>Grelha de retorno em alumínio anodizado com registro - 225x825mm</v>
      </c>
      <c r="D385" s="111" t="str">
        <f ca="1">IF(OFFSET(PO!O$12,ROW(D385)-ROW(D$12),0)=0,"",OFFSET(PO!O$12,ROW(D385)-ROW(D$12),0))</f>
        <v>UNIDADE</v>
      </c>
      <c r="E385" s="140">
        <f ca="1">IF($A385&lt;&gt;"Serviço",0,ROUND(SUMIF($F$9:$P$9,"&lt;&gt;",$F385:$P385),15-13*PO!$X$3))</f>
        <v>2</v>
      </c>
      <c r="F385" s="364">
        <f ca="1">OFFSET(PO!$P$12,ROW($E385)-ROW(F$12),0)</f>
        <v>2</v>
      </c>
      <c r="G385" s="364"/>
      <c r="H385" s="364"/>
      <c r="I385" s="364"/>
      <c r="J385" s="364"/>
      <c r="K385" s="364"/>
      <c r="L385" s="364"/>
      <c r="M385" s="364"/>
      <c r="N385" s="364"/>
      <c r="O385" s="364"/>
      <c r="U385" s="182"/>
    </row>
    <row r="386" spans="1:21" s="1" customFormat="1" ht="25.5" x14ac:dyDescent="0.2">
      <c r="A386" s="110" t="str">
        <f ca="1">OFFSET(PO!J$12,ROW(A386)-ROW($A$12),0)</f>
        <v>Serviço</v>
      </c>
      <c r="B386" s="112" t="str">
        <f ca="1">IF($A386=0,"",OFFSET(PO!K$12,ROW(B386)-ROW(B$12),0))</f>
        <v>1.12.2.0.8.</v>
      </c>
      <c r="C386" s="109" t="str">
        <f ca="1">IF(OFFSET(PO!N$12,ROW(C386)-ROW(C$12),0)=0,"",OFFSET(PO!N$12,ROW(C386)-ROW(C$12),0))</f>
        <v>Grelha de retorno em alumínio anodizado com registro - 225x85mm</v>
      </c>
      <c r="D386" s="111" t="str">
        <f ca="1">IF(OFFSET(PO!O$12,ROW(D386)-ROW(D$12),0)=0,"",OFFSET(PO!O$12,ROW(D386)-ROW(D$12),0))</f>
        <v>UNIDADE</v>
      </c>
      <c r="E386" s="140">
        <f ca="1">IF($A386&lt;&gt;"Serviço",0,ROUND(SUMIF($F$9:$P$9,"&lt;&gt;",$F386:$P386),15-13*PO!$X$3))</f>
        <v>18</v>
      </c>
      <c r="F386" s="364">
        <f ca="1">OFFSET(PO!$P$12,ROW($E386)-ROW(F$12),0)</f>
        <v>18</v>
      </c>
      <c r="G386" s="364"/>
      <c r="H386" s="364"/>
      <c r="I386" s="364"/>
      <c r="J386" s="364"/>
      <c r="K386" s="364"/>
      <c r="L386" s="364"/>
      <c r="M386" s="364"/>
      <c r="N386" s="364"/>
      <c r="O386" s="364"/>
      <c r="U386" s="182"/>
    </row>
    <row r="387" spans="1:21" s="1" customFormat="1" ht="25.5" x14ac:dyDescent="0.2">
      <c r="A387" s="110" t="str">
        <f ca="1">OFFSET(PO!J$12,ROW(A387)-ROW($A$12),0)</f>
        <v>Serviço</v>
      </c>
      <c r="B387" s="112" t="str">
        <f ca="1">IF($A387=0,"",OFFSET(PO!K$12,ROW(B387)-ROW(B$12),0))</f>
        <v>1.12.2.0.9.</v>
      </c>
      <c r="C387" s="109" t="str">
        <f ca="1">IF(OFFSET(PO!N$12,ROW(C387)-ROW(C$12),0)=0,"",OFFSET(PO!N$12,ROW(C387)-ROW(C$12),0))</f>
        <v>Grelha de retorno de porto com dupla moldura em alumínio anodizado - 500x300mm</v>
      </c>
      <c r="D387" s="111" t="str">
        <f ca="1">IF(OFFSET(PO!O$12,ROW(D387)-ROW(D$12),0)=0,"",OFFSET(PO!O$12,ROW(D387)-ROW(D$12),0))</f>
        <v>UNIDADE</v>
      </c>
      <c r="E387" s="140">
        <f ca="1">IF($A387&lt;&gt;"Serviço",0,ROUND(SUMIF($F$9:$P$9,"&lt;&gt;",$F387:$P387),15-13*PO!$X$3))</f>
        <v>9</v>
      </c>
      <c r="F387" s="364">
        <f ca="1">OFFSET(PO!$P$12,ROW($E387)-ROW(F$12),0)</f>
        <v>9</v>
      </c>
      <c r="G387" s="364"/>
      <c r="H387" s="364"/>
      <c r="I387" s="364"/>
      <c r="J387" s="364"/>
      <c r="K387" s="364"/>
      <c r="L387" s="364"/>
      <c r="M387" s="364"/>
      <c r="N387" s="364"/>
      <c r="O387" s="364"/>
      <c r="U387" s="182"/>
    </row>
    <row r="388" spans="1:21" s="1" customFormat="1" ht="25.5" x14ac:dyDescent="0.2">
      <c r="A388" s="110" t="str">
        <f ca="1">OFFSET(PO!J$12,ROW(A388)-ROW($A$12),0)</f>
        <v>Serviço</v>
      </c>
      <c r="B388" s="112" t="str">
        <f ca="1">IF($A388=0,"",OFFSET(PO!K$12,ROW(B388)-ROW(B$12),0))</f>
        <v>1.12.2.0.10.</v>
      </c>
      <c r="C388" s="109" t="str">
        <f ca="1">IF(OFFSET(PO!N$12,ROW(C388)-ROW(C$12),0)=0,"",OFFSET(PO!N$12,ROW(C388)-ROW(C$12),0))</f>
        <v>Veneziana para descarga de exaustão - 100x100mm</v>
      </c>
      <c r="D388" s="111" t="str">
        <f ca="1">IF(OFFSET(PO!O$12,ROW(D388)-ROW(D$12),0)=0,"",OFFSET(PO!O$12,ROW(D388)-ROW(D$12),0))</f>
        <v>UNIDADE</v>
      </c>
      <c r="E388" s="140">
        <f ca="1">IF($A388&lt;&gt;"Serviço",0,ROUND(SUMIF($F$9:$P$9,"&lt;&gt;",$F388:$P388),15-13*PO!$X$3))</f>
        <v>1</v>
      </c>
      <c r="F388" s="364">
        <f ca="1">OFFSET(PO!$P$12,ROW($E388)-ROW(F$12),0)</f>
        <v>1</v>
      </c>
      <c r="G388" s="364"/>
      <c r="H388" s="364"/>
      <c r="I388" s="364"/>
      <c r="J388" s="364"/>
      <c r="K388" s="364"/>
      <c r="L388" s="364"/>
      <c r="M388" s="364"/>
      <c r="N388" s="364"/>
      <c r="O388" s="364"/>
      <c r="U388" s="182"/>
    </row>
    <row r="389" spans="1:21" s="1" customFormat="1" ht="25.5" x14ac:dyDescent="0.2">
      <c r="A389" s="110" t="str">
        <f ca="1">OFFSET(PO!J$12,ROW(A389)-ROW($A$12),0)</f>
        <v>Serviço</v>
      </c>
      <c r="B389" s="112" t="str">
        <f ca="1">IF($A389=0,"",OFFSET(PO!K$12,ROW(B389)-ROW(B$12),0))</f>
        <v>1.12.2.0.11.</v>
      </c>
      <c r="C389" s="109" t="str">
        <f ca="1">IF(OFFSET(PO!N$12,ROW(C389)-ROW(C$12),0)=0,"",OFFSET(PO!N$12,ROW(C389)-ROW(C$12),0))</f>
        <v>Veneziana para descarga de exaustão - 125x125mm</v>
      </c>
      <c r="D389" s="111" t="str">
        <f ca="1">IF(OFFSET(PO!O$12,ROW(D389)-ROW(D$12),0)=0,"",OFFSET(PO!O$12,ROW(D389)-ROW(D$12),0))</f>
        <v>UNIDADE</v>
      </c>
      <c r="E389" s="140">
        <f ca="1">IF($A389&lt;&gt;"Serviço",0,ROUND(SUMIF($F$9:$P$9,"&lt;&gt;",$F389:$P389),15-13*PO!$X$3))</f>
        <v>1</v>
      </c>
      <c r="F389" s="364">
        <f ca="1">OFFSET(PO!$P$12,ROW($E389)-ROW(F$12),0)</f>
        <v>1</v>
      </c>
      <c r="G389" s="364"/>
      <c r="H389" s="364"/>
      <c r="I389" s="364"/>
      <c r="J389" s="364"/>
      <c r="K389" s="364"/>
      <c r="L389" s="364"/>
      <c r="M389" s="364"/>
      <c r="N389" s="364"/>
      <c r="O389" s="364"/>
      <c r="U389" s="182"/>
    </row>
    <row r="390" spans="1:21" s="1" customFormat="1" ht="25.5" x14ac:dyDescent="0.2">
      <c r="A390" s="110" t="str">
        <f ca="1">OFFSET(PO!J$12,ROW(A390)-ROW($A$12),0)</f>
        <v>Serviço</v>
      </c>
      <c r="B390" s="112" t="str">
        <f ca="1">IF($A390=0,"",OFFSET(PO!K$12,ROW(B390)-ROW(B$12),0))</f>
        <v>1.12.2.0.12.</v>
      </c>
      <c r="C390" s="109" t="str">
        <f ca="1">IF(OFFSET(PO!N$12,ROW(C390)-ROW(C$12),0)=0,"",OFFSET(PO!N$12,ROW(C390)-ROW(C$12),0))</f>
        <v>Veneziana para descarga de exaustão - 150x150mm</v>
      </c>
      <c r="D390" s="111" t="str">
        <f ca="1">IF(OFFSET(PO!O$12,ROW(D390)-ROW(D$12),0)=0,"",OFFSET(PO!O$12,ROW(D390)-ROW(D$12),0))</f>
        <v>UNIDADE</v>
      </c>
      <c r="E390" s="140">
        <f ca="1">IF($A390&lt;&gt;"Serviço",0,ROUND(SUMIF($F$9:$P$9,"&lt;&gt;",$F390:$P390),15-13*PO!$X$3))</f>
        <v>1</v>
      </c>
      <c r="F390" s="364">
        <f ca="1">OFFSET(PO!$P$12,ROW($E390)-ROW(F$12),0)</f>
        <v>1</v>
      </c>
      <c r="G390" s="364"/>
      <c r="H390" s="364"/>
      <c r="I390" s="364"/>
      <c r="J390" s="364"/>
      <c r="K390" s="364"/>
      <c r="L390" s="364"/>
      <c r="M390" s="364"/>
      <c r="N390" s="364"/>
      <c r="O390" s="364"/>
      <c r="U390" s="182"/>
    </row>
    <row r="391" spans="1:21" s="1" customFormat="1" ht="25.5" x14ac:dyDescent="0.2">
      <c r="A391" s="110" t="str">
        <f ca="1">OFFSET(PO!J$12,ROW(A391)-ROW($A$12),0)</f>
        <v>Serviço</v>
      </c>
      <c r="B391" s="112" t="str">
        <f ca="1">IF($A391=0,"",OFFSET(PO!K$12,ROW(B391)-ROW(B$12),0))</f>
        <v>1.12.2.0.13.</v>
      </c>
      <c r="C391" s="109" t="str">
        <f ca="1">IF(OFFSET(PO!N$12,ROW(C391)-ROW(C$12),0)=0,"",OFFSET(PO!N$12,ROW(C391)-ROW(C$12),0))</f>
        <v>Veneziana para descarga de exaustão - 200x200mm</v>
      </c>
      <c r="D391" s="111" t="str">
        <f ca="1">IF(OFFSET(PO!O$12,ROW(D391)-ROW(D$12),0)=0,"",OFFSET(PO!O$12,ROW(D391)-ROW(D$12),0))</f>
        <v>UNIDADE</v>
      </c>
      <c r="E391" s="140">
        <f ca="1">IF($A391&lt;&gt;"Serviço",0,ROUND(SUMIF($F$9:$P$9,"&lt;&gt;",$F391:$P391),15-13*PO!$X$3))</f>
        <v>1</v>
      </c>
      <c r="F391" s="364">
        <f ca="1">OFFSET(PO!$P$12,ROW($E391)-ROW(F$12),0)</f>
        <v>1</v>
      </c>
      <c r="G391" s="364"/>
      <c r="H391" s="364"/>
      <c r="I391" s="364"/>
      <c r="J391" s="364"/>
      <c r="K391" s="364"/>
      <c r="L391" s="364"/>
      <c r="M391" s="364"/>
      <c r="N391" s="364"/>
      <c r="O391" s="364"/>
      <c r="U391" s="182"/>
    </row>
    <row r="392" spans="1:21" s="1" customFormat="1" ht="25.5" x14ac:dyDescent="0.2">
      <c r="A392" s="110" t="str">
        <f ca="1">OFFSET(PO!J$12,ROW(A392)-ROW($A$12),0)</f>
        <v>Serviço</v>
      </c>
      <c r="B392" s="112" t="str">
        <f ca="1">IF($A392=0,"",OFFSET(PO!K$12,ROW(B392)-ROW(B$12),0))</f>
        <v>1.12.2.0.14.</v>
      </c>
      <c r="C392" s="109" t="str">
        <f ca="1">IF(OFFSET(PO!N$12,ROW(C392)-ROW(C$12),0)=0,"",OFFSET(PO!N$12,ROW(C392)-ROW(C$12),0))</f>
        <v>Exaustor Axial Turbo Inline - Ø200mm - Vazão: 882 m³/h - Pressão Disponível: 7,5mmCA</v>
      </c>
      <c r="D392" s="111" t="str">
        <f ca="1">IF(OFFSET(PO!O$12,ROW(D392)-ROW(D$12),0)=0,"",OFFSET(PO!O$12,ROW(D392)-ROW(D$12),0))</f>
        <v>UNIDADE</v>
      </c>
      <c r="E392" s="140">
        <f ca="1">IF($A392&lt;&gt;"Serviço",0,ROUND(SUMIF($F$9:$P$9,"&lt;&gt;",$F392:$P392),15-13*PO!$X$3))</f>
        <v>1</v>
      </c>
      <c r="F392" s="364">
        <f ca="1">OFFSET(PO!$P$12,ROW($E392)-ROW(F$12),0)</f>
        <v>1</v>
      </c>
      <c r="G392" s="364"/>
      <c r="H392" s="364"/>
      <c r="I392" s="364"/>
      <c r="J392" s="364"/>
      <c r="K392" s="364"/>
      <c r="L392" s="364"/>
      <c r="M392" s="364"/>
      <c r="N392" s="364"/>
      <c r="O392" s="364"/>
      <c r="U392" s="182"/>
    </row>
    <row r="393" spans="1:21" s="1" customFormat="1" ht="25.5" x14ac:dyDescent="0.2">
      <c r="A393" s="110" t="str">
        <f ca="1">OFFSET(PO!J$12,ROW(A393)-ROW($A$12),0)</f>
        <v>Serviço</v>
      </c>
      <c r="B393" s="112" t="str">
        <f ca="1">IF($A393=0,"",OFFSET(PO!K$12,ROW(B393)-ROW(B$12),0))</f>
        <v>1.12.2.0.15.</v>
      </c>
      <c r="C393" s="109" t="str">
        <f ca="1">IF(OFFSET(PO!N$12,ROW(C393)-ROW(C$12),0)=0,"",OFFSET(PO!N$12,ROW(C393)-ROW(C$12),0))</f>
        <v>Exaustor Axial Turbo Inline - Ø150mm - Vazão: 500 m³/h - Pressão Disponível: 7mmCA</v>
      </c>
      <c r="D393" s="111" t="str">
        <f ca="1">IF(OFFSET(PO!O$12,ROW(D393)-ROW(D$12),0)=0,"",OFFSET(PO!O$12,ROW(D393)-ROW(D$12),0))</f>
        <v>UNIDADE</v>
      </c>
      <c r="E393" s="140">
        <f ca="1">IF($A393&lt;&gt;"Serviço",0,ROUND(SUMIF($F$9:$P$9,"&lt;&gt;",$F393:$P393),15-13*PO!$X$3))</f>
        <v>2</v>
      </c>
      <c r="F393" s="364">
        <f ca="1">OFFSET(PO!$P$12,ROW($E393)-ROW(F$12),0)</f>
        <v>2</v>
      </c>
      <c r="G393" s="364"/>
      <c r="H393" s="364"/>
      <c r="I393" s="364"/>
      <c r="J393" s="364"/>
      <c r="K393" s="364"/>
      <c r="L393" s="364"/>
      <c r="M393" s="364"/>
      <c r="N393" s="364"/>
      <c r="O393" s="364"/>
      <c r="U393" s="182"/>
    </row>
    <row r="394" spans="1:21" s="1" customFormat="1" ht="25.5" x14ac:dyDescent="0.2">
      <c r="A394" s="110" t="str">
        <f ca="1">OFFSET(PO!J$12,ROW(A394)-ROW($A$12),0)</f>
        <v>Serviço</v>
      </c>
      <c r="B394" s="112" t="str">
        <f ca="1">IF($A394=0,"",OFFSET(PO!K$12,ROW(B394)-ROW(B$12),0))</f>
        <v>1.12.2.0.16.</v>
      </c>
      <c r="C394" s="109" t="str">
        <f ca="1">IF(OFFSET(PO!N$12,ROW(C394)-ROW(C$12),0)=0,"",OFFSET(PO!N$12,ROW(C394)-ROW(C$12),0))</f>
        <v>Exaustor Axial Turbo Inline - Ø125mm - Vazão: 252 m³/h - Pressão Disponível: 5mmCA</v>
      </c>
      <c r="D394" s="111" t="str">
        <f ca="1">IF(OFFSET(PO!O$12,ROW(D394)-ROW(D$12),0)=0,"",OFFSET(PO!O$12,ROW(D394)-ROW(D$12),0))</f>
        <v>UNIDADE</v>
      </c>
      <c r="E394" s="140">
        <f ca="1">IF($A394&lt;&gt;"Serviço",0,ROUND(SUMIF($F$9:$P$9,"&lt;&gt;",$F394:$P394),15-13*PO!$X$3))</f>
        <v>1</v>
      </c>
      <c r="F394" s="364">
        <f ca="1">OFFSET(PO!$P$12,ROW($E394)-ROW(F$12),0)</f>
        <v>1</v>
      </c>
      <c r="G394" s="364"/>
      <c r="H394" s="364"/>
      <c r="I394" s="364"/>
      <c r="J394" s="364"/>
      <c r="K394" s="364"/>
      <c r="L394" s="364"/>
      <c r="M394" s="364"/>
      <c r="N394" s="364"/>
      <c r="O394" s="364"/>
      <c r="U394" s="182"/>
    </row>
    <row r="395" spans="1:21" s="1" customFormat="1" ht="25.5" x14ac:dyDescent="0.2">
      <c r="A395" s="110" t="str">
        <f ca="1">OFFSET(PO!J$12,ROW(A395)-ROW($A$12),0)</f>
        <v>Serviço</v>
      </c>
      <c r="B395" s="112" t="str">
        <f ca="1">IF($A395=0,"",OFFSET(PO!K$12,ROW(B395)-ROW(B$12),0))</f>
        <v>1.12.2.0.17.</v>
      </c>
      <c r="C395" s="109" t="str">
        <f ca="1">IF(OFFSET(PO!N$12,ROW(C395)-ROW(C$12),0)=0,"",OFFSET(PO!N$12,ROW(C395)-ROW(C$12),0))</f>
        <v>Exaustor Axial Turbo Inline - Ø100mm - Vazão: 126 m³/h - Pressão Disponível: 4mmCA</v>
      </c>
      <c r="D395" s="111" t="str">
        <f ca="1">IF(OFFSET(PO!O$12,ROW(D395)-ROW(D$12),0)=0,"",OFFSET(PO!O$12,ROW(D395)-ROW(D$12),0))</f>
        <v>UNIDADE</v>
      </c>
      <c r="E395" s="140">
        <f ca="1">IF($A395&lt;&gt;"Serviço",0,ROUND(SUMIF($F$9:$P$9,"&lt;&gt;",$F395:$P395),15-13*PO!$X$3))</f>
        <v>1</v>
      </c>
      <c r="F395" s="364">
        <f ca="1">OFFSET(PO!$P$12,ROW($E395)-ROW(F$12),0)</f>
        <v>1</v>
      </c>
      <c r="G395" s="364"/>
      <c r="H395" s="364"/>
      <c r="I395" s="364"/>
      <c r="J395" s="364"/>
      <c r="K395" s="364"/>
      <c r="L395" s="364"/>
      <c r="M395" s="364"/>
      <c r="N395" s="364"/>
      <c r="O395" s="364"/>
      <c r="U395" s="182"/>
    </row>
    <row r="396" spans="1:21" s="1" customFormat="1" ht="25.5" x14ac:dyDescent="0.2">
      <c r="A396" s="110" t="str">
        <f ca="1">OFFSET(PO!J$12,ROW(A396)-ROW($A$12),0)</f>
        <v>Serviço</v>
      </c>
      <c r="B396" s="112" t="str">
        <f ca="1">IF($A396=0,"",OFFSET(PO!K$12,ROW(B396)-ROW(B$12),0))</f>
        <v>1.12.2.0.18.</v>
      </c>
      <c r="C396" s="109" t="str">
        <f ca="1">IF(OFFSET(PO!N$12,ROW(C396)-ROW(C$12),0)=0,"",OFFSET(PO!N$12,ROW(C396)-ROW(C$12),0))</f>
        <v>Suportação para dutos incluindos perfilados 19x38mm, barra roscada 1/4'', Chumbador, Conjunto Cone/Jaqueta 1/4 e arruela lisa M6</v>
      </c>
      <c r="D396" s="111" t="str">
        <f ca="1">IF(OFFSET(PO!O$12,ROW(D396)-ROW(D$12),0)=0,"",OFFSET(PO!O$12,ROW(D396)-ROW(D$12),0))</f>
        <v>UNIDADE</v>
      </c>
      <c r="E396" s="140">
        <f ca="1">IF($A396&lt;&gt;"Serviço",0,ROUND(SUMIF($F$9:$P$9,"&lt;&gt;",$F396:$P396),15-13*PO!$X$3))</f>
        <v>1</v>
      </c>
      <c r="F396" s="364">
        <f ca="1">OFFSET(PO!$P$12,ROW($E396)-ROW(F$12),0)</f>
        <v>1</v>
      </c>
      <c r="G396" s="364"/>
      <c r="H396" s="364"/>
      <c r="I396" s="364"/>
      <c r="J396" s="364"/>
      <c r="K396" s="364"/>
      <c r="L396" s="364"/>
      <c r="M396" s="364"/>
      <c r="N396" s="364"/>
      <c r="O396" s="364"/>
      <c r="U396" s="182"/>
    </row>
    <row r="397" spans="1:21" s="1" customFormat="1" x14ac:dyDescent="0.2">
      <c r="A397" s="110" t="str">
        <f ca="1">OFFSET(PO!J$12,ROW(A397)-ROW($A$12),0)</f>
        <v>Nível 3</v>
      </c>
      <c r="B397" s="112" t="str">
        <f ca="1">IF($A397=0,"",OFFSET(PO!K$12,ROW(B397)-ROW(B$12),0))</f>
        <v>1.12.3.</v>
      </c>
      <c r="C397" s="109" t="str">
        <f ca="1">IF(OFFSET(PO!N$12,ROW(C397)-ROW(C$12),0)=0,"",OFFSET(PO!N$12,ROW(C397)-ROW(C$12),0))</f>
        <v>TUBULAÇÃO DE COBRE E ACESSÓRIOS</v>
      </c>
      <c r="D397" s="111" t="str">
        <f ca="1">IF(OFFSET(PO!O$12,ROW(D397)-ROW(D$12),0)=0,"",OFFSET(PO!O$12,ROW(D397)-ROW(D$12),0))</f>
        <v/>
      </c>
      <c r="E397" s="140">
        <f ca="1">IF($A397&lt;&gt;"Serviço",0,ROUND(SUMIF($F$9:$P$9,"&lt;&gt;",$F397:$P397),15-13*PO!$X$3))</f>
        <v>0</v>
      </c>
      <c r="F397" s="364">
        <f ca="1">OFFSET(PO!$P$12,ROW($E397)-ROW(F$12),0)</f>
        <v>0</v>
      </c>
      <c r="G397" s="364"/>
      <c r="H397" s="364"/>
      <c r="I397" s="364"/>
      <c r="J397" s="364"/>
      <c r="K397" s="364"/>
      <c r="L397" s="364"/>
      <c r="M397" s="364"/>
      <c r="N397" s="364"/>
      <c r="O397" s="364"/>
      <c r="U397" s="182"/>
    </row>
    <row r="398" spans="1:21" s="1" customFormat="1" x14ac:dyDescent="0.2">
      <c r="A398" s="110" t="str">
        <f ca="1">OFFSET(PO!J$12,ROW(A398)-ROW($A$12),0)</f>
        <v>Serviço</v>
      </c>
      <c r="B398" s="112" t="str">
        <f ca="1">IF($A398=0,"",OFFSET(PO!K$12,ROW(B398)-ROW(B$12),0))</f>
        <v>1.12.3.0.1.</v>
      </c>
      <c r="C398" s="109" t="str">
        <f ca="1">IF(OFFSET(PO!N$12,ROW(C398)-ROW(C$12),0)=0,"",OFFSET(PO!N$12,ROW(C398)-ROW(C$12),0))</f>
        <v>Tubo de Cobre Ø3/8'', fornecimento e mão de obra de instalação.</v>
      </c>
      <c r="D398" s="111" t="str">
        <f ca="1">IF(OFFSET(PO!O$12,ROW(D398)-ROW(D$12),0)=0,"",OFFSET(PO!O$12,ROW(D398)-ROW(D$12),0))</f>
        <v>M</v>
      </c>
      <c r="E398" s="140">
        <f ca="1">IF($A398&lt;&gt;"Serviço",0,ROUND(SUMIF($F$9:$P$9,"&lt;&gt;",$F398:$P398),15-13*PO!$X$3))</f>
        <v>40</v>
      </c>
      <c r="F398" s="364">
        <f ca="1">OFFSET(PO!$P$12,ROW($E398)-ROW(F$12),0)</f>
        <v>40</v>
      </c>
      <c r="G398" s="364"/>
      <c r="H398" s="364"/>
      <c r="I398" s="364"/>
      <c r="J398" s="364"/>
      <c r="K398" s="364"/>
      <c r="L398" s="364"/>
      <c r="M398" s="364"/>
      <c r="N398" s="364"/>
      <c r="O398" s="364"/>
      <c r="U398" s="182"/>
    </row>
    <row r="399" spans="1:21" s="1" customFormat="1" x14ac:dyDescent="0.2">
      <c r="A399" s="110" t="str">
        <f ca="1">OFFSET(PO!J$12,ROW(A399)-ROW($A$12),0)</f>
        <v>Serviço</v>
      </c>
      <c r="B399" s="112" t="str">
        <f ca="1">IF($A399=0,"",OFFSET(PO!K$12,ROW(B399)-ROW(B$12),0))</f>
        <v>1.12.3.0.2.</v>
      </c>
      <c r="C399" s="109" t="str">
        <f ca="1">IF(OFFSET(PO!N$12,ROW(C399)-ROW(C$12),0)=0,"",OFFSET(PO!N$12,ROW(C399)-ROW(C$12),0))</f>
        <v>Tubo de Cobre Ø1/2'', fornecimento e mão de obra de instalação.</v>
      </c>
      <c r="D399" s="111" t="str">
        <f ca="1">IF(OFFSET(PO!O$12,ROW(D399)-ROW(D$12),0)=0,"",OFFSET(PO!O$12,ROW(D399)-ROW(D$12),0))</f>
        <v>M</v>
      </c>
      <c r="E399" s="140">
        <f ca="1">IF($A399&lt;&gt;"Serviço",0,ROUND(SUMIF($F$9:$P$9,"&lt;&gt;",$F399:$P399),15-13*PO!$X$3))</f>
        <v>8</v>
      </c>
      <c r="F399" s="364">
        <f ca="1">OFFSET(PO!$P$12,ROW($E399)-ROW(F$12),0)</f>
        <v>8</v>
      </c>
      <c r="G399" s="364"/>
      <c r="H399" s="364"/>
      <c r="I399" s="364"/>
      <c r="J399" s="364"/>
      <c r="K399" s="364"/>
      <c r="L399" s="364"/>
      <c r="M399" s="364"/>
      <c r="N399" s="364"/>
      <c r="O399" s="364"/>
      <c r="U399" s="182"/>
    </row>
    <row r="400" spans="1:21" s="1" customFormat="1" x14ac:dyDescent="0.2">
      <c r="A400" s="110" t="str">
        <f ca="1">OFFSET(PO!J$12,ROW(A400)-ROW($A$12),0)</f>
        <v>Serviço</v>
      </c>
      <c r="B400" s="112" t="str">
        <f ca="1">IF($A400=0,"",OFFSET(PO!K$12,ROW(B400)-ROW(B$12),0))</f>
        <v>1.12.3.0.3.</v>
      </c>
      <c r="C400" s="109" t="str">
        <f ca="1">IF(OFFSET(PO!N$12,ROW(C400)-ROW(C$12),0)=0,"",OFFSET(PO!N$12,ROW(C400)-ROW(C$12),0))</f>
        <v>Tubo de Cobre Ø5/8'', fornecimento e mão de obra de instalação.</v>
      </c>
      <c r="D400" s="111" t="str">
        <f ca="1">IF(OFFSET(PO!O$12,ROW(D400)-ROW(D$12),0)=0,"",OFFSET(PO!O$12,ROW(D400)-ROW(D$12),0))</f>
        <v>M</v>
      </c>
      <c r="E400" s="140">
        <f ca="1">IF($A400&lt;&gt;"Serviço",0,ROUND(SUMIF($F$9:$P$9,"&lt;&gt;",$F400:$P400),15-13*PO!$X$3))</f>
        <v>26</v>
      </c>
      <c r="F400" s="364">
        <f ca="1">OFFSET(PO!$P$12,ROW($E400)-ROW(F$12),0)</f>
        <v>26</v>
      </c>
      <c r="G400" s="364"/>
      <c r="H400" s="364"/>
      <c r="I400" s="364"/>
      <c r="J400" s="364"/>
      <c r="K400" s="364"/>
      <c r="L400" s="364"/>
      <c r="M400" s="364"/>
      <c r="N400" s="364"/>
      <c r="O400" s="364"/>
      <c r="U400" s="182"/>
    </row>
    <row r="401" spans="1:21" s="1" customFormat="1" x14ac:dyDescent="0.2">
      <c r="A401" s="110" t="str">
        <f ca="1">OFFSET(PO!J$12,ROW(A401)-ROW($A$12),0)</f>
        <v>Serviço</v>
      </c>
      <c r="B401" s="112" t="str">
        <f ca="1">IF($A401=0,"",OFFSET(PO!K$12,ROW(B401)-ROW(B$12),0))</f>
        <v>1.12.3.0.4.</v>
      </c>
      <c r="C401" s="109" t="str">
        <f ca="1">IF(OFFSET(PO!N$12,ROW(C401)-ROW(C$12),0)=0,"",OFFSET(PO!N$12,ROW(C401)-ROW(C$12),0))</f>
        <v>Tubo de Cobre Ø3/4'', fornecimento e mão de obra de instalação.</v>
      </c>
      <c r="D401" s="111" t="str">
        <f ca="1">IF(OFFSET(PO!O$12,ROW(D401)-ROW(D$12),0)=0,"",OFFSET(PO!O$12,ROW(D401)-ROW(D$12),0))</f>
        <v>M</v>
      </c>
      <c r="E401" s="140">
        <f ca="1">IF($A401&lt;&gt;"Serviço",0,ROUND(SUMIF($F$9:$P$9,"&lt;&gt;",$F401:$P401),15-13*PO!$X$3))</f>
        <v>14</v>
      </c>
      <c r="F401" s="364">
        <f ca="1">OFFSET(PO!$P$12,ROW($E401)-ROW(F$12),0)</f>
        <v>14</v>
      </c>
      <c r="G401" s="364"/>
      <c r="H401" s="364"/>
      <c r="I401" s="364"/>
      <c r="J401" s="364"/>
      <c r="K401" s="364"/>
      <c r="L401" s="364"/>
      <c r="M401" s="364"/>
      <c r="N401" s="364"/>
      <c r="O401" s="364"/>
      <c r="U401" s="182"/>
    </row>
    <row r="402" spans="1:21" s="1" customFormat="1" x14ac:dyDescent="0.2">
      <c r="A402" s="110" t="str">
        <f ca="1">OFFSET(PO!J$12,ROW(A402)-ROW($A$12),0)</f>
        <v>Serviço</v>
      </c>
      <c r="B402" s="112" t="str">
        <f ca="1">IF($A402=0,"",OFFSET(PO!K$12,ROW(B402)-ROW(B$12),0))</f>
        <v>1.12.3.0.5.</v>
      </c>
      <c r="C402" s="109" t="str">
        <f ca="1">IF(OFFSET(PO!N$12,ROW(C402)-ROW(C$12),0)=0,"",OFFSET(PO!N$12,ROW(C402)-ROW(C$12),0))</f>
        <v>Tubo de Cobre Ø1 1/8'', fornecimento e mão de obra de instalação.</v>
      </c>
      <c r="D402" s="111" t="str">
        <f ca="1">IF(OFFSET(PO!O$12,ROW(D402)-ROW(D$12),0)=0,"",OFFSET(PO!O$12,ROW(D402)-ROW(D$12),0))</f>
        <v>M</v>
      </c>
      <c r="E402" s="140">
        <f ca="1">IF($A402&lt;&gt;"Serviço",0,ROUND(SUMIF($F$9:$P$9,"&lt;&gt;",$F402:$P402),15-13*PO!$X$3))</f>
        <v>8</v>
      </c>
      <c r="F402" s="364">
        <f ca="1">OFFSET(PO!$P$12,ROW($E402)-ROW(F$12),0)</f>
        <v>8</v>
      </c>
      <c r="G402" s="364"/>
      <c r="H402" s="364"/>
      <c r="I402" s="364"/>
      <c r="J402" s="364"/>
      <c r="K402" s="364"/>
      <c r="L402" s="364"/>
      <c r="M402" s="364"/>
      <c r="N402" s="364"/>
      <c r="O402" s="364"/>
      <c r="U402" s="182"/>
    </row>
    <row r="403" spans="1:21" s="1" customFormat="1" ht="25.5" x14ac:dyDescent="0.2">
      <c r="A403" s="110" t="str">
        <f ca="1">OFFSET(PO!J$12,ROW(A403)-ROW($A$12),0)</f>
        <v>Serviço</v>
      </c>
      <c r="B403" s="112" t="str">
        <f ca="1">IF($A403=0,"",OFFSET(PO!K$12,ROW(B403)-ROW(B$12),0))</f>
        <v>1.12.3.0.6.</v>
      </c>
      <c r="C403" s="109" t="str">
        <f ca="1">IF(OFFSET(PO!N$12,ROW(C403)-ROW(C$12),0)=0,"",OFFSET(PO!N$12,ROW(C403)-ROW(C$12),0))</f>
        <v>Isolamento térmico elastomérico para cobre Ø3/8'', fornecimento e mão de obra de instalação.</v>
      </c>
      <c r="D403" s="111" t="str">
        <f ca="1">IF(OFFSET(PO!O$12,ROW(D403)-ROW(D$12),0)=0,"",OFFSET(PO!O$12,ROW(D403)-ROW(D$12),0))</f>
        <v>M</v>
      </c>
      <c r="E403" s="140">
        <f ca="1">IF($A403&lt;&gt;"Serviço",0,ROUND(SUMIF($F$9:$P$9,"&lt;&gt;",$F403:$P403),15-13*PO!$X$3))</f>
        <v>40</v>
      </c>
      <c r="F403" s="364">
        <f ca="1">OFFSET(PO!$P$12,ROW($E403)-ROW(F$12),0)</f>
        <v>40</v>
      </c>
      <c r="G403" s="364"/>
      <c r="H403" s="364"/>
      <c r="I403" s="364"/>
      <c r="J403" s="364"/>
      <c r="K403" s="364"/>
      <c r="L403" s="364"/>
      <c r="M403" s="364"/>
      <c r="N403" s="364"/>
      <c r="O403" s="364"/>
      <c r="U403" s="182"/>
    </row>
    <row r="404" spans="1:21" s="1" customFormat="1" ht="25.5" x14ac:dyDescent="0.2">
      <c r="A404" s="110" t="str">
        <f ca="1">OFFSET(PO!J$12,ROW(A404)-ROW($A$12),0)</f>
        <v>Serviço</v>
      </c>
      <c r="B404" s="112" t="str">
        <f ca="1">IF($A404=0,"",OFFSET(PO!K$12,ROW(B404)-ROW(B$12),0))</f>
        <v>1.12.3.0.7.</v>
      </c>
      <c r="C404" s="109" t="str">
        <f ca="1">IF(OFFSET(PO!N$12,ROW(C404)-ROW(C$12),0)=0,"",OFFSET(PO!N$12,ROW(C404)-ROW(C$12),0))</f>
        <v>Isolamento térmico elastomérico para cobre Ø1/2'', fornecimento e mão de obra de instalação.</v>
      </c>
      <c r="D404" s="111" t="str">
        <f ca="1">IF(OFFSET(PO!O$12,ROW(D404)-ROW(D$12),0)=0,"",OFFSET(PO!O$12,ROW(D404)-ROW(D$12),0))</f>
        <v>M</v>
      </c>
      <c r="E404" s="140">
        <f ca="1">IF($A404&lt;&gt;"Serviço",0,ROUND(SUMIF($F$9:$P$9,"&lt;&gt;",$F404:$P404),15-13*PO!$X$3))</f>
        <v>8</v>
      </c>
      <c r="F404" s="364">
        <f ca="1">OFFSET(PO!$P$12,ROW($E404)-ROW(F$12),0)</f>
        <v>8</v>
      </c>
      <c r="G404" s="364"/>
      <c r="H404" s="364"/>
      <c r="I404" s="364"/>
      <c r="J404" s="364"/>
      <c r="K404" s="364"/>
      <c r="L404" s="364"/>
      <c r="M404" s="364"/>
      <c r="N404" s="364"/>
      <c r="O404" s="364"/>
      <c r="U404" s="182"/>
    </row>
    <row r="405" spans="1:21" s="1" customFormat="1" ht="25.5" x14ac:dyDescent="0.2">
      <c r="A405" s="110" t="str">
        <f ca="1">OFFSET(PO!J$12,ROW(A405)-ROW($A$12),0)</f>
        <v>Serviço</v>
      </c>
      <c r="B405" s="112" t="str">
        <f ca="1">IF($A405=0,"",OFFSET(PO!K$12,ROW(B405)-ROW(B$12),0))</f>
        <v>1.12.3.0.8.</v>
      </c>
      <c r="C405" s="109" t="str">
        <f ca="1">IF(OFFSET(PO!N$12,ROW(C405)-ROW(C$12),0)=0,"",OFFSET(PO!N$12,ROW(C405)-ROW(C$12),0))</f>
        <v>Isolamento térmico elastomérico para cobre Ø5/8'', fornecimento e mão de obra de instalação.</v>
      </c>
      <c r="D405" s="111" t="str">
        <f ca="1">IF(OFFSET(PO!O$12,ROW(D405)-ROW(D$12),0)=0,"",OFFSET(PO!O$12,ROW(D405)-ROW(D$12),0))</f>
        <v>M</v>
      </c>
      <c r="E405" s="140">
        <f ca="1">IF($A405&lt;&gt;"Serviço",0,ROUND(SUMIF($F$9:$P$9,"&lt;&gt;",$F405:$P405),15-13*PO!$X$3))</f>
        <v>26</v>
      </c>
      <c r="F405" s="364">
        <f ca="1">OFFSET(PO!$P$12,ROW($E405)-ROW(F$12),0)</f>
        <v>26</v>
      </c>
      <c r="G405" s="364"/>
      <c r="H405" s="364"/>
      <c r="I405" s="364"/>
      <c r="J405" s="364"/>
      <c r="K405" s="364"/>
      <c r="L405" s="364"/>
      <c r="M405" s="364"/>
      <c r="N405" s="364"/>
      <c r="O405" s="364"/>
      <c r="U405" s="182"/>
    </row>
    <row r="406" spans="1:21" s="1" customFormat="1" ht="25.5" x14ac:dyDescent="0.2">
      <c r="A406" s="110" t="str">
        <f ca="1">OFFSET(PO!J$12,ROW(A406)-ROW($A$12),0)</f>
        <v>Serviço</v>
      </c>
      <c r="B406" s="112" t="str">
        <f ca="1">IF($A406=0,"",OFFSET(PO!K$12,ROW(B406)-ROW(B$12),0))</f>
        <v>1.12.3.0.9.</v>
      </c>
      <c r="C406" s="109" t="str">
        <f ca="1">IF(OFFSET(PO!N$12,ROW(C406)-ROW(C$12),0)=0,"",OFFSET(PO!N$12,ROW(C406)-ROW(C$12),0))</f>
        <v>Isolamento térmico elastomérico para cobre Ø3/4'', fornecimento e mão de obra de instalação.</v>
      </c>
      <c r="D406" s="111" t="str">
        <f ca="1">IF(OFFSET(PO!O$12,ROW(D406)-ROW(D$12),0)=0,"",OFFSET(PO!O$12,ROW(D406)-ROW(D$12),0))</f>
        <v>M</v>
      </c>
      <c r="E406" s="140">
        <f ca="1">IF($A406&lt;&gt;"Serviço",0,ROUND(SUMIF($F$9:$P$9,"&lt;&gt;",$F406:$P406),15-13*PO!$X$3))</f>
        <v>14</v>
      </c>
      <c r="F406" s="364">
        <f ca="1">OFFSET(PO!$P$12,ROW($E406)-ROW(F$12),0)</f>
        <v>14</v>
      </c>
      <c r="G406" s="364"/>
      <c r="H406" s="364"/>
      <c r="I406" s="364"/>
      <c r="J406" s="364"/>
      <c r="K406" s="364"/>
      <c r="L406" s="364"/>
      <c r="M406" s="364"/>
      <c r="N406" s="364"/>
      <c r="O406" s="364"/>
      <c r="U406" s="182"/>
    </row>
    <row r="407" spans="1:21" s="1" customFormat="1" ht="25.5" x14ac:dyDescent="0.2">
      <c r="A407" s="110" t="str">
        <f ca="1">OFFSET(PO!J$12,ROW(A407)-ROW($A$12),0)</f>
        <v>Serviço</v>
      </c>
      <c r="B407" s="112" t="str">
        <f ca="1">IF($A407=0,"",OFFSET(PO!K$12,ROW(B407)-ROW(B$12),0))</f>
        <v>1.12.3.0.10.</v>
      </c>
      <c r="C407" s="109" t="str">
        <f ca="1">IF(OFFSET(PO!N$12,ROW(C407)-ROW(C$12),0)=0,"",OFFSET(PO!N$12,ROW(C407)-ROW(C$12),0))</f>
        <v>Isolamento térmico elastomérico para cobre Ø1 1/8'', fornecimento e mão de obra de instalação.</v>
      </c>
      <c r="D407" s="111" t="str">
        <f ca="1">IF(OFFSET(PO!O$12,ROW(D407)-ROW(D$12),0)=0,"",OFFSET(PO!O$12,ROW(D407)-ROW(D$12),0))</f>
        <v>M</v>
      </c>
      <c r="E407" s="140">
        <f ca="1">IF($A407&lt;&gt;"Serviço",0,ROUND(SUMIF($F$9:$P$9,"&lt;&gt;",$F407:$P407),15-13*PO!$X$3))</f>
        <v>8</v>
      </c>
      <c r="F407" s="364">
        <f ca="1">OFFSET(PO!$P$12,ROW($E407)-ROW(F$12),0)</f>
        <v>8</v>
      </c>
      <c r="G407" s="364"/>
      <c r="H407" s="364"/>
      <c r="I407" s="364"/>
      <c r="J407" s="364"/>
      <c r="K407" s="364"/>
      <c r="L407" s="364"/>
      <c r="M407" s="364"/>
      <c r="N407" s="364"/>
      <c r="O407" s="364"/>
      <c r="U407" s="182"/>
    </row>
    <row r="408" spans="1:21" s="1" customFormat="1" x14ac:dyDescent="0.2">
      <c r="A408" s="110" t="str">
        <f ca="1">OFFSET(PO!J$12,ROW(A408)-ROW($A$12),0)</f>
        <v>Serviço</v>
      </c>
      <c r="B408" s="112" t="str">
        <f ca="1">IF($A408=0,"",OFFSET(PO!K$12,ROW(B408)-ROW(B$12),0))</f>
        <v>1.12.3.0.11.</v>
      </c>
      <c r="C408" s="109" t="str">
        <f ca="1">IF(OFFSET(PO!N$12,ROW(C408)-ROW(C$12),0)=0,"",OFFSET(PO!N$12,ROW(C408)-ROW(C$12),0))</f>
        <v>Gás Nitrogênio</v>
      </c>
      <c r="D408" s="111" t="str">
        <f ca="1">IF(OFFSET(PO!O$12,ROW(D408)-ROW(D$12),0)=0,"",OFFSET(PO!O$12,ROW(D408)-ROW(D$12),0))</f>
        <v>M3</v>
      </c>
      <c r="E408" s="140">
        <f ca="1">IF($A408&lt;&gt;"Serviço",0,ROUND(SUMIF($F$9:$P$9,"&lt;&gt;",$F408:$P408),15-13*PO!$X$3))</f>
        <v>6</v>
      </c>
      <c r="F408" s="364">
        <f ca="1">OFFSET(PO!$P$12,ROW($E408)-ROW(F$12),0)</f>
        <v>6</v>
      </c>
      <c r="G408" s="364"/>
      <c r="H408" s="364"/>
      <c r="I408" s="364"/>
      <c r="J408" s="364"/>
      <c r="K408" s="364"/>
      <c r="L408" s="364"/>
      <c r="M408" s="364"/>
      <c r="N408" s="364"/>
      <c r="O408" s="364"/>
      <c r="U408" s="182"/>
    </row>
    <row r="409" spans="1:21" s="1" customFormat="1" x14ac:dyDescent="0.2">
      <c r="A409" s="110" t="str">
        <f ca="1">OFFSET(PO!J$12,ROW(A409)-ROW($A$12),0)</f>
        <v>Serviço</v>
      </c>
      <c r="B409" s="112" t="str">
        <f ca="1">IF($A409=0,"",OFFSET(PO!K$12,ROW(B409)-ROW(B$12),0))</f>
        <v>1.12.3.0.12.</v>
      </c>
      <c r="C409" s="109" t="str">
        <f ca="1">IF(OFFSET(PO!N$12,ROW(C409)-ROW(C$12),0)=0,"",OFFSET(PO!N$12,ROW(C409)-ROW(C$12),0))</f>
        <v>Solda Foscoper</v>
      </c>
      <c r="D409" s="111" t="str">
        <f ca="1">IF(OFFSET(PO!O$12,ROW(D409)-ROW(D$12),0)=0,"",OFFSET(PO!O$12,ROW(D409)-ROW(D$12),0))</f>
        <v>PÇ</v>
      </c>
      <c r="E409" s="140">
        <f ca="1">IF($A409&lt;&gt;"Serviço",0,ROUND(SUMIF($F$9:$P$9,"&lt;&gt;",$F409:$P409),15-13*PO!$X$3))</f>
        <v>40</v>
      </c>
      <c r="F409" s="364">
        <f ca="1">OFFSET(PO!$P$12,ROW($E409)-ROW(F$12),0)</f>
        <v>40</v>
      </c>
      <c r="G409" s="364"/>
      <c r="H409" s="364"/>
      <c r="I409" s="364"/>
      <c r="J409" s="364"/>
      <c r="K409" s="364"/>
      <c r="L409" s="364"/>
      <c r="M409" s="364"/>
      <c r="N409" s="364"/>
      <c r="O409" s="364"/>
      <c r="U409" s="182"/>
    </row>
    <row r="410" spans="1:21" s="1" customFormat="1" x14ac:dyDescent="0.2">
      <c r="A410" s="110" t="str">
        <f ca="1">OFFSET(PO!J$12,ROW(A410)-ROW($A$12),0)</f>
        <v>Serviço</v>
      </c>
      <c r="B410" s="112" t="str">
        <f ca="1">IF($A410=0,"",OFFSET(PO!K$12,ROW(B410)-ROW(B$12),0))</f>
        <v>1.12.3.0.13.</v>
      </c>
      <c r="C410" s="109" t="str">
        <f ca="1">IF(OFFSET(PO!N$12,ROW(C410)-ROW(C$12),0)=0,"",OFFSET(PO!N$12,ROW(C410)-ROW(C$12),0))</f>
        <v>Carga de fluido refrigerante complementar, R410-A</v>
      </c>
      <c r="D410" s="111" t="str">
        <f ca="1">IF(OFFSET(PO!O$12,ROW(D410)-ROW(D$12),0)=0,"",OFFSET(PO!O$12,ROW(D410)-ROW(D$12),0))</f>
        <v>KG</v>
      </c>
      <c r="E410" s="140">
        <f ca="1">IF($A410&lt;&gt;"Serviço",0,ROUND(SUMIF($F$9:$P$9,"&lt;&gt;",$F410:$P410),15-13*PO!$X$3))</f>
        <v>20</v>
      </c>
      <c r="F410" s="364">
        <f ca="1">OFFSET(PO!$P$12,ROW($E410)-ROW(F$12),0)</f>
        <v>20</v>
      </c>
      <c r="G410" s="364"/>
      <c r="H410" s="364"/>
      <c r="I410" s="364"/>
      <c r="J410" s="364"/>
      <c r="K410" s="364"/>
      <c r="L410" s="364"/>
      <c r="M410" s="364"/>
      <c r="N410" s="364"/>
      <c r="O410" s="364"/>
      <c r="U410" s="182"/>
    </row>
    <row r="411" spans="1:21" s="1" customFormat="1" ht="25.5" x14ac:dyDescent="0.2">
      <c r="A411" s="110" t="str">
        <f ca="1">OFFSET(PO!J$12,ROW(A411)-ROW($A$12),0)</f>
        <v>Serviço</v>
      </c>
      <c r="B411" s="112" t="str">
        <f ca="1">IF($A411=0,"",OFFSET(PO!K$12,ROW(B411)-ROW(B$12),0))</f>
        <v>1.12.3.0.14.</v>
      </c>
      <c r="C411" s="109" t="str">
        <f ca="1">IF(OFFSET(PO!N$12,ROW(C411)-ROW(C$12),0)=0,"",OFFSET(PO!N$12,ROW(C411)-ROW(C$12),0))</f>
        <v>Válvulas GBC</v>
      </c>
      <c r="D411" s="111" t="str">
        <f ca="1">IF(OFFSET(PO!O$12,ROW(D411)-ROW(D$12),0)=0,"",OFFSET(PO!O$12,ROW(D411)-ROW(D$12),0))</f>
        <v>UNIDADE</v>
      </c>
      <c r="E411" s="140">
        <f ca="1">IF($A411&lt;&gt;"Serviço",0,ROUND(SUMIF($F$9:$P$9,"&lt;&gt;",$F411:$P411),15-13*PO!$X$3))</f>
        <v>12</v>
      </c>
      <c r="F411" s="364">
        <f ca="1">OFFSET(PO!$P$12,ROW($E411)-ROW(F$12),0)</f>
        <v>12</v>
      </c>
      <c r="G411" s="364"/>
      <c r="H411" s="364"/>
      <c r="I411" s="364"/>
      <c r="J411" s="364"/>
      <c r="K411" s="364"/>
      <c r="L411" s="364"/>
      <c r="M411" s="364"/>
      <c r="N411" s="364"/>
      <c r="O411" s="364"/>
      <c r="U411" s="182"/>
    </row>
    <row r="412" spans="1:21" s="1" customFormat="1" x14ac:dyDescent="0.2">
      <c r="A412" s="110" t="str">
        <f ca="1">OFFSET(PO!J$12,ROW(A412)-ROW($A$12),0)</f>
        <v>Serviço</v>
      </c>
      <c r="B412" s="112" t="str">
        <f ca="1">IF($A412=0,"",OFFSET(PO!K$12,ROW(B412)-ROW(B$12),0))</f>
        <v>1.12.3.0.15.</v>
      </c>
      <c r="C412" s="109" t="str">
        <f ca="1">IF(OFFSET(PO!N$12,ROW(C412)-ROW(C$12),0)=0,"",OFFSET(PO!N$12,ROW(C412)-ROW(C$12),0))</f>
        <v>Cabo Comunicação 2 x 18 AWG</v>
      </c>
      <c r="D412" s="111" t="str">
        <f ca="1">IF(OFFSET(PO!O$12,ROW(D412)-ROW(D$12),0)=0,"",OFFSET(PO!O$12,ROW(D412)-ROW(D$12),0))</f>
        <v>M</v>
      </c>
      <c r="E412" s="140">
        <f ca="1">IF($A412&lt;&gt;"Serviço",0,ROUND(SUMIF($F$9:$P$9,"&lt;&gt;",$F412:$P412),15-13*PO!$X$3))</f>
        <v>200</v>
      </c>
      <c r="F412" s="364">
        <f ca="1">OFFSET(PO!$P$12,ROW($E412)-ROW(F$12),0)</f>
        <v>200</v>
      </c>
      <c r="G412" s="364"/>
      <c r="H412" s="364"/>
      <c r="I412" s="364"/>
      <c r="J412" s="364"/>
      <c r="K412" s="364"/>
      <c r="L412" s="364"/>
      <c r="M412" s="364"/>
      <c r="N412" s="364"/>
      <c r="O412" s="364"/>
      <c r="U412" s="182"/>
    </row>
    <row r="413" spans="1:21" s="1" customFormat="1" x14ac:dyDescent="0.2">
      <c r="A413" s="110" t="str">
        <f ca="1">OFFSET(PO!J$12,ROW(A413)-ROW($A$12),0)</f>
        <v>Nível 2</v>
      </c>
      <c r="B413" s="112" t="str">
        <f ca="1">IF($A413=0,"",OFFSET(PO!K$12,ROW(B413)-ROW(B$12),0))</f>
        <v>1.13.</v>
      </c>
      <c r="C413" s="109" t="str">
        <f ca="1">IF(OFFSET(PO!N$12,ROW(C413)-ROW(C$12),0)=0,"",OFFSET(PO!N$12,ROW(C413)-ROW(C$12),0))</f>
        <v>SERVIÇOS FINAIS</v>
      </c>
      <c r="D413" s="111" t="str">
        <f ca="1">IF(OFFSET(PO!O$12,ROW(D413)-ROW(D$12),0)=0,"",OFFSET(PO!O$12,ROW(D413)-ROW(D$12),0))</f>
        <v/>
      </c>
      <c r="E413" s="140">
        <f ca="1">IF($A413&lt;&gt;"Serviço",0,ROUND(SUMIF($F$9:$P$9,"&lt;&gt;",$F413:$P413),15-13*PO!$X$3))</f>
        <v>0</v>
      </c>
      <c r="F413" s="364">
        <f ca="1">OFFSET(PO!$P$12,ROW($E413)-ROW(F$12),0)</f>
        <v>0</v>
      </c>
      <c r="G413" s="364"/>
      <c r="H413" s="364"/>
      <c r="I413" s="364"/>
      <c r="J413" s="364"/>
      <c r="K413" s="364"/>
      <c r="L413" s="364"/>
      <c r="M413" s="364"/>
      <c r="N413" s="364"/>
      <c r="O413" s="364"/>
      <c r="U413" s="182"/>
    </row>
    <row r="414" spans="1:21" s="1" customFormat="1" x14ac:dyDescent="0.2">
      <c r="A414" s="110" t="str">
        <f ca="1">OFFSET(PO!J$12,ROW(A414)-ROW($A$12),0)</f>
        <v>Nível 3</v>
      </c>
      <c r="B414" s="112" t="str">
        <f ca="1">IF($A414=0,"",OFFSET(PO!K$12,ROW(B414)-ROW(B$12),0))</f>
        <v>1.13.1.</v>
      </c>
      <c r="C414" s="109" t="str">
        <f ca="1">IF(OFFSET(PO!N$12,ROW(C414)-ROW(C$12),0)=0,"",OFFSET(PO!N$12,ROW(C414)-ROW(C$12),0))</f>
        <v>INSTALAÇÕES DE PPCI</v>
      </c>
      <c r="D414" s="111" t="str">
        <f ca="1">IF(OFFSET(PO!O$12,ROW(D414)-ROW(D$12),0)=0,"",OFFSET(PO!O$12,ROW(D414)-ROW(D$12),0))</f>
        <v/>
      </c>
      <c r="E414" s="140">
        <f ca="1">IF($A414&lt;&gt;"Serviço",0,ROUND(SUMIF($F$9:$P$9,"&lt;&gt;",$F414:$P414),15-13*PO!$X$3))</f>
        <v>0</v>
      </c>
      <c r="F414" s="364">
        <f ca="1">OFFSET(PO!$P$12,ROW($E414)-ROW(F$12),0)</f>
        <v>0</v>
      </c>
      <c r="G414" s="364"/>
      <c r="H414" s="364"/>
      <c r="I414" s="364"/>
      <c r="J414" s="364"/>
      <c r="K414" s="364"/>
      <c r="L414" s="364"/>
      <c r="M414" s="364"/>
      <c r="N414" s="364"/>
      <c r="O414" s="364"/>
      <c r="U414" s="182"/>
    </row>
    <row r="415" spans="1:21" s="1" customFormat="1" ht="25.5" x14ac:dyDescent="0.2">
      <c r="A415" s="110" t="str">
        <f ca="1">OFFSET(PO!J$12,ROW(A415)-ROW($A$12),0)</f>
        <v>Serviço</v>
      </c>
      <c r="B415" s="112" t="str">
        <f ca="1">IF($A415=0,"",OFFSET(PO!K$12,ROW(B415)-ROW(B$12),0))</f>
        <v>1.13.1.0.1.</v>
      </c>
      <c r="C415" s="109" t="str">
        <f ca="1">IF(OFFSET(PO!N$12,ROW(C415)-ROW(C$12),0)=0,"",OFFSET(PO!N$12,ROW(C415)-ROW(C$12),0))</f>
        <v>PLACAS DE SINALIZAÇÃO CONTRA INCÊNDIO - FORNECIMENTO E INSTALAÇÃO</v>
      </c>
      <c r="D415" s="111" t="str">
        <f ca="1">IF(OFFSET(PO!O$12,ROW(D415)-ROW(D$12),0)=0,"",OFFSET(PO!O$12,ROW(D415)-ROW(D$12),0))</f>
        <v>UN</v>
      </c>
      <c r="E415" s="140">
        <f ca="1">IF($A415&lt;&gt;"Serviço",0,ROUND(SUMIF($F$9:$P$9,"&lt;&gt;",$F415:$P415),15-13*PO!$X$3))</f>
        <v>53</v>
      </c>
      <c r="F415" s="364">
        <f ca="1">OFFSET(PO!$P$12,ROW($E415)-ROW(F$12),0)</f>
        <v>53</v>
      </c>
      <c r="G415" s="364"/>
      <c r="H415" s="364"/>
      <c r="I415" s="364"/>
      <c r="J415" s="364"/>
      <c r="K415" s="364"/>
      <c r="L415" s="364"/>
      <c r="M415" s="364"/>
      <c r="N415" s="364"/>
      <c r="O415" s="364"/>
      <c r="U415" s="182"/>
    </row>
    <row r="416" spans="1:21" s="1" customFormat="1" ht="25.5" x14ac:dyDescent="0.2">
      <c r="A416" s="110" t="str">
        <f ca="1">OFFSET(PO!J$12,ROW(A416)-ROW($A$12),0)</f>
        <v>Serviço</v>
      </c>
      <c r="B416" s="112" t="str">
        <f ca="1">IF($A416=0,"",OFFSET(PO!K$12,ROW(B416)-ROW(B$12),0))</f>
        <v>1.13.1.0.2.</v>
      </c>
      <c r="C416" s="109" t="str">
        <f ca="1">IF(OFFSET(PO!N$12,ROW(C416)-ROW(C$12),0)=0,"",OFFSET(PO!N$12,ROW(C416)-ROW(C$12),0))</f>
        <v>LUMINÁRIA DE EMERGÊNCIA, COM 30 LÂMPADAS LED DE 2 W, SEM REATOR - FORNECIMENTO E INSTALAÇÃO. AF_09/2024</v>
      </c>
      <c r="D416" s="111" t="str">
        <f ca="1">IF(OFFSET(PO!O$12,ROW(D416)-ROW(D$12),0)=0,"",OFFSET(PO!O$12,ROW(D416)-ROW(D$12),0))</f>
        <v>UN</v>
      </c>
      <c r="E416" s="140">
        <f ca="1">IF($A416&lt;&gt;"Serviço",0,ROUND(SUMIF($F$9:$P$9,"&lt;&gt;",$F416:$P416),15-13*PO!$X$3))</f>
        <v>46</v>
      </c>
      <c r="F416" s="364">
        <f ca="1">OFFSET(PO!$P$12,ROW($E416)-ROW(F$12),0)</f>
        <v>46</v>
      </c>
      <c r="G416" s="364"/>
      <c r="H416" s="364"/>
      <c r="I416" s="364"/>
      <c r="J416" s="364"/>
      <c r="K416" s="364"/>
      <c r="L416" s="364"/>
      <c r="M416" s="364"/>
      <c r="N416" s="364"/>
      <c r="O416" s="364"/>
      <c r="U416" s="182"/>
    </row>
    <row r="417" spans="1:21" s="1" customFormat="1" ht="38.25" x14ac:dyDescent="0.2">
      <c r="A417" s="110" t="str">
        <f ca="1">OFFSET(PO!J$12,ROW(A417)-ROW($A$12),0)</f>
        <v>Serviço</v>
      </c>
      <c r="B417" s="112" t="str">
        <f ca="1">IF($A417=0,"",OFFSET(PO!K$12,ROW(B417)-ROW(B$12),0))</f>
        <v>1.13.1.0.3.</v>
      </c>
      <c r="C417" s="109" t="str">
        <f ca="1">IF(OFFSET(PO!N$12,ROW(C417)-ROW(C$12),0)=0,"",OFFSET(PO!N$12,ROW(C417)-ROW(C$12),0))</f>
        <v>EXTINTOR DE INCÊNDIO PORTÁTIL COM CARGA DE PQS DE 6 KG, CLASSE BC - FORNECIMENTO E INSTALAÇÃO. AF_01/2026_PE</v>
      </c>
      <c r="D417" s="111" t="str">
        <f ca="1">IF(OFFSET(PO!O$12,ROW(D417)-ROW(D$12),0)=0,"",OFFSET(PO!O$12,ROW(D417)-ROW(D$12),0))</f>
        <v>UN</v>
      </c>
      <c r="E417" s="140">
        <f ca="1">IF($A417&lt;&gt;"Serviço",0,ROUND(SUMIF($F$9:$P$9,"&lt;&gt;",$F417:$P417),15-13*PO!$X$3))</f>
        <v>7</v>
      </c>
      <c r="F417" s="364">
        <f ca="1">OFFSET(PO!$P$12,ROW($E417)-ROW(F$12),0)</f>
        <v>7</v>
      </c>
      <c r="G417" s="364"/>
      <c r="H417" s="364"/>
      <c r="I417" s="364"/>
      <c r="J417" s="364"/>
      <c r="K417" s="364"/>
      <c r="L417" s="364"/>
      <c r="M417" s="364"/>
      <c r="N417" s="364"/>
      <c r="O417" s="364"/>
      <c r="U417" s="182"/>
    </row>
    <row r="418" spans="1:21" s="1" customFormat="1" x14ac:dyDescent="0.2">
      <c r="A418" s="110" t="str">
        <f ca="1">OFFSET(PO!J$12,ROW(A418)-ROW($A$12),0)</f>
        <v>Nível 3</v>
      </c>
      <c r="B418" s="112" t="str">
        <f ca="1">IF($A418=0,"",OFFSET(PO!K$12,ROW(B418)-ROW(B$12),0))</f>
        <v>1.13.2.</v>
      </c>
      <c r="C418" s="109" t="str">
        <f ca="1">IF(OFFSET(PO!N$12,ROW(C418)-ROW(C$12),0)=0,"",OFFSET(PO!N$12,ROW(C418)-ROW(C$12),0))</f>
        <v>LIMPEZA GERAL DE OBRA</v>
      </c>
      <c r="D418" s="111" t="str">
        <f ca="1">IF(OFFSET(PO!O$12,ROW(D418)-ROW(D$12),0)=0,"",OFFSET(PO!O$12,ROW(D418)-ROW(D$12),0))</f>
        <v/>
      </c>
      <c r="E418" s="140">
        <f ca="1">IF($A418&lt;&gt;"Serviço",0,ROUND(SUMIF($F$9:$P$9,"&lt;&gt;",$F418:$P418),15-13*PO!$X$3))</f>
        <v>0</v>
      </c>
      <c r="F418" s="364">
        <f ca="1">OFFSET(PO!$P$12,ROW($E418)-ROW(F$12),0)</f>
        <v>0</v>
      </c>
      <c r="G418" s="364"/>
      <c r="H418" s="364"/>
      <c r="I418" s="364"/>
      <c r="J418" s="364"/>
      <c r="K418" s="364"/>
      <c r="L418" s="364"/>
      <c r="M418" s="364"/>
      <c r="N418" s="364"/>
      <c r="O418" s="364"/>
      <c r="U418" s="182"/>
    </row>
    <row r="419" spans="1:21" s="1" customFormat="1" ht="25.5" x14ac:dyDescent="0.2">
      <c r="A419" s="110" t="str">
        <f ca="1">OFFSET(PO!J$12,ROW(A419)-ROW($A$12),0)</f>
        <v>Serviço</v>
      </c>
      <c r="B419" s="112" t="str">
        <f ca="1">IF($A419=0,"",OFFSET(PO!K$12,ROW(B419)-ROW(B$12),0))</f>
        <v>1.13.2.0.1.</v>
      </c>
      <c r="C419" s="109" t="str">
        <f ca="1">IF(OFFSET(PO!N$12,ROW(C419)-ROW(C$12),0)=0,"",OFFSET(PO!N$12,ROW(C419)-ROW(C$12),0))</f>
        <v>REMOÇÃO DE TAPUME/ CHAPAS METÁLICAS E DE MADEIRA, DE FORMA MANUAL, SEM REAPROVEITAMENTO. AF_09/2023</v>
      </c>
      <c r="D419" s="111" t="str">
        <f ca="1">IF(OFFSET(PO!O$12,ROW(D419)-ROW(D$12),0)=0,"",OFFSET(PO!O$12,ROW(D419)-ROW(D$12),0))</f>
        <v>M2</v>
      </c>
      <c r="E419" s="140">
        <f ca="1">IF($A419&lt;&gt;"Serviço",0,ROUND(SUMIF($F$9:$P$9,"&lt;&gt;",$F419:$P419),15-13*PO!$X$3))</f>
        <v>30</v>
      </c>
      <c r="F419" s="364">
        <f ca="1">OFFSET(PO!$P$12,ROW($E419)-ROW(F$12),0)</f>
        <v>30</v>
      </c>
      <c r="G419" s="364"/>
      <c r="H419" s="364"/>
      <c r="I419" s="364"/>
      <c r="J419" s="364"/>
      <c r="K419" s="364"/>
      <c r="L419" s="364"/>
      <c r="M419" s="364"/>
      <c r="N419" s="364"/>
      <c r="O419" s="364"/>
      <c r="U419" s="182"/>
    </row>
    <row r="420" spans="1:21" s="1" customFormat="1" ht="38.25" x14ac:dyDescent="0.2">
      <c r="A420" s="110" t="str">
        <f ca="1">OFFSET(PO!J$12,ROW(A420)-ROW($A$12),0)</f>
        <v>Serviço</v>
      </c>
      <c r="B420" s="112" t="str">
        <f ca="1">IF($A420=0,"",OFFSET(PO!K$12,ROW(B420)-ROW(B$12),0))</f>
        <v>1.13.2.0.2.</v>
      </c>
      <c r="C420" s="109" t="str">
        <f ca="1">IF(OFFSET(PO!N$12,ROW(C420)-ROW(C$12),0)=0,"",OFFSET(PO!N$12,ROW(C420)-ROW(C$12),0))</f>
        <v>LIMPEZA DE REVESTIMENTO CERÂMICO/ MÁRMORE/ GRANITO EM PAREDE UTILIZANDO DETERGENTE NEUTRO E ESCOVAÇÃO MANUAL. AF_10/2025_PS</v>
      </c>
      <c r="D420" s="111" t="str">
        <f ca="1">IF(OFFSET(PO!O$12,ROW(D420)-ROW(D$12),0)=0,"",OFFSET(PO!O$12,ROW(D420)-ROW(D$12),0))</f>
        <v>M2</v>
      </c>
      <c r="E420" s="140">
        <f ca="1">IF($A420&lt;&gt;"Serviço",0,ROUND(SUMIF($F$9:$P$9,"&lt;&gt;",$F420:$P420),15-13*PO!$X$3))</f>
        <v>127.14</v>
      </c>
      <c r="F420" s="364">
        <f ca="1">OFFSET(PO!$P$12,ROW($E420)-ROW(F$12),0)</f>
        <v>127.14</v>
      </c>
      <c r="G420" s="364"/>
      <c r="H420" s="364"/>
      <c r="I420" s="364"/>
      <c r="J420" s="364"/>
      <c r="K420" s="364"/>
      <c r="L420" s="364"/>
      <c r="M420" s="364"/>
      <c r="N420" s="364"/>
      <c r="O420" s="364"/>
      <c r="U420" s="182"/>
    </row>
    <row r="421" spans="1:21" s="1" customFormat="1" x14ac:dyDescent="0.2">
      <c r="A421" s="110" t="str">
        <f ca="1">OFFSET(PO!J$12,ROW(A421)-ROW($A$12),0)</f>
        <v>Serviço</v>
      </c>
      <c r="B421" s="112" t="str">
        <f ca="1">IF($A421=0,"",OFFSET(PO!K$12,ROW(B421)-ROW(B$12),0))</f>
        <v>1.13.2.0.3.</v>
      </c>
      <c r="C421" s="109" t="str">
        <f ca="1">IF(OFFSET(PO!N$12,ROW(C421)-ROW(C$12),0)=0,"",OFFSET(PO!N$12,ROW(C421)-ROW(C$12),0))</f>
        <v>LIMPEZA GERAL/FINAL DE OBRA</v>
      </c>
      <c r="D421" s="111" t="str">
        <f ca="1">IF(OFFSET(PO!O$12,ROW(D421)-ROW(D$12),0)=0,"",OFFSET(PO!O$12,ROW(D421)-ROW(D$12),0))</f>
        <v>M2</v>
      </c>
      <c r="E421" s="140">
        <f ca="1">IF($A421&lt;&gt;"Serviço",0,ROUND(SUMIF($F$9:$P$9,"&lt;&gt;",$F421:$P421),15-13*PO!$X$3))</f>
        <v>374</v>
      </c>
      <c r="F421" s="364">
        <f ca="1">OFFSET(PO!$P$12,ROW($E421)-ROW(F$12),0)</f>
        <v>374</v>
      </c>
      <c r="G421" s="364"/>
      <c r="H421" s="364"/>
      <c r="I421" s="364"/>
      <c r="J421" s="364"/>
      <c r="K421" s="364"/>
      <c r="L421" s="364"/>
      <c r="M421" s="364"/>
      <c r="N421" s="364"/>
      <c r="O421" s="364"/>
      <c r="U421" s="182"/>
    </row>
    <row r="422" spans="1:21" s="1" customFormat="1" x14ac:dyDescent="0.2">
      <c r="A422" s="69"/>
      <c r="B422" s="69"/>
      <c r="C422" s="69"/>
      <c r="D422" s="69"/>
      <c r="E422" s="69"/>
      <c r="F422" s="69"/>
      <c r="G422" s="69"/>
      <c r="H422" s="69"/>
      <c r="I422" s="69"/>
      <c r="J422" s="69"/>
      <c r="K422" s="69"/>
      <c r="L422" s="69"/>
      <c r="M422" s="69"/>
      <c r="N422" s="69"/>
      <c r="O422" s="69"/>
      <c r="U422" s="69"/>
    </row>
    <row r="423" spans="1:21" s="1" customFormat="1" x14ac:dyDescent="0.2">
      <c r="B423" s="4"/>
      <c r="C423" s="10"/>
      <c r="D423" s="4"/>
      <c r="E423" s="12"/>
      <c r="F423" s="12"/>
      <c r="G423" s="12"/>
      <c r="H423" s="12"/>
      <c r="I423" s="12"/>
      <c r="J423" s="12"/>
      <c r="K423" s="12"/>
      <c r="L423" s="12"/>
      <c r="M423" s="12"/>
      <c r="N423" s="12"/>
      <c r="O423" s="12"/>
      <c r="U423" s="12"/>
    </row>
    <row r="424" spans="1:21" s="1" customFormat="1" x14ac:dyDescent="0.2">
      <c r="B424" s="331" t="str">
        <f>PO!$K$433</f>
        <v>BENTO GONÇALVES/RS</v>
      </c>
      <c r="C424" s="331"/>
      <c r="D424" s="4"/>
      <c r="E424" s="12"/>
      <c r="F424" s="12"/>
      <c r="G424" s="12"/>
      <c r="H424" s="12"/>
      <c r="I424" s="12"/>
      <c r="J424" s="12"/>
      <c r="K424" s="12"/>
      <c r="L424" s="12"/>
      <c r="M424" s="12"/>
      <c r="N424" s="12"/>
      <c r="O424" s="12"/>
      <c r="U424" s="12"/>
    </row>
    <row r="425" spans="1:21" s="1" customFormat="1" x14ac:dyDescent="0.2">
      <c r="B425" s="98" t="s">
        <v>120</v>
      </c>
      <c r="C425" s="10"/>
      <c r="D425" s="4"/>
      <c r="E425" s="12"/>
      <c r="F425" s="12"/>
      <c r="G425" s="12"/>
      <c r="H425" s="12"/>
      <c r="I425" s="12"/>
      <c r="J425" s="12"/>
      <c r="K425" s="12"/>
      <c r="L425" s="12"/>
      <c r="M425" s="12"/>
      <c r="N425" s="12"/>
      <c r="O425" s="12"/>
      <c r="U425" s="12"/>
    </row>
    <row r="426" spans="1:21" s="1" customFormat="1" x14ac:dyDescent="0.2">
      <c r="B426" s="10"/>
      <c r="C426" s="10"/>
      <c r="D426" s="4"/>
      <c r="E426" s="12"/>
      <c r="F426" s="12"/>
      <c r="G426" s="12"/>
      <c r="H426" s="12"/>
      <c r="I426" s="12"/>
      <c r="J426" s="12"/>
      <c r="K426" s="12"/>
      <c r="L426" s="12"/>
      <c r="M426" s="12"/>
      <c r="N426" s="12"/>
      <c r="O426" s="12"/>
      <c r="U426" s="12"/>
    </row>
    <row r="427" spans="1:21" s="1" customFormat="1" x14ac:dyDescent="0.2">
      <c r="B427" s="332">
        <f>PO!$K$436</f>
        <v>0</v>
      </c>
      <c r="C427" s="332"/>
      <c r="D427" s="4"/>
      <c r="E427" s="12"/>
      <c r="F427" s="12"/>
      <c r="G427" s="12"/>
      <c r="H427" s="12"/>
      <c r="I427" s="12"/>
      <c r="J427" s="12"/>
      <c r="K427" s="12"/>
      <c r="L427" s="12"/>
      <c r="M427" s="12"/>
      <c r="N427" s="12"/>
      <c r="O427" s="12"/>
      <c r="U427" s="12"/>
    </row>
    <row r="428" spans="1:21" s="1" customFormat="1" x14ac:dyDescent="0.2">
      <c r="B428" s="120" t="s">
        <v>121</v>
      </c>
      <c r="C428" s="121"/>
      <c r="D428" s="4"/>
      <c r="E428" s="12"/>
      <c r="F428" s="12"/>
      <c r="G428" s="12"/>
      <c r="H428" s="12"/>
      <c r="I428" s="12"/>
      <c r="J428" s="12"/>
      <c r="K428" s="12"/>
      <c r="L428" s="12"/>
      <c r="M428" s="12"/>
      <c r="N428" s="12"/>
      <c r="O428" s="12"/>
      <c r="U428" s="12"/>
    </row>
  </sheetData>
  <sheetProtection password="C95B" sheet="1" objects="1" scenarios="1"/>
  <mergeCells count="2">
    <mergeCell ref="B424:C424"/>
    <mergeCell ref="B427:C427"/>
  </mergeCells>
  <phoneticPr fontId="28" type="noConversion"/>
  <conditionalFormatting sqref="D11:E11 D13:E13 D22:E28 D18:E20 D88:E95 D108:E108 D349:E421">
    <cfRule type="expression" dxfId="288" priority="3358" stopIfTrue="1">
      <formula>$A11="Meta"</formula>
    </cfRule>
    <cfRule type="expression" dxfId="287" priority="3359" stopIfTrue="1">
      <formula>$A11&lt;&gt;"Serviço"</formula>
    </cfRule>
  </conditionalFormatting>
  <conditionalFormatting sqref="C11 C13 C22:C28 C18:C20 C88:C95 C108 C349:C421">
    <cfRule type="expression" dxfId="286" priority="3360" stopIfTrue="1">
      <formula>$A11="Meta"</formula>
    </cfRule>
    <cfRule type="expression" dxfId="285" priority="3361" stopIfTrue="1">
      <formula>$A11&lt;&gt;"Serviço"</formula>
    </cfRule>
  </conditionalFormatting>
  <conditionalFormatting sqref="A11:B11 A13:B13 A22:B28 A18:B20 A88:B95 A108:B108 A349:B421">
    <cfRule type="expression" dxfId="284" priority="3362" stopIfTrue="1">
      <formula>$A11="Meta"</formula>
    </cfRule>
    <cfRule type="expression" dxfId="283" priority="3363" stopIfTrue="1">
      <formula>LEFT($A11,5)="Nível"</formula>
    </cfRule>
    <cfRule type="expression" dxfId="282" priority="3364" stopIfTrue="1">
      <formula>$A11=0</formula>
    </cfRule>
  </conditionalFormatting>
  <conditionalFormatting sqref="U11 F13:O13 U13 U18:U29 F18:O29 U88:U95 F88:O95 U108 F108:O108 U349:U421 F349:O421">
    <cfRule type="expression" dxfId="281" priority="3374" stopIfTrue="1">
      <formula>$A11="Meta"</formula>
    </cfRule>
    <cfRule type="expression" dxfId="280" priority="3375" stopIfTrue="1">
      <formula>OR(F$9=0,$A11&lt;&gt;"Serviço")</formula>
    </cfRule>
    <cfRule type="expression" dxfId="279" priority="3376" stopIfTrue="1">
      <formula>TipoOrçamento="Licitado"</formula>
    </cfRule>
  </conditionalFormatting>
  <conditionalFormatting sqref="U9">
    <cfRule type="expression" dxfId="278" priority="2796" stopIfTrue="1">
      <formula>AND(T9=0,U9=0)</formula>
    </cfRule>
    <cfRule type="expression" dxfId="277" priority="2797" stopIfTrue="1">
      <formula>TipoOrçamento="Licitado"</formula>
    </cfRule>
  </conditionalFormatting>
  <conditionalFormatting sqref="F11:O11">
    <cfRule type="expression" dxfId="276" priority="2756" stopIfTrue="1">
      <formula>$A11="Meta"</formula>
    </cfRule>
    <cfRule type="expression" dxfId="275" priority="2757" stopIfTrue="1">
      <formula>OR(F$9=0,$A11&lt;&gt;"Serviço")</formula>
    </cfRule>
    <cfRule type="expression" dxfId="274" priority="2758" stopIfTrue="1">
      <formula>TipoOrçamento="Licitado"</formula>
    </cfRule>
  </conditionalFormatting>
  <conditionalFormatting sqref="F9:O9">
    <cfRule type="expression" dxfId="273" priority="2754" stopIfTrue="1">
      <formula>AND(E9=0,F9=0)</formula>
    </cfRule>
    <cfRule type="expression" dxfId="272" priority="2755" stopIfTrue="1">
      <formula>TipoOrçamento="Licitado"</formula>
    </cfRule>
  </conditionalFormatting>
  <conditionalFormatting sqref="D14:E14">
    <cfRule type="expression" dxfId="271" priority="1385" stopIfTrue="1">
      <formula>$A14="Meta"</formula>
    </cfRule>
    <cfRule type="expression" dxfId="270" priority="1386" stopIfTrue="1">
      <formula>$A14&lt;&gt;"Serviço"</formula>
    </cfRule>
  </conditionalFormatting>
  <conditionalFormatting sqref="C14">
    <cfRule type="expression" dxfId="269" priority="1387" stopIfTrue="1">
      <formula>$A14="Meta"</formula>
    </cfRule>
    <cfRule type="expression" dxfId="268" priority="1388" stopIfTrue="1">
      <formula>$A14&lt;&gt;"Serviço"</formula>
    </cfRule>
  </conditionalFormatting>
  <conditionalFormatting sqref="A14:B14">
    <cfRule type="expression" dxfId="267" priority="1389" stopIfTrue="1">
      <formula>$A14="Meta"</formula>
    </cfRule>
    <cfRule type="expression" dxfId="266" priority="1390" stopIfTrue="1">
      <formula>LEFT($A14,5)="Nível"</formula>
    </cfRule>
    <cfRule type="expression" dxfId="265" priority="1391" stopIfTrue="1">
      <formula>$A14=0</formula>
    </cfRule>
  </conditionalFormatting>
  <conditionalFormatting sqref="U14">
    <cfRule type="expression" dxfId="264" priority="1392" stopIfTrue="1">
      <formula>$A14="Meta"</formula>
    </cfRule>
    <cfRule type="expression" dxfId="263" priority="1393" stopIfTrue="1">
      <formula>OR(U$9=0,$A14&lt;&gt;"Serviço")</formula>
    </cfRule>
    <cfRule type="expression" dxfId="262" priority="1394" stopIfTrue="1">
      <formula>TipoOrçamento="Licitado"</formula>
    </cfRule>
  </conditionalFormatting>
  <conditionalFormatting sqref="F14:O14">
    <cfRule type="expression" dxfId="261" priority="1382" stopIfTrue="1">
      <formula>$A14="Meta"</formula>
    </cfRule>
    <cfRule type="expression" dxfId="260" priority="1383" stopIfTrue="1">
      <formula>OR(F$9=0,$A14&lt;&gt;"Serviço")</formula>
    </cfRule>
    <cfRule type="expression" dxfId="259" priority="1384" stopIfTrue="1">
      <formula>TipoOrçamento="Licitado"</formula>
    </cfRule>
  </conditionalFormatting>
  <conditionalFormatting sqref="D16:E16">
    <cfRule type="expression" dxfId="258" priority="1255" stopIfTrue="1">
      <formula>$A16="Meta"</formula>
    </cfRule>
    <cfRule type="expression" dxfId="257" priority="1256" stopIfTrue="1">
      <formula>$A16&lt;&gt;"Serviço"</formula>
    </cfRule>
  </conditionalFormatting>
  <conditionalFormatting sqref="C16">
    <cfRule type="expression" dxfId="256" priority="1257" stopIfTrue="1">
      <formula>$A16="Meta"</formula>
    </cfRule>
    <cfRule type="expression" dxfId="255" priority="1258" stopIfTrue="1">
      <formula>$A16&lt;&gt;"Serviço"</formula>
    </cfRule>
  </conditionalFormatting>
  <conditionalFormatting sqref="A16:B16">
    <cfRule type="expression" dxfId="254" priority="1259" stopIfTrue="1">
      <formula>$A16="Meta"</formula>
    </cfRule>
    <cfRule type="expression" dxfId="253" priority="1260" stopIfTrue="1">
      <formula>LEFT($A16,5)="Nível"</formula>
    </cfRule>
    <cfRule type="expression" dxfId="252" priority="1261" stopIfTrue="1">
      <formula>$A16=0</formula>
    </cfRule>
  </conditionalFormatting>
  <conditionalFormatting sqref="U16">
    <cfRule type="expression" dxfId="251" priority="1262" stopIfTrue="1">
      <formula>$A16="Meta"</formula>
    </cfRule>
    <cfRule type="expression" dxfId="250" priority="1263" stopIfTrue="1">
      <formula>OR(U$9=0,$A16&lt;&gt;"Serviço")</formula>
    </cfRule>
    <cfRule type="expression" dxfId="249" priority="1264" stopIfTrue="1">
      <formula>TipoOrçamento="Licitado"</formula>
    </cfRule>
  </conditionalFormatting>
  <conditionalFormatting sqref="F16:O16">
    <cfRule type="expression" dxfId="248" priority="1252" stopIfTrue="1">
      <formula>$A16="Meta"</formula>
    </cfRule>
    <cfRule type="expression" dxfId="247" priority="1253" stopIfTrue="1">
      <formula>OR(F$9=0,$A16&lt;&gt;"Serviço")</formula>
    </cfRule>
    <cfRule type="expression" dxfId="246" priority="1254" stopIfTrue="1">
      <formula>TipoOrçamento="Licitado"</formula>
    </cfRule>
  </conditionalFormatting>
  <conditionalFormatting sqref="D17:E17">
    <cfRule type="expression" dxfId="245" priority="1242" stopIfTrue="1">
      <formula>$A17="Meta"</formula>
    </cfRule>
    <cfRule type="expression" dxfId="244" priority="1243" stopIfTrue="1">
      <formula>$A17&lt;&gt;"Serviço"</formula>
    </cfRule>
  </conditionalFormatting>
  <conditionalFormatting sqref="C17">
    <cfRule type="expression" dxfId="243" priority="1244" stopIfTrue="1">
      <formula>$A17="Meta"</formula>
    </cfRule>
    <cfRule type="expression" dxfId="242" priority="1245" stopIfTrue="1">
      <formula>$A17&lt;&gt;"Serviço"</formula>
    </cfRule>
  </conditionalFormatting>
  <conditionalFormatting sqref="A17:B17">
    <cfRule type="expression" dxfId="241" priority="1246" stopIfTrue="1">
      <formula>$A17="Meta"</formula>
    </cfRule>
    <cfRule type="expression" dxfId="240" priority="1247" stopIfTrue="1">
      <formula>LEFT($A17,5)="Nível"</formula>
    </cfRule>
    <cfRule type="expression" dxfId="239" priority="1248" stopIfTrue="1">
      <formula>$A17=0</formula>
    </cfRule>
  </conditionalFormatting>
  <conditionalFormatting sqref="U17">
    <cfRule type="expression" dxfId="238" priority="1249" stopIfTrue="1">
      <formula>$A17="Meta"</formula>
    </cfRule>
    <cfRule type="expression" dxfId="237" priority="1250" stopIfTrue="1">
      <formula>OR(U$9=0,$A17&lt;&gt;"Serviço")</formula>
    </cfRule>
    <cfRule type="expression" dxfId="236" priority="1251" stopIfTrue="1">
      <formula>TipoOrçamento="Licitado"</formula>
    </cfRule>
  </conditionalFormatting>
  <conditionalFormatting sqref="F17:O17">
    <cfRule type="expression" dxfId="235" priority="1239" stopIfTrue="1">
      <formula>$A17="Meta"</formula>
    </cfRule>
    <cfRule type="expression" dxfId="234" priority="1240" stopIfTrue="1">
      <formula>OR(F$9=0,$A17&lt;&gt;"Serviço")</formula>
    </cfRule>
    <cfRule type="expression" dxfId="233" priority="1241" stopIfTrue="1">
      <formula>TipoOrçamento="Licitado"</formula>
    </cfRule>
  </conditionalFormatting>
  <conditionalFormatting sqref="D21:E21">
    <cfRule type="expression" dxfId="232" priority="355" stopIfTrue="1">
      <formula>$A21="Meta"</formula>
    </cfRule>
    <cfRule type="expression" dxfId="231" priority="356" stopIfTrue="1">
      <formula>$A21&lt;&gt;"Serviço"</formula>
    </cfRule>
  </conditionalFormatting>
  <conditionalFormatting sqref="C21">
    <cfRule type="expression" dxfId="230" priority="357" stopIfTrue="1">
      <formula>$A21="Meta"</formula>
    </cfRule>
    <cfRule type="expression" dxfId="229" priority="358" stopIfTrue="1">
      <formula>$A21&lt;&gt;"Serviço"</formula>
    </cfRule>
  </conditionalFormatting>
  <conditionalFormatting sqref="A21:B21">
    <cfRule type="expression" dxfId="228" priority="359" stopIfTrue="1">
      <formula>$A21="Meta"</formula>
    </cfRule>
    <cfRule type="expression" dxfId="227" priority="360" stopIfTrue="1">
      <formula>LEFT($A21,5)="Nível"</formula>
    </cfRule>
    <cfRule type="expression" dxfId="226" priority="361" stopIfTrue="1">
      <formula>$A21=0</formula>
    </cfRule>
  </conditionalFormatting>
  <conditionalFormatting sqref="D29:E29">
    <cfRule type="expression" dxfId="225" priority="342" stopIfTrue="1">
      <formula>$A29="Meta"</formula>
    </cfRule>
    <cfRule type="expression" dxfId="224" priority="343" stopIfTrue="1">
      <formula>$A29&lt;&gt;"Serviço"</formula>
    </cfRule>
  </conditionalFormatting>
  <conditionalFormatting sqref="C29">
    <cfRule type="expression" dxfId="223" priority="344" stopIfTrue="1">
      <formula>$A29="Meta"</formula>
    </cfRule>
    <cfRule type="expression" dxfId="222" priority="345" stopIfTrue="1">
      <formula>$A29&lt;&gt;"Serviço"</formula>
    </cfRule>
  </conditionalFormatting>
  <conditionalFormatting sqref="A29:B29">
    <cfRule type="expression" dxfId="221" priority="346" stopIfTrue="1">
      <formula>$A29="Meta"</formula>
    </cfRule>
    <cfRule type="expression" dxfId="220" priority="347" stopIfTrue="1">
      <formula>LEFT($A29,5)="Nível"</formula>
    </cfRule>
    <cfRule type="expression" dxfId="219" priority="348" stopIfTrue="1">
      <formula>$A29=0</formula>
    </cfRule>
  </conditionalFormatting>
  <conditionalFormatting sqref="D15:E15">
    <cfRule type="expression" dxfId="218" priority="147" stopIfTrue="1">
      <formula>$A15="Meta"</formula>
    </cfRule>
    <cfRule type="expression" dxfId="217" priority="148" stopIfTrue="1">
      <formula>$A15&lt;&gt;"Serviço"</formula>
    </cfRule>
  </conditionalFormatting>
  <conditionalFormatting sqref="C15">
    <cfRule type="expression" dxfId="216" priority="149" stopIfTrue="1">
      <formula>$A15="Meta"</formula>
    </cfRule>
    <cfRule type="expression" dxfId="215" priority="150" stopIfTrue="1">
      <formula>$A15&lt;&gt;"Serviço"</formula>
    </cfRule>
  </conditionalFormatting>
  <conditionalFormatting sqref="A15:B15">
    <cfRule type="expression" dxfId="214" priority="151" stopIfTrue="1">
      <formula>$A15="Meta"</formula>
    </cfRule>
    <cfRule type="expression" dxfId="213" priority="152" stopIfTrue="1">
      <formula>LEFT($A15,5)="Nível"</formula>
    </cfRule>
    <cfRule type="expression" dxfId="212" priority="153" stopIfTrue="1">
      <formula>$A15=0</formula>
    </cfRule>
  </conditionalFormatting>
  <conditionalFormatting sqref="U15">
    <cfRule type="expression" dxfId="211" priority="154" stopIfTrue="1">
      <formula>$A15="Meta"</formula>
    </cfRule>
    <cfRule type="expression" dxfId="210" priority="155" stopIfTrue="1">
      <formula>OR(U$9=0,$A15&lt;&gt;"Serviço")</formula>
    </cfRule>
    <cfRule type="expression" dxfId="209" priority="156" stopIfTrue="1">
      <formula>TipoOrçamento="Licitado"</formula>
    </cfRule>
  </conditionalFormatting>
  <conditionalFormatting sqref="F15:O15">
    <cfRule type="expression" dxfId="208" priority="144" stopIfTrue="1">
      <formula>$A15="Meta"</formula>
    </cfRule>
    <cfRule type="expression" dxfId="207" priority="145" stopIfTrue="1">
      <formula>OR(F$9=0,$A15&lt;&gt;"Serviço")</formula>
    </cfRule>
    <cfRule type="expression" dxfId="206" priority="146" stopIfTrue="1">
      <formula>TipoOrçamento="Licitado"</formula>
    </cfRule>
  </conditionalFormatting>
  <conditionalFormatting sqref="D30:E46 D67:E87">
    <cfRule type="expression" dxfId="205" priority="134" stopIfTrue="1">
      <formula>$A30="Meta"</formula>
    </cfRule>
    <cfRule type="expression" dxfId="204" priority="135" stopIfTrue="1">
      <formula>$A30&lt;&gt;"Serviço"</formula>
    </cfRule>
  </conditionalFormatting>
  <conditionalFormatting sqref="C30:C46 C67:C87">
    <cfRule type="expression" dxfId="203" priority="136" stopIfTrue="1">
      <formula>$A30="Meta"</formula>
    </cfRule>
    <cfRule type="expression" dxfId="202" priority="137" stopIfTrue="1">
      <formula>$A30&lt;&gt;"Serviço"</formula>
    </cfRule>
  </conditionalFormatting>
  <conditionalFormatting sqref="A30:B46 A67:B87">
    <cfRule type="expression" dxfId="201" priority="138" stopIfTrue="1">
      <formula>$A30="Meta"</formula>
    </cfRule>
    <cfRule type="expression" dxfId="200" priority="139" stopIfTrue="1">
      <formula>LEFT($A30,5)="Nível"</formula>
    </cfRule>
    <cfRule type="expression" dxfId="199" priority="140" stopIfTrue="1">
      <formula>$A30=0</formula>
    </cfRule>
  </conditionalFormatting>
  <conditionalFormatting sqref="U30:U46 U67:U87">
    <cfRule type="expression" dxfId="198" priority="141" stopIfTrue="1">
      <formula>$A30="Meta"</formula>
    </cfRule>
    <cfRule type="expression" dxfId="197" priority="142" stopIfTrue="1">
      <formula>OR(U$9=0,$A30&lt;&gt;"Serviço")</formula>
    </cfRule>
    <cfRule type="expression" dxfId="196" priority="143" stopIfTrue="1">
      <formula>TipoOrçamento="Licitado"</formula>
    </cfRule>
  </conditionalFormatting>
  <conditionalFormatting sqref="F30:O46 F67:O87">
    <cfRule type="expression" dxfId="195" priority="131" stopIfTrue="1">
      <formula>$A30="Meta"</formula>
    </cfRule>
    <cfRule type="expression" dxfId="194" priority="132" stopIfTrue="1">
      <formula>OR(F$9=0,$A30&lt;&gt;"Serviço")</formula>
    </cfRule>
    <cfRule type="expression" dxfId="193" priority="133" stopIfTrue="1">
      <formula>TipoOrçamento="Licitado"</formula>
    </cfRule>
  </conditionalFormatting>
  <conditionalFormatting sqref="D47:E66">
    <cfRule type="expression" dxfId="192" priority="121" stopIfTrue="1">
      <formula>$A47="Meta"</formula>
    </cfRule>
    <cfRule type="expression" dxfId="191" priority="122" stopIfTrue="1">
      <formula>$A47&lt;&gt;"Serviço"</formula>
    </cfRule>
  </conditionalFormatting>
  <conditionalFormatting sqref="C47:C66">
    <cfRule type="expression" dxfId="190" priority="123" stopIfTrue="1">
      <formula>$A47="Meta"</formula>
    </cfRule>
    <cfRule type="expression" dxfId="189" priority="124" stopIfTrue="1">
      <formula>$A47&lt;&gt;"Serviço"</formula>
    </cfRule>
  </conditionalFormatting>
  <conditionalFormatting sqref="A47:B66">
    <cfRule type="expression" dxfId="188" priority="125" stopIfTrue="1">
      <formula>$A47="Meta"</formula>
    </cfRule>
    <cfRule type="expression" dxfId="187" priority="126" stopIfTrue="1">
      <formula>LEFT($A47,5)="Nível"</formula>
    </cfRule>
    <cfRule type="expression" dxfId="186" priority="127" stopIfTrue="1">
      <formula>$A47=0</formula>
    </cfRule>
  </conditionalFormatting>
  <conditionalFormatting sqref="U47:U66">
    <cfRule type="expression" dxfId="185" priority="128" stopIfTrue="1">
      <formula>$A47="Meta"</formula>
    </cfRule>
    <cfRule type="expression" dxfId="184" priority="129" stopIfTrue="1">
      <formula>OR(U$9=0,$A47&lt;&gt;"Serviço")</formula>
    </cfRule>
    <cfRule type="expression" dxfId="183" priority="130" stopIfTrue="1">
      <formula>TipoOrçamento="Licitado"</formula>
    </cfRule>
  </conditionalFormatting>
  <conditionalFormatting sqref="F47:O66">
    <cfRule type="expression" dxfId="182" priority="118" stopIfTrue="1">
      <formula>$A47="Meta"</formula>
    </cfRule>
    <cfRule type="expression" dxfId="181" priority="119" stopIfTrue="1">
      <formula>OR(F$9=0,$A47&lt;&gt;"Serviço")</formula>
    </cfRule>
    <cfRule type="expression" dxfId="180" priority="120" stopIfTrue="1">
      <formula>TipoOrçamento="Licitado"</formula>
    </cfRule>
  </conditionalFormatting>
  <conditionalFormatting sqref="D96:E96">
    <cfRule type="expression" dxfId="179" priority="95" stopIfTrue="1">
      <formula>$A96="Meta"</formula>
    </cfRule>
    <cfRule type="expression" dxfId="178" priority="96" stopIfTrue="1">
      <formula>$A96&lt;&gt;"Serviço"</formula>
    </cfRule>
  </conditionalFormatting>
  <conditionalFormatting sqref="C96">
    <cfRule type="expression" dxfId="177" priority="97" stopIfTrue="1">
      <formula>$A96="Meta"</formula>
    </cfRule>
    <cfRule type="expression" dxfId="176" priority="98" stopIfTrue="1">
      <formula>$A96&lt;&gt;"Serviço"</formula>
    </cfRule>
  </conditionalFormatting>
  <conditionalFormatting sqref="A96:B96">
    <cfRule type="expression" dxfId="175" priority="99" stopIfTrue="1">
      <formula>$A96="Meta"</formula>
    </cfRule>
    <cfRule type="expression" dxfId="174" priority="100" stopIfTrue="1">
      <formula>LEFT($A96,5)="Nível"</formula>
    </cfRule>
    <cfRule type="expression" dxfId="173" priority="101" stopIfTrue="1">
      <formula>$A96=0</formula>
    </cfRule>
  </conditionalFormatting>
  <conditionalFormatting sqref="U96">
    <cfRule type="expression" dxfId="172" priority="102" stopIfTrue="1">
      <formula>$A96="Meta"</formula>
    </cfRule>
    <cfRule type="expression" dxfId="171" priority="103" stopIfTrue="1">
      <formula>OR(U$9=0,$A96&lt;&gt;"Serviço")</formula>
    </cfRule>
    <cfRule type="expression" dxfId="170" priority="104" stopIfTrue="1">
      <formula>TipoOrçamento="Licitado"</formula>
    </cfRule>
  </conditionalFormatting>
  <conditionalFormatting sqref="F96:O96">
    <cfRule type="expression" dxfId="169" priority="92" stopIfTrue="1">
      <formula>$A96="Meta"</formula>
    </cfRule>
    <cfRule type="expression" dxfId="168" priority="93" stopIfTrue="1">
      <formula>OR(F$9=0,$A96&lt;&gt;"Serviço")</formula>
    </cfRule>
    <cfRule type="expression" dxfId="167" priority="94" stopIfTrue="1">
      <formula>TipoOrçamento="Licitado"</formula>
    </cfRule>
  </conditionalFormatting>
  <conditionalFormatting sqref="D97:E107">
    <cfRule type="expression" dxfId="166" priority="82" stopIfTrue="1">
      <formula>$A97="Meta"</formula>
    </cfRule>
    <cfRule type="expression" dxfId="165" priority="83" stopIfTrue="1">
      <formula>$A97&lt;&gt;"Serviço"</formula>
    </cfRule>
  </conditionalFormatting>
  <conditionalFormatting sqref="C97:C107">
    <cfRule type="expression" dxfId="164" priority="84" stopIfTrue="1">
      <formula>$A97="Meta"</formula>
    </cfRule>
    <cfRule type="expression" dxfId="163" priority="85" stopIfTrue="1">
      <formula>$A97&lt;&gt;"Serviço"</formula>
    </cfRule>
  </conditionalFormatting>
  <conditionalFormatting sqref="A97:B107">
    <cfRule type="expression" dxfId="162" priority="86" stopIfTrue="1">
      <formula>$A97="Meta"</formula>
    </cfRule>
    <cfRule type="expression" dxfId="161" priority="87" stopIfTrue="1">
      <formula>LEFT($A97,5)="Nível"</formula>
    </cfRule>
    <cfRule type="expression" dxfId="160" priority="88" stopIfTrue="1">
      <formula>$A97=0</formula>
    </cfRule>
  </conditionalFormatting>
  <conditionalFormatting sqref="U97:U107">
    <cfRule type="expression" dxfId="159" priority="89" stopIfTrue="1">
      <formula>$A97="Meta"</formula>
    </cfRule>
    <cfRule type="expression" dxfId="158" priority="90" stopIfTrue="1">
      <formula>OR(U$9=0,$A97&lt;&gt;"Serviço")</formula>
    </cfRule>
    <cfRule type="expression" dxfId="157" priority="91" stopIfTrue="1">
      <formula>TipoOrçamento="Licitado"</formula>
    </cfRule>
  </conditionalFormatting>
  <conditionalFormatting sqref="F97:O107">
    <cfRule type="expression" dxfId="156" priority="79" stopIfTrue="1">
      <formula>$A97="Meta"</formula>
    </cfRule>
    <cfRule type="expression" dxfId="155" priority="80" stopIfTrue="1">
      <formula>OR(F$9=0,$A97&lt;&gt;"Serviço")</formula>
    </cfRule>
    <cfRule type="expression" dxfId="154" priority="81" stopIfTrue="1">
      <formula>TipoOrçamento="Licitado"</formula>
    </cfRule>
  </conditionalFormatting>
  <conditionalFormatting sqref="D109:E128">
    <cfRule type="expression" dxfId="153" priority="56" stopIfTrue="1">
      <formula>$A109="Meta"</formula>
    </cfRule>
    <cfRule type="expression" dxfId="152" priority="57" stopIfTrue="1">
      <formula>$A109&lt;&gt;"Serviço"</formula>
    </cfRule>
  </conditionalFormatting>
  <conditionalFormatting sqref="C109:C128">
    <cfRule type="expression" dxfId="151" priority="58" stopIfTrue="1">
      <formula>$A109="Meta"</formula>
    </cfRule>
    <cfRule type="expression" dxfId="150" priority="59" stopIfTrue="1">
      <formula>$A109&lt;&gt;"Serviço"</formula>
    </cfRule>
  </conditionalFormatting>
  <conditionalFormatting sqref="A109:B128">
    <cfRule type="expression" dxfId="149" priority="60" stopIfTrue="1">
      <formula>$A109="Meta"</formula>
    </cfRule>
    <cfRule type="expression" dxfId="148" priority="61" stopIfTrue="1">
      <formula>LEFT($A109,5)="Nível"</formula>
    </cfRule>
    <cfRule type="expression" dxfId="147" priority="62" stopIfTrue="1">
      <formula>$A109=0</formula>
    </cfRule>
  </conditionalFormatting>
  <conditionalFormatting sqref="U109:U128">
    <cfRule type="expression" dxfId="146" priority="63" stopIfTrue="1">
      <formula>$A109="Meta"</formula>
    </cfRule>
    <cfRule type="expression" dxfId="145" priority="64" stopIfTrue="1">
      <formula>OR(U$9=0,$A109&lt;&gt;"Serviço")</formula>
    </cfRule>
    <cfRule type="expression" dxfId="144" priority="65" stopIfTrue="1">
      <formula>TipoOrçamento="Licitado"</formula>
    </cfRule>
  </conditionalFormatting>
  <conditionalFormatting sqref="F109:O128">
    <cfRule type="expression" dxfId="143" priority="53" stopIfTrue="1">
      <formula>$A109="Meta"</formula>
    </cfRule>
    <cfRule type="expression" dxfId="142" priority="54" stopIfTrue="1">
      <formula>OR(F$9=0,$A109&lt;&gt;"Serviço")</formula>
    </cfRule>
    <cfRule type="expression" dxfId="141" priority="55" stopIfTrue="1">
      <formula>TipoOrçamento="Licitado"</formula>
    </cfRule>
  </conditionalFormatting>
  <conditionalFormatting sqref="D129:E178">
    <cfRule type="expression" dxfId="140" priority="43" stopIfTrue="1">
      <formula>$A129="Meta"</formula>
    </cfRule>
    <cfRule type="expression" dxfId="139" priority="44" stopIfTrue="1">
      <formula>$A129&lt;&gt;"Serviço"</formula>
    </cfRule>
  </conditionalFormatting>
  <conditionalFormatting sqref="C129:C178">
    <cfRule type="expression" dxfId="138" priority="45" stopIfTrue="1">
      <formula>$A129="Meta"</formula>
    </cfRule>
    <cfRule type="expression" dxfId="137" priority="46" stopIfTrue="1">
      <formula>$A129&lt;&gt;"Serviço"</formula>
    </cfRule>
  </conditionalFormatting>
  <conditionalFormatting sqref="A129:B178">
    <cfRule type="expression" dxfId="136" priority="47" stopIfTrue="1">
      <formula>$A129="Meta"</formula>
    </cfRule>
    <cfRule type="expression" dxfId="135" priority="48" stopIfTrue="1">
      <formula>LEFT($A129,5)="Nível"</formula>
    </cfRule>
    <cfRule type="expression" dxfId="134" priority="49" stopIfTrue="1">
      <formula>$A129=0</formula>
    </cfRule>
  </conditionalFormatting>
  <conditionalFormatting sqref="U129:U178">
    <cfRule type="expression" dxfId="133" priority="50" stopIfTrue="1">
      <formula>$A129="Meta"</formula>
    </cfRule>
    <cfRule type="expression" dxfId="132" priority="51" stopIfTrue="1">
      <formula>OR(U$9=0,$A129&lt;&gt;"Serviço")</formula>
    </cfRule>
    <cfRule type="expression" dxfId="131" priority="52" stopIfTrue="1">
      <formula>TipoOrçamento="Licitado"</formula>
    </cfRule>
  </conditionalFormatting>
  <conditionalFormatting sqref="F129:O178">
    <cfRule type="expression" dxfId="130" priority="40" stopIfTrue="1">
      <formula>$A129="Meta"</formula>
    </cfRule>
    <cfRule type="expression" dxfId="129" priority="41" stopIfTrue="1">
      <formula>OR(F$9=0,$A129&lt;&gt;"Serviço")</formula>
    </cfRule>
    <cfRule type="expression" dxfId="128" priority="42" stopIfTrue="1">
      <formula>TipoOrçamento="Licitado"</formula>
    </cfRule>
  </conditionalFormatting>
  <conditionalFormatting sqref="D179:E248">
    <cfRule type="expression" dxfId="127" priority="30" stopIfTrue="1">
      <formula>$A179="Meta"</formula>
    </cfRule>
    <cfRule type="expression" dxfId="126" priority="31" stopIfTrue="1">
      <formula>$A179&lt;&gt;"Serviço"</formula>
    </cfRule>
  </conditionalFormatting>
  <conditionalFormatting sqref="C179:C248">
    <cfRule type="expression" dxfId="125" priority="32" stopIfTrue="1">
      <formula>$A179="Meta"</formula>
    </cfRule>
    <cfRule type="expression" dxfId="124" priority="33" stopIfTrue="1">
      <formula>$A179&lt;&gt;"Serviço"</formula>
    </cfRule>
  </conditionalFormatting>
  <conditionalFormatting sqref="A179:B248">
    <cfRule type="expression" dxfId="123" priority="34" stopIfTrue="1">
      <formula>$A179="Meta"</formula>
    </cfRule>
    <cfRule type="expression" dxfId="122" priority="35" stopIfTrue="1">
      <formula>LEFT($A179,5)="Nível"</formula>
    </cfRule>
    <cfRule type="expression" dxfId="121" priority="36" stopIfTrue="1">
      <formula>$A179=0</formula>
    </cfRule>
  </conditionalFormatting>
  <conditionalFormatting sqref="U179:U248">
    <cfRule type="expression" dxfId="120" priority="37" stopIfTrue="1">
      <formula>$A179="Meta"</formula>
    </cfRule>
    <cfRule type="expression" dxfId="119" priority="38" stopIfTrue="1">
      <formula>OR(U$9=0,$A179&lt;&gt;"Serviço")</formula>
    </cfRule>
    <cfRule type="expression" dxfId="118" priority="39" stopIfTrue="1">
      <formula>TipoOrçamento="Licitado"</formula>
    </cfRule>
  </conditionalFormatting>
  <conditionalFormatting sqref="F179:O248">
    <cfRule type="expression" dxfId="117" priority="27" stopIfTrue="1">
      <formula>$A179="Meta"</formula>
    </cfRule>
    <cfRule type="expression" dxfId="116" priority="28" stopIfTrue="1">
      <formula>OR(F$9=0,$A179&lt;&gt;"Serviço")</formula>
    </cfRule>
    <cfRule type="expression" dxfId="115" priority="29" stopIfTrue="1">
      <formula>TipoOrçamento="Licitado"</formula>
    </cfRule>
  </conditionalFormatting>
  <conditionalFormatting sqref="D249:E348">
    <cfRule type="expression" dxfId="114" priority="17" stopIfTrue="1">
      <formula>$A249="Meta"</formula>
    </cfRule>
    <cfRule type="expression" dxfId="113" priority="18" stopIfTrue="1">
      <formula>$A249&lt;&gt;"Serviço"</formula>
    </cfRule>
  </conditionalFormatting>
  <conditionalFormatting sqref="C249:C348">
    <cfRule type="expression" dxfId="112" priority="19" stopIfTrue="1">
      <formula>$A249="Meta"</formula>
    </cfRule>
    <cfRule type="expression" dxfId="111" priority="20" stopIfTrue="1">
      <formula>$A249&lt;&gt;"Serviço"</formula>
    </cfRule>
  </conditionalFormatting>
  <conditionalFormatting sqref="A249:B348">
    <cfRule type="expression" dxfId="110" priority="21" stopIfTrue="1">
      <formula>$A249="Meta"</formula>
    </cfRule>
    <cfRule type="expression" dxfId="109" priority="22" stopIfTrue="1">
      <formula>LEFT($A249,5)="Nível"</formula>
    </cfRule>
    <cfRule type="expression" dxfId="108" priority="23" stopIfTrue="1">
      <formula>$A249=0</formula>
    </cfRule>
  </conditionalFormatting>
  <conditionalFormatting sqref="U249:U348">
    <cfRule type="expression" dxfId="107" priority="24" stopIfTrue="1">
      <formula>$A249="Meta"</formula>
    </cfRule>
    <cfRule type="expression" dxfId="106" priority="25" stopIfTrue="1">
      <formula>OR(U$9=0,$A249&lt;&gt;"Serviço")</formula>
    </cfRule>
    <cfRule type="expression" dxfId="105" priority="26" stopIfTrue="1">
      <formula>TipoOrçamento="Licitado"</formula>
    </cfRule>
  </conditionalFormatting>
  <conditionalFormatting sqref="F249:O348">
    <cfRule type="expression" dxfId="104" priority="14" stopIfTrue="1">
      <formula>$A249="Meta"</formula>
    </cfRule>
    <cfRule type="expression" dxfId="103" priority="15" stopIfTrue="1">
      <formula>OR(F$9=0,$A249&lt;&gt;"Serviço")</formula>
    </cfRule>
    <cfRule type="expression" dxfId="102" priority="16"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421 F14:O421">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427 B424"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61"/>
  <sheetViews>
    <sheetView showGridLines="0" view="pageBreakPreview" topLeftCell="L1" zoomScale="70" zoomScaleSheetLayoutView="70" workbookViewId="0">
      <selection activeCell="P18" sqref="P18"/>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53" t="str">
        <f ca="1">IF(MAX($A$14:$A$52)&lt;&gt;MAX(PO!$V$12:$V$422),"ERRO: CRONOGRAMA DESATUALIZADO",IF(OR(COUNTIF($O$16:$X$16,"&gt;1")&gt;0,OFFSET($X$17,0,-1)&lt;&gt;$N$14),"ERRO: CRONOGRAMA NÃO FECHA EM 100%",""))</f>
        <v>ERRO: CRONOGRAMA DESATUALIZADO</v>
      </c>
      <c r="M8" s="353"/>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10/06/26</v>
      </c>
      <c r="P10" s="186" t="str">
        <f ca="1">IF(AND(TipoOrçamento="REPROGRAMADOAC",$N$9&gt;0,N10="Valores Totais (R$)"),"Parcela "&amp;$N$9&amp;" Executado","Parcela "&amp;P$9&amp;CHAR(10)&amp;TEXT(DATE(YEAR(DADOS!$A$48),MONTH(DADOS!$A$48)+P$9-IF(AND(TipoOrçamento="REPROGRAMADOAC",$N$9&gt;0),$N$9,0),1),"mmm/aa"))</f>
        <v>Parcela 1
jul/26</v>
      </c>
      <c r="Q10" s="177" t="str">
        <f ca="1">IF(AND(TipoOrçamento="REPROGRAMADOAC",$N$9&gt;0,O10="Valores Totais (R$)"),"Parcela "&amp;$N$9&amp;" Executado","Parcela "&amp;Q$9&amp;CHAR(10)&amp;TEXT(DATE(YEAR(DADOS!$A$48),MONTH(DADOS!$A$48)+Q$9-IF(AND(TipoOrçamento="REPROGRAMADOAC",$N$9&gt;0),$N$9,0),1),"mmm/aa"))</f>
        <v>Parcela 2
ago/26</v>
      </c>
      <c r="R10" s="177" t="str">
        <f ca="1">IF(AND(TipoOrçamento="REPROGRAMADOAC",$N$9&gt;0,P10="Valores Totais (R$)"),"Parcela "&amp;$N$9&amp;" Executado","Parcela "&amp;R$9&amp;CHAR(10)&amp;TEXT(DATE(YEAR(DADOS!$A$48),MONTH(DADOS!$A$48)+R$9-IF(AND(TipoOrçamento="REPROGRAMADOAC",$N$9&gt;0),$N$9,0),1),"mmm/aa"))</f>
        <v>Parcela 3
set/26</v>
      </c>
      <c r="S10" s="177" t="str">
        <f ca="1">IF(AND(TipoOrçamento="REPROGRAMADOAC",$N$9&gt;0,Q10="Valores Totais (R$)"),"Parcela "&amp;$N$9&amp;" Executado","Parcela "&amp;S$9&amp;CHAR(10)&amp;TEXT(DATE(YEAR(DADOS!$A$48),MONTH(DADOS!$A$48)+S$9-IF(AND(TipoOrçamento="REPROGRAMADOAC",$N$9&gt;0),$N$9,0),1),"mmm/aa"))</f>
        <v>Parcela 4
out/26</v>
      </c>
      <c r="T10" s="177" t="str">
        <f ca="1">IF(AND(TipoOrçamento="REPROGRAMADOAC",$N$9&gt;0,R10="Valores Totais (R$)"),"Parcela "&amp;$N$9&amp;" Executado","Parcela "&amp;T$9&amp;CHAR(10)&amp;TEXT(DATE(YEAR(DADOS!$A$48),MONTH(DADOS!$A$48)+T$9-IF(AND(TipoOrçamento="REPROGRAMADOAC",$N$9&gt;0),$N$9,0),1),"mmm/aa"))</f>
        <v>Parcela 5
nov/26</v>
      </c>
      <c r="U10" s="177" t="str">
        <f ca="1">IF(AND(TipoOrçamento="REPROGRAMADOAC",$N$9&gt;0,S10="Valores Totais (R$)"),"Parcela "&amp;$N$9&amp;" Executado","Parcela "&amp;U$9&amp;CHAR(10)&amp;TEXT(DATE(YEAR(DADOS!$A$48),MONTH(DADOS!$A$48)+U$9-IF(AND(TipoOrçamento="REPROGRAMADOAC",$N$9&gt;0),$N$9,0),1),"mmm/aa"))</f>
        <v>Parcela 6
dez/26</v>
      </c>
      <c r="V10" s="177" t="str">
        <f ca="1">IF(AND(TipoOrçamento="REPROGRAMADOAC",$N$9&gt;0,T10="Valores Totais (R$)"),"Parcela "&amp;$N$9&amp;" Executado","Parcela "&amp;V$9&amp;CHAR(10)&amp;TEXT(DATE(YEAR(DADOS!$A$48),MONTH(DADOS!$A$48)+V$9-IF(AND(TipoOrçamento="REPROGRAMADOAC",$N$9&gt;0),$N$9,0),1),"mmm/aa"))</f>
        <v>Parcela 7
jan/27</v>
      </c>
      <c r="W10" s="189" t="str">
        <f ca="1">IF(AND(TipoOrçamento="REPROGRAMADOAC",$N$9&gt;0,U10="Valores Totais (R$)"),"Parcela "&amp;$N$9&amp;" Executado","Parcela "&amp;W$9&amp;CHAR(10)&amp;TEXT(DATE(YEAR(DADOS!$A$48),MONTH(DADOS!$A$48)+W$9-IF(AND(TipoOrçamento="REPROGRAMADOAC",$N$9&gt;0),$N$9,0),1),"mmm/aa"))</f>
        <v>Parcela 8
fev/27</v>
      </c>
      <c r="X10" s="162"/>
      <c r="AC10" s="177" t="str">
        <f ca="1">IF(AND(TipoOrçamento="REPROGRAMADOAC",$N$9&gt;0,AA10="Valores Totais (R$)"),"Parcela "&amp;$N$9&amp;" Executado","Parcela "&amp;AC$9&amp;CHAR(10)&amp;TEXT(DATE(YEAR(DADOS!$A$48),MONTH(DADOS!$A$48)+AC$9-IF(AND(TipoOrçamento="REPROGRAMADOAC",$N$9&gt;0),$N$9,0),1),"mmm/aa"))</f>
        <v>Parcela 1
jul/26</v>
      </c>
    </row>
    <row r="11" spans="1:29" customFormat="1" ht="14.25" hidden="1" customHeight="1" x14ac:dyDescent="0.2">
      <c r="A11" s="1"/>
      <c r="B11" s="1"/>
      <c r="C11" s="1"/>
      <c r="D11" s="1"/>
      <c r="E11" s="1"/>
      <c r="F11" s="1"/>
      <c r="G11" s="1"/>
      <c r="H11" s="1"/>
      <c r="I11" s="1"/>
      <c r="J11" s="1"/>
      <c r="K11" s="1"/>
      <c r="L11" s="334" t="e">
        <f ca="1">INDEX(PO!K$12:K$422,MATCH($A13,PO!$V$12:$V$422,0))</f>
        <v>#VALUE!</v>
      </c>
      <c r="M11" s="336" t="e">
        <f ca="1">INDEX(PO!N$12:N$422,MATCH($A13,PO!$V$12:$V$422,0))</f>
        <v>#VALUE!</v>
      </c>
      <c r="N11" s="347"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5"/>
      <c r="M12" s="337"/>
      <c r="N12" s="348"/>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INDEX(PO!A$12:A$422,MATCH($A13,PO!$V$12:$V$422,0))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MATCH(0,OFFSET($D13,1,$C13,ROW($A$51)-ROW($A13)),0)</f>
        <v>#VALUE!</v>
      </c>
      <c r="J13" s="11" t="e">
        <f ca="1">MATCH(OFFSET($D13,0,$C13)+1,OFFSET($D13,1,$C13,ROW($A$51)-ROW($A13)),0)</f>
        <v>#VALUE!</v>
      </c>
      <c r="K13" s="156" t="e">
        <f ca="1">ROUND(INDEX(PO!T$12:T$422,MATCH($A13,PO!$V$12:$V$422,0)),2)+10^-12</f>
        <v>#VALUE!</v>
      </c>
      <c r="L13" s="335"/>
      <c r="M13" s="337"/>
      <c r="N13" s="348"/>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38" t="s">
        <v>19</v>
      </c>
      <c r="M14" s="339"/>
      <c r="N14" s="344">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0"/>
      <c r="M15" s="341"/>
      <c r="N15" s="345"/>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0"/>
      <c r="M16" s="341"/>
      <c r="N16" s="345"/>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ROW(D$51)-ROW(D18)</f>
        <v>33</v>
      </c>
      <c r="E17"/>
      <c r="F17"/>
      <c r="G17"/>
      <c r="H17"/>
      <c r="I17"/>
      <c r="J17"/>
      <c r="K17"/>
      <c r="L17" s="342"/>
      <c r="M17" s="343"/>
      <c r="N17" s="346"/>
      <c r="O17" s="134" t="s">
        <v>20</v>
      </c>
      <c r="P17" s="169">
        <f ca="1">SUMIF(OFFSET($C17,1,0):$C$51,1,OFFSET(P17,1,0):P$51)</f>
        <v>0</v>
      </c>
      <c r="Q17" s="129">
        <f ca="1">SUMIF(OFFSET($C17,1,0):$C$51,1,OFFSET(Q17,1,0):Q$51)</f>
        <v>0</v>
      </c>
      <c r="R17" s="129">
        <f ca="1">SUMIF(OFFSET($C17,1,0):$C$51,1,OFFSET(R17,1,0):R$51)</f>
        <v>0</v>
      </c>
      <c r="S17" s="129">
        <f ca="1">SUMIF(OFFSET($C17,1,0):$C$51,1,OFFSET(S17,1,0):S$51)</f>
        <v>0</v>
      </c>
      <c r="T17" s="129">
        <f ca="1">SUMIF(OFFSET($C17,1,0):$C$51,1,OFFSET(T17,1,0):T$51)</f>
        <v>0</v>
      </c>
      <c r="U17" s="129">
        <f ca="1">SUMIF(OFFSET($C17,1,0):$C$51,1,OFFSET(U17,1,0):U$51)</f>
        <v>0</v>
      </c>
      <c r="V17" s="129">
        <f ca="1">SUMIF(OFFSET($C17,1,0):$C$51,1,OFFSET(V17,1,0):V$51)</f>
        <v>0</v>
      </c>
      <c r="W17" s="129">
        <f ca="1">SUMIF(OFFSET($C17,1,0):$C$51,1,OFFSET(W17,1,0):W$51)</f>
        <v>0</v>
      </c>
      <c r="X17" s="146"/>
      <c r="AC17" s="129">
        <f ca="1">SUMIF(OFFSET($C17,1,0):$C$51,1,OFFSET(AC17,1,0):AC$51)</f>
        <v>0</v>
      </c>
    </row>
    <row r="18" spans="1:29" customFormat="1" ht="14.25" customHeight="1" x14ac:dyDescent="0.2">
      <c r="L18" s="334" t="str">
        <f ca="1">INDEX(PO!K$12:K$422,MATCH($A20,PO!$V$12:$V$422,0))</f>
        <v>1.</v>
      </c>
      <c r="M18" s="336" t="str">
        <f ca="1">INDEX(PO!N$12:N$422,MATCH($A20,PO!$V$12:$V$422,0))</f>
        <v>REF. COMP. HOSPITALAR - IMAGENOLOGIA 1ª ETAPA</v>
      </c>
      <c r="N18" s="347">
        <f ca="1">IF(ROUND(K20,2)=0,K20,ROUND(K20,2))</f>
        <v>9.9999999999999998E-13</v>
      </c>
      <c r="O18" s="170" t="s">
        <v>143</v>
      </c>
      <c r="P18" s="192">
        <f ca="1">P14</f>
        <v>0</v>
      </c>
      <c r="Q18" s="193">
        <f ca="1">Q14</f>
        <v>0</v>
      </c>
      <c r="R18" s="193">
        <f ca="1">R14</f>
        <v>0</v>
      </c>
      <c r="S18" s="193">
        <v>0.1</v>
      </c>
      <c r="T18" s="193">
        <v>0.1</v>
      </c>
      <c r="U18" s="193">
        <v>0.1</v>
      </c>
      <c r="V18" s="193">
        <v>0.1</v>
      </c>
      <c r="W18" s="194">
        <f ca="1">IF($B20,0,W19-IF(ISNUMBER(V19),V19,0))</f>
        <v>0</v>
      </c>
      <c r="X18" s="164" t="s">
        <v>106</v>
      </c>
      <c r="AC18" s="188">
        <f ca="1">IF($B20,0,AC19-IF(ISNUMBER(AB19),AB19,0))</f>
        <v>0</v>
      </c>
    </row>
    <row r="19" spans="1:29" customFormat="1" ht="14.25" x14ac:dyDescent="0.2">
      <c r="L19" s="335"/>
      <c r="M19" s="337"/>
      <c r="N19" s="348"/>
      <c r="O19" s="145" t="s">
        <v>145</v>
      </c>
      <c r="P19" s="165">
        <f t="shared" ref="P19:W19" ca="1" si="7">MIN(IF($B20,P18+IF(ISNUMBER(O19),O19,0),P20/$N18),1)</f>
        <v>0</v>
      </c>
      <c r="Q19" s="143">
        <f t="shared" ca="1" si="7"/>
        <v>0</v>
      </c>
      <c r="R19" s="143">
        <f t="shared" ca="1" si="7"/>
        <v>0</v>
      </c>
      <c r="S19" s="143">
        <f t="shared" ca="1" si="7"/>
        <v>0</v>
      </c>
      <c r="T19" s="143">
        <f t="shared" ca="1" si="7"/>
        <v>0</v>
      </c>
      <c r="U19" s="143">
        <f t="shared" ca="1" si="7"/>
        <v>0</v>
      </c>
      <c r="V19" s="143">
        <f t="shared" ca="1" si="7"/>
        <v>0</v>
      </c>
      <c r="W19" s="143">
        <f t="shared" ca="1" si="7"/>
        <v>0</v>
      </c>
      <c r="X19" s="163"/>
      <c r="AC19" s="143">
        <f ca="1">MIN(IF($B20,AC18+IF(ISNUMBER(AB19),AB19,0),AC20/$N18),1)</f>
        <v>0</v>
      </c>
    </row>
    <row r="20" spans="1:29" customFormat="1" ht="14.25" x14ac:dyDescent="0.2">
      <c r="A20" s="19">
        <f ca="1">OFFSET(A20,-CFF.NumLinha,0)+1</f>
        <v>1</v>
      </c>
      <c r="B20" t="b">
        <f ca="1">$C20&gt;=OFFSET($C20,CFF.NumLinha,0)</f>
        <v>0</v>
      </c>
      <c r="C20" s="11">
        <f ca="1">INDEX(PO!A$12:A$422,MATCH($A20,PO!$V$12:$V$422,0))</f>
        <v>1</v>
      </c>
      <c r="D20" s="11">
        <f ca="1">IF(ISERROR(J20),I20,SMALL(I20:J20,1))-1</f>
        <v>30</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MATCH(0,OFFSET($D20,1,$C20,ROW($A$51)-ROW($A20)),0)</f>
        <v>31</v>
      </c>
      <c r="J20" s="11" t="e">
        <f ca="1">MATCH(OFFSET($D20,0,$C20)+1,OFFSET($D20,1,$C20,ROW($A$51)-ROW($A20)),0)</f>
        <v>#N/A</v>
      </c>
      <c r="K20" s="156">
        <f ca="1">ROUND(INDEX(PO!T$12:T$422,MATCH($A20,PO!$V$12:$V$422,0)),2)+10^-12</f>
        <v>9.9999999999999998E-13</v>
      </c>
      <c r="L20" s="335"/>
      <c r="M20" s="337"/>
      <c r="N20" s="348"/>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4" t="str">
        <f ca="1">INDEX(PO!K$12:K$422,MATCH($A23,PO!$V$12:$V$422,0))</f>
        <v>1.1.</v>
      </c>
      <c r="M21" s="336" t="str">
        <f ca="1">INDEX(PO!N$12:N$422,MATCH($A23,PO!$V$12:$V$422,0))</f>
        <v>SERVIÇOS PRELIMINARES</v>
      </c>
      <c r="N21" s="347">
        <f ca="1">IF(ROUND(K23,2)=0,K23,ROUND(K23,2))</f>
        <v>9.9999999999999998E-13</v>
      </c>
      <c r="O21" s="187" t="s">
        <v>143</v>
      </c>
      <c r="P21" s="192">
        <v>0.48</v>
      </c>
      <c r="Q21" s="193">
        <v>0.3</v>
      </c>
      <c r="R21" s="193">
        <v>0.22</v>
      </c>
      <c r="S21" s="193">
        <v>0.2</v>
      </c>
      <c r="T21" s="193">
        <f t="shared" ref="T21:W21" ca="1" si="9">IF($B23,0,T22-IF(ISNUMBER(S22),S22,0))</f>
        <v>0</v>
      </c>
      <c r="U21" s="193">
        <f t="shared" ca="1" si="9"/>
        <v>0</v>
      </c>
      <c r="V21" s="193">
        <f t="shared" ca="1" si="9"/>
        <v>0</v>
      </c>
      <c r="W21" s="194">
        <f t="shared" ca="1" si="9"/>
        <v>0</v>
      </c>
      <c r="X21" s="163"/>
      <c r="AC21" s="188">
        <f ca="1">IF($B23,0,AC22-IF(ISNUMBER(AB22),AB22,0))</f>
        <v>0</v>
      </c>
    </row>
    <row r="22" spans="1:29" customFormat="1" ht="14.25" x14ac:dyDescent="0.2">
      <c r="A22" s="11"/>
      <c r="B22" s="11"/>
      <c r="C22" s="11"/>
      <c r="D22" s="11"/>
      <c r="E22" s="11"/>
      <c r="F22" s="11"/>
      <c r="G22" s="11"/>
      <c r="H22" s="11"/>
      <c r="I22" s="11"/>
      <c r="J22" s="11"/>
      <c r="K22" s="11"/>
      <c r="L22" s="335"/>
      <c r="M22" s="337"/>
      <c r="N22" s="348"/>
      <c r="O22" s="145" t="s">
        <v>145</v>
      </c>
      <c r="P22" s="165">
        <f t="shared" ref="P22:W22" ca="1" si="10">MIN(IF($B23,P21+IF(ISNUMBER(O22),O22,0),P23/$N21),1)</f>
        <v>0.48</v>
      </c>
      <c r="Q22" s="143">
        <f t="shared" ca="1" si="10"/>
        <v>0.78</v>
      </c>
      <c r="R22" s="143">
        <f t="shared" ca="1" si="10"/>
        <v>1</v>
      </c>
      <c r="S22" s="143">
        <f t="shared" ca="1" si="10"/>
        <v>1</v>
      </c>
      <c r="T22" s="143">
        <f t="shared" ca="1" si="10"/>
        <v>1</v>
      </c>
      <c r="U22" s="143">
        <f t="shared" ca="1" si="10"/>
        <v>1</v>
      </c>
      <c r="V22" s="143">
        <f t="shared" ca="1" si="10"/>
        <v>1</v>
      </c>
      <c r="W22" s="143">
        <f t="shared" ca="1" si="10"/>
        <v>1</v>
      </c>
      <c r="X22" s="163"/>
      <c r="AC22" s="143">
        <f ca="1">MIN(IF($B23,AC21+IF(ISNUMBER(AB22),AB22,0),AC23/$N21),1)</f>
        <v>0</v>
      </c>
    </row>
    <row r="23" spans="1:29" customFormat="1" ht="14.25" x14ac:dyDescent="0.2">
      <c r="A23" s="11">
        <f ca="1">OFFSET(A23,-CFF.NumLinha,0)+1</f>
        <v>2</v>
      </c>
      <c r="B23" s="11" t="b">
        <f ca="1">$C23&gt;=OFFSET($C23,CFF.NumLinha,0)</f>
        <v>1</v>
      </c>
      <c r="C23" s="11">
        <f ca="1">INDEX(PO!A$12:A$422,MATCH($A23,PO!$V$12:$V$422,0))</f>
        <v>2</v>
      </c>
      <c r="D23" s="11">
        <f ca="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MATCH(0,OFFSET($D23,1,$C23,ROW($A$51)-ROW($A23)),0)</f>
        <v>28</v>
      </c>
      <c r="J23" s="11">
        <f ca="1">MATCH(OFFSET($D23,0,$C23)+1,OFFSET($D23,1,$C23,ROW($A$51)-ROW($A23)),0)</f>
        <v>3</v>
      </c>
      <c r="K23" s="156">
        <f ca="1">ROUND(INDEX(PO!T$12:T$422,MATCH($A23,PO!$V$12:$V$422,0)),2)+10^-12</f>
        <v>9.9999999999999998E-13</v>
      </c>
      <c r="L23" s="335"/>
      <c r="M23" s="337"/>
      <c r="N23" s="348"/>
      <c r="O23" s="171" t="s">
        <v>20</v>
      </c>
      <c r="P23" s="166">
        <f ca="1">IF($B23,ROUND(P22*$N21,2),ROUND(SUMIF(OFFSET($B23,1,0,$D23),TRUE,OFFSET(P23,1,0,$D23))/SUMIF(OFFSET($B23,1,0,$D23),TRUE,OFFSET($K23,1,0,$D23))*$N21,2))</f>
        <v>0</v>
      </c>
      <c r="Q23" s="144">
        <f t="shared" ref="Q23:W23" ca="1" si="11">IF($B23,ROUND(Q22*$N21,2),ROUND(SUMIF(OFFSET($B23,1,0,$D23),TRUE,OFFSET(Q23,1,0,$D23))/SUMIF(OFFSET($B23,1,0,$D23),TRUE,OFFSET($K23,1,0,$D23))*$N21,2))</f>
        <v>0</v>
      </c>
      <c r="R23" s="144">
        <f t="shared" ca="1" si="11"/>
        <v>0</v>
      </c>
      <c r="S23" s="144">
        <f t="shared" ca="1" si="11"/>
        <v>0</v>
      </c>
      <c r="T23" s="144">
        <f t="shared" ca="1" si="11"/>
        <v>0</v>
      </c>
      <c r="U23" s="144">
        <f t="shared" ca="1" si="11"/>
        <v>0</v>
      </c>
      <c r="V23" s="144">
        <f t="shared" ca="1" si="11"/>
        <v>0</v>
      </c>
      <c r="W23" s="174">
        <f t="shared" ca="1" si="11"/>
        <v>0</v>
      </c>
      <c r="X23" s="163"/>
      <c r="AC23" s="144">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4" t="str">
        <f ca="1">INDEX(PO!K$12:K$422,MATCH($A26,PO!$V$12:$V$422,0))</f>
        <v>1.2.</v>
      </c>
      <c r="M24" s="336" t="str">
        <f ca="1">INDEX(PO!N$12:N$422,MATCH($A26,PO!$V$12:$V$422,0))</f>
        <v>DEMOLIÇÕES E RETIRADAS</v>
      </c>
      <c r="N24" s="347">
        <f t="shared" ref="N24" ca="1" si="12">IF(ROUND(K26,2)=0,K26,ROUND(K26,2))</f>
        <v>9.9999999999999998E-13</v>
      </c>
      <c r="O24" s="187" t="s">
        <v>143</v>
      </c>
      <c r="P24" s="192">
        <v>0.35</v>
      </c>
      <c r="Q24" s="193">
        <v>0.05</v>
      </c>
      <c r="R24" s="193">
        <v>0.6</v>
      </c>
      <c r="S24" s="193">
        <v>0</v>
      </c>
      <c r="T24" s="193">
        <v>0.5</v>
      </c>
      <c r="U24" s="193">
        <v>0.5</v>
      </c>
      <c r="V24" s="193">
        <f t="shared" ref="V24" ca="1" si="13">IF($B26,0,V25-IF(ISNUMBER(U25),U25,0))</f>
        <v>0</v>
      </c>
      <c r="W24" s="194">
        <f t="shared" ref="W24" ca="1" si="14">IF($B26,0,W25-IF(ISNUMBER(V25),V25,0))</f>
        <v>0</v>
      </c>
      <c r="X24" s="163"/>
      <c r="AC24" s="188">
        <f t="shared" ref="AC24" ca="1" si="15">IF($B26,0,AC25-IF(ISNUMBER(AB25),AB25,0))</f>
        <v>0</v>
      </c>
    </row>
    <row r="25" spans="1:29" customFormat="1" ht="14.25" x14ac:dyDescent="0.2">
      <c r="A25" s="11"/>
      <c r="B25" s="11"/>
      <c r="C25" s="11"/>
      <c r="D25" s="11"/>
      <c r="E25" s="11"/>
      <c r="F25" s="11"/>
      <c r="G25" s="11"/>
      <c r="H25" s="11"/>
      <c r="I25" s="11"/>
      <c r="J25" s="11"/>
      <c r="K25" s="11"/>
      <c r="L25" s="335"/>
      <c r="M25" s="337"/>
      <c r="N25" s="348"/>
      <c r="O25" s="145" t="s">
        <v>145</v>
      </c>
      <c r="P25" s="165">
        <f t="shared" ref="P25" ca="1" si="16">MIN(IF($B26,P24+IF(ISNUMBER(O25),O25,0),P26/$N24),1)</f>
        <v>0.35</v>
      </c>
      <c r="Q25" s="143">
        <f t="shared" ref="Q25" ca="1" si="17">MIN(IF($B26,Q24+IF(ISNUMBER(P25),P25,0),Q26/$N24),1)</f>
        <v>0.39999999999999997</v>
      </c>
      <c r="R25" s="143">
        <f t="shared" ref="R25" ca="1" si="18">MIN(IF($B26,R24+IF(ISNUMBER(Q25),Q25,0),R26/$N24),1)</f>
        <v>1</v>
      </c>
      <c r="S25" s="143">
        <f t="shared" ref="S25" ca="1" si="19">MIN(IF($B26,S24+IF(ISNUMBER(R25),R25,0),S26/$N24),1)</f>
        <v>1</v>
      </c>
      <c r="T25" s="143">
        <f t="shared" ref="T25" ca="1" si="20">MIN(IF($B26,T24+IF(ISNUMBER(S25),S25,0),T26/$N24),1)</f>
        <v>1</v>
      </c>
      <c r="U25" s="143">
        <f t="shared" ref="U25" ca="1" si="21">MIN(IF($B26,U24+IF(ISNUMBER(T25),T25,0),U26/$N24),1)</f>
        <v>1</v>
      </c>
      <c r="V25" s="143">
        <f t="shared" ref="V25" ca="1" si="22">MIN(IF($B26,V24+IF(ISNUMBER(U25),U25,0),V26/$N24),1)</f>
        <v>1</v>
      </c>
      <c r="W25" s="143">
        <f t="shared" ref="W25" ca="1" si="23">MIN(IF($B26,W24+IF(ISNUMBER(V25),V25,0),W26/$N24),1)</f>
        <v>1</v>
      </c>
      <c r="X25" s="163"/>
      <c r="AC25" s="143">
        <f t="shared" ref="AC25" ca="1" si="24">MIN(IF($B26,AC24+IF(ISNUMBER(AB25),AB25,0),AC26/$N24),1)</f>
        <v>0</v>
      </c>
    </row>
    <row r="26" spans="1:29" customFormat="1" ht="14.25" x14ac:dyDescent="0.2">
      <c r="A26" s="11">
        <f ca="1">OFFSET(A26,-CFF.NumLinha,0)+1</f>
        <v>3</v>
      </c>
      <c r="B26" s="11" t="b">
        <f ca="1">$C26&gt;=OFFSET($C26,CFF.NumLinha,0)</f>
        <v>1</v>
      </c>
      <c r="C26" s="11">
        <f ca="1">INDEX(PO!A$12:A$422,MATCH($A26,PO!$V$12:$V$422,0))</f>
        <v>2</v>
      </c>
      <c r="D26" s="11">
        <f t="shared" ref="D26" ca="1" si="25">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MATCH(0,OFFSET($D26,1,$C26,ROW($A$51)-ROW($A26)),0)</f>
        <v>25</v>
      </c>
      <c r="J26" s="11">
        <f ca="1">MATCH(OFFSET($D26,0,$C26)+1,OFFSET($D26,1,$C26,ROW($A$51)-ROW($A26)),0)</f>
        <v>3</v>
      </c>
      <c r="K26" s="156">
        <f ca="1">ROUND(INDEX(PO!T$12:T$422,MATCH($A26,PO!$V$12:$V$422,0)),2)+10^-12</f>
        <v>9.9999999999999998E-13</v>
      </c>
      <c r="L26" s="335"/>
      <c r="M26" s="337"/>
      <c r="N26" s="348"/>
      <c r="O26" s="171" t="s">
        <v>20</v>
      </c>
      <c r="P26" s="166">
        <f t="shared" ref="P26:W26" ca="1" si="26">IF($B26,ROUND(P25*$N24,2),ROUND(SUMIF(OFFSET($B26,1,0,$D26),TRUE,OFFSET(P26,1,0,$D26))/SUMIF(OFFSET($B26,1,0,$D26),TRUE,OFFSET($K26,1,0,$D26))*$N24,2))</f>
        <v>0</v>
      </c>
      <c r="Q26" s="144">
        <f t="shared" ca="1" si="26"/>
        <v>0</v>
      </c>
      <c r="R26" s="144">
        <f t="shared" ca="1" si="26"/>
        <v>0</v>
      </c>
      <c r="S26" s="144">
        <f t="shared" ca="1" si="26"/>
        <v>0</v>
      </c>
      <c r="T26" s="144">
        <f t="shared" ca="1" si="26"/>
        <v>0</v>
      </c>
      <c r="U26" s="144">
        <f t="shared" ca="1" si="26"/>
        <v>0</v>
      </c>
      <c r="V26" s="144">
        <f t="shared" ca="1" si="26"/>
        <v>0</v>
      </c>
      <c r="W26" s="174">
        <f t="shared" ca="1" si="26"/>
        <v>0</v>
      </c>
      <c r="X26" s="163"/>
      <c r="AC26" s="144">
        <f t="shared" ref="AC26" ca="1" si="27">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4" t="str">
        <f ca="1">INDEX(PO!K$12:K$422,MATCH($A29,PO!$V$12:$V$422,0))</f>
        <v>1.3.</v>
      </c>
      <c r="M27" s="336" t="str">
        <f ca="1">INDEX(PO!N$12:N$422,MATCH($A29,PO!$V$12:$V$422,0))</f>
        <v>ESTRUTURA</v>
      </c>
      <c r="N27" s="347">
        <f t="shared" ref="N27" ca="1" si="28">IF(ROUND(K29,2)=0,K29,ROUND(K29,2))</f>
        <v>9.9999999999999998E-13</v>
      </c>
      <c r="O27" s="187" t="s">
        <v>143</v>
      </c>
      <c r="P27" s="192">
        <v>0.45</v>
      </c>
      <c r="Q27" s="193">
        <v>0.4</v>
      </c>
      <c r="R27" s="193">
        <v>0.15</v>
      </c>
      <c r="S27" s="193">
        <v>0.1</v>
      </c>
      <c r="T27" s="193">
        <v>0.1</v>
      </c>
      <c r="U27" s="193">
        <f t="shared" ref="U27" ca="1" si="29">IF($B29,0,U28-IF(ISNUMBER(T28),T28,0))</f>
        <v>0</v>
      </c>
      <c r="V27" s="193">
        <f t="shared" ref="V27" ca="1" si="30">IF($B29,0,V28-IF(ISNUMBER(U28),U28,0))</f>
        <v>0</v>
      </c>
      <c r="W27" s="194">
        <f t="shared" ref="W27" ca="1" si="31">IF($B29,0,W28-IF(ISNUMBER(V28),V28,0))</f>
        <v>0</v>
      </c>
      <c r="X27" s="163"/>
      <c r="AC27" s="188">
        <f t="shared" ref="AC27" ca="1" si="32">IF($B29,0,AC28-IF(ISNUMBER(AB28),AB28,0))</f>
        <v>0</v>
      </c>
    </row>
    <row r="28" spans="1:29" customFormat="1" ht="14.25" x14ac:dyDescent="0.2">
      <c r="A28" s="11"/>
      <c r="B28" s="11"/>
      <c r="C28" s="11"/>
      <c r="D28" s="11"/>
      <c r="E28" s="11"/>
      <c r="F28" s="11"/>
      <c r="G28" s="11"/>
      <c r="H28" s="11"/>
      <c r="I28" s="11"/>
      <c r="J28" s="11"/>
      <c r="K28" s="11"/>
      <c r="L28" s="335"/>
      <c r="M28" s="337"/>
      <c r="N28" s="348"/>
      <c r="O28" s="145" t="s">
        <v>145</v>
      </c>
      <c r="P28" s="165">
        <f t="shared" ref="P28" ca="1" si="33">MIN(IF($B29,P27+IF(ISNUMBER(O28),O28,0),P29/$N27),1)</f>
        <v>0.45</v>
      </c>
      <c r="Q28" s="143">
        <f t="shared" ref="Q28" ca="1" si="34">MIN(IF($B29,Q27+IF(ISNUMBER(P28),P28,0),Q29/$N27),1)</f>
        <v>0.85000000000000009</v>
      </c>
      <c r="R28" s="143">
        <f t="shared" ref="R28" ca="1" si="35">MIN(IF($B29,R27+IF(ISNUMBER(Q28),Q28,0),R29/$N27),1)</f>
        <v>1</v>
      </c>
      <c r="S28" s="143">
        <f t="shared" ref="S28" ca="1" si="36">MIN(IF($B29,S27+IF(ISNUMBER(R28),R28,0),S29/$N27),1)</f>
        <v>1</v>
      </c>
      <c r="T28" s="143">
        <f t="shared" ref="T28" ca="1" si="37">MIN(IF($B29,T27+IF(ISNUMBER(S28),S28,0),T29/$N27),1)</f>
        <v>1</v>
      </c>
      <c r="U28" s="143">
        <f t="shared" ref="U28" ca="1" si="38">MIN(IF($B29,U27+IF(ISNUMBER(T28),T28,0),U29/$N27),1)</f>
        <v>1</v>
      </c>
      <c r="V28" s="143">
        <f t="shared" ref="V28" ca="1" si="39">MIN(IF($B29,V27+IF(ISNUMBER(U28),U28,0),V29/$N27),1)</f>
        <v>1</v>
      </c>
      <c r="W28" s="143">
        <f t="shared" ref="W28" ca="1" si="40">MIN(IF($B29,W27+IF(ISNUMBER(V28),V28,0),W29/$N27),1)</f>
        <v>1</v>
      </c>
      <c r="X28" s="163"/>
      <c r="AC28" s="143">
        <f t="shared" ref="AC28" ca="1" si="41">MIN(IF($B29,AC27+IF(ISNUMBER(AB28),AB28,0),AC29/$N27),1)</f>
        <v>0</v>
      </c>
    </row>
    <row r="29" spans="1:29" customFormat="1" ht="14.25" x14ac:dyDescent="0.2">
      <c r="A29" s="11">
        <f ca="1">OFFSET(A29,-CFF.NumLinha,0)+1</f>
        <v>4</v>
      </c>
      <c r="B29" s="11" t="b">
        <f ca="1">$C29&gt;=OFFSET($C29,CFF.NumLinha,0)</f>
        <v>1</v>
      </c>
      <c r="C29" s="11">
        <f ca="1">INDEX(PO!A$12:A$422,MATCH($A29,PO!$V$12:$V$422,0))</f>
        <v>2</v>
      </c>
      <c r="D29" s="11">
        <f t="shared" ref="D29" ca="1" si="42">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MATCH(0,OFFSET($D29,1,$C29,ROW($A$51)-ROW($A29)),0)</f>
        <v>22</v>
      </c>
      <c r="J29" s="11">
        <f ca="1">MATCH(OFFSET($D29,0,$C29)+1,OFFSET($D29,1,$C29,ROW($A$51)-ROW($A29)),0)</f>
        <v>3</v>
      </c>
      <c r="K29" s="156">
        <f ca="1">ROUND(INDEX(PO!T$12:T$422,MATCH($A29,PO!$V$12:$V$422,0)),2)+10^-12</f>
        <v>9.9999999999999998E-13</v>
      </c>
      <c r="L29" s="335"/>
      <c r="M29" s="337"/>
      <c r="N29" s="348"/>
      <c r="O29" s="171" t="s">
        <v>20</v>
      </c>
      <c r="P29" s="166">
        <f t="shared" ref="P29:W29" ca="1" si="43">IF($B29,ROUND(P28*$N27,2),ROUND(SUMIF(OFFSET($B29,1,0,$D29),TRUE,OFFSET(P29,1,0,$D29))/SUMIF(OFFSET($B29,1,0,$D29),TRUE,OFFSET($K29,1,0,$D29))*$N27,2))</f>
        <v>0</v>
      </c>
      <c r="Q29" s="144">
        <f t="shared" ca="1" si="43"/>
        <v>0</v>
      </c>
      <c r="R29" s="144">
        <f t="shared" ca="1" si="43"/>
        <v>0</v>
      </c>
      <c r="S29" s="144">
        <f t="shared" ca="1" si="43"/>
        <v>0</v>
      </c>
      <c r="T29" s="144">
        <f t="shared" ca="1" si="43"/>
        <v>0</v>
      </c>
      <c r="U29" s="144">
        <f t="shared" ca="1" si="43"/>
        <v>0</v>
      </c>
      <c r="V29" s="144">
        <f t="shared" ca="1" si="43"/>
        <v>0</v>
      </c>
      <c r="W29" s="174">
        <f t="shared" ca="1" si="43"/>
        <v>0</v>
      </c>
      <c r="X29" s="163"/>
      <c r="AC29" s="144">
        <f t="shared" ref="AC29" ca="1" si="44">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4" t="str">
        <f ca="1">INDEX(PO!K$12:K$422,MATCH($A32,PO!$V$12:$V$422,0))</f>
        <v>1.4.</v>
      </c>
      <c r="M30" s="336" t="str">
        <f ca="1">INDEX(PO!N$12:N$422,MATCH($A32,PO!$V$12:$V$422,0))</f>
        <v>PAREDES E PAINEIS</v>
      </c>
      <c r="N30" s="347">
        <f t="shared" ref="N30" ca="1" si="45">IF(ROUND(K32,2)=0,K32,ROUND(K32,2))</f>
        <v>9.9999999999999998E-13</v>
      </c>
      <c r="O30" s="187" t="s">
        <v>143</v>
      </c>
      <c r="P30" s="192">
        <v>0.3</v>
      </c>
      <c r="Q30" s="193">
        <v>0.5</v>
      </c>
      <c r="R30" s="193">
        <v>0.2</v>
      </c>
      <c r="S30" s="193">
        <v>0.5</v>
      </c>
      <c r="T30" s="193">
        <v>0</v>
      </c>
      <c r="U30" s="193">
        <v>0.2</v>
      </c>
      <c r="V30" s="193">
        <f t="shared" ref="V30" ca="1" si="46">IF($B32,0,V31-IF(ISNUMBER(U31),U31,0))</f>
        <v>0</v>
      </c>
      <c r="W30" s="194">
        <f t="shared" ref="W30" ca="1" si="47">IF($B32,0,W31-IF(ISNUMBER(V31),V31,0))</f>
        <v>0</v>
      </c>
      <c r="X30" s="163"/>
      <c r="AC30" s="188">
        <f t="shared" ref="AC30" ca="1" si="48">IF($B32,0,AC31-IF(ISNUMBER(AB31),AB31,0))</f>
        <v>0</v>
      </c>
    </row>
    <row r="31" spans="1:29" customFormat="1" ht="14.25" x14ac:dyDescent="0.2">
      <c r="A31" s="11"/>
      <c r="B31" s="11"/>
      <c r="C31" s="11"/>
      <c r="D31" s="11"/>
      <c r="E31" s="11"/>
      <c r="F31" s="11"/>
      <c r="G31" s="11"/>
      <c r="H31" s="11"/>
      <c r="I31" s="11"/>
      <c r="J31" s="11"/>
      <c r="K31" s="11"/>
      <c r="L31" s="335"/>
      <c r="M31" s="337"/>
      <c r="N31" s="348"/>
      <c r="O31" s="145" t="s">
        <v>145</v>
      </c>
      <c r="P31" s="165">
        <f t="shared" ref="P31" ca="1" si="49">MIN(IF($B32,P30+IF(ISNUMBER(O31),O31,0),P32/$N30),1)</f>
        <v>0.3</v>
      </c>
      <c r="Q31" s="143">
        <f t="shared" ref="Q31" ca="1" si="50">MIN(IF($B32,Q30+IF(ISNUMBER(P31),P31,0),Q32/$N30),1)</f>
        <v>0.8</v>
      </c>
      <c r="R31" s="143">
        <f t="shared" ref="R31" ca="1" si="51">MIN(IF($B32,R30+IF(ISNUMBER(Q31),Q31,0),R32/$N30),1)</f>
        <v>1</v>
      </c>
      <c r="S31" s="143">
        <f t="shared" ref="S31" ca="1" si="52">MIN(IF($B32,S30+IF(ISNUMBER(R31),R31,0),S32/$N30),1)</f>
        <v>1</v>
      </c>
      <c r="T31" s="143">
        <f t="shared" ref="T31" ca="1" si="53">MIN(IF($B32,T30+IF(ISNUMBER(S31),S31,0),T32/$N30),1)</f>
        <v>1</v>
      </c>
      <c r="U31" s="143">
        <f t="shared" ref="U31" ca="1" si="54">MIN(IF($B32,U30+IF(ISNUMBER(T31),T31,0),U32/$N30),1)</f>
        <v>1</v>
      </c>
      <c r="V31" s="143">
        <f t="shared" ref="V31" ca="1" si="55">MIN(IF($B32,V30+IF(ISNUMBER(U31),U31,0),V32/$N30),1)</f>
        <v>1</v>
      </c>
      <c r="W31" s="143">
        <f t="shared" ref="W31" ca="1" si="56">MIN(IF($B32,W30+IF(ISNUMBER(V31),V31,0),W32/$N30),1)</f>
        <v>1</v>
      </c>
      <c r="X31" s="163"/>
      <c r="AC31" s="143">
        <f t="shared" ref="AC31" ca="1" si="57">MIN(IF($B32,AC30+IF(ISNUMBER(AB31),AB31,0),AC32/$N30),1)</f>
        <v>0</v>
      </c>
    </row>
    <row r="32" spans="1:29" customFormat="1" ht="14.25" x14ac:dyDescent="0.2">
      <c r="A32" s="11">
        <f ca="1">OFFSET(A32,-CFF.NumLinha,0)+1</f>
        <v>5</v>
      </c>
      <c r="B32" s="11" t="b">
        <f ca="1">$C32&gt;=OFFSET($C32,CFF.NumLinha,0)</f>
        <v>1</v>
      </c>
      <c r="C32" s="11">
        <f ca="1">INDEX(PO!A$12:A$422,MATCH($A32,PO!$V$12:$V$422,0))</f>
        <v>2</v>
      </c>
      <c r="D32" s="11">
        <f t="shared" ref="D32" ca="1" si="58">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ca="1">MATCH(0,OFFSET($D32,1,$C32,ROW($A$51)-ROW($A32)),0)</f>
        <v>19</v>
      </c>
      <c r="J32" s="11">
        <f ca="1">MATCH(OFFSET($D32,0,$C32)+1,OFFSET($D32,1,$C32,ROW($A$51)-ROW($A32)),0)</f>
        <v>3</v>
      </c>
      <c r="K32" s="156">
        <f ca="1">ROUND(INDEX(PO!T$12:T$422,MATCH($A32,PO!$V$12:$V$422,0)),2)+10^-12</f>
        <v>9.9999999999999998E-13</v>
      </c>
      <c r="L32" s="335"/>
      <c r="M32" s="337"/>
      <c r="N32" s="348"/>
      <c r="O32" s="171" t="s">
        <v>20</v>
      </c>
      <c r="P32" s="166">
        <f t="shared" ref="P32:W32" ca="1" si="59">IF($B32,ROUND(P31*$N30,2),ROUND(SUMIF(OFFSET($B32,1,0,$D32),TRUE,OFFSET(P32,1,0,$D32))/SUMIF(OFFSET($B32,1,0,$D32),TRUE,OFFSET($K32,1,0,$D32))*$N30,2))</f>
        <v>0</v>
      </c>
      <c r="Q32" s="144">
        <f t="shared" ca="1" si="59"/>
        <v>0</v>
      </c>
      <c r="R32" s="144">
        <f t="shared" ca="1" si="59"/>
        <v>0</v>
      </c>
      <c r="S32" s="144">
        <f t="shared" ca="1" si="59"/>
        <v>0</v>
      </c>
      <c r="T32" s="144">
        <f t="shared" ca="1" si="59"/>
        <v>0</v>
      </c>
      <c r="U32" s="144">
        <f t="shared" ca="1" si="59"/>
        <v>0</v>
      </c>
      <c r="V32" s="144">
        <f t="shared" ca="1" si="59"/>
        <v>0</v>
      </c>
      <c r="W32" s="174">
        <f t="shared" ca="1" si="59"/>
        <v>0</v>
      </c>
      <c r="X32" s="163"/>
      <c r="AC32" s="144">
        <f t="shared" ref="AC32" ca="1" si="60">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4" t="str">
        <f ca="1">INDEX(PO!K$12:K$422,MATCH($A35,PO!$V$12:$V$422,0))</f>
        <v>1.5.</v>
      </c>
      <c r="M33" s="336" t="str">
        <f ca="1">INDEX(PO!N$12:N$422,MATCH($A35,PO!$V$12:$V$422,0))</f>
        <v>PISO</v>
      </c>
      <c r="N33" s="347">
        <f t="shared" ref="N33" ca="1" si="61">IF(ROUND(K35,2)=0,K35,ROUND(K35,2))</f>
        <v>9.9999999999999998E-13</v>
      </c>
      <c r="O33" s="187" t="s">
        <v>143</v>
      </c>
      <c r="P33" s="192">
        <v>0</v>
      </c>
      <c r="Q33" s="193">
        <v>0.5</v>
      </c>
      <c r="R33" s="193">
        <v>0.5</v>
      </c>
      <c r="S33" s="193">
        <v>0.5</v>
      </c>
      <c r="T33" s="193">
        <v>0</v>
      </c>
      <c r="U33" s="193">
        <v>0.3</v>
      </c>
      <c r="V33" s="193">
        <v>0.2</v>
      </c>
      <c r="W33" s="194">
        <f t="shared" ref="W33" ca="1" si="62">IF($B35,0,W34-IF(ISNUMBER(V34),V34,0))</f>
        <v>0</v>
      </c>
      <c r="X33" s="163"/>
      <c r="AC33" s="188">
        <f t="shared" ref="AC33" ca="1" si="63">IF($B35,0,AC34-IF(ISNUMBER(AB34),AB34,0))</f>
        <v>0</v>
      </c>
    </row>
    <row r="34" spans="1:29" customFormat="1" ht="14.25" x14ac:dyDescent="0.2">
      <c r="A34" s="11"/>
      <c r="B34" s="11"/>
      <c r="C34" s="11"/>
      <c r="D34" s="11"/>
      <c r="E34" s="11"/>
      <c r="F34" s="11"/>
      <c r="G34" s="11"/>
      <c r="H34" s="11"/>
      <c r="I34" s="11"/>
      <c r="J34" s="11"/>
      <c r="K34" s="11"/>
      <c r="L34" s="335"/>
      <c r="M34" s="337"/>
      <c r="N34" s="348"/>
      <c r="O34" s="145" t="s">
        <v>145</v>
      </c>
      <c r="P34" s="165">
        <f t="shared" ref="P34" ca="1" si="64">MIN(IF($B35,P33+IF(ISNUMBER(O34),O34,0),P35/$N33),1)</f>
        <v>0</v>
      </c>
      <c r="Q34" s="143">
        <f t="shared" ref="Q34" ca="1" si="65">MIN(IF($B35,Q33+IF(ISNUMBER(P34),P34,0),Q35/$N33),1)</f>
        <v>0.5</v>
      </c>
      <c r="R34" s="143">
        <f t="shared" ref="R34" ca="1" si="66">MIN(IF($B35,R33+IF(ISNUMBER(Q34),Q34,0),R35/$N33),1)</f>
        <v>1</v>
      </c>
      <c r="S34" s="143">
        <f t="shared" ref="S34" ca="1" si="67">MIN(IF($B35,S33+IF(ISNUMBER(R34),R34,0),S35/$N33),1)</f>
        <v>1</v>
      </c>
      <c r="T34" s="143">
        <f t="shared" ref="T34" ca="1" si="68">MIN(IF($B35,T33+IF(ISNUMBER(S34),S34,0),T35/$N33),1)</f>
        <v>1</v>
      </c>
      <c r="U34" s="143">
        <f t="shared" ref="U34" ca="1" si="69">MIN(IF($B35,U33+IF(ISNUMBER(T34),T34,0),U35/$N33),1)</f>
        <v>1</v>
      </c>
      <c r="V34" s="143">
        <f t="shared" ref="V34" ca="1" si="70">MIN(IF($B35,V33+IF(ISNUMBER(U34),U34,0),V35/$N33),1)</f>
        <v>1</v>
      </c>
      <c r="W34" s="143">
        <f t="shared" ref="W34" ca="1" si="71">MIN(IF($B35,W33+IF(ISNUMBER(V34),V34,0),W35/$N33),1)</f>
        <v>1</v>
      </c>
      <c r="X34" s="163"/>
      <c r="AC34" s="143">
        <f t="shared" ref="AC34" ca="1" si="72">MIN(IF($B35,AC33+IF(ISNUMBER(AB34),AB34,0),AC35/$N33),1)</f>
        <v>0</v>
      </c>
    </row>
    <row r="35" spans="1:29" customFormat="1" ht="14.25" x14ac:dyDescent="0.2">
      <c r="A35" s="11">
        <f ca="1">OFFSET(A35,-CFF.NumLinha,0)+1</f>
        <v>6</v>
      </c>
      <c r="B35" s="11" t="b">
        <f ca="1">$C35&gt;=OFFSET($C35,CFF.NumLinha,0)</f>
        <v>1</v>
      </c>
      <c r="C35" s="11">
        <f ca="1">INDEX(PO!A$12:A$422,MATCH($A35,PO!$V$12:$V$422,0))</f>
        <v>2</v>
      </c>
      <c r="D35" s="11">
        <f t="shared" ref="D35" ca="1" si="73">IF(ISERROR(J35),I35,SMALL(I35:J35,1))-1</f>
        <v>2</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ca="1">MATCH(0,OFFSET($D35,1,$C35,ROW($A$51)-ROW($A35)),0)</f>
        <v>16</v>
      </c>
      <c r="J35" s="11">
        <f ca="1">MATCH(OFFSET($D35,0,$C35)+1,OFFSET($D35,1,$C35,ROW($A$51)-ROW($A35)),0)</f>
        <v>3</v>
      </c>
      <c r="K35" s="156">
        <f ca="1">ROUND(INDEX(PO!T$12:T$422,MATCH($A35,PO!$V$12:$V$422,0)),2)+10^-12</f>
        <v>9.9999999999999998E-13</v>
      </c>
      <c r="L35" s="335"/>
      <c r="M35" s="337"/>
      <c r="N35" s="348"/>
      <c r="O35" s="171" t="s">
        <v>20</v>
      </c>
      <c r="P35" s="166">
        <f t="shared" ref="P35:W35" ca="1" si="74">IF($B35,ROUND(P34*$N33,2),ROUND(SUMIF(OFFSET($B35,1,0,$D35),TRUE,OFFSET(P35,1,0,$D35))/SUMIF(OFFSET($B35,1,0,$D35),TRUE,OFFSET($K35,1,0,$D35))*$N33,2))</f>
        <v>0</v>
      </c>
      <c r="Q35" s="144">
        <f t="shared" ca="1" si="74"/>
        <v>0</v>
      </c>
      <c r="R35" s="144">
        <f t="shared" ca="1" si="74"/>
        <v>0</v>
      </c>
      <c r="S35" s="144">
        <f t="shared" ca="1" si="74"/>
        <v>0</v>
      </c>
      <c r="T35" s="144">
        <f t="shared" ca="1" si="74"/>
        <v>0</v>
      </c>
      <c r="U35" s="144">
        <f t="shared" ca="1" si="74"/>
        <v>0</v>
      </c>
      <c r="V35" s="144">
        <f t="shared" ca="1" si="74"/>
        <v>0</v>
      </c>
      <c r="W35" s="174">
        <f t="shared" ca="1" si="74"/>
        <v>0</v>
      </c>
      <c r="X35" s="163"/>
      <c r="AC35" s="144">
        <f t="shared" ref="AC35" ca="1" si="75">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4" t="str">
        <f ca="1">INDEX(PO!K$12:K$422,MATCH($A38,PO!$V$12:$V$422,0))</f>
        <v>1.6.</v>
      </c>
      <c r="M36" s="336" t="str">
        <f ca="1">INDEX(PO!N$12:N$422,MATCH($A38,PO!$V$12:$V$422,0))</f>
        <v>FORRO</v>
      </c>
      <c r="N36" s="347">
        <f t="shared" ref="N36" ca="1" si="76">IF(ROUND(K38,2)=0,K38,ROUND(K38,2))</f>
        <v>9.9999999999999998E-13</v>
      </c>
      <c r="O36" s="187" t="s">
        <v>143</v>
      </c>
      <c r="P36" s="192">
        <v>0</v>
      </c>
      <c r="Q36" s="193">
        <v>0.5</v>
      </c>
      <c r="R36" s="193">
        <v>0.5</v>
      </c>
      <c r="S36" s="193">
        <v>0.25</v>
      </c>
      <c r="T36" s="193">
        <v>0.25</v>
      </c>
      <c r="U36" s="193">
        <v>0.25</v>
      </c>
      <c r="V36" s="193">
        <f t="shared" ref="V36" ca="1" si="77">IF($B38,0,V37-IF(ISNUMBER(U37),U37,0))</f>
        <v>0</v>
      </c>
      <c r="W36" s="194">
        <f t="shared" ref="W36" ca="1" si="78">IF($B38,0,W37-IF(ISNUMBER(V37),V37,0))</f>
        <v>0</v>
      </c>
      <c r="X36" s="163"/>
      <c r="AC36" s="188">
        <f t="shared" ref="AC36" ca="1" si="79">IF($B38,0,AC37-IF(ISNUMBER(AB37),AB37,0))</f>
        <v>0</v>
      </c>
    </row>
    <row r="37" spans="1:29" customFormat="1" ht="14.25" x14ac:dyDescent="0.2">
      <c r="A37" s="11"/>
      <c r="B37" s="11"/>
      <c r="C37" s="11"/>
      <c r="D37" s="11"/>
      <c r="E37" s="11"/>
      <c r="F37" s="11"/>
      <c r="G37" s="11"/>
      <c r="H37" s="11"/>
      <c r="I37" s="11"/>
      <c r="J37" s="11"/>
      <c r="K37" s="11"/>
      <c r="L37" s="335"/>
      <c r="M37" s="337"/>
      <c r="N37" s="348"/>
      <c r="O37" s="145" t="s">
        <v>145</v>
      </c>
      <c r="P37" s="165">
        <f t="shared" ref="P37" ca="1" si="80">MIN(IF($B38,P36+IF(ISNUMBER(O37),O37,0),P38/$N36),1)</f>
        <v>0</v>
      </c>
      <c r="Q37" s="143">
        <f t="shared" ref="Q37" ca="1" si="81">MIN(IF($B38,Q36+IF(ISNUMBER(P37),P37,0),Q38/$N36),1)</f>
        <v>0.5</v>
      </c>
      <c r="R37" s="143">
        <f t="shared" ref="R37" ca="1" si="82">MIN(IF($B38,R36+IF(ISNUMBER(Q37),Q37,0),R38/$N36),1)</f>
        <v>1</v>
      </c>
      <c r="S37" s="143">
        <f t="shared" ref="S37" ca="1" si="83">MIN(IF($B38,S36+IF(ISNUMBER(R37),R37,0),S38/$N36),1)</f>
        <v>1</v>
      </c>
      <c r="T37" s="143">
        <f t="shared" ref="T37" ca="1" si="84">MIN(IF($B38,T36+IF(ISNUMBER(S37),S37,0),T38/$N36),1)</f>
        <v>1</v>
      </c>
      <c r="U37" s="143">
        <f t="shared" ref="U37" ca="1" si="85">MIN(IF($B38,U36+IF(ISNUMBER(T37),T37,0),U38/$N36),1)</f>
        <v>1</v>
      </c>
      <c r="V37" s="143">
        <f t="shared" ref="V37" ca="1" si="86">MIN(IF($B38,V36+IF(ISNUMBER(U37),U37,0),V38/$N36),1)</f>
        <v>1</v>
      </c>
      <c r="W37" s="143">
        <f t="shared" ref="W37" ca="1" si="87">MIN(IF($B38,W36+IF(ISNUMBER(V37),V37,0),W38/$N36),1)</f>
        <v>1</v>
      </c>
      <c r="X37" s="163"/>
      <c r="AC37" s="143">
        <f t="shared" ref="AC37" ca="1" si="88">MIN(IF($B38,AC36+IF(ISNUMBER(AB37),AB37,0),AC38/$N36),1)</f>
        <v>0</v>
      </c>
    </row>
    <row r="38" spans="1:29" customFormat="1" ht="14.25" x14ac:dyDescent="0.2">
      <c r="A38" s="11">
        <f ca="1">OFFSET(A38,-CFF.NumLinha,0)+1</f>
        <v>7</v>
      </c>
      <c r="B38" s="11" t="b">
        <f ca="1">$C38&gt;=OFFSET($C38,CFF.NumLinha,0)</f>
        <v>1</v>
      </c>
      <c r="C38" s="11">
        <f ca="1">INDEX(PO!A$12:A$422,MATCH($A38,PO!$V$12:$V$422,0))</f>
        <v>2</v>
      </c>
      <c r="D38" s="11">
        <f t="shared" ref="D38" ca="1" si="89">IF(ISERROR(J38),I38,SMALL(I38:J38,1))-1</f>
        <v>2</v>
      </c>
      <c r="E38" s="11">
        <f ca="1">IF($C38=1,OFFSET(E38,-CFF.NumLinha,0)+1,OFFSET(E38,-CFF.NumLinha,0))</f>
        <v>1</v>
      </c>
      <c r="F38" s="11">
        <f ca="1">IF($C38=1,0,IF($C38=2,OFFSET(F38,-CFF.NumLinha,0)+1,OFFSET(F38,-CFF.NumLinha,0)))</f>
        <v>6</v>
      </c>
      <c r="G38" s="11">
        <f ca="1">IF(AND($C38&lt;=2,$C38&lt;&gt;0),0,IF($C38=3,OFFSET(G38,-CFF.NumLinha,0)+1,OFFSET(G38,-CFF.NumLinha,0)))</f>
        <v>0</v>
      </c>
      <c r="H38" s="11">
        <f ca="1">IF(AND($C38&lt;=3,$C38&lt;&gt;0),0,IF($C38=4,OFFSET(H38,-CFF.NumLinha,0)+1,OFFSET(H38,-CFF.NumLinha,0)))</f>
        <v>0</v>
      </c>
      <c r="I38" s="11">
        <f ca="1">MATCH(0,OFFSET($D38,1,$C38,ROW($A$51)-ROW($A38)),0)</f>
        <v>13</v>
      </c>
      <c r="J38" s="11">
        <f ca="1">MATCH(OFFSET($D38,0,$C38)+1,OFFSET($D38,1,$C38,ROW($A$51)-ROW($A38)),0)</f>
        <v>3</v>
      </c>
      <c r="K38" s="156">
        <f ca="1">ROUND(INDEX(PO!T$12:T$422,MATCH($A38,PO!$V$12:$V$422,0)),2)+10^-12</f>
        <v>9.9999999999999998E-13</v>
      </c>
      <c r="L38" s="335"/>
      <c r="M38" s="337"/>
      <c r="N38" s="348"/>
      <c r="O38" s="171" t="s">
        <v>20</v>
      </c>
      <c r="P38" s="166">
        <f t="shared" ref="P38:W38" ca="1" si="90">IF($B38,ROUND(P37*$N36,2),ROUND(SUMIF(OFFSET($B38,1,0,$D38),TRUE,OFFSET(P38,1,0,$D38))/SUMIF(OFFSET($B38,1,0,$D38),TRUE,OFFSET($K38,1,0,$D38))*$N36,2))</f>
        <v>0</v>
      </c>
      <c r="Q38" s="144">
        <f t="shared" ca="1" si="90"/>
        <v>0</v>
      </c>
      <c r="R38" s="144">
        <f t="shared" ca="1" si="90"/>
        <v>0</v>
      </c>
      <c r="S38" s="144">
        <f t="shared" ca="1" si="90"/>
        <v>0</v>
      </c>
      <c r="T38" s="144">
        <f t="shared" ca="1" si="90"/>
        <v>0</v>
      </c>
      <c r="U38" s="144">
        <f t="shared" ca="1" si="90"/>
        <v>0</v>
      </c>
      <c r="V38" s="144">
        <f t="shared" ca="1" si="90"/>
        <v>0</v>
      </c>
      <c r="W38" s="174">
        <f t="shared" ca="1" si="90"/>
        <v>0</v>
      </c>
      <c r="X38" s="163"/>
      <c r="AC38" s="144">
        <f t="shared" ref="AC38" ca="1" si="91">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4" t="str">
        <f ca="1">INDEX(PO!K$12:K$422,MATCH($A41,PO!$V$12:$V$422,0))</f>
        <v>1.7.</v>
      </c>
      <c r="M39" s="336" t="str">
        <f ca="1">INDEX(PO!N$12:N$422,MATCH($A41,PO!$V$12:$V$422,0))</f>
        <v xml:space="preserve">ESQUADRIAS  </v>
      </c>
      <c r="N39" s="347">
        <f t="shared" ref="N39" ca="1" si="92">IF(ROUND(K41,2)=0,K41,ROUND(K41,2))</f>
        <v>9.9999999999999998E-13</v>
      </c>
      <c r="O39" s="187" t="s">
        <v>143</v>
      </c>
      <c r="P39" s="192">
        <v>0</v>
      </c>
      <c r="Q39" s="193">
        <v>0</v>
      </c>
      <c r="R39" s="193">
        <v>1</v>
      </c>
      <c r="S39" s="193">
        <v>0.5</v>
      </c>
      <c r="T39" s="193">
        <v>0.15</v>
      </c>
      <c r="U39" s="193">
        <v>0.55000000000000004</v>
      </c>
      <c r="V39" s="193">
        <f t="shared" ref="V39" ca="1" si="93">IF($B41,0,V40-IF(ISNUMBER(U40),U40,0))</f>
        <v>0</v>
      </c>
      <c r="W39" s="194">
        <f t="shared" ref="W39" ca="1" si="94">IF($B41,0,W40-IF(ISNUMBER(V40),V40,0))</f>
        <v>0</v>
      </c>
      <c r="X39" s="163"/>
      <c r="AC39" s="188">
        <f t="shared" ref="AC39" ca="1" si="95">IF($B41,0,AC40-IF(ISNUMBER(AB40),AB40,0))</f>
        <v>0</v>
      </c>
    </row>
    <row r="40" spans="1:29" customFormat="1" ht="14.25" x14ac:dyDescent="0.2">
      <c r="A40" s="11"/>
      <c r="B40" s="11"/>
      <c r="C40" s="11"/>
      <c r="D40" s="11"/>
      <c r="E40" s="11"/>
      <c r="F40" s="11"/>
      <c r="G40" s="11"/>
      <c r="H40" s="11"/>
      <c r="I40" s="11"/>
      <c r="J40" s="11"/>
      <c r="K40" s="11"/>
      <c r="L40" s="335"/>
      <c r="M40" s="337"/>
      <c r="N40" s="348"/>
      <c r="O40" s="145" t="s">
        <v>145</v>
      </c>
      <c r="P40" s="165">
        <f t="shared" ref="P40" ca="1" si="96">MIN(IF($B41,P39+IF(ISNUMBER(O40),O40,0),P41/$N39),1)</f>
        <v>0</v>
      </c>
      <c r="Q40" s="143">
        <f t="shared" ref="Q40" ca="1" si="97">MIN(IF($B41,Q39+IF(ISNUMBER(P40),P40,0),Q41/$N39),1)</f>
        <v>0</v>
      </c>
      <c r="R40" s="143">
        <f t="shared" ref="R40" ca="1" si="98">MIN(IF($B41,R39+IF(ISNUMBER(Q40),Q40,0),R41/$N39),1)</f>
        <v>1</v>
      </c>
      <c r="S40" s="143">
        <f t="shared" ref="S40" ca="1" si="99">MIN(IF($B41,S39+IF(ISNUMBER(R40),R40,0),S41/$N39),1)</f>
        <v>1</v>
      </c>
      <c r="T40" s="143">
        <f t="shared" ref="T40" ca="1" si="100">MIN(IF($B41,T39+IF(ISNUMBER(S40),S40,0),T41/$N39),1)</f>
        <v>1</v>
      </c>
      <c r="U40" s="143">
        <f t="shared" ref="U40" ca="1" si="101">MIN(IF($B41,U39+IF(ISNUMBER(T40),T40,0),U41/$N39),1)</f>
        <v>1</v>
      </c>
      <c r="V40" s="143">
        <f t="shared" ref="V40" ca="1" si="102">MIN(IF($B41,V39+IF(ISNUMBER(U40),U40,0),V41/$N39),1)</f>
        <v>1</v>
      </c>
      <c r="W40" s="143">
        <f t="shared" ref="W40" ca="1" si="103">MIN(IF($B41,W39+IF(ISNUMBER(V40),V40,0),W41/$N39),1)</f>
        <v>1</v>
      </c>
      <c r="X40" s="163"/>
      <c r="AC40" s="143">
        <f t="shared" ref="AC40" ca="1" si="104">MIN(IF($B41,AC39+IF(ISNUMBER(AB40),AB40,0),AC41/$N39),1)</f>
        <v>0</v>
      </c>
    </row>
    <row r="41" spans="1:29" customFormat="1" ht="14.25" x14ac:dyDescent="0.2">
      <c r="A41" s="11">
        <f ca="1">OFFSET(A41,-CFF.NumLinha,0)+1</f>
        <v>8</v>
      </c>
      <c r="B41" s="11" t="b">
        <f ca="1">$C41&gt;=OFFSET($C41,CFF.NumLinha,0)</f>
        <v>1</v>
      </c>
      <c r="C41" s="11">
        <f ca="1">INDEX(PO!A$12:A$422,MATCH($A41,PO!$V$12:$V$422,0))</f>
        <v>2</v>
      </c>
      <c r="D41" s="11">
        <f t="shared" ref="D41" ca="1" si="105">IF(ISERROR(J41),I41,SMALL(I41:J41,1))-1</f>
        <v>2</v>
      </c>
      <c r="E41" s="11">
        <f ca="1">IF($C41=1,OFFSET(E41,-CFF.NumLinha,0)+1,OFFSET(E41,-CFF.NumLinha,0))</f>
        <v>1</v>
      </c>
      <c r="F41" s="11">
        <f ca="1">IF($C41=1,0,IF($C41=2,OFFSET(F41,-CFF.NumLinha,0)+1,OFFSET(F41,-CFF.NumLinha,0)))</f>
        <v>7</v>
      </c>
      <c r="G41" s="11">
        <f ca="1">IF(AND($C41&lt;=2,$C41&lt;&gt;0),0,IF($C41=3,OFFSET(G41,-CFF.NumLinha,0)+1,OFFSET(G41,-CFF.NumLinha,0)))</f>
        <v>0</v>
      </c>
      <c r="H41" s="11">
        <f ca="1">IF(AND($C41&lt;=3,$C41&lt;&gt;0),0,IF($C41=4,OFFSET(H41,-CFF.NumLinha,0)+1,OFFSET(H41,-CFF.NumLinha,0)))</f>
        <v>0</v>
      </c>
      <c r="I41" s="11">
        <f ca="1">MATCH(0,OFFSET($D41,1,$C41,ROW($A$51)-ROW($A41)),0)</f>
        <v>10</v>
      </c>
      <c r="J41" s="11">
        <f ca="1">MATCH(OFFSET($D41,0,$C41)+1,OFFSET($D41,1,$C41,ROW($A$51)-ROW($A41)),0)</f>
        <v>3</v>
      </c>
      <c r="K41" s="156">
        <f ca="1">ROUND(INDEX(PO!T$12:T$422,MATCH($A41,PO!$V$12:$V$422,0)),2)+10^-12</f>
        <v>9.9999999999999998E-13</v>
      </c>
      <c r="L41" s="335"/>
      <c r="M41" s="337"/>
      <c r="N41" s="348"/>
      <c r="O41" s="171" t="s">
        <v>20</v>
      </c>
      <c r="P41" s="166">
        <f t="shared" ref="P41:W41" ca="1" si="106">IF($B41,ROUND(P40*$N39,2),ROUND(SUMIF(OFFSET($B41,1,0,$D41),TRUE,OFFSET(P41,1,0,$D41))/SUMIF(OFFSET($B41,1,0,$D41),TRUE,OFFSET($K41,1,0,$D41))*$N39,2))</f>
        <v>0</v>
      </c>
      <c r="Q41" s="144">
        <f t="shared" ca="1" si="106"/>
        <v>0</v>
      </c>
      <c r="R41" s="144">
        <f t="shared" ca="1" si="106"/>
        <v>0</v>
      </c>
      <c r="S41" s="144">
        <f t="shared" ca="1" si="106"/>
        <v>0</v>
      </c>
      <c r="T41" s="144">
        <f t="shared" ca="1" si="106"/>
        <v>0</v>
      </c>
      <c r="U41" s="144">
        <f t="shared" ca="1" si="106"/>
        <v>0</v>
      </c>
      <c r="V41" s="144">
        <f t="shared" ca="1" si="106"/>
        <v>0</v>
      </c>
      <c r="W41" s="174">
        <f t="shared" ca="1" si="106"/>
        <v>0</v>
      </c>
      <c r="X41" s="163"/>
      <c r="AC41" s="144">
        <f t="shared" ref="AC41" ca="1" si="107">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4" t="str">
        <f ca="1">INDEX(PO!K$12:K$422,MATCH($A44,PO!$V$12:$V$422,0))</f>
        <v>1.8.</v>
      </c>
      <c r="M42" s="336" t="str">
        <f ca="1">INDEX(PO!N$12:N$422,MATCH($A44,PO!$V$12:$V$422,0))</f>
        <v>COBERTURA</v>
      </c>
      <c r="N42" s="347">
        <f t="shared" ref="N42" ca="1" si="108">IF(ROUND(K44,2)=0,K44,ROUND(K44,2))</f>
        <v>9.9999999999999998E-13</v>
      </c>
      <c r="O42" s="187" t="s">
        <v>143</v>
      </c>
      <c r="P42" s="192">
        <v>0</v>
      </c>
      <c r="Q42" s="193">
        <v>0</v>
      </c>
      <c r="R42" s="193">
        <v>1</v>
      </c>
      <c r="S42" s="193">
        <v>0.3</v>
      </c>
      <c r="T42" s="193">
        <v>0.3</v>
      </c>
      <c r="U42" s="193">
        <v>0.2</v>
      </c>
      <c r="V42" s="193">
        <f t="shared" ref="V42" ca="1" si="109">IF($B44,0,V43-IF(ISNUMBER(U43),U43,0))</f>
        <v>0</v>
      </c>
      <c r="W42" s="194">
        <f t="shared" ref="W42" ca="1" si="110">IF($B44,0,W43-IF(ISNUMBER(V43),V43,0))</f>
        <v>0</v>
      </c>
      <c r="X42" s="163"/>
      <c r="AC42" s="188">
        <f t="shared" ref="AC42" ca="1" si="111">IF($B44,0,AC43-IF(ISNUMBER(AB43),AB43,0))</f>
        <v>0</v>
      </c>
    </row>
    <row r="43" spans="1:29" customFormat="1" ht="14.25" x14ac:dyDescent="0.2">
      <c r="A43" s="11"/>
      <c r="B43" s="11"/>
      <c r="C43" s="11"/>
      <c r="D43" s="11"/>
      <c r="E43" s="11"/>
      <c r="F43" s="11"/>
      <c r="G43" s="11"/>
      <c r="H43" s="11"/>
      <c r="I43" s="11"/>
      <c r="J43" s="11"/>
      <c r="K43" s="11"/>
      <c r="L43" s="335"/>
      <c r="M43" s="337"/>
      <c r="N43" s="348"/>
      <c r="O43" s="145" t="s">
        <v>145</v>
      </c>
      <c r="P43" s="165">
        <f t="shared" ref="P43" ca="1" si="112">MIN(IF($B44,P42+IF(ISNUMBER(O43),O43,0),P44/$N42),1)</f>
        <v>0</v>
      </c>
      <c r="Q43" s="143">
        <f t="shared" ref="Q43" ca="1" si="113">MIN(IF($B44,Q42+IF(ISNUMBER(P43),P43,0),Q44/$N42),1)</f>
        <v>0</v>
      </c>
      <c r="R43" s="143">
        <f t="shared" ref="R43" ca="1" si="114">MIN(IF($B44,R42+IF(ISNUMBER(Q43),Q43,0),R44/$N42),1)</f>
        <v>1</v>
      </c>
      <c r="S43" s="143">
        <f t="shared" ref="S43" ca="1" si="115">MIN(IF($B44,S42+IF(ISNUMBER(R43),R43,0),S44/$N42),1)</f>
        <v>1</v>
      </c>
      <c r="T43" s="143">
        <f t="shared" ref="T43" ca="1" si="116">MIN(IF($B44,T42+IF(ISNUMBER(S43),S43,0),T44/$N42),1)</f>
        <v>1</v>
      </c>
      <c r="U43" s="143">
        <f t="shared" ref="U43" ca="1" si="117">MIN(IF($B44,U42+IF(ISNUMBER(T43),T43,0),U44/$N42),1)</f>
        <v>1</v>
      </c>
      <c r="V43" s="143">
        <f t="shared" ref="V43" ca="1" si="118">MIN(IF($B44,V42+IF(ISNUMBER(U43),U43,0),V44/$N42),1)</f>
        <v>1</v>
      </c>
      <c r="W43" s="143">
        <f t="shared" ref="W43" ca="1" si="119">MIN(IF($B44,W42+IF(ISNUMBER(V43),V43,0),W44/$N42),1)</f>
        <v>1</v>
      </c>
      <c r="X43" s="163"/>
      <c r="AC43" s="143">
        <f t="shared" ref="AC43" ca="1" si="120">MIN(IF($B44,AC42+IF(ISNUMBER(AB43),AB43,0),AC44/$N42),1)</f>
        <v>0</v>
      </c>
    </row>
    <row r="44" spans="1:29" customFormat="1" ht="14.25" x14ac:dyDescent="0.2">
      <c r="A44" s="11">
        <f ca="1">OFFSET(A44,-CFF.NumLinha,0)+1</f>
        <v>9</v>
      </c>
      <c r="B44" s="11" t="b">
        <f ca="1">$C44&gt;=OFFSET($C44,CFF.NumLinha,0)</f>
        <v>1</v>
      </c>
      <c r="C44" s="11">
        <f ca="1">INDEX(PO!A$12:A$422,MATCH($A44,PO!$V$12:$V$422,0))</f>
        <v>2</v>
      </c>
      <c r="D44" s="11">
        <f t="shared" ref="D44" ca="1" si="121">IF(ISERROR(J44),I44,SMALL(I44:J44,1))-1</f>
        <v>2</v>
      </c>
      <c r="E44" s="11">
        <f ca="1">IF($C44=1,OFFSET(E44,-CFF.NumLinha,0)+1,OFFSET(E44,-CFF.NumLinha,0))</f>
        <v>1</v>
      </c>
      <c r="F44" s="11">
        <f ca="1">IF($C44=1,0,IF($C44=2,OFFSET(F44,-CFF.NumLinha,0)+1,OFFSET(F44,-CFF.NumLinha,0)))</f>
        <v>8</v>
      </c>
      <c r="G44" s="11">
        <f ca="1">IF(AND($C44&lt;=2,$C44&lt;&gt;0),0,IF($C44=3,OFFSET(G44,-CFF.NumLinha,0)+1,OFFSET(G44,-CFF.NumLinha,0)))</f>
        <v>0</v>
      </c>
      <c r="H44" s="11">
        <f ca="1">IF(AND($C44&lt;=3,$C44&lt;&gt;0),0,IF($C44=4,OFFSET(H44,-CFF.NumLinha,0)+1,OFFSET(H44,-CFF.NumLinha,0)))</f>
        <v>0</v>
      </c>
      <c r="I44" s="11">
        <f ca="1">MATCH(0,OFFSET($D44,1,$C44,ROW($A$51)-ROW($A44)),0)</f>
        <v>7</v>
      </c>
      <c r="J44" s="11">
        <f ca="1">MATCH(OFFSET($D44,0,$C44)+1,OFFSET($D44,1,$C44,ROW($A$51)-ROW($A44)),0)</f>
        <v>3</v>
      </c>
      <c r="K44" s="156">
        <f ca="1">ROUND(INDEX(PO!T$12:T$422,MATCH($A44,PO!$V$12:$V$422,0)),2)+10^-12</f>
        <v>9.9999999999999998E-13</v>
      </c>
      <c r="L44" s="335"/>
      <c r="M44" s="337"/>
      <c r="N44" s="348"/>
      <c r="O44" s="171" t="s">
        <v>20</v>
      </c>
      <c r="P44" s="166">
        <f t="shared" ref="P44:W44" ca="1" si="122">IF($B44,ROUND(P43*$N42,2),ROUND(SUMIF(OFFSET($B44,1,0,$D44),TRUE,OFFSET(P44,1,0,$D44))/SUMIF(OFFSET($B44,1,0,$D44),TRUE,OFFSET($K44,1,0,$D44))*$N42,2))</f>
        <v>0</v>
      </c>
      <c r="Q44" s="144">
        <f t="shared" ca="1" si="122"/>
        <v>0</v>
      </c>
      <c r="R44" s="144">
        <f t="shared" ca="1" si="122"/>
        <v>0</v>
      </c>
      <c r="S44" s="144">
        <f t="shared" ca="1" si="122"/>
        <v>0</v>
      </c>
      <c r="T44" s="144">
        <f t="shared" ca="1" si="122"/>
        <v>0</v>
      </c>
      <c r="U44" s="144">
        <f t="shared" ca="1" si="122"/>
        <v>0</v>
      </c>
      <c r="V44" s="144">
        <f t="shared" ca="1" si="122"/>
        <v>0</v>
      </c>
      <c r="W44" s="174">
        <f t="shared" ca="1" si="122"/>
        <v>0</v>
      </c>
      <c r="X44" s="163"/>
      <c r="AC44" s="144">
        <f t="shared" ref="AC44" ca="1" si="123">IF($B44,ROUND(AC43*$N42,2),ROUND(SUMIF(OFFSET($B44,1,0,$D44),TRUE,OFFSET(AC44,1,0,$D44))/SUMIF(OFFSET($B44,1,0,$D44),TRUE,OFFSET($K44,1,0,$D44))*$N42,2))</f>
        <v>0</v>
      </c>
    </row>
    <row r="45" spans="1:29" customFormat="1" ht="14.25" customHeight="1" x14ac:dyDescent="0.2">
      <c r="A45" s="1"/>
      <c r="B45" s="1"/>
      <c r="C45" s="1"/>
      <c r="D45" s="1"/>
      <c r="E45" s="1"/>
      <c r="F45" s="1"/>
      <c r="G45" s="1"/>
      <c r="H45" s="1"/>
      <c r="I45" s="1"/>
      <c r="J45" s="1"/>
      <c r="K45" s="1"/>
      <c r="L45" s="334" t="str">
        <f ca="1">INDEX(PO!K$12:K$422,MATCH($A47,PO!$V$12:$V$422,0))</f>
        <v>1.9.</v>
      </c>
      <c r="M45" s="336" t="str">
        <f ca="1">INDEX(PO!N$12:N$422,MATCH($A47,PO!$V$12:$V$422,0))</f>
        <v>REDE DE GÁS MEDICINAL</v>
      </c>
      <c r="N45" s="347">
        <f t="shared" ref="N45" ca="1" si="124">IF(ROUND(K47,2)=0,K47,ROUND(K47,2))</f>
        <v>9.9999999999999998E-13</v>
      </c>
      <c r="O45" s="187" t="s">
        <v>143</v>
      </c>
      <c r="P45" s="192">
        <v>0</v>
      </c>
      <c r="Q45" s="193">
        <v>0</v>
      </c>
      <c r="R45" s="193">
        <v>1</v>
      </c>
      <c r="S45" s="193">
        <f t="shared" ref="S45" ca="1" si="125">IF($B47,0,S46-IF(ISNUMBER(R46),R46,0))</f>
        <v>0</v>
      </c>
      <c r="T45" s="193">
        <f t="shared" ref="T45" ca="1" si="126">IF($B47,0,T46-IF(ISNUMBER(S46),S46,0))</f>
        <v>0</v>
      </c>
      <c r="U45" s="193">
        <f t="shared" ref="U45" ca="1" si="127">IF($B47,0,U46-IF(ISNUMBER(T46),T46,0))</f>
        <v>0</v>
      </c>
      <c r="V45" s="193">
        <f t="shared" ref="V45" ca="1" si="128">IF($B47,0,V46-IF(ISNUMBER(U46),U46,0))</f>
        <v>0</v>
      </c>
      <c r="W45" s="194">
        <f t="shared" ref="W45" ca="1" si="129">IF($B47,0,W46-IF(ISNUMBER(V46),V46,0))</f>
        <v>0</v>
      </c>
      <c r="X45" s="163"/>
      <c r="AC45" s="188">
        <f t="shared" ref="AC45" ca="1" si="130">IF($B47,0,AC46-IF(ISNUMBER(AB46),AB46,0))</f>
        <v>0</v>
      </c>
    </row>
    <row r="46" spans="1:29" customFormat="1" ht="14.25" x14ac:dyDescent="0.2">
      <c r="A46" s="11"/>
      <c r="B46" s="11"/>
      <c r="C46" s="11"/>
      <c r="D46" s="11"/>
      <c r="E46" s="11"/>
      <c r="F46" s="11"/>
      <c r="G46" s="11"/>
      <c r="H46" s="11"/>
      <c r="I46" s="11"/>
      <c r="J46" s="11"/>
      <c r="K46" s="11"/>
      <c r="L46" s="335"/>
      <c r="M46" s="337"/>
      <c r="N46" s="348"/>
      <c r="O46" s="145" t="s">
        <v>145</v>
      </c>
      <c r="P46" s="165">
        <f t="shared" ref="P46" ca="1" si="131">MIN(IF($B47,P45+IF(ISNUMBER(O46),O46,0),P47/$N45),1)</f>
        <v>0</v>
      </c>
      <c r="Q46" s="143">
        <f t="shared" ref="Q46" ca="1" si="132">MIN(IF($B47,Q45+IF(ISNUMBER(P46),P46,0),Q47/$N45),1)</f>
        <v>0</v>
      </c>
      <c r="R46" s="143">
        <f t="shared" ref="R46" ca="1" si="133">MIN(IF($B47,R45+IF(ISNUMBER(Q46),Q46,0),R47/$N45),1)</f>
        <v>1</v>
      </c>
      <c r="S46" s="143">
        <f t="shared" ref="S46" ca="1" si="134">MIN(IF($B47,S45+IF(ISNUMBER(R46),R46,0),S47/$N45),1)</f>
        <v>1</v>
      </c>
      <c r="T46" s="143">
        <f t="shared" ref="T46" ca="1" si="135">MIN(IF($B47,T45+IF(ISNUMBER(S46),S46,0),T47/$N45),1)</f>
        <v>1</v>
      </c>
      <c r="U46" s="143">
        <f t="shared" ref="U46" ca="1" si="136">MIN(IF($B47,U45+IF(ISNUMBER(T46),T46,0),U47/$N45),1)</f>
        <v>1</v>
      </c>
      <c r="V46" s="143">
        <f t="shared" ref="V46" ca="1" si="137">MIN(IF($B47,V45+IF(ISNUMBER(U46),U46,0),V47/$N45),1)</f>
        <v>1</v>
      </c>
      <c r="W46" s="143">
        <f t="shared" ref="W46" ca="1" si="138">MIN(IF($B47,W45+IF(ISNUMBER(V46),V46,0),W47/$N45),1)</f>
        <v>1</v>
      </c>
      <c r="X46" s="163"/>
      <c r="AC46" s="143">
        <f t="shared" ref="AC46" ca="1" si="139">MIN(IF($B47,AC45+IF(ISNUMBER(AB46),AB46,0),AC47/$N45),1)</f>
        <v>0</v>
      </c>
    </row>
    <row r="47" spans="1:29" customFormat="1" ht="14.25" x14ac:dyDescent="0.2">
      <c r="A47" s="11">
        <f ca="1">OFFSET(A47,-CFF.NumLinha,0)+1</f>
        <v>10</v>
      </c>
      <c r="B47" s="11" t="b">
        <f ca="1">$C47&gt;=OFFSET($C47,CFF.NumLinha,0)</f>
        <v>1</v>
      </c>
      <c r="C47" s="11">
        <f ca="1">INDEX(PO!A$12:A$422,MATCH($A47,PO!$V$12:$V$422,0))</f>
        <v>2</v>
      </c>
      <c r="D47" s="11">
        <f t="shared" ref="D47" ca="1" si="140">IF(ISERROR(J47),I47,SMALL(I47:J47,1))-1</f>
        <v>2</v>
      </c>
      <c r="E47" s="11">
        <f ca="1">IF($C47=1,OFFSET(E47,-CFF.NumLinha,0)+1,OFFSET(E47,-CFF.NumLinha,0))</f>
        <v>1</v>
      </c>
      <c r="F47" s="11">
        <f ca="1">IF($C47=1,0,IF($C47=2,OFFSET(F47,-CFF.NumLinha,0)+1,OFFSET(F47,-CFF.NumLinha,0)))</f>
        <v>9</v>
      </c>
      <c r="G47" s="11">
        <f ca="1">IF(AND($C47&lt;=2,$C47&lt;&gt;0),0,IF($C47=3,OFFSET(G47,-CFF.NumLinha,0)+1,OFFSET(G47,-CFF.NumLinha,0)))</f>
        <v>0</v>
      </c>
      <c r="H47" s="11">
        <f ca="1">IF(AND($C47&lt;=3,$C47&lt;&gt;0),0,IF($C47=4,OFFSET(H47,-CFF.NumLinha,0)+1,OFFSET(H47,-CFF.NumLinha,0)))</f>
        <v>0</v>
      </c>
      <c r="I47" s="11">
        <f ca="1">MATCH(0,OFFSET($D47,1,$C47,ROW($A$51)-ROW($A47)),0)</f>
        <v>4</v>
      </c>
      <c r="J47" s="11">
        <f ca="1">MATCH(OFFSET($D47,0,$C47)+1,OFFSET($D47,1,$C47,ROW($A$51)-ROW($A47)),0)</f>
        <v>3</v>
      </c>
      <c r="K47" s="156">
        <f ca="1">ROUND(INDEX(PO!T$12:T$422,MATCH($A47,PO!$V$12:$V$422,0)),2)+10^-12</f>
        <v>9.9999999999999998E-13</v>
      </c>
      <c r="L47" s="335"/>
      <c r="M47" s="337"/>
      <c r="N47" s="348"/>
      <c r="O47" s="171" t="s">
        <v>20</v>
      </c>
      <c r="P47" s="166">
        <f t="shared" ref="P47:W47" ca="1" si="141">IF($B47,ROUND(P46*$N45,2),ROUND(SUMIF(OFFSET($B47,1,0,$D47),TRUE,OFFSET(P47,1,0,$D47))/SUMIF(OFFSET($B47,1,0,$D47),TRUE,OFFSET($K47,1,0,$D47))*$N45,2))</f>
        <v>0</v>
      </c>
      <c r="Q47" s="144">
        <f t="shared" ca="1" si="141"/>
        <v>0</v>
      </c>
      <c r="R47" s="144">
        <f t="shared" ca="1" si="141"/>
        <v>0</v>
      </c>
      <c r="S47" s="144">
        <f t="shared" ca="1" si="141"/>
        <v>0</v>
      </c>
      <c r="T47" s="144">
        <f t="shared" ca="1" si="141"/>
        <v>0</v>
      </c>
      <c r="U47" s="144">
        <f t="shared" ca="1" si="141"/>
        <v>0</v>
      </c>
      <c r="V47" s="144">
        <f t="shared" ca="1" si="141"/>
        <v>0</v>
      </c>
      <c r="W47" s="174">
        <f t="shared" ca="1" si="141"/>
        <v>0</v>
      </c>
      <c r="X47" s="163"/>
      <c r="AC47" s="144">
        <f t="shared" ref="AC47" ca="1" si="142">IF($B47,ROUND(AC46*$N45,2),ROUND(SUMIF(OFFSET($B47,1,0,$D47),TRUE,OFFSET(AC47,1,0,$D47))/SUMIF(OFFSET($B47,1,0,$D47),TRUE,OFFSET($K47,1,0,$D47))*$N45,2))</f>
        <v>0</v>
      </c>
    </row>
    <row r="48" spans="1:29" customFormat="1" ht="14.25" customHeight="1" x14ac:dyDescent="0.2">
      <c r="A48" s="1"/>
      <c r="B48" s="1"/>
      <c r="C48" s="1"/>
      <c r="D48" s="1"/>
      <c r="E48" s="1"/>
      <c r="F48" s="1"/>
      <c r="G48" s="1"/>
      <c r="H48" s="1"/>
      <c r="I48" s="1"/>
      <c r="J48" s="1"/>
      <c r="K48" s="1"/>
      <c r="L48" s="334" t="str">
        <f ca="1">INDEX(PO!K$12:K$422,MATCH($A50,PO!$V$12:$V$422,0))</f>
        <v>1.10.</v>
      </c>
      <c r="M48" s="336" t="str">
        <f ca="1">INDEX(PO!N$12:N$422,MATCH($A50,PO!$V$12:$V$422,0))</f>
        <v>INSTALAÇÕES HIDROSSANITÁRIAS</v>
      </c>
      <c r="N48" s="347">
        <f t="shared" ref="N48" ca="1" si="143">IF(ROUND(K50,2)=0,K50,ROUND(K50,2))</f>
        <v>9.9999999999999998E-13</v>
      </c>
      <c r="O48" s="187" t="s">
        <v>143</v>
      </c>
      <c r="P48" s="192">
        <v>0</v>
      </c>
      <c r="Q48" s="193">
        <v>0</v>
      </c>
      <c r="R48" s="193">
        <v>1</v>
      </c>
      <c r="S48" s="193">
        <f t="shared" ref="S48" ca="1" si="144">IF($B50,0,S49-IF(ISNUMBER(R49),R49,0))</f>
        <v>0</v>
      </c>
      <c r="T48" s="193">
        <v>0.25</v>
      </c>
      <c r="U48" s="193">
        <v>0.25</v>
      </c>
      <c r="V48" s="193">
        <v>0.4</v>
      </c>
      <c r="W48" s="194">
        <f t="shared" ref="W48" ca="1" si="145">IF($B50,0,W49-IF(ISNUMBER(V49),V49,0))</f>
        <v>0</v>
      </c>
      <c r="X48" s="163"/>
      <c r="AC48" s="188">
        <f t="shared" ref="AC48" ca="1" si="146">IF($B50,0,AC49-IF(ISNUMBER(AB49),AB49,0))</f>
        <v>0</v>
      </c>
    </row>
    <row r="49" spans="1:29" customFormat="1" ht="14.25" x14ac:dyDescent="0.2">
      <c r="A49" s="11"/>
      <c r="B49" s="11"/>
      <c r="C49" s="11"/>
      <c r="D49" s="11"/>
      <c r="E49" s="11"/>
      <c r="F49" s="11"/>
      <c r="G49" s="11"/>
      <c r="H49" s="11"/>
      <c r="I49" s="11"/>
      <c r="J49" s="11"/>
      <c r="K49" s="11"/>
      <c r="L49" s="335"/>
      <c r="M49" s="337"/>
      <c r="N49" s="348"/>
      <c r="O49" s="145" t="s">
        <v>145</v>
      </c>
      <c r="P49" s="165">
        <f t="shared" ref="P49" ca="1" si="147">MIN(IF($B50,P48+IF(ISNUMBER(O49),O49,0),P50/$N48),1)</f>
        <v>0</v>
      </c>
      <c r="Q49" s="143">
        <f t="shared" ref="Q49" ca="1" si="148">MIN(IF($B50,Q48+IF(ISNUMBER(P49),P49,0),Q50/$N48),1)</f>
        <v>0</v>
      </c>
      <c r="R49" s="143">
        <f t="shared" ref="R49" ca="1" si="149">MIN(IF($B50,R48+IF(ISNUMBER(Q49),Q49,0),R50/$N48),1)</f>
        <v>1</v>
      </c>
      <c r="S49" s="143">
        <f t="shared" ref="S49" ca="1" si="150">MIN(IF($B50,S48+IF(ISNUMBER(R49),R49,0),S50/$N48),1)</f>
        <v>1</v>
      </c>
      <c r="T49" s="143">
        <f t="shared" ref="T49" ca="1" si="151">MIN(IF($B50,T48+IF(ISNUMBER(S49),S49,0),T50/$N48),1)</f>
        <v>1</v>
      </c>
      <c r="U49" s="143">
        <f t="shared" ref="U49" ca="1" si="152">MIN(IF($B50,U48+IF(ISNUMBER(T49),T49,0),U50/$N48),1)</f>
        <v>1</v>
      </c>
      <c r="V49" s="143">
        <f t="shared" ref="V49" ca="1" si="153">MIN(IF($B50,V48+IF(ISNUMBER(U49),U49,0),V50/$N48),1)</f>
        <v>1</v>
      </c>
      <c r="W49" s="143">
        <f t="shared" ref="W49" ca="1" si="154">MIN(IF($B50,W48+IF(ISNUMBER(V49),V49,0),W50/$N48),1)</f>
        <v>1</v>
      </c>
      <c r="X49" s="163"/>
      <c r="AC49" s="143">
        <f t="shared" ref="AC49" ca="1" si="155">MIN(IF($B50,AC48+IF(ISNUMBER(AB49),AB49,0),AC50/$N48),1)</f>
        <v>0</v>
      </c>
    </row>
    <row r="50" spans="1:29" customFormat="1" ht="14.25" x14ac:dyDescent="0.2">
      <c r="A50" s="11">
        <f ca="1">OFFSET(A50,-CFF.NumLinha,0)+1</f>
        <v>11</v>
      </c>
      <c r="B50" s="11" t="b">
        <f ca="1">$C50&gt;=OFFSET($C50,CFF.NumLinha,0)</f>
        <v>1</v>
      </c>
      <c r="C50" s="11">
        <f ca="1">INDEX(PO!A$12:A$422,MATCH($A50,PO!$V$12:$V$422,0))</f>
        <v>2</v>
      </c>
      <c r="D50" s="11">
        <f t="shared" ref="D50" ca="1" si="156">IF(ISERROR(J50),I50,SMALL(I50:J50,1))-1</f>
        <v>0</v>
      </c>
      <c r="E50" s="11">
        <f ca="1">IF($C50=1,OFFSET(E50,-CFF.NumLinha,0)+1,OFFSET(E50,-CFF.NumLinha,0))</f>
        <v>1</v>
      </c>
      <c r="F50" s="11">
        <f ca="1">IF($C50=1,0,IF($C50=2,OFFSET(F50,-CFF.NumLinha,0)+1,OFFSET(F50,-CFF.NumLinha,0)))</f>
        <v>10</v>
      </c>
      <c r="G50" s="11">
        <f ca="1">IF(AND($C50&lt;=2,$C50&lt;&gt;0),0,IF($C50=3,OFFSET(G50,-CFF.NumLinha,0)+1,OFFSET(G50,-CFF.NumLinha,0)))</f>
        <v>0</v>
      </c>
      <c r="H50" s="11">
        <f ca="1">IF(AND($C50&lt;=3,$C50&lt;&gt;0),0,IF($C50=4,OFFSET(H50,-CFF.NumLinha,0)+1,OFFSET(H50,-CFF.NumLinha,0)))</f>
        <v>0</v>
      </c>
      <c r="I50" s="11">
        <f ca="1">MATCH(0,OFFSET($D50,1,$C50,ROW($A$51)-ROW($A50)),0)</f>
        <v>1</v>
      </c>
      <c r="J50" s="11" t="e">
        <f ca="1">MATCH(OFFSET($D50,0,$C50)+1,OFFSET($D50,1,$C50,ROW($A$51)-ROW($A50)),0)</f>
        <v>#N/A</v>
      </c>
      <c r="K50" s="156">
        <f ca="1">ROUND(INDEX(PO!T$12:T$422,MATCH($A50,PO!$V$12:$V$422,0)),2)+10^-12</f>
        <v>9.9999999999999998E-13</v>
      </c>
      <c r="L50" s="335"/>
      <c r="M50" s="337"/>
      <c r="N50" s="348"/>
      <c r="O50" s="171" t="s">
        <v>20</v>
      </c>
      <c r="P50" s="166">
        <f t="shared" ref="P50:W50" ca="1" si="157">IF($B50,ROUND(P49*$N48,2),ROUND(SUMIF(OFFSET($B50,1,0,$D50),TRUE,OFFSET(P50,1,0,$D50))/SUMIF(OFFSET($B50,1,0,$D50),TRUE,OFFSET($K50,1,0,$D50))*$N48,2))</f>
        <v>0</v>
      </c>
      <c r="Q50" s="144">
        <f t="shared" ca="1" si="157"/>
        <v>0</v>
      </c>
      <c r="R50" s="144">
        <f t="shared" ca="1" si="157"/>
        <v>0</v>
      </c>
      <c r="S50" s="144">
        <f t="shared" ca="1" si="157"/>
        <v>0</v>
      </c>
      <c r="T50" s="144">
        <f t="shared" ca="1" si="157"/>
        <v>0</v>
      </c>
      <c r="U50" s="144">
        <f t="shared" ca="1" si="157"/>
        <v>0</v>
      </c>
      <c r="V50" s="144">
        <f t="shared" ca="1" si="157"/>
        <v>0</v>
      </c>
      <c r="W50" s="174">
        <f t="shared" ca="1" si="157"/>
        <v>0</v>
      </c>
      <c r="X50" s="163"/>
      <c r="AC50" s="144">
        <f t="shared" ref="AC50" ca="1" si="158">IF($B50,ROUND(AC49*$N48,2),ROUND(SUMIF(OFFSET($B50,1,0,$D50),TRUE,OFFSET(AC50,1,0,$D50))/SUMIF(OFFSET($B50,1,0,$D50),TRUE,OFFSET($K50,1,0,$D50))*$N48,2))</f>
        <v>0</v>
      </c>
    </row>
    <row r="51" spans="1:29" ht="12.75" customHeight="1" x14ac:dyDescent="0.2">
      <c r="A51"/>
      <c r="B51"/>
      <c r="C51" s="11">
        <v>-1</v>
      </c>
      <c r="D51" s="11"/>
      <c r="E51" s="11">
        <v>0</v>
      </c>
      <c r="F51" s="11">
        <v>0</v>
      </c>
      <c r="G51" s="11">
        <v>0</v>
      </c>
      <c r="H51" s="11">
        <v>0</v>
      </c>
      <c r="I51"/>
      <c r="J51"/>
      <c r="K51"/>
      <c r="L51" s="69"/>
      <c r="M51" s="69"/>
      <c r="N51" s="131"/>
      <c r="O51" s="69"/>
      <c r="P51" s="69"/>
      <c r="Q51" s="131"/>
      <c r="R51" s="69"/>
      <c r="S51" s="69"/>
      <c r="T51" s="69"/>
      <c r="U51" s="69"/>
      <c r="V51" s="69"/>
      <c r="W51" s="69"/>
      <c r="X51" s="157"/>
      <c r="AC51" s="69"/>
    </row>
    <row r="52" spans="1:29" ht="12" customHeight="1" x14ac:dyDescent="0.2">
      <c r="A52"/>
      <c r="B52"/>
      <c r="C52"/>
      <c r="D52"/>
      <c r="E52"/>
      <c r="F52"/>
      <c r="G52"/>
      <c r="H52"/>
      <c r="I52"/>
      <c r="J52"/>
      <c r="K52"/>
      <c r="L52" s="1"/>
      <c r="M52" s="1"/>
      <c r="N52" s="1"/>
      <c r="O52" s="1"/>
      <c r="P52" s="1"/>
      <c r="Q52" s="1"/>
      <c r="R52" s="1"/>
      <c r="S52" s="1"/>
      <c r="T52" s="1"/>
      <c r="U52" s="1"/>
      <c r="V52" s="1"/>
      <c r="W52" s="1"/>
      <c r="X52" s="157"/>
      <c r="AC52" s="1"/>
    </row>
    <row r="53" spans="1:29" x14ac:dyDescent="0.2">
      <c r="A53"/>
      <c r="B53"/>
      <c r="C53"/>
      <c r="D53"/>
      <c r="E53"/>
      <c r="F53"/>
      <c r="G53"/>
      <c r="H53"/>
      <c r="I53"/>
      <c r="J53"/>
      <c r="K53"/>
      <c r="L53" s="352">
        <f>DADOS!I32</f>
        <v>0</v>
      </c>
      <c r="M53" s="352"/>
      <c r="N53" s="352"/>
      <c r="O53" s="1"/>
      <c r="P53" s="158"/>
      <c r="Q53" s="349"/>
      <c r="R53" s="349"/>
      <c r="S53" s="349"/>
      <c r="T53" s="1"/>
      <c r="U53" s="1"/>
      <c r="V53" s="1"/>
      <c r="W53" s="1"/>
      <c r="X53" s="157"/>
      <c r="AC53" s="1"/>
    </row>
    <row r="54" spans="1:29" x14ac:dyDescent="0.2">
      <c r="A54"/>
      <c r="B54"/>
      <c r="C54"/>
      <c r="D54"/>
      <c r="E54"/>
      <c r="F54"/>
      <c r="G54"/>
      <c r="H54"/>
      <c r="I54"/>
      <c r="J54"/>
      <c r="K54"/>
      <c r="L54" s="159" t="s">
        <v>120</v>
      </c>
      <c r="M54" s="351"/>
      <c r="N54" s="351"/>
      <c r="O54" s="1"/>
      <c r="P54" s="158"/>
      <c r="Q54" s="349"/>
      <c r="R54" s="349"/>
      <c r="S54" s="349"/>
      <c r="T54" s="1"/>
      <c r="U54" s="1"/>
      <c r="V54" s="1"/>
      <c r="W54" s="1"/>
      <c r="X54" s="157"/>
      <c r="AC54" s="1"/>
    </row>
    <row r="55" spans="1:29" x14ac:dyDescent="0.2">
      <c r="A55"/>
      <c r="B55"/>
      <c r="C55"/>
      <c r="D55"/>
      <c r="E55"/>
      <c r="F55"/>
      <c r="G55"/>
      <c r="H55"/>
      <c r="I55"/>
      <c r="J55"/>
      <c r="K55"/>
      <c r="L55" s="158"/>
      <c r="M55" s="350"/>
      <c r="N55" s="351"/>
      <c r="O55" s="1"/>
      <c r="P55" s="158"/>
      <c r="Q55" s="349"/>
      <c r="R55" s="349"/>
      <c r="S55" s="349"/>
      <c r="T55" s="1"/>
      <c r="U55" s="1"/>
      <c r="V55" s="1"/>
      <c r="W55" s="1"/>
      <c r="X55" s="157"/>
      <c r="AC55" s="1"/>
    </row>
    <row r="56" spans="1:29" x14ac:dyDescent="0.2">
      <c r="A56"/>
      <c r="B56"/>
      <c r="C56"/>
      <c r="D56"/>
      <c r="E56"/>
      <c r="F56"/>
      <c r="G56"/>
      <c r="H56"/>
      <c r="I56"/>
      <c r="J56"/>
      <c r="K56"/>
      <c r="L56" s="333">
        <f>PO!K436</f>
        <v>0</v>
      </c>
      <c r="M56" s="333"/>
      <c r="N56" s="333"/>
      <c r="O56" s="1"/>
      <c r="P56" s="1"/>
      <c r="Q56" s="1"/>
      <c r="R56" s="1"/>
      <c r="S56" s="1"/>
      <c r="T56" s="1"/>
      <c r="U56" s="1"/>
      <c r="V56" s="1"/>
      <c r="W56" s="1"/>
      <c r="X56" s="160"/>
      <c r="AC56" s="1"/>
    </row>
    <row r="57" spans="1:29" x14ac:dyDescent="0.2">
      <c r="A57"/>
      <c r="B57"/>
      <c r="C57"/>
      <c r="D57"/>
      <c r="E57"/>
      <c r="F57"/>
      <c r="G57"/>
      <c r="H57"/>
      <c r="I57"/>
      <c r="J57"/>
      <c r="K57"/>
      <c r="L57" s="161" t="s">
        <v>121</v>
      </c>
      <c r="M57" s="69"/>
      <c r="N57" s="69"/>
      <c r="O57" s="1"/>
      <c r="P57" s="1"/>
      <c r="Q57" s="1"/>
      <c r="R57" s="1"/>
      <c r="S57" s="1"/>
      <c r="T57" s="1"/>
      <c r="U57" s="1"/>
      <c r="V57" s="1"/>
      <c r="W57" s="1"/>
      <c r="X57" s="160"/>
      <c r="AC57" s="1"/>
    </row>
    <row r="58" spans="1:29" x14ac:dyDescent="0.2">
      <c r="A58"/>
      <c r="B58"/>
      <c r="C58"/>
      <c r="D58"/>
      <c r="E58"/>
      <c r="F58"/>
      <c r="G58"/>
      <c r="H58"/>
      <c r="I58"/>
      <c r="J58"/>
      <c r="K58"/>
      <c r="L58" s="1"/>
      <c r="M58" s="1"/>
      <c r="N58" s="1"/>
      <c r="O58" s="1"/>
      <c r="P58" s="1"/>
      <c r="Q58" s="1"/>
      <c r="R58" s="1"/>
      <c r="S58" s="1"/>
      <c r="T58" s="1"/>
      <c r="U58" s="1"/>
      <c r="V58" s="1"/>
      <c r="W58" s="1"/>
      <c r="X58" s="160"/>
      <c r="AC58" s="1"/>
    </row>
    <row r="59" spans="1:29" x14ac:dyDescent="0.2">
      <c r="A59"/>
      <c r="B59"/>
      <c r="C59"/>
      <c r="D59"/>
      <c r="E59"/>
      <c r="F59"/>
      <c r="G59"/>
      <c r="H59"/>
      <c r="I59"/>
      <c r="J59"/>
      <c r="K59"/>
      <c r="L59" s="1"/>
      <c r="M59" s="1"/>
      <c r="N59" s="4"/>
      <c r="O59" s="1"/>
      <c r="P59" s="1"/>
      <c r="Q59" s="1"/>
      <c r="R59" s="1"/>
      <c r="S59" s="1"/>
      <c r="T59" s="1"/>
      <c r="U59" s="1"/>
      <c r="V59" s="1"/>
      <c r="W59" s="1"/>
      <c r="X59" s="157"/>
      <c r="AC59" s="1"/>
    </row>
    <row r="60" spans="1:29" x14ac:dyDescent="0.2">
      <c r="A60"/>
      <c r="B60"/>
      <c r="C60"/>
      <c r="D60"/>
      <c r="E60"/>
      <c r="F60"/>
      <c r="G60"/>
      <c r="H60"/>
      <c r="I60"/>
      <c r="J60"/>
      <c r="K60"/>
      <c r="L60" s="1"/>
      <c r="M60" s="1"/>
      <c r="N60" s="4"/>
      <c r="O60" s="1"/>
      <c r="P60" s="1"/>
      <c r="Q60" s="1"/>
      <c r="R60" s="1"/>
      <c r="S60" s="1"/>
      <c r="T60" s="1"/>
      <c r="U60" s="1"/>
      <c r="V60" s="1"/>
      <c r="W60" s="1"/>
      <c r="X60" s="157"/>
      <c r="AC60" s="1"/>
    </row>
    <row r="61" spans="1:29" x14ac:dyDescent="0.2">
      <c r="A61"/>
      <c r="B61"/>
      <c r="C61"/>
      <c r="D61"/>
      <c r="E61"/>
      <c r="F61"/>
      <c r="G61"/>
      <c r="H61"/>
      <c r="I61"/>
      <c r="J61"/>
      <c r="K61"/>
      <c r="L61" s="1"/>
      <c r="M61" s="1"/>
      <c r="N61" s="4"/>
      <c r="O61" s="1"/>
      <c r="P61" s="1"/>
      <c r="Q61" s="1"/>
      <c r="R61" s="1"/>
      <c r="S61" s="1"/>
      <c r="T61" s="1"/>
      <c r="U61" s="1"/>
      <c r="V61" s="1"/>
      <c r="W61" s="1"/>
      <c r="X61" s="157"/>
      <c r="AC61" s="1"/>
    </row>
  </sheetData>
  <sheetProtection password="C95B" sheet="1" objects="1" scenarios="1"/>
  <mergeCells count="46">
    <mergeCell ref="L8:M8"/>
    <mergeCell ref="N11:N13"/>
    <mergeCell ref="M18:M20"/>
    <mergeCell ref="N18:N20"/>
    <mergeCell ref="L42:L44"/>
    <mergeCell ref="M42:M44"/>
    <mergeCell ref="N42:N44"/>
    <mergeCell ref="M36:M38"/>
    <mergeCell ref="N36:N38"/>
    <mergeCell ref="L39:L41"/>
    <mergeCell ref="M39:M41"/>
    <mergeCell ref="N39:N41"/>
    <mergeCell ref="L24:L26"/>
    <mergeCell ref="M24:M26"/>
    <mergeCell ref="N24:N26"/>
    <mergeCell ref="L27:L29"/>
    <mergeCell ref="N33:N35"/>
    <mergeCell ref="L36:L38"/>
    <mergeCell ref="Q55:S55"/>
    <mergeCell ref="M55:N55"/>
    <mergeCell ref="Q54:S54"/>
    <mergeCell ref="Q53:S53"/>
    <mergeCell ref="L53:N53"/>
    <mergeCell ref="M54:N54"/>
    <mergeCell ref="N45:N47"/>
    <mergeCell ref="L48:L50"/>
    <mergeCell ref="M48:M50"/>
    <mergeCell ref="N48:N50"/>
    <mergeCell ref="L45:L47"/>
    <mergeCell ref="M45:M47"/>
    <mergeCell ref="L56:N56"/>
    <mergeCell ref="L11:L13"/>
    <mergeCell ref="M11:M13"/>
    <mergeCell ref="L14:M17"/>
    <mergeCell ref="N14:N17"/>
    <mergeCell ref="L18:L20"/>
    <mergeCell ref="L21:L23"/>
    <mergeCell ref="M21:M23"/>
    <mergeCell ref="N21:N23"/>
    <mergeCell ref="L30:L32"/>
    <mergeCell ref="M30:M32"/>
    <mergeCell ref="N30:N32"/>
    <mergeCell ref="L33:L35"/>
    <mergeCell ref="M33:M35"/>
    <mergeCell ref="M27:M29"/>
    <mergeCell ref="N27:N29"/>
  </mergeCells>
  <phoneticPr fontId="23" type="noConversion"/>
  <conditionalFormatting sqref="L11:N11 L12:M13 L18:N18">
    <cfRule type="expression" dxfId="101" priority="1171" stopIfTrue="1">
      <formula>$C13=1</formula>
    </cfRule>
  </conditionalFormatting>
  <conditionalFormatting sqref="O11 O18">
    <cfRule type="expression" dxfId="100" priority="1243" stopIfTrue="1">
      <formula>$B13=FALSE</formula>
    </cfRule>
    <cfRule type="expression" dxfId="99" priority="1244" stopIfTrue="1">
      <formula>$C13=1</formula>
    </cfRule>
  </conditionalFormatting>
  <conditionalFormatting sqref="P12:W12">
    <cfRule type="expression" dxfId="98" priority="1233" stopIfTrue="1">
      <formula>AND(ISNUMBER(O13),O13&gt;=$N11)</formula>
    </cfRule>
    <cfRule type="cellIs" dxfId="97" priority="1234" stopIfTrue="1" operator="notBetween">
      <formula>0</formula>
      <formula>1</formula>
    </cfRule>
  </conditionalFormatting>
  <conditionalFormatting sqref="P13:W13">
    <cfRule type="expression" dxfId="96" priority="1235" stopIfTrue="1">
      <formula>AND(ISNUMBER(O13),O13&gt;=$N11)</formula>
    </cfRule>
    <cfRule type="cellIs" dxfId="95" priority="1236" stopIfTrue="1" operator="notBetween">
      <formula>0</formula>
      <formula>$N11</formula>
    </cfRule>
  </conditionalFormatting>
  <conditionalFormatting sqref="P14:W14">
    <cfRule type="expression" dxfId="94" priority="1237" stopIfTrue="1">
      <formula>AND(ISNUMBER(O17),O17&gt;=$N14)</formula>
    </cfRule>
  </conditionalFormatting>
  <conditionalFormatting sqref="P15:W15">
    <cfRule type="expression" dxfId="93" priority="1238" stopIfTrue="1">
      <formula>AND(ISNUMBER(O17),O17&gt;=$N14)</formula>
    </cfRule>
  </conditionalFormatting>
  <conditionalFormatting sqref="P16:W16">
    <cfRule type="expression" dxfId="92" priority="1239" stopIfTrue="1">
      <formula>AND(ISNUMBER(O17),O17&gt;=$N14)</formula>
    </cfRule>
    <cfRule type="cellIs" dxfId="91" priority="1240" stopIfTrue="1" operator="notBetween">
      <formula>0</formula>
      <formula>1</formula>
    </cfRule>
  </conditionalFormatting>
  <conditionalFormatting sqref="P17:W17">
    <cfRule type="expression" dxfId="90" priority="1241" stopIfTrue="1">
      <formula>AND(ISNUMBER(O17),O17&gt;=$N14)</formula>
    </cfRule>
    <cfRule type="cellIs" dxfId="89" priority="1242" stopIfTrue="1" operator="notBetween">
      <formula>0</formula>
      <formula>$N14</formula>
    </cfRule>
  </conditionalFormatting>
  <conditionalFormatting sqref="L8">
    <cfRule type="cellIs" dxfId="88" priority="1228" stopIfTrue="1" operator="notEqual">
      <formula>""</formula>
    </cfRule>
  </conditionalFormatting>
  <conditionalFormatting sqref="N9">
    <cfRule type="expression" dxfId="87" priority="1227" stopIfTrue="1">
      <formula>TipoOrçamento&lt;&gt;"REPROGRAMADOAC"</formula>
    </cfRule>
  </conditionalFormatting>
  <conditionalFormatting sqref="L19:M20">
    <cfRule type="expression" dxfId="86" priority="2062" stopIfTrue="1">
      <formula>#REF!=1</formula>
    </cfRule>
  </conditionalFormatting>
  <conditionalFormatting sqref="P11:W11">
    <cfRule type="expression" dxfId="85" priority="382" stopIfTrue="1">
      <formula>AND(ISNUMBER(O13),O13&gt;=$N11)</formula>
    </cfRule>
    <cfRule type="expression" dxfId="84" priority="383" stopIfTrue="1">
      <formula>$B13=FALSE</formula>
    </cfRule>
    <cfRule type="expression" dxfId="83" priority="384" stopIfTrue="1">
      <formula>$C13=1</formula>
    </cfRule>
  </conditionalFormatting>
  <conditionalFormatting sqref="P19:W19">
    <cfRule type="expression" dxfId="82" priority="333" stopIfTrue="1">
      <formula>AND(ISNUMBER(O20),O20&gt;=$N18)</formula>
    </cfRule>
    <cfRule type="cellIs" dxfId="81" priority="334" stopIfTrue="1" operator="notBetween">
      <formula>0</formula>
      <formula>1</formula>
    </cfRule>
  </conditionalFormatting>
  <conditionalFormatting sqref="P20:W20">
    <cfRule type="expression" dxfId="80" priority="335" stopIfTrue="1">
      <formula>AND(ISNUMBER(O20),O20&gt;=$N18)</formula>
    </cfRule>
    <cfRule type="cellIs" dxfId="79" priority="336" stopIfTrue="1" operator="notBetween">
      <formula>0</formula>
      <formula>$N18</formula>
    </cfRule>
  </conditionalFormatting>
  <conditionalFormatting sqref="O10:W10">
    <cfRule type="expression" dxfId="78" priority="305" stopIfTrue="1">
      <formula>1=1</formula>
    </cfRule>
  </conditionalFormatting>
  <conditionalFormatting sqref="P18:W18">
    <cfRule type="expression" dxfId="77" priority="260" stopIfTrue="1">
      <formula>AND(ISNUMBER(O20),O20&gt;=$N18)</formula>
    </cfRule>
    <cfRule type="expression" dxfId="76" priority="261" stopIfTrue="1">
      <formula>$B20=FALSE</formula>
    </cfRule>
    <cfRule type="expression" dxfId="75" priority="262" stopIfTrue="1">
      <formula>$C20=1</formula>
    </cfRule>
  </conditionalFormatting>
  <conditionalFormatting sqref="AC18">
    <cfRule type="expression" dxfId="74" priority="180" stopIfTrue="1">
      <formula>AND(ISNUMBER(AB20),AB20&gt;=$N18)</formula>
    </cfRule>
    <cfRule type="expression" dxfId="73" priority="181" stopIfTrue="1">
      <formula>$B20=FALSE</formula>
    </cfRule>
    <cfRule type="expression" dxfId="72" priority="182" stopIfTrue="1">
      <formula>$C20=1</formula>
    </cfRule>
  </conditionalFormatting>
  <conditionalFormatting sqref="AC12">
    <cfRule type="expression" dxfId="71" priority="195" stopIfTrue="1">
      <formula>AND(ISNUMBER(AB13),AB13&gt;=$N11)</formula>
    </cfRule>
    <cfRule type="cellIs" dxfId="70" priority="196" stopIfTrue="1" operator="notBetween">
      <formula>0</formula>
      <formula>1</formula>
    </cfRule>
  </conditionalFormatting>
  <conditionalFormatting sqref="AC13">
    <cfRule type="expression" dxfId="69" priority="197" stopIfTrue="1">
      <formula>AND(ISNUMBER(AB13),AB13&gt;=$N11)</formula>
    </cfRule>
    <cfRule type="cellIs" dxfId="68" priority="198" stopIfTrue="1" operator="notBetween">
      <formula>0</formula>
      <formula>$N11</formula>
    </cfRule>
  </conditionalFormatting>
  <conditionalFormatting sqref="AC14">
    <cfRule type="expression" dxfId="67" priority="199" stopIfTrue="1">
      <formula>AND(ISNUMBER(AB17),AB17&gt;=$N14)</formula>
    </cfRule>
  </conditionalFormatting>
  <conditionalFormatting sqref="AC15">
    <cfRule type="expression" dxfId="66" priority="200" stopIfTrue="1">
      <formula>AND(ISNUMBER(AB17),AB17&gt;=$N14)</formula>
    </cfRule>
  </conditionalFormatting>
  <conditionalFormatting sqref="AC16">
    <cfRule type="expression" dxfId="65" priority="201" stopIfTrue="1">
      <formula>AND(ISNUMBER(AB17),AB17&gt;=$N14)</formula>
    </cfRule>
    <cfRule type="cellIs" dxfId="64" priority="202" stopIfTrue="1" operator="notBetween">
      <formula>0</formula>
      <formula>1</formula>
    </cfRule>
  </conditionalFormatting>
  <conditionalFormatting sqref="AC17">
    <cfRule type="expression" dxfId="63" priority="203" stopIfTrue="1">
      <formula>AND(ISNUMBER(AB17),AB17&gt;=$N14)</formula>
    </cfRule>
    <cfRule type="cellIs" dxfId="62" priority="204" stopIfTrue="1" operator="notBetween">
      <formula>0</formula>
      <formula>$N14</formula>
    </cfRule>
  </conditionalFormatting>
  <conditionalFormatting sqref="AC11">
    <cfRule type="expression" dxfId="61" priority="192" stopIfTrue="1">
      <formula>AND(ISNUMBER(AB13),AB13&gt;=$N11)</formula>
    </cfRule>
    <cfRule type="expression" dxfId="60" priority="193" stopIfTrue="1">
      <formula>$B13=FALSE</formula>
    </cfRule>
    <cfRule type="expression" dxfId="59" priority="194" stopIfTrue="1">
      <formula>$C13=1</formula>
    </cfRule>
  </conditionalFormatting>
  <conditionalFormatting sqref="AC19">
    <cfRule type="expression" dxfId="58" priority="188" stopIfTrue="1">
      <formula>AND(ISNUMBER(AB20),AB20&gt;=$N18)</formula>
    </cfRule>
    <cfRule type="cellIs" dxfId="57" priority="189" stopIfTrue="1" operator="notBetween">
      <formula>0</formula>
      <formula>1</formula>
    </cfRule>
  </conditionalFormatting>
  <conditionalFormatting sqref="AC20">
    <cfRule type="expression" dxfId="56" priority="190" stopIfTrue="1">
      <formula>AND(ISNUMBER(AB20),AB20&gt;=$N18)</formula>
    </cfRule>
    <cfRule type="cellIs" dxfId="55" priority="191" stopIfTrue="1" operator="notBetween">
      <formula>0</formula>
      <formula>$N18</formula>
    </cfRule>
  </conditionalFormatting>
  <conditionalFormatting sqref="AC10">
    <cfRule type="expression" dxfId="54" priority="183" stopIfTrue="1">
      <formula>1=1</formula>
    </cfRule>
  </conditionalFormatting>
  <conditionalFormatting sqref="L21:N21">
    <cfRule type="expression" dxfId="53" priority="79" stopIfTrue="1">
      <formula>$C23=1</formula>
    </cfRule>
  </conditionalFormatting>
  <conditionalFormatting sqref="O21">
    <cfRule type="expression" dxfId="52" priority="84" stopIfTrue="1">
      <formula>$B23=FALSE</formula>
    </cfRule>
    <cfRule type="expression" dxfId="51" priority="85" stopIfTrue="1">
      <formula>$C23=1</formula>
    </cfRule>
  </conditionalFormatting>
  <conditionalFormatting sqref="P22:W22">
    <cfRule type="expression" dxfId="50" priority="80" stopIfTrue="1">
      <formula>AND(ISNUMBER(O23),O23&gt;=$N21)</formula>
    </cfRule>
    <cfRule type="cellIs" dxfId="49" priority="81" stopIfTrue="1" operator="notBetween">
      <formula>0</formula>
      <formula>1</formula>
    </cfRule>
  </conditionalFormatting>
  <conditionalFormatting sqref="P23:W23">
    <cfRule type="expression" dxfId="48" priority="82" stopIfTrue="1">
      <formula>AND(ISNUMBER(O23),O23&gt;=$N21)</formula>
    </cfRule>
    <cfRule type="cellIs" dxfId="47" priority="83" stopIfTrue="1" operator="notBetween">
      <formula>0</formula>
      <formula>$N21</formula>
    </cfRule>
  </conditionalFormatting>
  <conditionalFormatting sqref="P21:W21">
    <cfRule type="expression" dxfId="46" priority="76" stopIfTrue="1">
      <formula>AND(ISNUMBER(O23),O23&gt;=$N21)</formula>
    </cfRule>
    <cfRule type="expression" dxfId="45" priority="77" stopIfTrue="1">
      <formula>$B23=FALSE</formula>
    </cfRule>
    <cfRule type="expression" dxfId="44" priority="78" stopIfTrue="1">
      <formula>$C23=1</formula>
    </cfRule>
  </conditionalFormatting>
  <conditionalFormatting sqref="AC22">
    <cfRule type="expression" dxfId="43" priority="72" stopIfTrue="1">
      <formula>AND(ISNUMBER(AB23),AB23&gt;=$N21)</formula>
    </cfRule>
    <cfRule type="cellIs" dxfId="42" priority="73" stopIfTrue="1" operator="notBetween">
      <formula>0</formula>
      <formula>1</formula>
    </cfRule>
  </conditionalFormatting>
  <conditionalFormatting sqref="AC23">
    <cfRule type="expression" dxfId="41" priority="74" stopIfTrue="1">
      <formula>AND(ISNUMBER(AB23),AB23&gt;=$N21)</formula>
    </cfRule>
    <cfRule type="cellIs" dxfId="40" priority="75" stopIfTrue="1" operator="notBetween">
      <formula>0</formula>
      <formula>$N21</formula>
    </cfRule>
  </conditionalFormatting>
  <conditionalFormatting sqref="AC21">
    <cfRule type="expression" dxfId="39" priority="69" stopIfTrue="1">
      <formula>AND(ISNUMBER(AB23),AB23&gt;=$N21)</formula>
    </cfRule>
    <cfRule type="expression" dxfId="38" priority="70" stopIfTrue="1">
      <formula>$B23=FALSE</formula>
    </cfRule>
    <cfRule type="expression" dxfId="37" priority="71" stopIfTrue="1">
      <formula>$C23=1</formula>
    </cfRule>
  </conditionalFormatting>
  <conditionalFormatting sqref="L22:M23">
    <cfRule type="expression" dxfId="36" priority="4405" stopIfTrue="1">
      <formula>$C51=1</formula>
    </cfRule>
  </conditionalFormatting>
  <conditionalFormatting sqref="L24:N24 L27:N27 L30:N30 L33:N33 L36:N36 L39:N39 L25:M26 L28:M29 L31:M32 L34:M35 L37:M38">
    <cfRule type="expression" dxfId="35" priority="62" stopIfTrue="1">
      <formula>$C26=1</formula>
    </cfRule>
  </conditionalFormatting>
  <conditionalFormatting sqref="O24 O27 O30 O33 O36 O39">
    <cfRule type="expression" dxfId="34" priority="67" stopIfTrue="1">
      <formula>$B26=FALSE</formula>
    </cfRule>
    <cfRule type="expression" dxfId="33" priority="68" stopIfTrue="1">
      <formula>$C26=1</formula>
    </cfRule>
  </conditionalFormatting>
  <conditionalFormatting sqref="P25:W25 P28:W28 P31:W31 P34:W34 P37:W37 P40:W40">
    <cfRule type="expression" dxfId="32" priority="63" stopIfTrue="1">
      <formula>AND(ISNUMBER(O26),O26&gt;=$N24)</formula>
    </cfRule>
    <cfRule type="cellIs" dxfId="31" priority="64" stopIfTrue="1" operator="notBetween">
      <formula>0</formula>
      <formula>1</formula>
    </cfRule>
  </conditionalFormatting>
  <conditionalFormatting sqref="P26:W26 P29:W29 P32:W32 P35:W35 P38:W38 P41:W41">
    <cfRule type="expression" dxfId="30" priority="65" stopIfTrue="1">
      <formula>AND(ISNUMBER(O26),O26&gt;=$N24)</formula>
    </cfRule>
    <cfRule type="cellIs" dxfId="29" priority="66" stopIfTrue="1" operator="notBetween">
      <formula>0</formula>
      <formula>$N24</formula>
    </cfRule>
  </conditionalFormatting>
  <conditionalFormatting sqref="P24:W24 P27:W27 P30:W30 P33:W33 P36:W36 P39:W39">
    <cfRule type="expression" dxfId="28" priority="59" stopIfTrue="1">
      <formula>AND(ISNUMBER(O26),O26&gt;=$N24)</formula>
    </cfRule>
    <cfRule type="expression" dxfId="27" priority="60" stopIfTrue="1">
      <formula>$B26=FALSE</formula>
    </cfRule>
    <cfRule type="expression" dxfId="26" priority="61" stopIfTrue="1">
      <formula>$C26=1</formula>
    </cfRule>
  </conditionalFormatting>
  <conditionalFormatting sqref="AC25 AC28 AC31 AC34 AC37 AC40">
    <cfRule type="expression" dxfId="25" priority="55" stopIfTrue="1">
      <formula>AND(ISNUMBER(AB26),AB26&gt;=$N24)</formula>
    </cfRule>
    <cfRule type="cellIs" dxfId="24" priority="56" stopIfTrue="1" operator="notBetween">
      <formula>0</formula>
      <formula>1</formula>
    </cfRule>
  </conditionalFormatting>
  <conditionalFormatting sqref="AC26 AC29 AC32 AC35 AC38 AC41">
    <cfRule type="expression" dxfId="23" priority="57" stopIfTrue="1">
      <formula>AND(ISNUMBER(AB26),AB26&gt;=$N24)</formula>
    </cfRule>
    <cfRule type="cellIs" dxfId="22" priority="58" stopIfTrue="1" operator="notBetween">
      <formula>0</formula>
      <formula>$N24</formula>
    </cfRule>
  </conditionalFormatting>
  <conditionalFormatting sqref="AC24 AC27 AC30 AC33 AC36 AC39">
    <cfRule type="expression" dxfId="21" priority="52" stopIfTrue="1">
      <formula>AND(ISNUMBER(AB26),AB26&gt;=$N24)</formula>
    </cfRule>
    <cfRule type="expression" dxfId="20" priority="53" stopIfTrue="1">
      <formula>$B26=FALSE</formula>
    </cfRule>
    <cfRule type="expression" dxfId="19" priority="54" stopIfTrue="1">
      <formula>$C26=1</formula>
    </cfRule>
  </conditionalFormatting>
  <conditionalFormatting sqref="L40:M41">
    <cfRule type="expression" dxfId="18" priority="4406" stopIfTrue="1">
      <formula>$C51=1</formula>
    </cfRule>
  </conditionalFormatting>
  <conditionalFormatting sqref="L42:N42 L45:N45 L48:N48 L43:M44 L46:M47">
    <cfRule type="expression" dxfId="17" priority="11" stopIfTrue="1">
      <formula>$C44=1</formula>
    </cfRule>
  </conditionalFormatting>
  <conditionalFormatting sqref="O42 O45 O48">
    <cfRule type="expression" dxfId="16" priority="16" stopIfTrue="1">
      <formula>$B44=FALSE</formula>
    </cfRule>
    <cfRule type="expression" dxfId="15" priority="17" stopIfTrue="1">
      <formula>$C44=1</formula>
    </cfRule>
  </conditionalFormatting>
  <conditionalFormatting sqref="P43:W43 P46:W46 P49:W49">
    <cfRule type="expression" dxfId="14" priority="12" stopIfTrue="1">
      <formula>AND(ISNUMBER(O44),O44&gt;=$N42)</formula>
    </cfRule>
    <cfRule type="cellIs" dxfId="13" priority="13" stopIfTrue="1" operator="notBetween">
      <formula>0</formula>
      <formula>1</formula>
    </cfRule>
  </conditionalFormatting>
  <conditionalFormatting sqref="P44:W44 P47:W47 P50:W50">
    <cfRule type="expression" dxfId="12" priority="14" stopIfTrue="1">
      <formula>AND(ISNUMBER(O44),O44&gt;=$N42)</formula>
    </cfRule>
    <cfRule type="cellIs" dxfId="11" priority="15" stopIfTrue="1" operator="notBetween">
      <formula>0</formula>
      <formula>$N42</formula>
    </cfRule>
  </conditionalFormatting>
  <conditionalFormatting sqref="P42:W42 P45:W45 P48:W48">
    <cfRule type="expression" dxfId="10" priority="8" stopIfTrue="1">
      <formula>AND(ISNUMBER(O44),O44&gt;=$N42)</formula>
    </cfRule>
    <cfRule type="expression" dxfId="9" priority="9" stopIfTrue="1">
      <formula>$B44=FALSE</formula>
    </cfRule>
    <cfRule type="expression" dxfId="8" priority="10" stopIfTrue="1">
      <formula>$C44=1</formula>
    </cfRule>
  </conditionalFormatting>
  <conditionalFormatting sqref="AC43 AC46 AC49">
    <cfRule type="expression" dxfId="7" priority="4" stopIfTrue="1">
      <formula>AND(ISNUMBER(AB44),AB44&gt;=$N42)</formula>
    </cfRule>
    <cfRule type="cellIs" dxfId="6" priority="5" stopIfTrue="1" operator="notBetween">
      <formula>0</formula>
      <formula>1</formula>
    </cfRule>
  </conditionalFormatting>
  <conditionalFormatting sqref="AC44 AC47 AC50">
    <cfRule type="expression" dxfId="5" priority="6" stopIfTrue="1">
      <formula>AND(ISNUMBER(AB44),AB44&gt;=$N42)</formula>
    </cfRule>
    <cfRule type="cellIs" dxfId="4" priority="7" stopIfTrue="1" operator="notBetween">
      <formula>0</formula>
      <formula>$N42</formula>
    </cfRule>
  </conditionalFormatting>
  <conditionalFormatting sqref="AC42 AC45 AC48">
    <cfRule type="expression" dxfId="3" priority="1" stopIfTrue="1">
      <formula>AND(ISNUMBER(AB44),AB44&gt;=$N42)</formula>
    </cfRule>
    <cfRule type="expression" dxfId="2" priority="2" stopIfTrue="1">
      <formula>$B44=FALSE</formula>
    </cfRule>
    <cfRule type="expression" dxfId="1" priority="3" stopIfTrue="1">
      <formula>$C44=1</formula>
    </cfRule>
  </conditionalFormatting>
  <conditionalFormatting sqref="L49:M50">
    <cfRule type="expression" dxfId="0" priority="5392"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P24:W24 P27:W27 P30:W30 P33:W33 P36:W36 P39:W39 AC24 AC27 AC30 AC33 AC36 AC39 P42:W42 P45:W45 P48:W48 AC42 AC45 AC48">
      <formula1>0</formula1>
      <formula2>1-SUM($P11:P11)+P11</formula2>
    </dataValidation>
  </dataValidations>
  <printOptions horizontalCentered="1"/>
  <pageMargins left="0.7" right="0.7" top="0.75" bottom="0.75" header="0.3" footer="0.3"/>
  <pageSetup paperSize="9" scale="60" fitToHeight="0" orientation="landscape" r:id="rId1"/>
  <headerFooter alignWithMargins="0">
    <oddFooter>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Dodani Renan de Morais</cp:lastModifiedBy>
  <cp:lastPrinted>2026-04-14T18:16:50Z</cp:lastPrinted>
  <dcterms:created xsi:type="dcterms:W3CDTF">1998-03-27T18:43:07Z</dcterms:created>
  <dcterms:modified xsi:type="dcterms:W3CDTF">2026-04-14T18:16:58Z</dcterms:modified>
</cp:coreProperties>
</file>