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F347C80C-C8D6-45D8-909F-CDC070ADC194}" xr6:coauthVersionLast="47" xr6:coauthVersionMax="47" xr10:uidLastSave="{00000000-0000-0000-0000-000000000000}"/>
  <workbookProtection workbookAlgorithmName="SHA-512" workbookHashValue="JodAfBSAGDgnXy2CQBgLtHZsTyGJc/oFhXKeNbgE2cReUEEK9lvWZFELbhg0BprP5lExEaJHsyjqsteMzhAb5w==" workbookSaltValue="wAuyVhcBN6PgIjAPlW2AgQ==" workbookSpinCount="100000" lockStructure="1"/>
  <bookViews>
    <workbookView xWindow="1170" yWindow="1170" windowWidth="14400" windowHeight="8145"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r:id="rId11"/>
    <sheet name="BM" sheetId="12" state="hidden" r:id="rId12"/>
    <sheet name="RRE" sheetId="13" r:id="rId13"/>
    <sheet name="OFÍCIO" sheetId="14"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BM!$C$15:$C$39</definedName>
    <definedName name="_xlnm._FilterDatabase" localSheetId="6" hidden="1">CÁLCULO!$C$15:$C$39</definedName>
    <definedName name="_xlnm._FilterDatabase" localSheetId="8" hidden="1">CRONO!$G$13:$G$49</definedName>
    <definedName name="_xlnm._FilterDatabase" localSheetId="7" hidden="1">CRONOPLE!$A$13:$A$35</definedName>
    <definedName name="_xlnm._FilterDatabase" localSheetId="5" hidden="1">EVENTOS!$A$13:$A$28</definedName>
    <definedName name="_xlnm._FilterDatabase" localSheetId="4" hidden="1">ORÇAMENTO!$L$15:$L$39</definedName>
    <definedName name="_xlnm._FilterDatabase" localSheetId="10" hidden="1">PLE!$A$13:$A$37</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BM!$C$15:$C$39</definedName>
    <definedName name="BM.firstrow" hidden="1">BM!$15:$15</definedName>
    <definedName name="BM.FormulaMed" hidden="1">BM!$AO$7</definedName>
    <definedName name="BM.lastrow" hidden="1">BM!$39:$39</definedName>
    <definedName name="BM.LinhaPadrão" hidden="1">BM!$14:$14</definedName>
    <definedName name="BM.MaxMed" hidden="1">IF(RegimeExecucao="Global",1,BM!$G1)</definedName>
    <definedName name="BM.MCAIXA.Filter" hidden="1">BM!$C$15:$Z$39</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CÁLCULO!$C$15:$C$39</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CÁLCULO!$39:$39</definedName>
    <definedName name="CÁLCULO.LinhaPadrão" hidden="1">CÁLCULO!$14:$14</definedName>
    <definedName name="CÁLCULO.margemrow" hidden="1">CÁLCULO!$47:$47</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CÁLCULO!$39:$39</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CÁLCULO!$39:$39</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CÁLCULO!$39:$39</definedName>
    <definedName name="CÁLCULO.nEvento" hidden="1">CÁLCULO!$M$12</definedName>
    <definedName name="CÁLCULO.NúmeroDeEventos" hidden="1">IF(AUTOEVENTO&lt;&gt;"manual",MAX(CÁLCULO!$M$15:$M$39),MAX(OFFSET(EVENTOS!$C$1:$C$21,1,0)))</definedName>
    <definedName name="CÁLCULO.NúmeroDeFrentes" hidden="1">COLUMN(CÁLCULO!$AA$15)-COLUMN(CÁLCULO!$Q$15)</definedName>
    <definedName name="CÁLCULO.Título" hidden="1">CÁLCULO!$F$6</definedName>
    <definedName name="CÁLCULO.TotalAdmLocal" hidden="1">IF(AUTOEVENTO="manual",SUMIF(CÁLCULO!$M$15:$M$39,1,ORÇAMENTO!$X$15:$X$39),0)</definedName>
    <definedName name="CRONO.ColAux" hidden="1">CRONO!$M:$R</definedName>
    <definedName name="CRONO.ColunaPadrão" hidden="1">CRONO!$E:$E</definedName>
    <definedName name="CRONO.Erro" hidden="1">CRONO!$K$10</definedName>
    <definedName name="CRONO.Filtro" hidden="1">CRONO!$G$13:$G$49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CRONO!$32:$32</definedName>
    <definedName name="CRONO.lastrow2" hidden="1">CRONO!$44:$44</definedName>
    <definedName name="CRONO.LinhaPadrão" hidden="1">CRONO!$1:$3</definedName>
    <definedName name="CRONO.LinhasNecessarias" hidden="1">COUNTIF(QCI!$B$13:$B$24,"Manual")+COUNTIF(QCI!$B$13:$B$24,"SemiAuto")+COUNT(ORÇAMENTO.ListaCrono)</definedName>
    <definedName name="CRONO.Lista.AdmLocal" hidden="1">CRONO!$A$13:$A$32</definedName>
    <definedName name="CRONO.Lista.Níveis" hidden="1">CRONO!$A$9:$A$11</definedName>
    <definedName name="CRONO.margemrow" hidden="1">CRONO!$49:$49</definedName>
    <definedName name="CRONO.MaxParc" hidden="1">CRONO!$H1048576+CRONO!A1</definedName>
    <definedName name="CRONO.NivelExibicao" hidden="1">CRONO!$H$10</definedName>
    <definedName name="CRONO.Parcela1" hidden="1">CRONO!$U$12:$U$13</definedName>
    <definedName name="CRONO.ParcelaFinal" hidden="1">MATCH(100%,CRONO!$U$38:$AG$38,0)</definedName>
    <definedName name="CRONO.Título" hidden="1">CRONO!$S$4</definedName>
    <definedName name="CRONOPLE.ColunaPadrão" hidden="1">CRONOPLE!$E:$E</definedName>
    <definedName name="CRONOPLE.Erro" hidden="1">CRONOPLE!$B$6</definedName>
    <definedName name="CRONOPLE.Filtro" hidden="1">CRONOPLE!$A$13:$A$35</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CRONOPLE!$21:$21</definedName>
    <definedName name="CRONOPLE.lastrow2" hidden="1">CRONOPLE!$30:$30</definedName>
    <definedName name="CRONOPLE.LinhaPadrão" hidden="1">CRONOPLE!$1:$1</definedName>
    <definedName name="CRONOPLE.Lista.AdmLocal" hidden="1">CRONOPLE!$F$15:$F$21</definedName>
    <definedName name="CRONOPLE.margemrow" hidden="1">CRONOPLE!$37:$37</definedName>
    <definedName name="CRONOPLE.Título" hidden="1">CRONOPLE!$G$2</definedName>
    <definedName name="CRONOPLE.ValorDoEvento" hidden="1">SUMIF(CÁLCULO!$M$15:$M$39,CRONOPLE!$B1,OFFSET(CÁLCULO!$AA$15:$AA$39,0,CRONOPLE!A$12))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EVENTOS!$A$13:$A$28</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EVENTOS!$21:$21</definedName>
    <definedName name="EVENTOS.LinhaPadrão" hidden="1">EVENTOS!$1:$1</definedName>
    <definedName name="EVENTOS.Lista" hidden="1">EVENTOS!$C$15:OFFSET(EVENTOS!$C$21,-1,0)</definedName>
    <definedName name="EVENTOS.Lista.Agrupar" hidden="1">EVENTOS!$B$6:$B$9</definedName>
    <definedName name="EVENTOS.ListaValidacao" hidden="1">EVENTOS!$B$15:OFFSET(EVENTOS!$B$21,-1,0)</definedName>
    <definedName name="EVENTOS.Manual.Preenchidos" hidden="1">EVENTOS!$C$10</definedName>
    <definedName name="EVENTOS.MargemRow" hidden="1">EVENTOS!$28:$28</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BM!$D$42</definedName>
    <definedName name="Import.BMAFAcumulado" hidden="1">OFFSET(BM!$R$15,1,0):OFFSET(BM!$R$39,-1,0)</definedName>
    <definedName name="Import.BMArred" hidden="1">BM!$A$9</definedName>
    <definedName name="Import.CNPJ" hidden="1">DADOS!$C$39</definedName>
    <definedName name="Import.Código" hidden="1">OFFSET(ORÇAMENTO!$Q$15,1,0):OFFSET(ORÇAMENTO!$Q$39,-1,0)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OFFSET(CRONOPLE!$F$15,1,1):OFFSET(CRONOPLE!$AF$21,-1,-1)</definedName>
    <definedName name="Import.CTEF" hidden="1">DADOS!$C$37</definedName>
    <definedName name="Import.CustoUnitário" hidden="1">OFFSET(ORÇAMENTO!$U$15,1,0):OFFSET(ORÇAMENTO!$U$39,-1,0)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OFFSET(ORÇAMENTO!$R$15,1,0):OFFSET(ORÇAMENTO!$R$39,-1,0)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OFFSET(EVENTOS!$D$15,1,0):OFFSET(EVENTOS!$D$21,-1,0)</definedName>
    <definedName name="Import.Fonte" hidden="1">OFFSET(ORÇAMENTO!$P$15,1,0):OFFSET(ORÇAMENTO!$P$39,-1,0)</definedName>
    <definedName name="Import.FrenteDeObra" hidden="1">CÁLCULO!$Q$12:OFFSET(CÁLCULO!$AA$12,0,-1)</definedName>
    <definedName name="Import.MacrosserviçoAdmLocal" hidden="1">CRONO!$H$43</definedName>
    <definedName name="Import.Município" hidden="1">DADOS!$C$6</definedName>
    <definedName name="Import.Nível" hidden="1">OFFSET(ORÇAMENTO!$M$15,1,0):OFFSET(ORÇAMENTO!$M$39,-1,0)</definedName>
    <definedName name="Import.Ofício.Dest" hidden="1">OFÍCIO!$B$11</definedName>
    <definedName name="Import.Ofício.GIGOV" hidden="1">OFÍCIO!$C$11</definedName>
    <definedName name="Import.Ofício.Num" hidden="1">OFÍCIO!$C$6</definedName>
    <definedName name="Import.OpcaoBDI" hidden="1">OFFSET(ORÇAMENTO!$V$15,1,0):OFFSET(ORÇAMENTO!$V$39,-1,0)</definedName>
    <definedName name="Import.ORÇAMENTO.DivRecurso" hidden="1">OFFSET(ORÇAMENTO!$Y$15,1,0):OFFSET(ORÇAMENTO!$Y$39,-1,0)</definedName>
    <definedName name="Import.ORÇAMENTO.Obs" hidden="1">ORÇAMENTO!$O$45</definedName>
    <definedName name="Import.PLE" hidden="1">OFFSET(PLE!$G$15,1,1):OFFSET(PLE!$AG$21,-1,-1)</definedName>
    <definedName name="Import.PLE.Datas" hidden="1">PLE!$I$24:$AF$24</definedName>
    <definedName name="Import.PLQ" hidden="1">OFFSET(CÁLCULO!$P$15,1,1):OFFSET(CÁLCULO!$AA$39,-1,-1)</definedName>
    <definedName name="Import.PLQ.MemCalc" hidden="1">OFFSET(CÁLCULO!$I$15,1,0):OFFSET(CÁLCULO!$I$39,-1,0)</definedName>
    <definedName name="Import.PLQ.nAgrupEvent" hidden="1">OFFSET(CÁLCULO!$K$15,1,0):OFFSET(CÁLCULO!$K$39,-1,0)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OFFSET(ORÇAMENTO!$AJ$15,1,0):OFFSET(ORÇAMENTO!$AJ$39,-1,0)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OFFSET(ORÇAMENTO!$S$15,1,0):OFFSET(ORÇAMENTO!$S$39,-1,0)</definedName>
    <definedName name="Import.UnitarioLicitado" hidden="1">OFFSET(ORÇAMENTO!$AL$15,1,0):OFFSET(ORÇAMENTO!$AL$39,-1,0)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ORÇAMENTO!$L$15:$L$39</definedName>
    <definedName name="ORÇAMENTO.firstrow" hidden="1">ORÇAMENTO!$15:$15</definedName>
    <definedName name="ORÇAMENTO.Fonte" hidden="1">ORÇAMENTO!$P1</definedName>
    <definedName name="ORÇAMENTO.lastrow" hidden="1">ORÇAMENTO!$39:$39</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OFFSET(ORÇAMENTO!$AD$15,1,0):OFFSET(ORÇAMENTO!$AD$39,-1,0)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OFFSET(ORÇAMENTO!$P$15,1,0):OFFSET(ORÇAMENTO!$S$39,-1,0)</definedName>
    <definedName name="ORÇAMENTO.PasteFormat2" hidden="1">OFFSET(ORÇAMENTO!$U$15,1,0):OFFSET(ORÇAMENTO!$V$39,-1,0)</definedName>
    <definedName name="ORÇAMENTO.PrecoUnitarioLicitado" hidden="1">ORÇAMENTO!$AL1</definedName>
    <definedName name="ORÇAMENTO.QuantBM" hidden="1">ORÇAMENTO!$AJ1</definedName>
    <definedName name="ORÇAMENTO.RangeQuant" hidden="1">OFFSET(ORÇAMENTO!$T$15,1,0):OFFSET(ORÇAMENTO!$T$39,-1,0)</definedName>
    <definedName name="ORÇAMENTO.SumCPMANUAL" hidden="1">SUMIF(ORÇAMENTO!$Z$15:$Z$39,"CP",ORÇAMENTO!$AA$15:$AA$39)</definedName>
    <definedName name="ORÇAMENTO.SumINVMANUAL" hidden="1">SUMIF(ORÇAMENTO!$Z$15:$Z$39,"RP",ORÇAMENTO!$X$15:$X$39)+SUMIF(ORÇAMENTO!$Z$15:$Z$39,"CP",ORÇAMENTO!$X$15:$X$39)+SUMIF(ORÇAMENTO!$Z$15:$Z$39,"OU",ORÇAMENTO!$X$15:$X$39)</definedName>
    <definedName name="ORÇAMENTO.SumOUTROSMANUAL" hidden="1">SUMIF(ORÇAMENTO!$Z$15:$Z$39,"OU",ORÇAMENTO!$AB$15:$AB$39)</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PLE!$A$13:$A$37</definedName>
    <definedName name="PLE.FirstCol" hidden="1">PLE!$G:$G</definedName>
    <definedName name="PLE.firstrow" hidden="1">PLE!$15:$15</definedName>
    <definedName name="PLE.FrenteRow" hidden="1">PLE!$11:$11</definedName>
    <definedName name="PLE.LastCol" hidden="1">PLE!$AG:$AG</definedName>
    <definedName name="PLE.lastrow" hidden="1">PLE!$21:$21</definedName>
    <definedName name="PLE.LinhaPadrão" hidden="1">PLE!$1:$1</definedName>
    <definedName name="PLE.margemrow" hidden="1">PLE!$38:$38</definedName>
    <definedName name="PLE.Medicao" hidden="1">PLE!$J$9</definedName>
    <definedName name="PLE.MEDIÇÕES.firstrow" hidden="1">PLE!$22:$22</definedName>
    <definedName name="PLE.MEDIÇÕES.lastrow" hidden="1">PLE!$32:$32</definedName>
    <definedName name="PLE.MEDIÇÕES.LinhaPadrão" hidden="1">PLE!$22:$29</definedName>
    <definedName name="PLE.Título" hidden="1">PLE!$H$3</definedName>
    <definedName name="PLE.ValorDoEvento" hidden="1">SUMIF(CÁLCULO!$M$15:$M$39,PLE!$B1,OFFSET(CÁLCULO!$AA$15:$AA$39,0,PLE!A$12))</definedName>
    <definedName name="PO.ValoresBDI" hidden="1">OFFSET(ORÇAMENTO!$AH$15,1,0):OFFSET(ORÇAMENTO!$AH$39,-1,0)</definedName>
    <definedName name="_xlnm.Print_Area" localSheetId="3">BDI!$J$1:$S$132</definedName>
    <definedName name="_xlnm.Print_Area" localSheetId="11">BM!$D$1:$O$54</definedName>
    <definedName name="_xlnm.Print_Area" localSheetId="6">CÁLCULO!$E$6:$AA$47</definedName>
    <definedName name="_xlnm.Print_Area" localSheetId="8">CRONO!$I$1:$AG$49</definedName>
    <definedName name="_xlnm.Print_Area" localSheetId="7">CRONOPLE!$B$1:$AE$35</definedName>
    <definedName name="_xlnm.Print_Area" localSheetId="5">EVENTOS!$C$2:$Z$28</definedName>
    <definedName name="_xlnm.Print_Area" localSheetId="1">MENU!$A$1:$I$25</definedName>
    <definedName name="_xlnm.Print_Area" localSheetId="13">OFÍCIO!$A$1:$G$56</definedName>
    <definedName name="_xlnm.Print_Area" localSheetId="4">ORÇAMENTO!$O$1:$Y$56</definedName>
    <definedName name="_xlnm.Print_Area" localSheetId="10">PLE!$B$3:$AG$38</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0" i="7" l="1"/>
  <c r="A24" i="5"/>
  <c r="A23" i="5"/>
  <c r="C192" i="3" l="1"/>
  <c r="H23" i="13"/>
  <c r="G23" i="13"/>
  <c r="H22" i="13"/>
  <c r="G22" i="13"/>
  <c r="H21" i="13"/>
  <c r="G21" i="13"/>
  <c r="H20" i="13"/>
  <c r="G20" i="13"/>
  <c r="H19" i="13"/>
  <c r="G19" i="13"/>
  <c r="H18" i="13"/>
  <c r="G18" i="13"/>
  <c r="H17" i="13"/>
  <c r="G17" i="13"/>
  <c r="H16" i="13"/>
  <c r="G16" i="13"/>
  <c r="H15" i="13"/>
  <c r="G15" i="13"/>
  <c r="H14" i="13"/>
  <c r="G14" i="13"/>
  <c r="S23" i="11"/>
  <c r="J23" i="11"/>
  <c r="I23" i="13" s="1"/>
  <c r="D23" i="11"/>
  <c r="E23" i="13" s="1"/>
  <c r="A23" i="11"/>
  <c r="S22" i="11"/>
  <c r="J22" i="11"/>
  <c r="I22" i="13" s="1"/>
  <c r="D22" i="11"/>
  <c r="E22" i="13" s="1"/>
  <c r="A22" i="11"/>
  <c r="S21" i="11"/>
  <c r="J21" i="11"/>
  <c r="I21" i="13" s="1"/>
  <c r="D21" i="11"/>
  <c r="E21" i="13" s="1"/>
  <c r="A21" i="11"/>
  <c r="S20" i="11"/>
  <c r="J20" i="11"/>
  <c r="I20" i="13" s="1"/>
  <c r="D20" i="11"/>
  <c r="E20" i="13" s="1"/>
  <c r="A20" i="11"/>
  <c r="S19" i="11"/>
  <c r="J19" i="11"/>
  <c r="I19" i="13" s="1"/>
  <c r="D19" i="11"/>
  <c r="S18" i="11"/>
  <c r="J18" i="11"/>
  <c r="I18" i="13" s="1"/>
  <c r="D18" i="11"/>
  <c r="A18" i="11" s="1"/>
  <c r="S17" i="11"/>
  <c r="J17" i="11"/>
  <c r="I17" i="13" s="1"/>
  <c r="D17" i="11"/>
  <c r="E17" i="13" s="1"/>
  <c r="S16" i="11"/>
  <c r="J16" i="11"/>
  <c r="I16" i="13" s="1"/>
  <c r="D16" i="11"/>
  <c r="E16" i="13" s="1"/>
  <c r="S15" i="11"/>
  <c r="J15" i="11"/>
  <c r="I15" i="13" s="1"/>
  <c r="D15" i="11"/>
  <c r="E15" i="13" s="1"/>
  <c r="S14" i="11"/>
  <c r="J14" i="11"/>
  <c r="I14" i="13" s="1"/>
  <c r="D14" i="11"/>
  <c r="A14" i="11" s="1"/>
  <c r="B14" i="8"/>
  <c r="B17" i="8" s="1"/>
  <c r="A19" i="7"/>
  <c r="A18" i="7"/>
  <c r="A17" i="7"/>
  <c r="A16" i="7"/>
  <c r="L16" i="6"/>
  <c r="A38" i="5"/>
  <c r="A37" i="5"/>
  <c r="A36" i="5"/>
  <c r="A35" i="5"/>
  <c r="A34" i="5"/>
  <c r="A33" i="5"/>
  <c r="A32" i="5"/>
  <c r="A31" i="5"/>
  <c r="A30" i="5"/>
  <c r="A29" i="5"/>
  <c r="A28" i="5"/>
  <c r="A27" i="5"/>
  <c r="A26" i="5"/>
  <c r="A25" i="5"/>
  <c r="A22" i="5"/>
  <c r="A21" i="5"/>
  <c r="A20" i="5"/>
  <c r="A19" i="5"/>
  <c r="A18" i="5"/>
  <c r="A17" i="5"/>
  <c r="C16" i="5"/>
  <c r="F16" i="5" s="1"/>
  <c r="A16" i="5"/>
  <c r="R101" i="4"/>
  <c r="J105" i="4"/>
  <c r="J102" i="4"/>
  <c r="J101" i="4"/>
  <c r="J65" i="4"/>
  <c r="J62" i="4"/>
  <c r="J61" i="4"/>
  <c r="C188" i="3"/>
  <c r="E18" i="13" l="1"/>
  <c r="E14" i="13"/>
  <c r="A15" i="11"/>
  <c r="A16" i="1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39" i="5" a="1"/>
  <c r="AC39" i="5" s="1"/>
  <c r="A18" i="12" l="1"/>
  <c r="J18" i="5"/>
  <c r="D18" i="5"/>
  <c r="B18" i="12" s="1"/>
  <c r="H18" i="5"/>
  <c r="G18" i="5"/>
  <c r="F18" i="5"/>
  <c r="B18" i="5"/>
  <c r="AE18" i="5" a="1"/>
  <c r="AE18" i="5" s="1"/>
  <c r="AD18" i="5"/>
  <c r="N18" i="5"/>
  <c r="D18" i="6" s="1"/>
  <c r="K18" i="5"/>
  <c r="B26" i="8"/>
  <c r="B29" i="8" s="1"/>
  <c r="D17" i="6"/>
  <c r="F17" i="6"/>
  <c r="B14" i="11"/>
  <c r="A14" i="13"/>
  <c r="E17" i="5"/>
  <c r="B18" i="6"/>
  <c r="L14" i="6"/>
  <c r="AE7" i="10" a="1"/>
  <c r="AE7" i="10" s="1"/>
  <c r="AE6" i="10" a="1"/>
  <c r="AE6" i="10" s="1"/>
  <c r="V7" i="10" a="1"/>
  <c r="V7" i="10" s="1"/>
  <c r="V6" i="10" a="1"/>
  <c r="V6" i="10" s="1"/>
  <c r="D46" i="12" a="1"/>
  <c r="D46"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L19" i="6"/>
  <c r="G17" i="6"/>
  <c r="M17" i="6"/>
  <c r="H17" i="6" a="1"/>
  <c r="H17" i="6" s="1"/>
  <c r="T17" i="5" s="1"/>
  <c r="N17" i="6"/>
  <c r="AF17" i="5" a="1"/>
  <c r="AF17" i="5" s="1"/>
  <c r="AF16" i="5" a="1"/>
  <c r="AF16" i="5" s="1"/>
  <c r="C19" i="5"/>
  <c r="B14" i="6"/>
  <c r="O8" i="5"/>
  <c r="F11" i="5"/>
  <c r="G17" i="12" l="1" a="1"/>
  <c r="G17" i="12" s="1"/>
  <c r="L20" i="6"/>
  <c r="B19" i="6"/>
  <c r="AG16" i="5" a="1"/>
  <c r="AG16" i="5" s="1"/>
  <c r="S16" i="5" a="1"/>
  <c r="S16" i="5" s="1"/>
  <c r="AG17" i="5" a="1"/>
  <c r="AG17" i="5" s="1"/>
  <c r="S17" i="5" a="1"/>
  <c r="S17" i="5" s="1"/>
  <c r="F17" i="12" s="1" a="1"/>
  <c r="F17" i="12" s="1"/>
  <c r="A19" i="12"/>
  <c r="K19" i="5"/>
  <c r="C20" i="5"/>
  <c r="AE19" i="5" a="1"/>
  <c r="AE19" i="5" s="1"/>
  <c r="H19" i="5"/>
  <c r="AD19" i="5"/>
  <c r="G19" i="5"/>
  <c r="F19" i="5"/>
  <c r="B19" i="5"/>
  <c r="J19" i="5"/>
  <c r="E19" i="5"/>
  <c r="D19" i="5"/>
  <c r="B19" i="12" s="1"/>
  <c r="N19" i="5"/>
  <c r="F14" i="6"/>
  <c r="D14" i="6"/>
  <c r="C171" i="3"/>
  <c r="C170" i="3"/>
  <c r="C169" i="3"/>
  <c r="C166" i="3"/>
  <c r="C160" i="3"/>
  <c r="C159" i="3"/>
  <c r="F16" i="12" l="1" a="1"/>
  <c r="F16" i="12" s="1"/>
  <c r="L21" i="6"/>
  <c r="B20" i="6"/>
  <c r="A20" i="12"/>
  <c r="AD20" i="5"/>
  <c r="G20" i="5"/>
  <c r="F20" i="5"/>
  <c r="B20" i="5"/>
  <c r="N20" i="5"/>
  <c r="AE20" i="5" a="1"/>
  <c r="AE20" i="5" s="1"/>
  <c r="K20" i="5"/>
  <c r="H20" i="5"/>
  <c r="D20" i="5"/>
  <c r="B20" i="12" s="1"/>
  <c r="E20" i="5"/>
  <c r="C21" i="5"/>
  <c r="J20" i="5"/>
  <c r="D19" i="6"/>
  <c r="G14" i="6"/>
  <c r="H14" i="6" a="1"/>
  <c r="H14" i="6" s="1"/>
  <c r="X9" i="5"/>
  <c r="W9" i="5"/>
  <c r="V9" i="5"/>
  <c r="U9" i="5"/>
  <c r="T9" i="5"/>
  <c r="L22" i="6" l="1"/>
  <c r="L23" i="6" s="1"/>
  <c r="B21" i="6"/>
  <c r="A21" i="12"/>
  <c r="B21" i="5"/>
  <c r="N21" i="5"/>
  <c r="J21" i="5"/>
  <c r="C22" i="5"/>
  <c r="AE21" i="5" a="1"/>
  <c r="AE21" i="5" s="1"/>
  <c r="H21" i="5"/>
  <c r="F21" i="5"/>
  <c r="G21" i="5"/>
  <c r="AD21" i="5"/>
  <c r="K21" i="5"/>
  <c r="E21" i="5"/>
  <c r="D21" i="5"/>
  <c r="B21" i="12" s="1"/>
  <c r="D20" i="6"/>
  <c r="C177" i="3"/>
  <c r="C175" i="3"/>
  <c r="L24" i="6" l="1"/>
  <c r="L25" i="6" s="1"/>
  <c r="A22" i="12"/>
  <c r="H22" i="5"/>
  <c r="AE22" i="5" a="1"/>
  <c r="AE22" i="5" s="1"/>
  <c r="AD22" i="5"/>
  <c r="G22" i="5"/>
  <c r="E22" i="5"/>
  <c r="D22" i="5"/>
  <c r="B22" i="12" s="1"/>
  <c r="K22" i="5"/>
  <c r="N22" i="5"/>
  <c r="D22" i="6" s="1"/>
  <c r="J22" i="5"/>
  <c r="F22" i="5"/>
  <c r="B22" i="5"/>
  <c r="C23" i="5" s="1"/>
  <c r="B22" i="6"/>
  <c r="D21" i="6"/>
  <c r="C157" i="3"/>
  <c r="C173" i="3"/>
  <c r="C167" i="3"/>
  <c r="C164" i="3"/>
  <c r="C163" i="3"/>
  <c r="C161" i="3"/>
  <c r="A23" i="12" l="1"/>
  <c r="N23" i="5"/>
  <c r="D23" i="6" s="1"/>
  <c r="C24" i="5"/>
  <c r="K24" i="5" s="1"/>
  <c r="AD23" i="5"/>
  <c r="AF23" i="5" a="1"/>
  <c r="AF23" i="5" s="1"/>
  <c r="E23" i="12" s="1"/>
  <c r="AE23" i="5" a="1"/>
  <c r="AE23" i="5" s="1"/>
  <c r="B23" i="6"/>
  <c r="E23" i="5"/>
  <c r="H23" i="5"/>
  <c r="G23" i="5"/>
  <c r="F23" i="5"/>
  <c r="B23" i="5"/>
  <c r="L26" i="6"/>
  <c r="C153" i="3"/>
  <c r="C151" i="3"/>
  <c r="J24" i="5" l="1"/>
  <c r="A24" i="12"/>
  <c r="AE24" i="5" a="1"/>
  <c r="AE24" i="5" s="1"/>
  <c r="AG23" i="5" a="1"/>
  <c r="AG23" i="5" s="1"/>
  <c r="AD24" i="5"/>
  <c r="B24" i="6"/>
  <c r="D24" i="5"/>
  <c r="B24" i="12" s="1"/>
  <c r="N24" i="5"/>
  <c r="D24" i="6" s="1"/>
  <c r="H24" i="5"/>
  <c r="B24" i="5"/>
  <c r="C25" i="5" s="1"/>
  <c r="B25" i="5" s="1"/>
  <c r="G24" i="5"/>
  <c r="E24" i="5"/>
  <c r="F23" i="6"/>
  <c r="F24" i="5"/>
  <c r="S23" i="5" a="1"/>
  <c r="S23" i="5" s="1"/>
  <c r="F23" i="12" s="1" a="1"/>
  <c r="F23" i="12" s="1"/>
  <c r="G23" i="6"/>
  <c r="L27" i="6"/>
  <c r="A12" i="6"/>
  <c r="S20" i="7" l="1" a="1"/>
  <c r="S20" i="7" s="1"/>
  <c r="X20" i="7" a="1"/>
  <c r="X20" i="7" s="1"/>
  <c r="V20" i="7" a="1"/>
  <c r="V20" i="7" s="1"/>
  <c r="T20" i="7" a="1"/>
  <c r="T20" i="7" s="1"/>
  <c r="R20" i="7" a="1"/>
  <c r="R20" i="7" s="1"/>
  <c r="P20" i="7" a="1"/>
  <c r="P20" i="7" s="1"/>
  <c r="N20" i="7" a="1"/>
  <c r="N20" i="7" s="1"/>
  <c r="L20" i="7" a="1"/>
  <c r="L20" i="7" s="1"/>
  <c r="J20" i="7" a="1"/>
  <c r="J20" i="7" s="1"/>
  <c r="H20" i="7" a="1"/>
  <c r="H20" i="7" s="1"/>
  <c r="E20" i="7" a="1"/>
  <c r="E20" i="7" s="1"/>
  <c r="Y20" i="7" a="1"/>
  <c r="Y20" i="7" s="1"/>
  <c r="W20" i="7" a="1"/>
  <c r="W20" i="7" s="1"/>
  <c r="U20" i="7" a="1"/>
  <c r="U20" i="7" s="1"/>
  <c r="Q20" i="7" a="1"/>
  <c r="Q20" i="7" s="1"/>
  <c r="O20" i="7" a="1"/>
  <c r="O20" i="7" s="1"/>
  <c r="M20" i="7" a="1"/>
  <c r="M20" i="7" s="1"/>
  <c r="K20" i="7" a="1"/>
  <c r="K20" i="7" s="1"/>
  <c r="I20" i="7" a="1"/>
  <c r="I20" i="7" s="1"/>
  <c r="F20" i="7"/>
  <c r="AD25" i="5"/>
  <c r="E25" i="5"/>
  <c r="AE25" i="5" a="1"/>
  <c r="AE25" i="5" s="1"/>
  <c r="G25" i="5"/>
  <c r="F25" i="5"/>
  <c r="K23" i="5" s="1"/>
  <c r="A25" i="12"/>
  <c r="H25" i="5"/>
  <c r="B25" i="6"/>
  <c r="C26" i="5"/>
  <c r="AF25" i="5" a="1"/>
  <c r="AF25" i="5" s="1"/>
  <c r="N25" i="5"/>
  <c r="D25" i="6" s="1"/>
  <c r="G25" i="6" s="1"/>
  <c r="E25" i="12"/>
  <c r="F25" i="6"/>
  <c r="T19" i="7" a="1"/>
  <c r="T19" i="7" s="1"/>
  <c r="M19" i="7" a="1"/>
  <c r="M19" i="7" s="1"/>
  <c r="V18" i="7" a="1"/>
  <c r="V18" i="7" s="1"/>
  <c r="O18" i="7" a="1"/>
  <c r="O18" i="7" s="1"/>
  <c r="X17" i="7" a="1"/>
  <c r="X17" i="7" s="1"/>
  <c r="K17" i="7" a="1"/>
  <c r="K17" i="7" s="1"/>
  <c r="T16" i="7" a="1"/>
  <c r="T16" i="7" s="1"/>
  <c r="F16" i="7"/>
  <c r="E19" i="7" a="1"/>
  <c r="E19" i="7" s="1"/>
  <c r="U18" i="7" a="1"/>
  <c r="U18" i="7" s="1"/>
  <c r="H18" i="7" a="1"/>
  <c r="H18" i="7" s="1"/>
  <c r="Q17" i="7" a="1"/>
  <c r="Q17" i="7" s="1"/>
  <c r="M16" i="7" a="1"/>
  <c r="M16" i="7" s="1"/>
  <c r="S19" i="7" a="1"/>
  <c r="S19" i="7" s="1"/>
  <c r="L19" i="7" a="1"/>
  <c r="L19" i="7" s="1"/>
  <c r="N18" i="7" a="1"/>
  <c r="N18" i="7" s="1"/>
  <c r="W17" i="7" a="1"/>
  <c r="W17" i="7" s="1"/>
  <c r="J17" i="7" a="1"/>
  <c r="J17" i="7" s="1"/>
  <c r="S16" i="7" a="1"/>
  <c r="S16" i="7" s="1"/>
  <c r="E16" i="7" a="1"/>
  <c r="E16" i="7" s="1"/>
  <c r="K19" i="7" a="1"/>
  <c r="K19" i="7" s="1"/>
  <c r="T18" i="7" a="1"/>
  <c r="T18" i="7" s="1"/>
  <c r="F18" i="7"/>
  <c r="P17" i="7" a="1"/>
  <c r="P17" i="7" s="1"/>
  <c r="Y19" i="7" a="1"/>
  <c r="Y19" i="7" s="1"/>
  <c r="R19" i="7" a="1"/>
  <c r="R19" i="7" s="1"/>
  <c r="Q19" i="7" a="1"/>
  <c r="Q19" i="7" s="1"/>
  <c r="J19" i="7" a="1"/>
  <c r="J19" i="7" s="1"/>
  <c r="S18" i="7" a="1"/>
  <c r="S18" i="7" s="1"/>
  <c r="E18" i="7" a="1"/>
  <c r="E18" i="7" s="1"/>
  <c r="O17" i="7" a="1"/>
  <c r="O17" i="7" s="1"/>
  <c r="X16" i="7" a="1"/>
  <c r="X16" i="7" s="1"/>
  <c r="Q16" i="7" a="1"/>
  <c r="Q16" i="7" s="1"/>
  <c r="N19" i="7" a="1"/>
  <c r="N19" i="7" s="1"/>
  <c r="X18" i="7" a="1"/>
  <c r="X18" i="7" s="1"/>
  <c r="L18" i="7" a="1"/>
  <c r="L18" i="7" s="1"/>
  <c r="O16" i="7" a="1"/>
  <c r="O16" i="7" s="1"/>
  <c r="V17" i="7" a="1"/>
  <c r="V17" i="7" s="1"/>
  <c r="L17" i="7" a="1"/>
  <c r="L17" i="7" s="1"/>
  <c r="W16" i="7" a="1"/>
  <c r="W16" i="7" s="1"/>
  <c r="X19" i="7" a="1"/>
  <c r="X19" i="7" s="1"/>
  <c r="W18" i="7" a="1"/>
  <c r="W18" i="7" s="1"/>
  <c r="K18" i="7" a="1"/>
  <c r="K18" i="7" s="1"/>
  <c r="U17" i="7" a="1"/>
  <c r="U17" i="7" s="1"/>
  <c r="N16" i="7" a="1"/>
  <c r="N16" i="7" s="1"/>
  <c r="W19" i="7" a="1"/>
  <c r="W19" i="7" s="1"/>
  <c r="I17" i="7" a="1"/>
  <c r="I17" i="7" s="1"/>
  <c r="V16" i="7" a="1"/>
  <c r="V16" i="7" s="1"/>
  <c r="L16" i="7" a="1"/>
  <c r="L16" i="7" s="1"/>
  <c r="I19" i="7" a="1"/>
  <c r="I19" i="7" s="1"/>
  <c r="J18" i="7" a="1"/>
  <c r="J18" i="7" s="1"/>
  <c r="T17" i="7" a="1"/>
  <c r="T17" i="7" s="1"/>
  <c r="H17" i="7" a="1"/>
  <c r="H17" i="7" s="1"/>
  <c r="K16" i="7" a="1"/>
  <c r="K16" i="7" s="1"/>
  <c r="P19" i="7" a="1"/>
  <c r="P19" i="7" s="1"/>
  <c r="H16" i="7" a="1"/>
  <c r="H16" i="7" s="1"/>
  <c r="O19" i="7" a="1"/>
  <c r="O19" i="7" s="1"/>
  <c r="Y18" i="7" a="1"/>
  <c r="Y18" i="7" s="1"/>
  <c r="P18" i="7" a="1"/>
  <c r="P18" i="7" s="1"/>
  <c r="N17" i="7" a="1"/>
  <c r="N17" i="7" s="1"/>
  <c r="P16" i="7" a="1"/>
  <c r="P16" i="7" s="1"/>
  <c r="M18" i="7" a="1"/>
  <c r="M18" i="7" s="1"/>
  <c r="Y17" i="7" a="1"/>
  <c r="Y17" i="7" s="1"/>
  <c r="M17" i="7" a="1"/>
  <c r="M17" i="7" s="1"/>
  <c r="Y16" i="7" a="1"/>
  <c r="Y16" i="7" s="1"/>
  <c r="U16" i="7" a="1"/>
  <c r="U16" i="7" s="1"/>
  <c r="H19" i="7" a="1"/>
  <c r="H19" i="7" s="1"/>
  <c r="S17" i="7" a="1"/>
  <c r="S17" i="7" s="1"/>
  <c r="R16" i="7" a="1"/>
  <c r="R16" i="7" s="1"/>
  <c r="F19" i="7"/>
  <c r="J16" i="7" a="1"/>
  <c r="J16" i="7" s="1"/>
  <c r="V19" i="7" a="1"/>
  <c r="V19" i="7" s="1"/>
  <c r="Q18" i="7" a="1"/>
  <c r="Q18" i="7" s="1"/>
  <c r="E17" i="7" a="1"/>
  <c r="E17" i="7" s="1"/>
  <c r="U19" i="7" a="1"/>
  <c r="U19" i="7" s="1"/>
  <c r="I18" i="7" a="1"/>
  <c r="I18" i="7" s="1"/>
  <c r="F17" i="7"/>
  <c r="I16" i="7" a="1"/>
  <c r="I16" i="7" s="1"/>
  <c r="R18" i="7" a="1"/>
  <c r="R18" i="7" s="1"/>
  <c r="R17" i="7" a="1"/>
  <c r="R17" i="7" s="1"/>
  <c r="A16" i="6"/>
  <c r="A17" i="6"/>
  <c r="A18" i="6" s="1"/>
  <c r="L28" i="6"/>
  <c r="A14" i="6"/>
  <c r="A11" i="6"/>
  <c r="C147" i="3"/>
  <c r="C149" i="3"/>
  <c r="C145" i="3"/>
  <c r="C143" i="3"/>
  <c r="C141" i="3"/>
  <c r="U11" i="4"/>
  <c r="U10" i="4"/>
  <c r="Y26" i="4"/>
  <c r="Z26" i="4" s="1"/>
  <c r="Y106" i="4"/>
  <c r="Z106" i="4" s="1"/>
  <c r="Y66" i="4"/>
  <c r="Z66" i="4" s="1"/>
  <c r="R64" i="4"/>
  <c r="R63" i="4"/>
  <c r="R23" i="4"/>
  <c r="R24" i="4"/>
  <c r="C133" i="3"/>
  <c r="G26" i="5" l="1"/>
  <c r="C27" i="5"/>
  <c r="K27" i="5" s="1"/>
  <c r="B26" i="6"/>
  <c r="N26" i="5"/>
  <c r="D26" i="6" s="1"/>
  <c r="AG25" i="5" a="1"/>
  <c r="AG25" i="5" s="1"/>
  <c r="S25" i="5" a="1"/>
  <c r="S25" i="5" s="1"/>
  <c r="F25" i="12" s="1" a="1"/>
  <c r="F25" i="12" s="1"/>
  <c r="E26" i="5"/>
  <c r="J26" i="5"/>
  <c r="A26" i="12"/>
  <c r="H26" i="5"/>
  <c r="AD26" i="5"/>
  <c r="B26" i="5"/>
  <c r="F26" i="5"/>
  <c r="AE26" i="5" a="1"/>
  <c r="AE26" i="5" s="1"/>
  <c r="D26" i="5"/>
  <c r="B26" i="12" s="1"/>
  <c r="K26" i="5"/>
  <c r="F26" i="12" a="1"/>
  <c r="F26" i="12" s="1"/>
  <c r="N18" i="6"/>
  <c r="L29" i="6"/>
  <c r="X26" i="4"/>
  <c r="X106" i="4"/>
  <c r="X66" i="4"/>
  <c r="C137" i="3"/>
  <c r="C135" i="3"/>
  <c r="C132" i="3"/>
  <c r="G27" i="5" l="1"/>
  <c r="B27" i="6"/>
  <c r="B27" i="5"/>
  <c r="A27" i="12"/>
  <c r="C28" i="5"/>
  <c r="D27" i="5"/>
  <c r="B27" i="12" s="1"/>
  <c r="H27" i="5"/>
  <c r="AE27" i="5" a="1"/>
  <c r="AE27" i="5" s="1"/>
  <c r="N27" i="5"/>
  <c r="D27" i="6" s="1"/>
  <c r="G27" i="6" s="1"/>
  <c r="J27" i="5"/>
  <c r="F27" i="5"/>
  <c r="AD27" i="5"/>
  <c r="E27" i="5"/>
  <c r="G26" i="6"/>
  <c r="F27" i="12" a="1"/>
  <c r="F27" i="12" s="1"/>
  <c r="A19" i="6"/>
  <c r="L30"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AE28" i="5" l="1" a="1"/>
  <c r="AE28" i="5" s="1"/>
  <c r="D28" i="5"/>
  <c r="B28" i="12" s="1"/>
  <c r="A28" i="12"/>
  <c r="H28" i="5"/>
  <c r="J28" i="5"/>
  <c r="N28" i="5"/>
  <c r="D28" i="6" s="1"/>
  <c r="AD28" i="5"/>
  <c r="F28" i="5"/>
  <c r="B28" i="6"/>
  <c r="B28" i="5"/>
  <c r="C29" i="5" s="1"/>
  <c r="K28" i="5"/>
  <c r="G28" i="5"/>
  <c r="E28" i="5"/>
  <c r="F29" i="6"/>
  <c r="L31" i="6"/>
  <c r="A20" i="6"/>
  <c r="N19" i="6"/>
  <c r="J4" i="15"/>
  <c r="G30" i="8" s="1" a="1"/>
  <c r="G30" i="8" s="1"/>
  <c r="AB13" i="12" a="1"/>
  <c r="AB13" i="12" s="1"/>
  <c r="I25" i="10"/>
  <c r="A29" i="12" l="1"/>
  <c r="G29" i="5"/>
  <c r="E29" i="5"/>
  <c r="C30" i="5"/>
  <c r="AD29" i="5"/>
  <c r="N29" i="5"/>
  <c r="D29" i="6" s="1"/>
  <c r="G29" i="6" s="1"/>
  <c r="AE29" i="5" a="1"/>
  <c r="AE29" i="5" s="1"/>
  <c r="F29" i="5"/>
  <c r="AF29" i="5" a="1"/>
  <c r="AF29" i="5" s="1"/>
  <c r="B29" i="6"/>
  <c r="H29" i="5"/>
  <c r="B29" i="5"/>
  <c r="A21" i="6"/>
  <c r="N20" i="6"/>
  <c r="AO23" i="13"/>
  <c r="AO21" i="13"/>
  <c r="AO19" i="13"/>
  <c r="AO17" i="13"/>
  <c r="AO15" i="13"/>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AL21" i="13"/>
  <c r="AJ19" i="13" a="1"/>
  <c r="AJ19" i="13" s="1"/>
  <c r="AL15" i="13"/>
  <c r="AO20" i="13"/>
  <c r="AM18" i="13" a="1"/>
  <c r="AM18" i="13" s="1"/>
  <c r="AO14" i="13"/>
  <c r="AK21" i="13" a="1"/>
  <c r="AK21" i="13" s="1"/>
  <c r="AL18" i="13"/>
  <c r="AK15" i="13" a="1"/>
  <c r="AK15" i="13" s="1"/>
  <c r="AJ23" i="13" a="1"/>
  <c r="AJ23" i="13" s="1"/>
  <c r="AM22" i="13" a="1"/>
  <c r="AM22" i="13" s="1"/>
  <c r="AM21" i="13" a="1"/>
  <c r="AM21" i="13" s="1"/>
  <c r="AL22" i="13"/>
  <c r="AM16" i="13" a="1"/>
  <c r="AM16" i="13" s="1"/>
  <c r="AM15" i="13" a="1"/>
  <c r="AM15" i="13" s="1"/>
  <c r="AO18" i="13"/>
  <c r="AJ17" i="13" a="1"/>
  <c r="AJ17" i="13" s="1"/>
  <c r="AK19" i="13" a="1"/>
  <c r="AK19" i="13" s="1"/>
  <c r="AL19" i="13"/>
  <c r="AL16" i="13"/>
  <c r="AN18" i="13" a="1"/>
  <c r="AN18" i="13" s="1"/>
  <c r="G24" i="8" a="1"/>
  <c r="G24" i="8" s="1"/>
  <c r="G18" i="8" a="1"/>
  <c r="G18" i="8" s="1"/>
  <c r="G21" i="8" a="1"/>
  <c r="G21" i="8" s="1"/>
  <c r="G15" i="8" a="1"/>
  <c r="G15" i="8" s="1"/>
  <c r="G27" i="8" a="1"/>
  <c r="G27" i="8" s="1"/>
  <c r="P7" i="13"/>
  <c r="K14" i="13" a="1"/>
  <c r="K14" i="13" s="1"/>
  <c r="L32" i="6"/>
  <c r="G22" i="15" a="1"/>
  <c r="G22" i="15" s="1"/>
  <c r="C22" i="15" a="1"/>
  <c r="C22" i="15" s="1"/>
  <c r="F10" i="12" a="1"/>
  <c r="F10" i="12" s="1"/>
  <c r="F8" i="7"/>
  <c r="M8" i="12" a="1"/>
  <c r="M8" i="12" s="1"/>
  <c r="H44" i="8" a="1"/>
  <c r="H44" i="8" s="1"/>
  <c r="H42" i="8" a="1"/>
  <c r="H42" i="8" s="1"/>
  <c r="F7" i="6" a="1"/>
  <c r="F7" i="6" s="1"/>
  <c r="F6" i="6" a="1"/>
  <c r="F6" i="6" s="1"/>
  <c r="Q1" i="6" a="1"/>
  <c r="Q1" i="6" s="1"/>
  <c r="O1" i="6" a="1"/>
  <c r="O1" i="6" s="1"/>
  <c r="C11" i="7" a="1"/>
  <c r="C11" i="7" s="1"/>
  <c r="C122" i="3"/>
  <c r="C120" i="3"/>
  <c r="E29" i="12" l="1"/>
  <c r="AG29" i="5" a="1"/>
  <c r="AG29" i="5" s="1"/>
  <c r="S29" i="5" a="1"/>
  <c r="S29" i="5" s="1"/>
  <c r="F29" i="12" s="1" a="1"/>
  <c r="F29" i="12" s="1"/>
  <c r="K30" i="5"/>
  <c r="AE30" i="5" a="1"/>
  <c r="AE30" i="5" s="1"/>
  <c r="D30" i="5"/>
  <c r="B30" i="12" s="1"/>
  <c r="A30" i="12"/>
  <c r="J30" i="5"/>
  <c r="H30" i="5"/>
  <c r="C31" i="5"/>
  <c r="N30" i="5"/>
  <c r="D30" i="6" s="1"/>
  <c r="B30" i="5"/>
  <c r="AD30" i="5"/>
  <c r="F30" i="5"/>
  <c r="B30" i="6"/>
  <c r="E30" i="5"/>
  <c r="G30" i="5"/>
  <c r="L33" i="6"/>
  <c r="A22" i="6"/>
  <c r="A23" i="6" s="1"/>
  <c r="N21" i="6"/>
  <c r="C14" i="14" a="1"/>
  <c r="C14" i="14" s="1"/>
  <c r="B39" i="14" a="1"/>
  <c r="B39" i="14" s="1"/>
  <c r="B37" i="14" a="1"/>
  <c r="B37" i="14" s="1"/>
  <c r="E28" i="14" a="1"/>
  <c r="E28" i="14" s="1"/>
  <c r="R1" i="6" a="1"/>
  <c r="R1" i="6" s="1"/>
  <c r="S67" i="4"/>
  <c r="U67" i="4" s="1"/>
  <c r="S107" i="4"/>
  <c r="U107" i="4" s="1"/>
  <c r="S27" i="4"/>
  <c r="U27" i="4" s="1"/>
  <c r="C124" i="3"/>
  <c r="C32" i="5" l="1"/>
  <c r="G31" i="5"/>
  <c r="K31" i="5"/>
  <c r="AE31" i="5" a="1"/>
  <c r="AE31" i="5" s="1"/>
  <c r="F31" i="5"/>
  <c r="N31" i="5"/>
  <c r="D31" i="6" s="1"/>
  <c r="G31" i="6" s="1"/>
  <c r="A31" i="12"/>
  <c r="H31" i="5"/>
  <c r="E31" i="5"/>
  <c r="B31" i="5"/>
  <c r="J31" i="5"/>
  <c r="AD31" i="5"/>
  <c r="D31" i="5"/>
  <c r="B31" i="12" s="1"/>
  <c r="B31" i="6"/>
  <c r="A24" i="6"/>
  <c r="N23" i="6"/>
  <c r="F31" i="12" a="1"/>
  <c r="F31" i="12" s="1"/>
  <c r="A25" i="6"/>
  <c r="N22" i="6"/>
  <c r="L34" i="6"/>
  <c r="S1" i="6" a="1"/>
  <c r="S1" i="6" s="1"/>
  <c r="H23" i="9"/>
  <c r="A32" i="12" l="1"/>
  <c r="N32" i="5"/>
  <c r="D32" i="6" s="1"/>
  <c r="AD32" i="5"/>
  <c r="G32" i="5"/>
  <c r="B32" i="6"/>
  <c r="F32" i="5"/>
  <c r="D32" i="5"/>
  <c r="B32" i="12" s="1"/>
  <c r="C33" i="5"/>
  <c r="J32" i="5"/>
  <c r="B32" i="5"/>
  <c r="AE32" i="5" a="1"/>
  <c r="AE32" i="5" s="1"/>
  <c r="H32" i="5"/>
  <c r="E32" i="5"/>
  <c r="K32" i="5"/>
  <c r="N24" i="6"/>
  <c r="L35" i="6"/>
  <c r="N25" i="6"/>
  <c r="A26" i="6"/>
  <c r="T1" i="6" a="1"/>
  <c r="T1" i="6" s="1"/>
  <c r="C94" i="3"/>
  <c r="C92" i="3"/>
  <c r="B33" i="6" l="1"/>
  <c r="J33" i="5"/>
  <c r="G33" i="5"/>
  <c r="E33" i="5"/>
  <c r="K33" i="5"/>
  <c r="N33" i="5"/>
  <c r="D33" i="6" s="1"/>
  <c r="AE33" i="5" a="1"/>
  <c r="AE33" i="5" s="1"/>
  <c r="F33" i="5"/>
  <c r="D33" i="5"/>
  <c r="B33" i="12" s="1"/>
  <c r="A33" i="12"/>
  <c r="H33" i="5"/>
  <c r="B33" i="5"/>
  <c r="C34" i="5" s="1"/>
  <c r="AD33" i="5"/>
  <c r="L36" i="6"/>
  <c r="F34" i="6"/>
  <c r="N26" i="6"/>
  <c r="A27" i="6"/>
  <c r="U1" i="6" a="1"/>
  <c r="U1" i="6" s="1"/>
  <c r="C98" i="3"/>
  <c r="A34" i="12" l="1"/>
  <c r="E34" i="5"/>
  <c r="AE34" i="5" a="1"/>
  <c r="AE34" i="5" s="1"/>
  <c r="AD34" i="5"/>
  <c r="B34" i="5"/>
  <c r="H34" i="5"/>
  <c r="G34" i="5"/>
  <c r="N34" i="5"/>
  <c r="D34" i="6" s="1"/>
  <c r="G34" i="6" s="1"/>
  <c r="AF34" i="5" a="1"/>
  <c r="AF34" i="5" s="1"/>
  <c r="F34" i="5"/>
  <c r="C35" i="5"/>
  <c r="B34" i="6"/>
  <c r="N27" i="6"/>
  <c r="A28" i="6"/>
  <c r="L37" i="6"/>
  <c r="V1" i="6" a="1"/>
  <c r="V1" i="6" s="1"/>
  <c r="C5" i="14"/>
  <c r="E34" i="12" l="1"/>
  <c r="S34" i="5" a="1"/>
  <c r="S34" i="5" s="1"/>
  <c r="F34" i="12" s="1" a="1"/>
  <c r="F34" i="12" s="1"/>
  <c r="AG34" i="5" a="1"/>
  <c r="AG34" i="5" s="1"/>
  <c r="B35" i="5"/>
  <c r="C36" i="5"/>
  <c r="D35" i="5"/>
  <c r="B35" i="12" s="1"/>
  <c r="N35" i="5"/>
  <c r="D35" i="6" s="1"/>
  <c r="AE35" i="5" a="1"/>
  <c r="AE35" i="5" s="1"/>
  <c r="AD35" i="5"/>
  <c r="K35" i="5"/>
  <c r="H35" i="5"/>
  <c r="G35" i="5"/>
  <c r="J35" i="5"/>
  <c r="F35" i="5"/>
  <c r="B35" i="6"/>
  <c r="A35" i="12"/>
  <c r="E35" i="5"/>
  <c r="N28" i="6"/>
  <c r="A29" i="6"/>
  <c r="L38" i="6"/>
  <c r="W1" i="6" a="1"/>
  <c r="W1" i="6" s="1"/>
  <c r="S12" i="11"/>
  <c r="AE36" i="5" l="1" a="1"/>
  <c r="AE36" i="5" s="1"/>
  <c r="E36" i="5"/>
  <c r="N36" i="5"/>
  <c r="D36" i="6" s="1"/>
  <c r="G36" i="5"/>
  <c r="K36" i="5"/>
  <c r="B36" i="6"/>
  <c r="A36" i="12"/>
  <c r="AD36" i="5"/>
  <c r="D36" i="5"/>
  <c r="B36" i="12" s="1"/>
  <c r="B36" i="5"/>
  <c r="C37" i="5"/>
  <c r="H36" i="5"/>
  <c r="F36" i="5"/>
  <c r="J36" i="5"/>
  <c r="N29" i="6"/>
  <c r="A30" i="6"/>
  <c r="X1" i="6" a="1"/>
  <c r="X1" i="6" s="1"/>
  <c r="C1" i="7" a="1"/>
  <c r="C1" i="7" s="1"/>
  <c r="N37" i="5" l="1"/>
  <c r="D37" i="6" s="1"/>
  <c r="G37" i="5"/>
  <c r="C38" i="5"/>
  <c r="B37" i="6"/>
  <c r="A37" i="12"/>
  <c r="K37" i="5"/>
  <c r="F37" i="5"/>
  <c r="AE37" i="5" a="1"/>
  <c r="AE37" i="5" s="1"/>
  <c r="D37" i="5"/>
  <c r="B37" i="12" s="1"/>
  <c r="J37" i="5"/>
  <c r="E37" i="5"/>
  <c r="B37" i="5"/>
  <c r="AD37" i="5"/>
  <c r="H37" i="5"/>
  <c r="N30" i="6"/>
  <c r="A31"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38" i="12" l="1"/>
  <c r="H38" i="5"/>
  <c r="E38" i="5"/>
  <c r="B38" i="6"/>
  <c r="D38" i="5"/>
  <c r="B38" i="12" s="1"/>
  <c r="K38" i="5"/>
  <c r="AD38" i="5"/>
  <c r="F29" i="8" s="1" a="1"/>
  <c r="F29" i="8" s="1"/>
  <c r="F30" i="8" s="1"/>
  <c r="B38" i="5"/>
  <c r="F38" i="5"/>
  <c r="J23" i="5" s="1"/>
  <c r="D23" i="5" s="1"/>
  <c r="B23" i="12" s="1"/>
  <c r="J38" i="5"/>
  <c r="G38" i="5"/>
  <c r="N38" i="5"/>
  <c r="D38" i="6" s="1"/>
  <c r="AE38" i="5" a="1"/>
  <c r="AE38" i="5" s="1"/>
  <c r="N31" i="6"/>
  <c r="A32" i="6"/>
  <c r="Z1" i="6" a="1"/>
  <c r="Z1" i="6" s="1"/>
  <c r="D27" i="2"/>
  <c r="D15" i="2"/>
  <c r="D35" i="2"/>
  <c r="D3" i="2"/>
  <c r="M29" i="8" l="1"/>
  <c r="P29" i="8" s="1"/>
  <c r="J29" i="8"/>
  <c r="N32" i="6"/>
  <c r="A33" i="6"/>
  <c r="H10" i="7"/>
  <c r="N29" i="8" l="1"/>
  <c r="O29" i="8"/>
  <c r="S31" i="8"/>
  <c r="Q29" i="8"/>
  <c r="N33" i="6"/>
  <c r="A34" i="6"/>
  <c r="AG44" i="8"/>
  <c r="R29" i="8" l="1"/>
  <c r="F31" i="8" s="1"/>
  <c r="N34" i="6"/>
  <c r="A35" i="6"/>
  <c r="C103" i="3"/>
  <c r="C100" i="3"/>
  <c r="C96" i="3"/>
  <c r="N35" i="6" l="1"/>
  <c r="A36" i="6"/>
  <c r="C93" i="3"/>
  <c r="A37" i="6" l="1"/>
  <c r="N36" i="6"/>
  <c r="C112" i="3"/>
  <c r="C108" i="3"/>
  <c r="C70" i="3"/>
  <c r="L35" i="13"/>
  <c r="L34" i="13" s="1"/>
  <c r="C84" i="3"/>
  <c r="N37" i="6" l="1"/>
  <c r="A38" i="6"/>
  <c r="C56" i="3"/>
  <c r="N38" i="6" l="1"/>
  <c r="Q13" i="6"/>
  <c r="A1" i="7"/>
  <c r="V26" i="7" a="1"/>
  <c r="V26" i="7" s="1"/>
  <c r="Y5" i="7"/>
  <c r="X5" i="7"/>
  <c r="P5" i="7"/>
  <c r="C60" i="3"/>
  <c r="F5" i="7"/>
  <c r="R13" i="6" l="1"/>
  <c r="S13" i="6" s="1"/>
  <c r="V27" i="7"/>
  <c r="V28" i="7"/>
  <c r="N5" i="7"/>
  <c r="O5" i="7"/>
  <c r="T13" i="6" l="1"/>
  <c r="E10" i="7"/>
  <c r="C57" i="3"/>
  <c r="C82" i="3"/>
  <c r="C77" i="3"/>
  <c r="B34" i="9"/>
  <c r="D27" i="7"/>
  <c r="V33" i="9" a="1"/>
  <c r="V35" i="9" s="1"/>
  <c r="B31" i="9"/>
  <c r="J23" i="9"/>
  <c r="L23" i="9" s="1"/>
  <c r="N23" i="9" s="1"/>
  <c r="P23" i="9" s="1"/>
  <c r="R23" i="9" s="1"/>
  <c r="T23" i="9" s="1"/>
  <c r="V23" i="9" s="1"/>
  <c r="X23" i="9" s="1"/>
  <c r="Z23" i="9" s="1"/>
  <c r="AB23" i="9" s="1"/>
  <c r="AD23" i="9" s="1"/>
  <c r="M5" i="9"/>
  <c r="J5" i="9"/>
  <c r="G5" i="9"/>
  <c r="B5" i="9"/>
  <c r="U13" i="6" l="1"/>
  <c r="V33" i="9"/>
  <c r="V34" i="9"/>
  <c r="L26" i="7" a="1"/>
  <c r="L28" i="7" s="1"/>
  <c r="D24" i="7"/>
  <c r="C5" i="7"/>
  <c r="V13" i="6" l="1"/>
  <c r="L26" i="7"/>
  <c r="L27"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47" i="8" a="1"/>
  <c r="T45" i="6" a="1"/>
  <c r="T47" i="6" s="1"/>
  <c r="I45" i="6" a="1"/>
  <c r="I46"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48" i="12"/>
  <c r="E49" i="12"/>
  <c r="K51" i="12" a="1"/>
  <c r="K53" i="12" s="1"/>
  <c r="E10" i="6"/>
  <c r="I10" i="6"/>
  <c r="K10" i="6"/>
  <c r="S10" i="6"/>
  <c r="U10" i="6"/>
  <c r="O13" i="6"/>
  <c r="O15" i="6" s="1"/>
  <c r="O11" i="6" s="1"/>
  <c r="B15" i="6"/>
  <c r="C15" i="6"/>
  <c r="E15" i="6"/>
  <c r="B39" i="6"/>
  <c r="C39" i="6"/>
  <c r="F43" i="6"/>
  <c r="S5" i="8"/>
  <c r="I8" i="8"/>
  <c r="L8" i="8"/>
  <c r="U8" i="8"/>
  <c r="E13" i="8"/>
  <c r="V13" i="8"/>
  <c r="W13" i="8" s="1"/>
  <c r="X13" i="8" s="1"/>
  <c r="Y13" i="8" s="1"/>
  <c r="Z13" i="8" s="1"/>
  <c r="AA13" i="8" s="1"/>
  <c r="AB13" i="8" s="1"/>
  <c r="AC13" i="8" s="1"/>
  <c r="AD13" i="8" s="1"/>
  <c r="AE13" i="8" s="1"/>
  <c r="AF13" i="8" s="1"/>
  <c r="T34" i="8"/>
  <c r="T39" i="8"/>
  <c r="I45"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49" i="5"/>
  <c r="O15" i="5"/>
  <c r="O52" i="5"/>
  <c r="T54" i="5" a="1"/>
  <c r="T54" i="5" s="1"/>
  <c r="B1" i="10"/>
  <c r="H4" i="10"/>
  <c r="B7" i="10"/>
  <c r="H7" i="10"/>
  <c r="O7" i="10"/>
  <c r="F12" i="10"/>
  <c r="F11" i="10" s="1" a="1"/>
  <c r="F11" i="10" s="1"/>
  <c r="B33" i="10"/>
  <c r="W35" i="10" a="1"/>
  <c r="W36"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25" i="10"/>
  <c r="K30" i="10" s="1"/>
  <c r="W38" i="10"/>
  <c r="E12" i="13"/>
  <c r="C47" i="4"/>
  <c r="C23" i="4"/>
  <c r="A30" i="4"/>
  <c r="A31" i="4" s="1"/>
  <c r="C31" i="4" s="1"/>
  <c r="C46" i="4"/>
  <c r="C28" i="4"/>
  <c r="K54" i="12"/>
  <c r="C21" i="4"/>
  <c r="C22" i="4"/>
  <c r="K132" i="4"/>
  <c r="W37" i="10"/>
  <c r="K51" i="12"/>
  <c r="T56" i="5"/>
  <c r="O7" i="13"/>
  <c r="T46" i="6"/>
  <c r="P125" i="4"/>
  <c r="I48" i="8"/>
  <c r="I47" i="6"/>
  <c r="I45" i="6"/>
  <c r="AC13" i="6"/>
  <c r="AC12" i="6" s="1"/>
  <c r="AN13" i="6"/>
  <c r="B14" i="5"/>
  <c r="F14" i="5"/>
  <c r="G15" i="9"/>
  <c r="H15" i="10"/>
  <c r="S110" i="4"/>
  <c r="I12" i="10"/>
  <c r="I11" i="10" s="1" a="1"/>
  <c r="I11" i="10" s="1"/>
  <c r="H12" i="9"/>
  <c r="S30" i="4"/>
  <c r="A36" i="4"/>
  <c r="C35" i="4"/>
  <c r="C24" i="4"/>
  <c r="AA48" i="8"/>
  <c r="AA49" i="8"/>
  <c r="AA47" i="8"/>
  <c r="P45" i="4"/>
  <c r="K14" i="5"/>
  <c r="J14" i="5"/>
  <c r="H14" i="5"/>
  <c r="A14" i="12"/>
  <c r="D14" i="5"/>
  <c r="B14" i="12" s="1"/>
  <c r="AD14" i="5"/>
  <c r="E14" i="5"/>
  <c r="G14" i="5"/>
  <c r="N14" i="5"/>
  <c r="E52" i="12"/>
  <c r="B36" i="10"/>
  <c r="F46" i="6"/>
  <c r="O55" i="5"/>
  <c r="D36" i="11"/>
  <c r="W35" i="10"/>
  <c r="A4" i="4"/>
  <c r="K51" i="4"/>
  <c r="K52" i="12"/>
  <c r="S70" i="4"/>
  <c r="K91" i="4"/>
  <c r="T45" i="6"/>
  <c r="K90" i="4"/>
  <c r="T55" i="5"/>
  <c r="AB16" i="6" l="1"/>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M23" i="6" s="1"/>
  <c r="AC16" i="6"/>
  <c r="AC17" i="6"/>
  <c r="AN12" i="6"/>
  <c r="AY12" i="6"/>
  <c r="U97" i="4"/>
  <c r="U57" i="4"/>
  <c r="C15" i="7" a="1"/>
  <c r="C15" i="7" s="1"/>
  <c r="B10" i="9"/>
  <c r="M25" i="10"/>
  <c r="M30"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O23" i="6" l="1"/>
  <c r="AY23" i="6" a="1"/>
  <c r="AY23" i="6" s="1"/>
  <c r="AN23" i="6"/>
  <c r="AZ23" i="6" a="1"/>
  <c r="AZ23" i="6" s="1"/>
  <c r="AX23" i="6" a="1"/>
  <c r="AX23" i="6" s="1"/>
  <c r="AM23" i="6"/>
  <c r="AH24" i="5"/>
  <c r="AH23" i="5"/>
  <c r="AN18" i="6"/>
  <c r="AZ18" i="6" a="1"/>
  <c r="AZ18" i="6" s="1"/>
  <c r="AX18" i="6" a="1"/>
  <c r="AX18" i="6" s="1"/>
  <c r="AY18" i="6" a="1"/>
  <c r="AY18" i="6" s="1"/>
  <c r="AO18" i="6"/>
  <c r="AM18" i="6"/>
  <c r="AD16" i="6"/>
  <c r="AD17" i="6"/>
  <c r="M25" i="6"/>
  <c r="M22" i="6"/>
  <c r="AH35" i="5"/>
  <c r="AH21" i="5"/>
  <c r="AH30" i="5"/>
  <c r="AH17" i="5"/>
  <c r="AN17" i="5" s="1" a="1"/>
  <c r="AN17" i="5" s="1"/>
  <c r="AH37" i="5"/>
  <c r="AH25" i="5"/>
  <c r="AH32" i="5"/>
  <c r="AH27" i="5"/>
  <c r="AH34" i="5"/>
  <c r="AH20" i="5"/>
  <c r="AH29" i="5"/>
  <c r="AH16" i="5"/>
  <c r="AN16" i="5" s="1" a="1"/>
  <c r="AN16" i="5" s="1"/>
  <c r="AH38" i="5"/>
  <c r="AH33" i="5"/>
  <c r="AH26" i="5"/>
  <c r="AH36" i="5"/>
  <c r="AH19" i="5"/>
  <c r="AH18" i="5"/>
  <c r="AH22" i="5"/>
  <c r="AH28" i="5"/>
  <c r="AH31" i="5"/>
  <c r="M21" i="6"/>
  <c r="M20" i="6"/>
  <c r="M19" i="6"/>
  <c r="AZ12" i="6"/>
  <c r="AO12" i="6"/>
  <c r="U94" i="4"/>
  <c r="T101" i="4" s="1"/>
  <c r="U54" i="4"/>
  <c r="T61" i="4" s="1"/>
  <c r="B15" i="9"/>
  <c r="B16" i="9" s="1"/>
  <c r="T57" i="4"/>
  <c r="T97" i="4"/>
  <c r="T22" i="4"/>
  <c r="T23" i="4"/>
  <c r="T24" i="4"/>
  <c r="T25" i="4"/>
  <c r="T26" i="4"/>
  <c r="U26" i="4" s="1"/>
  <c r="T17" i="4"/>
  <c r="V8" i="5" a="1"/>
  <c r="V8" i="5" s="1"/>
  <c r="O25" i="10"/>
  <c r="O30" i="10" s="1"/>
  <c r="J12" i="9"/>
  <c r="AH14" i="5"/>
  <c r="W14" i="5" s="1" a="1"/>
  <c r="W14" i="5" s="1"/>
  <c r="BA13" i="6"/>
  <c r="BA23" i="6" s="1" a="1"/>
  <c r="BA23" i="6" s="1"/>
  <c r="A18" i="4"/>
  <c r="C17" i="4"/>
  <c r="Y12" i="8"/>
  <c r="AE13" i="12"/>
  <c r="Z13" i="6"/>
  <c r="AE13" i="6"/>
  <c r="AP13" i="6"/>
  <c r="AP23" i="6" s="1"/>
  <c r="K12" i="10"/>
  <c r="K11" i="10" s="1" a="1"/>
  <c r="K11" i="10" s="1"/>
  <c r="C5" i="4"/>
  <c r="A6" i="4"/>
  <c r="M24" i="6" l="1"/>
  <c r="AO24" i="6" s="1"/>
  <c r="AN23" i="5" a="1"/>
  <c r="AN23" i="5" s="1"/>
  <c r="W23" i="5" a="1"/>
  <c r="W23" i="5" s="1"/>
  <c r="H23" i="12" s="1" a="1"/>
  <c r="H23" i="12" s="1"/>
  <c r="M29" i="6"/>
  <c r="AO29" i="6" s="1"/>
  <c r="AN34" i="5" a="1"/>
  <c r="AN34" i="5" s="1"/>
  <c r="W34" i="5" a="1"/>
  <c r="W34" i="5" s="1"/>
  <c r="H34" i="12" s="1" a="1"/>
  <c r="H34" i="12" s="1"/>
  <c r="AN25" i="5" a="1"/>
  <c r="AN25" i="5" s="1"/>
  <c r="W25" i="5" a="1"/>
  <c r="W25" i="5" s="1"/>
  <c r="H25" i="12" s="1" a="1"/>
  <c r="H25" i="12" s="1"/>
  <c r="B17" i="9"/>
  <c r="AY25" i="6" a="1"/>
  <c r="AY25" i="6" s="1"/>
  <c r="AX25" i="6" a="1"/>
  <c r="AX25" i="6" s="1"/>
  <c r="BA25" i="6" a="1"/>
  <c r="BA25" i="6" s="1"/>
  <c r="AM25" i="6"/>
  <c r="AN25" i="6"/>
  <c r="AP25" i="6"/>
  <c r="AZ25" i="6" a="1"/>
  <c r="AZ25" i="6" s="1"/>
  <c r="AO25" i="6"/>
  <c r="AP18" i="6"/>
  <c r="BA18" i="6" a="1"/>
  <c r="BA18" i="6" s="1"/>
  <c r="AZ22" i="6" a="1"/>
  <c r="AZ22" i="6" s="1"/>
  <c r="AN22" i="6"/>
  <c r="AP22" i="6"/>
  <c r="AM22" i="6"/>
  <c r="AY22" i="6" a="1"/>
  <c r="AY22" i="6" s="1"/>
  <c r="AX22" i="6" a="1"/>
  <c r="AX22" i="6" s="1"/>
  <c r="BA22" i="6" a="1"/>
  <c r="BA22" i="6" s="1"/>
  <c r="AO22" i="6"/>
  <c r="AY20" i="6" a="1"/>
  <c r="AY20" i="6" s="1"/>
  <c r="BA20" i="6" a="1"/>
  <c r="BA20" i="6" s="1"/>
  <c r="AX20" i="6" a="1"/>
  <c r="AX20" i="6" s="1"/>
  <c r="AO20" i="6"/>
  <c r="AM20" i="6"/>
  <c r="AN20" i="6"/>
  <c r="AP20" i="6"/>
  <c r="AZ20" i="6" a="1"/>
  <c r="AZ20" i="6" s="1"/>
  <c r="AY21" i="6" a="1"/>
  <c r="AY21" i="6" s="1"/>
  <c r="AO21" i="6"/>
  <c r="AP21" i="6"/>
  <c r="AX21" i="6" a="1"/>
  <c r="AX21" i="6" s="1"/>
  <c r="BA21" i="6" a="1"/>
  <c r="BA21" i="6" s="1"/>
  <c r="AM21" i="6"/>
  <c r="AN21" i="6"/>
  <c r="AZ21" i="6" a="1"/>
  <c r="AZ21" i="6" s="1"/>
  <c r="AN29" i="5" a="1"/>
  <c r="AN29" i="5" s="1"/>
  <c r="W29" i="5" a="1"/>
  <c r="W29" i="5" s="1"/>
  <c r="H29" i="12" s="1" a="1"/>
  <c r="H29" i="12" s="1"/>
  <c r="AZ19" i="6" a="1"/>
  <c r="AZ19" i="6" s="1"/>
  <c r="AP19" i="6"/>
  <c r="BA19" i="6" a="1"/>
  <c r="BA19" i="6" s="1"/>
  <c r="AX19" i="6" a="1"/>
  <c r="AX19" i="6" s="1"/>
  <c r="AY19" i="6" a="1"/>
  <c r="AY19" i="6" s="1"/>
  <c r="AN19" i="6"/>
  <c r="AM19" i="6"/>
  <c r="AO19" i="6"/>
  <c r="BA12" i="6"/>
  <c r="AP12" i="6"/>
  <c r="H14" i="12" a="1"/>
  <c r="H14" i="12" s="1"/>
  <c r="AN14" i="5" a="1"/>
  <c r="AN14" i="5" s="1"/>
  <c r="T62" i="4"/>
  <c r="T63" i="4"/>
  <c r="T64" i="4"/>
  <c r="T66" i="4"/>
  <c r="U66" i="4" s="1"/>
  <c r="T65" i="4"/>
  <c r="T102" i="4"/>
  <c r="T104" i="4"/>
  <c r="T103" i="4"/>
  <c r="T106" i="4"/>
  <c r="U106" i="4" s="1"/>
  <c r="T105" i="4"/>
  <c r="U7" i="4"/>
  <c r="H24" i="10"/>
  <c r="Q25" i="10"/>
  <c r="Q30" i="10" s="1"/>
  <c r="K12" i="9"/>
  <c r="BB13" i="6"/>
  <c r="AF13" i="6"/>
  <c r="AF12" i="6" s="1"/>
  <c r="AE12" i="6"/>
  <c r="A19" i="4"/>
  <c r="C19" i="4" s="1"/>
  <c r="C18" i="4"/>
  <c r="Z12" i="8"/>
  <c r="AF13" i="12"/>
  <c r="AQ13" i="6"/>
  <c r="AQ23" i="6" s="1"/>
  <c r="L12" i="10"/>
  <c r="L11" i="10" s="1" a="1"/>
  <c r="L11" i="10" s="1"/>
  <c r="A7" i="4"/>
  <c r="C7" i="4" s="1"/>
  <c r="C6" i="4"/>
  <c r="AX29" i="6" l="1" a="1"/>
  <c r="AX29" i="6" s="1"/>
  <c r="BB24" i="6" a="1"/>
  <c r="BB24" i="6" s="1"/>
  <c r="BA24" i="6" a="1"/>
  <c r="BA24" i="6" s="1"/>
  <c r="AZ24" i="6" a="1"/>
  <c r="AZ24" i="6" s="1"/>
  <c r="M26" i="6"/>
  <c r="AN26" i="6" s="1"/>
  <c r="AY24" i="6" a="1"/>
  <c r="AY24" i="6" s="1"/>
  <c r="AP24" i="6"/>
  <c r="AX24" i="6" a="1"/>
  <c r="AX24" i="6" s="1"/>
  <c r="AM24" i="6"/>
  <c r="AN24" i="6"/>
  <c r="AQ24" i="6"/>
  <c r="BB22" i="6" a="1"/>
  <c r="BB22" i="6" s="1"/>
  <c r="BB23" i="6" a="1"/>
  <c r="BB23" i="6" s="1"/>
  <c r="AP29" i="6"/>
  <c r="AN29" i="6"/>
  <c r="AZ29" i="6" a="1"/>
  <c r="AZ29" i="6" s="1"/>
  <c r="AM29" i="6"/>
  <c r="AY29" i="6" a="1"/>
  <c r="AY29" i="6" s="1"/>
  <c r="BA29" i="6" a="1"/>
  <c r="BA29" i="6" s="1"/>
  <c r="AQ21" i="6"/>
  <c r="AQ19" i="6"/>
  <c r="BB29" i="6" a="1"/>
  <c r="BB29" i="6" s="1"/>
  <c r="AQ29" i="6"/>
  <c r="B18" i="9"/>
  <c r="BB20" i="6" a="1"/>
  <c r="BB20" i="6" s="1"/>
  <c r="AQ20" i="6"/>
  <c r="AQ25" i="6"/>
  <c r="BB19" i="6" a="1"/>
  <c r="BB19" i="6" s="1"/>
  <c r="BB21" i="6" a="1"/>
  <c r="BB21" i="6" s="1"/>
  <c r="AQ22" i="6"/>
  <c r="BB18" i="6" a="1"/>
  <c r="BB18" i="6" s="1"/>
  <c r="AQ18" i="6"/>
  <c r="AF16" i="6"/>
  <c r="AF17" i="6"/>
  <c r="AE16" i="6"/>
  <c r="AE17" i="6"/>
  <c r="BB25" i="6" a="1"/>
  <c r="BB25" i="6" s="1"/>
  <c r="X29" i="4"/>
  <c r="S25" i="10"/>
  <c r="S30"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B26" i="6" l="1" a="1"/>
  <c r="BB26" i="6" s="1"/>
  <c r="BA26" i="6" a="1"/>
  <c r="BA26" i="6" s="1"/>
  <c r="M27" i="6"/>
  <c r="BA27" i="6" s="1" a="1"/>
  <c r="BA27" i="6" s="1"/>
  <c r="AY26" i="6" a="1"/>
  <c r="AY26" i="6" s="1"/>
  <c r="AP26" i="6"/>
  <c r="AQ26" i="6"/>
  <c r="M28" i="6"/>
  <c r="BA28" i="6" s="1" a="1"/>
  <c r="BA28" i="6" s="1"/>
  <c r="AX26" i="6" a="1"/>
  <c r="AX26" i="6" s="1"/>
  <c r="AM26" i="6"/>
  <c r="AO26" i="6"/>
  <c r="AZ26" i="6" a="1"/>
  <c r="AZ26" i="6" s="1"/>
  <c r="BC23" i="6" a="1"/>
  <c r="BC23" i="6" s="1"/>
  <c r="BC24" i="6" a="1"/>
  <c r="BC24" i="6" s="1"/>
  <c r="AR23" i="6"/>
  <c r="AR24" i="6"/>
  <c r="AR18" i="6"/>
  <c r="AR26" i="6"/>
  <c r="AR20" i="6"/>
  <c r="AR19" i="6"/>
  <c r="AR25" i="6"/>
  <c r="AR21" i="6"/>
  <c r="AR22" i="6"/>
  <c r="AR29" i="6"/>
  <c r="BC26" i="6" a="1"/>
  <c r="BC26" i="6" s="1"/>
  <c r="BC18" i="6" a="1"/>
  <c r="BC18" i="6" s="1"/>
  <c r="BC29" i="6" a="1"/>
  <c r="BC29" i="6" s="1"/>
  <c r="BC19" i="6" a="1"/>
  <c r="BC19" i="6" s="1"/>
  <c r="BC21" i="6" a="1"/>
  <c r="BC21" i="6" s="1"/>
  <c r="BC25" i="6" a="1"/>
  <c r="BC25" i="6" s="1"/>
  <c r="BC22" i="6" a="1"/>
  <c r="BC22" i="6" s="1"/>
  <c r="BC20" i="6" a="1"/>
  <c r="BC20" i="6" s="1"/>
  <c r="AG16" i="6"/>
  <c r="AG17" i="6"/>
  <c r="B19" i="9"/>
  <c r="B20" i="9" s="1"/>
  <c r="U29" i="4"/>
  <c r="U69" i="4"/>
  <c r="U65" i="4"/>
  <c r="U103" i="4"/>
  <c r="U61" i="4"/>
  <c r="U105" i="4"/>
  <c r="U64" i="4"/>
  <c r="U102" i="4"/>
  <c r="U62" i="4"/>
  <c r="U21" i="4"/>
  <c r="U23" i="4"/>
  <c r="U104" i="4"/>
  <c r="U101" i="4"/>
  <c r="U24" i="4"/>
  <c r="U25" i="4"/>
  <c r="U22" i="4"/>
  <c r="U63" i="4"/>
  <c r="U109" i="4"/>
  <c r="K112" i="4" s="1"/>
  <c r="U25" i="10"/>
  <c r="U30" i="10" s="1"/>
  <c r="M12" i="9"/>
  <c r="BC12" i="6"/>
  <c r="AR12" i="6"/>
  <c r="AH13" i="6"/>
  <c r="AH12" i="6" s="1"/>
  <c r="BD13" i="6"/>
  <c r="AB12" i="8"/>
  <c r="AH13" i="12"/>
  <c r="AS13" i="6"/>
  <c r="N12" i="10"/>
  <c r="N11" i="10" s="1" a="1"/>
  <c r="N11" i="10" s="1"/>
  <c r="BC27" i="6" l="1" a="1"/>
  <c r="BC27" i="6" s="1"/>
  <c r="AZ27" i="6" a="1"/>
  <c r="AZ27" i="6" s="1"/>
  <c r="AP27" i="6"/>
  <c r="AR28" i="6"/>
  <c r="AP28" i="6"/>
  <c r="BB28" i="6" a="1"/>
  <c r="BB28" i="6" s="1"/>
  <c r="AO27" i="6"/>
  <c r="BB27" i="6" a="1"/>
  <c r="BB27" i="6" s="1"/>
  <c r="AX27" i="6" a="1"/>
  <c r="AX27" i="6" s="1"/>
  <c r="AY27" i="6" a="1"/>
  <c r="AY27" i="6" s="1"/>
  <c r="M30" i="6"/>
  <c r="BC30" i="6" s="1" a="1"/>
  <c r="BC30" i="6" s="1"/>
  <c r="AR27" i="6"/>
  <c r="AM27" i="6"/>
  <c r="AN27" i="6"/>
  <c r="AQ27" i="6"/>
  <c r="AY28" i="6" a="1"/>
  <c r="AY28" i="6" s="1"/>
  <c r="BC28" i="6" a="1"/>
  <c r="BC28" i="6" s="1"/>
  <c r="AX28" i="6" a="1"/>
  <c r="AX28" i="6" s="1"/>
  <c r="AQ28" i="6"/>
  <c r="AO28" i="6"/>
  <c r="AN28" i="6"/>
  <c r="AM28" i="6"/>
  <c r="AZ28" i="6" a="1"/>
  <c r="AZ28" i="6" s="1"/>
  <c r="AS23" i="6"/>
  <c r="AS24" i="6"/>
  <c r="BD23" i="6" a="1"/>
  <c r="BD23" i="6" s="1"/>
  <c r="BD24" i="6" a="1"/>
  <c r="BD24" i="6" s="1"/>
  <c r="M34" i="6"/>
  <c r="BD34" i="6" s="1" a="1"/>
  <c r="BD34" i="6" s="1"/>
  <c r="BD26" i="6" a="1"/>
  <c r="BD26" i="6" s="1"/>
  <c r="BD27" i="6" a="1"/>
  <c r="BD27" i="6" s="1"/>
  <c r="BD28" i="6" a="1"/>
  <c r="BD28" i="6" s="1"/>
  <c r="BD18" i="6" a="1"/>
  <c r="BD18" i="6" s="1"/>
  <c r="BD20" i="6" a="1"/>
  <c r="BD20" i="6" s="1"/>
  <c r="BD29" i="6" a="1"/>
  <c r="BD29" i="6" s="1"/>
  <c r="BD21" i="6" a="1"/>
  <c r="BD21" i="6" s="1"/>
  <c r="BD22" i="6" a="1"/>
  <c r="BD22" i="6" s="1"/>
  <c r="BD19" i="6" a="1"/>
  <c r="BD19" i="6" s="1"/>
  <c r="BD25" i="6" a="1"/>
  <c r="BD25" i="6" s="1"/>
  <c r="AH16" i="6"/>
  <c r="AH17" i="6"/>
  <c r="AS18" i="6"/>
  <c r="AS26" i="6"/>
  <c r="AS27" i="6"/>
  <c r="AS28" i="6"/>
  <c r="AS19" i="6"/>
  <c r="AS20" i="6"/>
  <c r="AS25" i="6"/>
  <c r="AS22" i="6"/>
  <c r="AS21" i="6"/>
  <c r="AS29" i="6"/>
  <c r="AB10" i="12"/>
  <c r="W25" i="10"/>
  <c r="W30" i="10" s="1"/>
  <c r="N12" i="9"/>
  <c r="J72" i="4"/>
  <c r="U8" i="4"/>
  <c r="BD12" i="6"/>
  <c r="AS12" i="6"/>
  <c r="AI13" i="6"/>
  <c r="AI12" i="6" s="1"/>
  <c r="BE13" i="6"/>
  <c r="AC12" i="8"/>
  <c r="AI13" i="12"/>
  <c r="K72" i="4"/>
  <c r="J112" i="4"/>
  <c r="AT13" i="6"/>
  <c r="O12" i="10"/>
  <c r="O11" i="10" s="1" a="1"/>
  <c r="O11" i="10" s="1"/>
  <c r="K32" i="4"/>
  <c r="J32" i="4"/>
  <c r="M32" i="6" l="1"/>
  <c r="BD32" i="6" s="1" a="1"/>
  <c r="BD32" i="6" s="1"/>
  <c r="AQ30" i="6"/>
  <c r="BD30" i="6" a="1"/>
  <c r="BD30" i="6" s="1"/>
  <c r="AZ30" i="6" a="1"/>
  <c r="AZ30" i="6" s="1"/>
  <c r="AO30" i="6"/>
  <c r="AS30" i="6"/>
  <c r="BB30" i="6" a="1"/>
  <c r="BB30" i="6" s="1"/>
  <c r="BA30" i="6" a="1"/>
  <c r="BA30" i="6" s="1"/>
  <c r="AN30" i="6"/>
  <c r="AM30" i="6"/>
  <c r="M33" i="6"/>
  <c r="BD33" i="6" s="1" a="1"/>
  <c r="BD33" i="6" s="1"/>
  <c r="M31" i="6"/>
  <c r="AX31" i="6" s="1" a="1"/>
  <c r="AX31" i="6" s="1"/>
  <c r="AP30" i="6"/>
  <c r="AY30" i="6" a="1"/>
  <c r="AY30" i="6" s="1"/>
  <c r="AR30" i="6"/>
  <c r="AX30" i="6" a="1"/>
  <c r="AX30" i="6" s="1"/>
  <c r="AT23" i="6"/>
  <c r="AT24" i="6"/>
  <c r="BE23" i="6" a="1"/>
  <c r="BE23" i="6" s="1"/>
  <c r="BE24" i="6" a="1"/>
  <c r="BE24" i="6" s="1"/>
  <c r="AS34" i="6"/>
  <c r="AQ34" i="6"/>
  <c r="AO34" i="6"/>
  <c r="AM34" i="6"/>
  <c r="BA34" i="6" a="1"/>
  <c r="BA34" i="6" s="1"/>
  <c r="AP34" i="6"/>
  <c r="AN34" i="6"/>
  <c r="AY34" i="6" a="1"/>
  <c r="AY34" i="6" s="1"/>
  <c r="BB34" i="6" a="1"/>
  <c r="BB34" i="6" s="1"/>
  <c r="AX34" i="6" a="1"/>
  <c r="AX34" i="6" s="1"/>
  <c r="AZ34" i="6" a="1"/>
  <c r="AZ34" i="6" s="1"/>
  <c r="AR34" i="6"/>
  <c r="BC34" i="6" a="1"/>
  <c r="BC34" i="6" s="1"/>
  <c r="AT26" i="6"/>
  <c r="AT28" i="6"/>
  <c r="AT18" i="6"/>
  <c r="AT27" i="6"/>
  <c r="AT21" i="6"/>
  <c r="AT29" i="6"/>
  <c r="AT22" i="6"/>
  <c r="AT20" i="6"/>
  <c r="AT34" i="6"/>
  <c r="AT19" i="6"/>
  <c r="AT25" i="6"/>
  <c r="AT30" i="6"/>
  <c r="BE26" i="6" a="1"/>
  <c r="BE26" i="6" s="1"/>
  <c r="BE18" i="6" a="1"/>
  <c r="BE18" i="6" s="1"/>
  <c r="BE27" i="6" a="1"/>
  <c r="BE27" i="6" s="1"/>
  <c r="BE28" i="6" a="1"/>
  <c r="BE28" i="6" s="1"/>
  <c r="BE25" i="6" a="1"/>
  <c r="BE25" i="6" s="1"/>
  <c r="BE21" i="6" a="1"/>
  <c r="BE21" i="6" s="1"/>
  <c r="BE34" i="6" a="1"/>
  <c r="BE34" i="6" s="1"/>
  <c r="BE20" i="6" a="1"/>
  <c r="BE20" i="6" s="1"/>
  <c r="BE19" i="6" a="1"/>
  <c r="BE19" i="6" s="1"/>
  <c r="BE30" i="6" a="1"/>
  <c r="BE30" i="6" s="1"/>
  <c r="BE29" i="6" a="1"/>
  <c r="BE29" i="6" s="1"/>
  <c r="BE22" i="6" a="1"/>
  <c r="BE22" i="6" s="1"/>
  <c r="AI16" i="6"/>
  <c r="AI17" i="6"/>
  <c r="O12" i="9"/>
  <c r="Y25" i="10"/>
  <c r="Y30" i="10" s="1"/>
  <c r="T11" i="11"/>
  <c r="BE12" i="6"/>
  <c r="AT12" i="6"/>
  <c r="AJ13" i="6"/>
  <c r="AJ12" i="6" s="1"/>
  <c r="BF13" i="6"/>
  <c r="AD12" i="8"/>
  <c r="AJ13" i="12"/>
  <c r="AU13" i="6"/>
  <c r="P12" i="10"/>
  <c r="P11" i="10" s="1" a="1"/>
  <c r="P11" i="10" s="1"/>
  <c r="BC32" i="6" l="1" a="1"/>
  <c r="BC32" i="6" s="1"/>
  <c r="AP32" i="6"/>
  <c r="AO32" i="6"/>
  <c r="AR32" i="6"/>
  <c r="AM32" i="6"/>
  <c r="AZ32" i="6" a="1"/>
  <c r="AZ32" i="6" s="1"/>
  <c r="BE32" i="6" a="1"/>
  <c r="BE32" i="6" s="1"/>
  <c r="BB32" i="6" a="1"/>
  <c r="BB32" i="6" s="1"/>
  <c r="AX32" i="6" a="1"/>
  <c r="AX32" i="6" s="1"/>
  <c r="BA32" i="6" a="1"/>
  <c r="BA32" i="6" s="1"/>
  <c r="AT32" i="6"/>
  <c r="AQ32" i="6"/>
  <c r="AN32" i="6"/>
  <c r="AY32" i="6" a="1"/>
  <c r="AY32" i="6" s="1"/>
  <c r="AP33" i="6"/>
  <c r="AS32" i="6"/>
  <c r="AR33" i="6"/>
  <c r="AY33" i="6" a="1"/>
  <c r="AY33" i="6" s="1"/>
  <c r="BE33" i="6" a="1"/>
  <c r="BE33" i="6" s="1"/>
  <c r="AM33" i="6"/>
  <c r="AO33" i="6"/>
  <c r="AM31" i="6"/>
  <c r="BE31" i="6" a="1"/>
  <c r="BE31" i="6" s="1"/>
  <c r="BD31" i="6" a="1"/>
  <c r="BD31" i="6" s="1"/>
  <c r="AO31" i="6"/>
  <c r="AR31" i="6"/>
  <c r="AZ31" i="6" a="1"/>
  <c r="AZ31" i="6" s="1"/>
  <c r="AT31" i="6"/>
  <c r="BB31" i="6" a="1"/>
  <c r="BB31" i="6" s="1"/>
  <c r="AQ33" i="6"/>
  <c r="AN31" i="6"/>
  <c r="M35" i="6"/>
  <c r="BD35" i="6" s="1" a="1"/>
  <c r="BD35" i="6" s="1"/>
  <c r="AX33" i="6" a="1"/>
  <c r="AX33" i="6" s="1"/>
  <c r="AZ33" i="6" a="1"/>
  <c r="AZ33" i="6" s="1"/>
  <c r="BB33" i="6" a="1"/>
  <c r="BB33" i="6" s="1"/>
  <c r="AQ31" i="6"/>
  <c r="BA31" i="6" a="1"/>
  <c r="BA31" i="6" s="1"/>
  <c r="BC31" i="6" a="1"/>
  <c r="BC31" i="6" s="1"/>
  <c r="AT33" i="6"/>
  <c r="BA33" i="6" a="1"/>
  <c r="BA33" i="6" s="1"/>
  <c r="BC33" i="6" a="1"/>
  <c r="BC33" i="6" s="1"/>
  <c r="AN33" i="6"/>
  <c r="AS31" i="6"/>
  <c r="AY31" i="6" a="1"/>
  <c r="AY31" i="6" s="1"/>
  <c r="AP31" i="6"/>
  <c r="AS33" i="6"/>
  <c r="BF23" i="6" a="1"/>
  <c r="BF23" i="6" s="1"/>
  <c r="BF24" i="6" a="1"/>
  <c r="BF24" i="6" s="1"/>
  <c r="AU23" i="6"/>
  <c r="AU24" i="6"/>
  <c r="AU27" i="6"/>
  <c r="AU28" i="6"/>
  <c r="AU31" i="6"/>
  <c r="AU18" i="6"/>
  <c r="AU26" i="6"/>
  <c r="AU33" i="6"/>
  <c r="AU29" i="6"/>
  <c r="AU21" i="6"/>
  <c r="AU25" i="6"/>
  <c r="AU20" i="6"/>
  <c r="AU32" i="6"/>
  <c r="AU34" i="6"/>
  <c r="AU19" i="6"/>
  <c r="AU30" i="6"/>
  <c r="AU22" i="6"/>
  <c r="BF18" i="6" a="1"/>
  <c r="BF18" i="6" s="1"/>
  <c r="BF28" i="6" a="1"/>
  <c r="BF28" i="6" s="1"/>
  <c r="BF31" i="6" a="1"/>
  <c r="BF31" i="6" s="1"/>
  <c r="BF26" i="6" a="1"/>
  <c r="BF26" i="6" s="1"/>
  <c r="BF27" i="6" a="1"/>
  <c r="BF27" i="6" s="1"/>
  <c r="BF32" i="6" a="1"/>
  <c r="BF32" i="6" s="1"/>
  <c r="BF29" i="6" a="1"/>
  <c r="BF29" i="6" s="1"/>
  <c r="BF22" i="6" a="1"/>
  <c r="BF22" i="6" s="1"/>
  <c r="BF30" i="6" a="1"/>
  <c r="BF30" i="6" s="1"/>
  <c r="BF21" i="6" a="1"/>
  <c r="BF21" i="6" s="1"/>
  <c r="BF34" i="6" a="1"/>
  <c r="BF34" i="6" s="1"/>
  <c r="BF19" i="6" a="1"/>
  <c r="BF19" i="6" s="1"/>
  <c r="BF33" i="6" a="1"/>
  <c r="BF33" i="6" s="1"/>
  <c r="BF25" i="6" a="1"/>
  <c r="BF25" i="6" s="1"/>
  <c r="BF20" i="6" a="1"/>
  <c r="BF20" i="6" s="1"/>
  <c r="AJ16" i="6"/>
  <c r="AJ17" i="6"/>
  <c r="P12" i="9"/>
  <c r="AA25" i="10"/>
  <c r="AA30" i="10" s="1"/>
  <c r="BF12" i="6"/>
  <c r="AU12" i="6"/>
  <c r="AK13" i="6"/>
  <c r="BG13" i="6"/>
  <c r="AE12" i="8"/>
  <c r="AK13" i="12"/>
  <c r="AV13" i="6"/>
  <c r="Q12" i="10"/>
  <c r="Q11" i="10" s="1" a="1"/>
  <c r="Q11" i="10" s="1"/>
  <c r="M37" i="6" l="1"/>
  <c r="BD37" i="6" s="1" a="1"/>
  <c r="BD37" i="6" s="1"/>
  <c r="M36" i="6"/>
  <c r="AU36" i="6" s="1"/>
  <c r="BF35" i="6" a="1"/>
  <c r="BF35" i="6" s="1"/>
  <c r="M38" i="6"/>
  <c r="AN38" i="6" s="1"/>
  <c r="BC35" i="6" a="1"/>
  <c r="BC35" i="6" s="1"/>
  <c r="AN35" i="6"/>
  <c r="AX35" i="6" a="1"/>
  <c r="AX35" i="6" s="1"/>
  <c r="AT35" i="6"/>
  <c r="BE35" i="6" a="1"/>
  <c r="BE35" i="6" s="1"/>
  <c r="AQ35" i="6"/>
  <c r="AP35" i="6"/>
  <c r="AZ35" i="6" a="1"/>
  <c r="AZ35" i="6" s="1"/>
  <c r="AO35" i="6"/>
  <c r="BA35" i="6" a="1"/>
  <c r="BA35" i="6" s="1"/>
  <c r="AU35" i="6"/>
  <c r="AS35" i="6"/>
  <c r="BB35" i="6" a="1"/>
  <c r="BB35" i="6" s="1"/>
  <c r="AR35" i="6"/>
  <c r="AY35" i="6" a="1"/>
  <c r="AY35" i="6" s="1"/>
  <c r="AM35" i="6"/>
  <c r="BG23" i="6" a="1"/>
  <c r="BG23" i="6" s="1"/>
  <c r="BG24" i="6" a="1"/>
  <c r="BG24" i="6" s="1"/>
  <c r="AV23" i="6"/>
  <c r="AV24" i="6"/>
  <c r="AV31" i="6"/>
  <c r="AV27" i="6"/>
  <c r="AV18" i="6"/>
  <c r="AV28" i="6"/>
  <c r="AV26" i="6"/>
  <c r="AV29" i="6"/>
  <c r="AV34" i="6"/>
  <c r="AV32" i="6"/>
  <c r="AV25" i="6"/>
  <c r="AV21" i="6"/>
  <c r="AV30" i="6"/>
  <c r="AV35" i="6"/>
  <c r="AV19" i="6"/>
  <c r="AV20" i="6"/>
  <c r="AV33" i="6"/>
  <c r="AV22" i="6"/>
  <c r="BG27" i="6" a="1"/>
  <c r="BG27" i="6" s="1"/>
  <c r="BG18" i="6" a="1"/>
  <c r="BG18" i="6" s="1"/>
  <c r="BG28" i="6" a="1"/>
  <c r="BG28" i="6" s="1"/>
  <c r="BG26" i="6" a="1"/>
  <c r="BG26" i="6" s="1"/>
  <c r="BG31" i="6" a="1"/>
  <c r="BG31" i="6" s="1"/>
  <c r="BG29" i="6" a="1"/>
  <c r="BG29" i="6" s="1"/>
  <c r="BG25" i="6" a="1"/>
  <c r="BG25" i="6" s="1"/>
  <c r="BG32" i="6" a="1"/>
  <c r="BG32" i="6" s="1"/>
  <c r="BG30" i="6" a="1"/>
  <c r="BG30" i="6" s="1"/>
  <c r="BG34" i="6" a="1"/>
  <c r="BG34" i="6" s="1"/>
  <c r="BG35" i="6" a="1"/>
  <c r="BG35" i="6" s="1"/>
  <c r="BG22" i="6" a="1"/>
  <c r="BG22" i="6" s="1"/>
  <c r="BG19" i="6" a="1"/>
  <c r="BG19" i="6" s="1"/>
  <c r="BG33" i="6" a="1"/>
  <c r="BG33" i="6" s="1"/>
  <c r="BG21" i="6" a="1"/>
  <c r="BG21" i="6" s="1"/>
  <c r="BG20" i="6" a="1"/>
  <c r="BG20" i="6" s="1"/>
  <c r="AK12" i="6"/>
  <c r="Q12" i="9"/>
  <c r="AC25" i="10"/>
  <c r="AC30" i="10" s="1"/>
  <c r="BG12" i="6"/>
  <c r="AV12" i="6"/>
  <c r="AF12" i="8"/>
  <c r="AL13" i="12"/>
  <c r="R12" i="10"/>
  <c r="R11" i="10" s="1" a="1"/>
  <c r="R11" i="10" s="1"/>
  <c r="AU37" i="6" l="1"/>
  <c r="AV37" i="6"/>
  <c r="BE37" i="6" a="1"/>
  <c r="BE37" i="6" s="1"/>
  <c r="AT37" i="6"/>
  <c r="AM37" i="6"/>
  <c r="BC37" i="6" a="1"/>
  <c r="BC37" i="6" s="1"/>
  <c r="BA37" i="6" a="1"/>
  <c r="BA37" i="6" s="1"/>
  <c r="BB37" i="6" a="1"/>
  <c r="BB37" i="6" s="1"/>
  <c r="AQ37" i="6"/>
  <c r="AZ37" i="6" a="1"/>
  <c r="AZ37" i="6" s="1"/>
  <c r="AN37" i="6"/>
  <c r="AY37" i="6" a="1"/>
  <c r="AY37" i="6" s="1"/>
  <c r="AX37" i="6" a="1"/>
  <c r="AX37" i="6" s="1"/>
  <c r="AS37" i="6"/>
  <c r="BG37" i="6" a="1"/>
  <c r="BG37" i="6" s="1"/>
  <c r="AP37" i="6"/>
  <c r="AO37" i="6"/>
  <c r="AR37" i="6"/>
  <c r="BF37" i="6" a="1"/>
  <c r="BF37" i="6" s="1"/>
  <c r="AV36" i="6"/>
  <c r="AQ36" i="6"/>
  <c r="AT36" i="6"/>
  <c r="AX36" i="6" a="1"/>
  <c r="AX36" i="6" s="1"/>
  <c r="AQ38" i="6"/>
  <c r="AM38" i="6"/>
  <c r="BF38" i="6" a="1"/>
  <c r="BF38" i="6" s="1"/>
  <c r="AS38" i="6"/>
  <c r="AV38" i="6"/>
  <c r="AP38" i="6"/>
  <c r="AY38" i="6" a="1"/>
  <c r="AY38" i="6" s="1"/>
  <c r="AX38" i="6" a="1"/>
  <c r="AX38" i="6" s="1"/>
  <c r="AR38" i="6"/>
  <c r="C20" i="9"/>
  <c r="F20" i="9" s="1"/>
  <c r="BG38" i="6" a="1"/>
  <c r="BG38" i="6" s="1"/>
  <c r="BC38" i="6" a="1"/>
  <c r="BC38" i="6" s="1"/>
  <c r="BB38" i="6" a="1"/>
  <c r="BB38" i="6" s="1"/>
  <c r="BD38" i="6" a="1"/>
  <c r="BD38" i="6" s="1"/>
  <c r="BA38" i="6" a="1"/>
  <c r="BA38" i="6" s="1"/>
  <c r="AS36" i="6"/>
  <c r="BB36" i="6" a="1"/>
  <c r="BB36" i="6" s="1"/>
  <c r="BG36" i="6" a="1"/>
  <c r="BG36" i="6" s="1"/>
  <c r="AO38" i="6"/>
  <c r="BE38" i="6" a="1"/>
  <c r="BE38" i="6" s="1"/>
  <c r="AT38" i="6"/>
  <c r="AZ38" i="6" a="1"/>
  <c r="AZ38" i="6" s="1"/>
  <c r="AU38" i="6"/>
  <c r="AY36" i="6" a="1"/>
  <c r="AY36" i="6" s="1"/>
  <c r="BC36" i="6" a="1"/>
  <c r="BC36" i="6" s="1"/>
  <c r="A20" i="9"/>
  <c r="AZ36" i="6" a="1"/>
  <c r="AZ36" i="6" s="1"/>
  <c r="AO36" i="6"/>
  <c r="BA36" i="6" a="1"/>
  <c r="BA36" i="6" s="1"/>
  <c r="AR36" i="6"/>
  <c r="BD36" i="6" a="1"/>
  <c r="BD36" i="6" s="1"/>
  <c r="BE36" i="6" a="1"/>
  <c r="BE36" i="6" s="1"/>
  <c r="AN36" i="6"/>
  <c r="AP36" i="6"/>
  <c r="AM36" i="6"/>
  <c r="BF36" i="6" a="1"/>
  <c r="BF36" i="6" s="1"/>
  <c r="AK16" i="6"/>
  <c r="AK17" i="6"/>
  <c r="R12" i="9"/>
  <c r="AE25" i="10"/>
  <c r="AE30" i="10" s="1"/>
  <c r="AM13" i="12"/>
  <c r="S12" i="10"/>
  <c r="S11" i="10" s="1" a="1"/>
  <c r="S11" i="10" s="1"/>
  <c r="J24" i="12" l="1" a="1"/>
  <c r="J24" i="12" s="1"/>
  <c r="L24" i="12" a="1"/>
  <c r="L24" i="12" s="1"/>
  <c r="L27" i="12" a="1"/>
  <c r="L27" i="12" s="1"/>
  <c r="L18" i="12" a="1"/>
  <c r="L18" i="12" s="1"/>
  <c r="J28" i="12" a="1"/>
  <c r="J28" i="12" s="1"/>
  <c r="J20" i="12" a="1"/>
  <c r="J20" i="12" s="1"/>
  <c r="J27" i="12" a="1"/>
  <c r="J27" i="12" s="1"/>
  <c r="J26" i="12" a="1"/>
  <c r="J26" i="12" s="1"/>
  <c r="L28" i="12" a="1"/>
  <c r="L28" i="12" s="1"/>
  <c r="J21" i="12" a="1"/>
  <c r="J21" i="12" s="1"/>
  <c r="L22" i="12" a="1"/>
  <c r="L22" i="12" s="1"/>
  <c r="L26" i="12" a="1"/>
  <c r="L26" i="12" s="1"/>
  <c r="J30" i="12" a="1"/>
  <c r="J30" i="12" s="1"/>
  <c r="J18" i="12" a="1"/>
  <c r="J18" i="12" s="1"/>
  <c r="J22" i="12" a="1"/>
  <c r="J22" i="12" s="1"/>
  <c r="L36" i="12" a="1"/>
  <c r="L36" i="12" s="1"/>
  <c r="L37" i="12" a="1"/>
  <c r="L37" i="12" s="1"/>
  <c r="J19" i="12" a="1"/>
  <c r="J19" i="12" s="1"/>
  <c r="L19" i="12" a="1"/>
  <c r="L19" i="12" s="1"/>
  <c r="J32" i="12" a="1"/>
  <c r="J32" i="12" s="1"/>
  <c r="J38" i="12" a="1"/>
  <c r="J38" i="12" s="1"/>
  <c r="L21" i="12" a="1"/>
  <c r="L21" i="12" s="1"/>
  <c r="L32" i="12" a="1"/>
  <c r="L32" i="12" s="1"/>
  <c r="L20" i="12" a="1"/>
  <c r="L20" i="12" s="1"/>
  <c r="L30" i="12" a="1"/>
  <c r="L30" i="12" s="1"/>
  <c r="L33" i="12" a="1"/>
  <c r="L33" i="12" s="1"/>
  <c r="L31" i="12" a="1"/>
  <c r="L31" i="12" s="1"/>
  <c r="J31" i="12" a="1"/>
  <c r="J31" i="12" s="1"/>
  <c r="L35" i="12" a="1"/>
  <c r="L35" i="12" s="1"/>
  <c r="J35" i="12" a="1"/>
  <c r="J35" i="12" s="1"/>
  <c r="J36" i="12" a="1"/>
  <c r="J36" i="12" s="1"/>
  <c r="J37" i="12" a="1"/>
  <c r="J37" i="12" s="1"/>
  <c r="J33" i="12" a="1"/>
  <c r="J33" i="12" s="1"/>
  <c r="L38" i="12" a="1"/>
  <c r="L38" i="12" s="1"/>
  <c r="AO7" i="12" a="1"/>
  <c r="AO7" i="12" s="1"/>
  <c r="L14" i="12" a="1"/>
  <c r="L14" i="12" s="1"/>
  <c r="J14" i="12" a="1"/>
  <c r="J14" i="12" s="1"/>
  <c r="S12" i="9"/>
  <c r="T12" i="10"/>
  <c r="T11" i="10" s="1" a="1"/>
  <c r="T11" i="10" s="1"/>
  <c r="K24" i="12" l="1"/>
  <c r="K32" i="12"/>
  <c r="K26" i="12"/>
  <c r="K20" i="12"/>
  <c r="K18" i="12"/>
  <c r="K21" i="12"/>
  <c r="K27" i="12"/>
  <c r="K22" i="12"/>
  <c r="K36" i="12"/>
  <c r="K38" i="12"/>
  <c r="K35" i="12"/>
  <c r="K19" i="12"/>
  <c r="K33" i="12"/>
  <c r="K31" i="12"/>
  <c r="K30" i="12"/>
  <c r="K37" i="12"/>
  <c r="K28" i="12"/>
  <c r="T12" i="9"/>
  <c r="K14" i="12"/>
  <c r="U12" i="10"/>
  <c r="U11" i="10" s="1" a="1"/>
  <c r="U11" i="10" s="1"/>
  <c r="U12" i="9" l="1"/>
  <c r="V12" i="10"/>
  <c r="V11" i="10" s="1" a="1"/>
  <c r="V11" i="10" s="1"/>
  <c r="V12" i="9" l="1"/>
  <c r="W12" i="10"/>
  <c r="W11" i="10" s="1" a="1"/>
  <c r="W11" i="10" s="1"/>
  <c r="W12" i="9" l="1"/>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H23" i="6" l="1" a="1"/>
  <c r="H23" i="6" s="1"/>
  <c r="H24" i="6" a="1"/>
  <c r="H24" i="6" s="1"/>
  <c r="J16" i="6" a="1"/>
  <c r="J16" i="6" s="1"/>
  <c r="J17" i="6" a="1"/>
  <c r="J17" i="6" s="1"/>
  <c r="J25" i="6" a="1"/>
  <c r="J25" i="6" s="1"/>
  <c r="J29" i="6" a="1"/>
  <c r="J29" i="6" s="1"/>
  <c r="H27" i="6" a="1"/>
  <c r="H27" i="6" s="1"/>
  <c r="H30" i="6" a="1"/>
  <c r="H30" i="6" s="1"/>
  <c r="H29" i="6" a="1"/>
  <c r="H29" i="6" s="1"/>
  <c r="H19" i="6" a="1"/>
  <c r="H19" i="6" s="1"/>
  <c r="H28" i="6" a="1"/>
  <c r="H28" i="6" s="1"/>
  <c r="H18" i="6" a="1"/>
  <c r="H18" i="6" s="1"/>
  <c r="H20" i="6" a="1"/>
  <c r="H20" i="6" s="1"/>
  <c r="H21" i="6" a="1"/>
  <c r="H21" i="6" s="1"/>
  <c r="H22" i="6" a="1"/>
  <c r="H22" i="6" s="1"/>
  <c r="H25" i="6" a="1"/>
  <c r="H25" i="6" s="1"/>
  <c r="H26" i="6" a="1"/>
  <c r="H26" i="6" s="1"/>
  <c r="H31" i="6" a="1"/>
  <c r="H31" i="6" s="1"/>
  <c r="H32" i="6" a="1"/>
  <c r="H32" i="6" s="1"/>
  <c r="H33" i="6" a="1"/>
  <c r="H33" i="6" s="1"/>
  <c r="J34" i="6" a="1"/>
  <c r="J34" i="6" s="1"/>
  <c r="H34" i="6" a="1"/>
  <c r="H34" i="6" s="1"/>
  <c r="H35" i="6" a="1"/>
  <c r="H35" i="6" s="1"/>
  <c r="H36" i="6" a="1"/>
  <c r="H36" i="6" s="1"/>
  <c r="H37" i="6" a="1"/>
  <c r="H37" i="6" s="1"/>
  <c r="H38" i="6" a="1"/>
  <c r="H38"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4" i="5" l="1"/>
  <c r="AE24" i="6"/>
  <c r="AF24" i="6"/>
  <c r="AG24" i="6"/>
  <c r="AH24" i="6"/>
  <c r="AI24" i="6"/>
  <c r="AJ24" i="6"/>
  <c r="AK24" i="6"/>
  <c r="T23" i="5"/>
  <c r="AB23" i="6"/>
  <c r="AC23" i="6"/>
  <c r="AD23" i="6"/>
  <c r="AE23" i="6"/>
  <c r="AF23" i="6"/>
  <c r="AG23" i="6"/>
  <c r="AH23" i="6"/>
  <c r="AI23" i="6"/>
  <c r="AJ23" i="6"/>
  <c r="AK23" i="6"/>
  <c r="T22" i="5"/>
  <c r="AF22" i="6"/>
  <c r="AE22" i="6"/>
  <c r="AG22" i="6"/>
  <c r="AH22" i="6"/>
  <c r="AI22" i="6"/>
  <c r="AJ22" i="6"/>
  <c r="AK22" i="6"/>
  <c r="T34" i="5"/>
  <c r="AB34" i="6"/>
  <c r="AC34" i="6"/>
  <c r="AD34" i="6"/>
  <c r="AF34" i="6"/>
  <c r="AE34" i="6"/>
  <c r="AG34" i="6"/>
  <c r="AH34" i="6"/>
  <c r="AI34" i="6"/>
  <c r="AJ34" i="6"/>
  <c r="AK34" i="6"/>
  <c r="T21" i="5"/>
  <c r="AE21" i="6"/>
  <c r="AF21" i="6"/>
  <c r="AG21" i="6"/>
  <c r="AH21" i="6"/>
  <c r="AI21" i="6"/>
  <c r="AJ21" i="6"/>
  <c r="AK21" i="6"/>
  <c r="T32" i="5"/>
  <c r="AF32" i="6"/>
  <c r="AE32" i="6"/>
  <c r="AG32" i="6"/>
  <c r="AH32" i="6"/>
  <c r="AI32" i="6"/>
  <c r="AJ32" i="6"/>
  <c r="AK32" i="6"/>
  <c r="T28" i="5"/>
  <c r="AF28" i="6"/>
  <c r="AE28" i="6"/>
  <c r="AG28" i="6"/>
  <c r="AH28" i="6"/>
  <c r="AI28" i="6"/>
  <c r="AJ28" i="6"/>
  <c r="AK28" i="6"/>
  <c r="T19" i="5"/>
  <c r="AF19" i="6"/>
  <c r="AE19" i="6"/>
  <c r="AG19" i="6"/>
  <c r="AH19" i="6"/>
  <c r="AI19" i="6"/>
  <c r="AJ19" i="6"/>
  <c r="AK19" i="6"/>
  <c r="T37" i="5"/>
  <c r="AE37" i="6"/>
  <c r="AF37" i="6"/>
  <c r="AG37" i="6"/>
  <c r="AH37" i="6"/>
  <c r="AI37" i="6"/>
  <c r="AJ37" i="6"/>
  <c r="AK37" i="6"/>
  <c r="T31" i="5"/>
  <c r="AE31" i="6"/>
  <c r="AF31" i="6"/>
  <c r="AG31" i="6"/>
  <c r="AH31" i="6"/>
  <c r="AI31" i="6"/>
  <c r="AJ31" i="6"/>
  <c r="AK31" i="6"/>
  <c r="T29" i="5"/>
  <c r="AB29" i="6"/>
  <c r="AC29" i="6"/>
  <c r="AD29" i="6"/>
  <c r="AF29" i="6"/>
  <c r="AE29" i="6"/>
  <c r="AG29" i="6"/>
  <c r="AH29" i="6"/>
  <c r="AI29" i="6"/>
  <c r="AJ29" i="6"/>
  <c r="AK29" i="6"/>
  <c r="T33" i="5"/>
  <c r="AF33" i="6"/>
  <c r="AE33" i="6"/>
  <c r="AG33" i="6"/>
  <c r="AH33" i="6"/>
  <c r="AI33" i="6"/>
  <c r="AJ33" i="6"/>
  <c r="AK33" i="6"/>
  <c r="T30" i="5"/>
  <c r="AF30" i="6"/>
  <c r="AE30" i="6"/>
  <c r="AG30" i="6"/>
  <c r="AH30" i="6"/>
  <c r="AI30" i="6"/>
  <c r="AJ30" i="6"/>
  <c r="AK30" i="6"/>
  <c r="T20" i="5"/>
  <c r="AF20" i="6"/>
  <c r="AE20" i="6"/>
  <c r="AG20" i="6"/>
  <c r="AH20" i="6"/>
  <c r="AI20" i="6"/>
  <c r="AJ20" i="6"/>
  <c r="AK20" i="6"/>
  <c r="T36" i="5"/>
  <c r="AF36" i="6"/>
  <c r="AE36" i="6"/>
  <c r="AG36" i="6"/>
  <c r="AH36" i="6"/>
  <c r="AI36" i="6"/>
  <c r="AJ36" i="6"/>
  <c r="AK36" i="6"/>
  <c r="T38" i="5"/>
  <c r="AF38" i="6"/>
  <c r="AE38" i="6"/>
  <c r="AG38" i="6"/>
  <c r="AH38" i="6"/>
  <c r="AI38" i="6"/>
  <c r="AJ38" i="6"/>
  <c r="AK38" i="6"/>
  <c r="T18" i="5"/>
  <c r="AF18" i="6"/>
  <c r="AE18" i="6"/>
  <c r="AG18" i="6"/>
  <c r="AH18" i="6"/>
  <c r="AI18" i="6"/>
  <c r="AJ18" i="6"/>
  <c r="AK18" i="6"/>
  <c r="T27" i="5"/>
  <c r="AF27" i="6"/>
  <c r="AE27" i="6"/>
  <c r="AG27" i="6"/>
  <c r="AH27" i="6"/>
  <c r="AI27" i="6"/>
  <c r="AJ27" i="6"/>
  <c r="AK27" i="6"/>
  <c r="T26" i="5"/>
  <c r="AE26" i="6"/>
  <c r="AF26" i="6"/>
  <c r="AG26" i="6"/>
  <c r="AH26" i="6"/>
  <c r="AI26" i="6"/>
  <c r="AJ26" i="6"/>
  <c r="AK26" i="6"/>
  <c r="T35" i="5"/>
  <c r="AF35" i="6"/>
  <c r="AE35" i="6"/>
  <c r="AG35" i="6"/>
  <c r="AH35" i="6"/>
  <c r="AI35" i="6"/>
  <c r="AJ35" i="6"/>
  <c r="AK35" i="6"/>
  <c r="T25" i="5"/>
  <c r="AB25" i="6"/>
  <c r="AC25" i="6"/>
  <c r="AD25" i="6"/>
  <c r="AF25" i="6"/>
  <c r="AE25" i="6"/>
  <c r="AG25" i="6"/>
  <c r="AH25" i="6"/>
  <c r="AI25" i="6"/>
  <c r="AJ25" i="6"/>
  <c r="AK25" i="6"/>
  <c r="I10" i="7"/>
  <c r="K13" i="7"/>
  <c r="L13" i="7" s="1"/>
  <c r="J10" i="7"/>
  <c r="G23" i="12" l="1" a="1"/>
  <c r="G23" i="12" s="1"/>
  <c r="G24" i="12" a="1"/>
  <c r="G24" i="12" s="1"/>
  <c r="G27" i="12" a="1"/>
  <c r="G27" i="12" s="1"/>
  <c r="G32" i="12" a="1"/>
  <c r="G32" i="12" s="1"/>
  <c r="G19" i="12" a="1"/>
  <c r="G19" i="12" s="1"/>
  <c r="G28" i="12" a="1"/>
  <c r="G28" i="12" s="1"/>
  <c r="G20" i="12" a="1"/>
  <c r="G20" i="12" s="1"/>
  <c r="G33" i="12" a="1"/>
  <c r="G33" i="12" s="1"/>
  <c r="G36" i="12" a="1"/>
  <c r="G36" i="12" s="1"/>
  <c r="G37" i="12" a="1"/>
  <c r="G37" i="12" s="1"/>
  <c r="G31" i="12" a="1"/>
  <c r="G31" i="12" s="1"/>
  <c r="G35" i="12" a="1"/>
  <c r="G35" i="12" s="1"/>
  <c r="G18" i="12" a="1"/>
  <c r="G18" i="12" s="1"/>
  <c r="G29" i="12" a="1"/>
  <c r="G29" i="12" s="1"/>
  <c r="G34" i="12" a="1"/>
  <c r="G34" i="12" s="1"/>
  <c r="G26" i="12" a="1"/>
  <c r="G26" i="12" s="1"/>
  <c r="G25" i="12" a="1"/>
  <c r="G25" i="12" s="1"/>
  <c r="G30" i="12" a="1"/>
  <c r="G30" i="12" s="1"/>
  <c r="G38" i="12" a="1"/>
  <c r="G38" i="12" s="1"/>
  <c r="G21" i="12" a="1"/>
  <c r="G21" i="12" s="1"/>
  <c r="G22" i="12" a="1"/>
  <c r="G22" i="12" s="1"/>
  <c r="M13" i="7"/>
  <c r="L10" i="7"/>
  <c r="N13" i="7" l="1"/>
  <c r="M10" i="7"/>
  <c r="I23" i="5" l="1"/>
  <c r="O13" i="7"/>
  <c r="N10" i="7"/>
  <c r="P13" i="7" l="1"/>
  <c r="O10" i="7"/>
  <c r="Q13" i="7" l="1"/>
  <c r="P10" i="7"/>
  <c r="R13" i="7" l="1"/>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C20" i="7" s="1" a="1"/>
  <c r="C20" i="7" s="1"/>
  <c r="B20" i="7" s="1"/>
  <c r="B18" i="7"/>
  <c r="B19" i="10"/>
  <c r="B20" i="10" s="1"/>
  <c r="C20" i="10" s="1"/>
  <c r="A20" i="10" s="1"/>
  <c r="N14" i="6"/>
  <c r="B19" i="7" l="1"/>
  <c r="U1" i="7" a="1"/>
  <c r="U1" i="7" s="1"/>
  <c r="W1" i="7" a="1"/>
  <c r="W1" i="7" s="1"/>
  <c r="Y1" i="7" a="1"/>
  <c r="Y1" i="7" s="1"/>
  <c r="S1" i="7" a="1"/>
  <c r="S1" i="7" s="1"/>
  <c r="T1" i="7" a="1"/>
  <c r="T1" i="7" s="1"/>
  <c r="V1" i="7" a="1"/>
  <c r="V1" i="7" s="1"/>
  <c r="X1" i="7" a="1"/>
  <c r="X1" i="7" s="1"/>
  <c r="R1" i="7" l="1" a="1"/>
  <c r="R1" i="7" s="1"/>
  <c r="M1" i="7" a="1"/>
  <c r="M1" i="7" s="1"/>
  <c r="P1" i="7" a="1"/>
  <c r="P1" i="7" s="1"/>
  <c r="Q1" i="7" a="1"/>
  <c r="Q1" i="7" s="1"/>
  <c r="O1" i="7" a="1"/>
  <c r="O1" i="7" s="1"/>
  <c r="N1" i="7" a="1"/>
  <c r="N1" i="7" s="1"/>
  <c r="A10" i="9" l="1"/>
  <c r="F15" i="7" a="1"/>
  <c r="F15" i="7" s="1"/>
  <c r="I15" i="7" l="1"/>
  <c r="J15" i="7"/>
  <c r="J1" i="7" a="1"/>
  <c r="J1" i="7" s="1"/>
  <c r="Q15" i="7"/>
  <c r="Q14" i="7" s="1"/>
  <c r="L1" i="7" a="1"/>
  <c r="L1" i="7" s="1"/>
  <c r="L15" i="7"/>
  <c r="K15" i="7"/>
  <c r="K1" i="7" a="1"/>
  <c r="K1" i="7" s="1"/>
  <c r="L14" i="7" l="1"/>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H15" i="7" l="1"/>
  <c r="E15" i="7"/>
  <c r="AO12" i="13" l="1"/>
  <c r="AL12" i="13"/>
  <c r="AN12" i="13" l="1" a="1"/>
  <c r="AN12" i="13" s="1"/>
  <c r="AK12" i="13" a="1"/>
  <c r="AK12" i="13" s="1"/>
  <c r="AJ12" i="13" a="1"/>
  <c r="AJ12" i="13" s="1"/>
  <c r="O15" i="12" l="1"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I1" i="7" l="1" a="1"/>
  <c r="I1" i="7" s="1"/>
  <c r="F1" i="7" l="1"/>
  <c r="E1" i="7" a="1"/>
  <c r="E1" i="7" s="1"/>
  <c r="H1" i="7" a="1"/>
  <c r="H1" i="7" s="1"/>
  <c r="I14" i="7"/>
  <c r="F14" i="7" l="1"/>
  <c r="G20" i="7" s="1"/>
  <c r="H14" i="7"/>
  <c r="E14" i="7"/>
  <c r="G17" i="7" l="1"/>
  <c r="G19" i="7"/>
  <c r="G16" i="7"/>
  <c r="G18" i="7"/>
  <c r="G1" i="7"/>
  <c r="F6" i="7" l="1"/>
  <c r="D1" i="2"/>
  <c r="J10" i="13" l="1"/>
  <c r="C10" i="7" l="1"/>
  <c r="L39" i="6" l="1"/>
  <c r="A5" i="5"/>
  <c r="J34" i="5" l="1"/>
  <c r="K34" i="5"/>
  <c r="K29" i="5"/>
  <c r="J29" i="5"/>
  <c r="J25" i="5"/>
  <c r="K25" i="5"/>
  <c r="F23" i="8" a="1"/>
  <c r="F23" i="8" s="1"/>
  <c r="F17" i="8" a="1"/>
  <c r="F17" i="8" s="1"/>
  <c r="F18" i="8" s="1"/>
  <c r="F20" i="8" a="1"/>
  <c r="F20" i="8" s="1"/>
  <c r="F26" i="8" a="1"/>
  <c r="F26" i="8" s="1"/>
  <c r="F14" i="8" a="1"/>
  <c r="F14" i="8" s="1"/>
  <c r="F15"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D34" i="5" l="1"/>
  <c r="D29" i="5"/>
  <c r="D25" i="5"/>
  <c r="B25" i="12" s="1"/>
  <c r="B20" i="13"/>
  <c r="AG20" i="13" s="1" a="1"/>
  <c r="AG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AF17" i="13" s="1" a="1"/>
  <c r="AF17" i="13" s="1"/>
  <c r="B12" i="13"/>
  <c r="AM12" i="13" s="1" a="1"/>
  <c r="AM12" i="13" s="1"/>
  <c r="C20" i="13"/>
  <c r="K20" i="11" a="1"/>
  <c r="K20" i="11" s="1"/>
  <c r="J20" i="13" s="1"/>
  <c r="G20" i="11"/>
  <c r="F20" i="13" s="1"/>
  <c r="O20" i="11" a="1"/>
  <c r="O20" i="11" s="1"/>
  <c r="AB20" i="11" a="1"/>
  <c r="AB20" i="11" s="1"/>
  <c r="N20" i="11" s="1"/>
  <c r="AA20" i="11" a="1"/>
  <c r="AA20" i="11" s="1"/>
  <c r="B21" i="13"/>
  <c r="AC21" i="13" s="1" a="1"/>
  <c r="AC21" i="13" s="1"/>
  <c r="B19" i="13"/>
  <c r="AG19" i="13" s="1" a="1"/>
  <c r="AG19" i="13" s="1"/>
  <c r="B16" i="13"/>
  <c r="AC16" i="13" s="1" a="1"/>
  <c r="AC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D22" i="13" s="1" a="1"/>
  <c r="AD22" i="13" s="1"/>
  <c r="B15" i="13"/>
  <c r="AC15" i="13" s="1" a="1"/>
  <c r="AC15" i="13" s="1"/>
  <c r="N1" i="8"/>
  <c r="M1" i="8"/>
  <c r="O1" i="8"/>
  <c r="Q1" i="8"/>
  <c r="J1" i="8"/>
  <c r="P1" i="8"/>
  <c r="I1" i="8"/>
  <c r="S1" i="8"/>
  <c r="B18" i="13"/>
  <c r="AG18" i="13" s="1" a="1"/>
  <c r="AG18" i="13" s="1"/>
  <c r="D16" i="5"/>
  <c r="AA15" i="11" a="1"/>
  <c r="AA15" i="11" s="1"/>
  <c r="G15" i="11"/>
  <c r="F15" i="13" s="1"/>
  <c r="C15" i="13"/>
  <c r="O15" i="11" a="1"/>
  <c r="O15" i="11" s="1"/>
  <c r="AB15" i="11" a="1"/>
  <c r="AB15" i="11" s="1"/>
  <c r="N15" i="11" s="1"/>
  <c r="K15" i="11" a="1"/>
  <c r="K15" i="11" s="1"/>
  <c r="J15" i="13" s="1"/>
  <c r="F10" i="8" a="1"/>
  <c r="F10" i="8" s="1"/>
  <c r="B23" i="13"/>
  <c r="AE23" i="13" s="1"/>
  <c r="D17" i="5"/>
  <c r="Z31" i="8" l="1" a="1"/>
  <c r="Z31" i="8" s="1"/>
  <c r="AA31" i="8" a="1"/>
  <c r="AA31" i="8" s="1"/>
  <c r="E31" i="8" a="1"/>
  <c r="E31" i="8" s="1"/>
  <c r="AF31" i="8" a="1"/>
  <c r="AF31" i="8" s="1"/>
  <c r="X31" i="8" a="1"/>
  <c r="X31" i="8" s="1"/>
  <c r="Y31" i="8" a="1"/>
  <c r="Y31" i="8" s="1"/>
  <c r="AD31" i="8" a="1"/>
  <c r="AD31" i="8" s="1"/>
  <c r="V31" i="8" a="1"/>
  <c r="V31" i="8" s="1"/>
  <c r="AE31" i="8" a="1"/>
  <c r="AE31" i="8" s="1"/>
  <c r="AB31" i="8" a="1"/>
  <c r="AB31" i="8" s="1"/>
  <c r="AC31" i="8" a="1"/>
  <c r="AC31" i="8" s="1"/>
  <c r="U31" i="8" a="1"/>
  <c r="U31" i="8" s="1"/>
  <c r="B34" i="12"/>
  <c r="B29" i="12"/>
  <c r="AD20" i="13" a="1"/>
  <c r="AD20" i="13" s="1"/>
  <c r="AE20" i="13"/>
  <c r="AH12"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Q17" i="8"/>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P22" i="11"/>
  <c r="L22" i="13"/>
  <c r="C22" i="11"/>
  <c r="Z22" i="11"/>
  <c r="AE16" i="13"/>
  <c r="AE21" i="13"/>
  <c r="AD12" i="13" a="1"/>
  <c r="AD12" i="13" s="1"/>
  <c r="K16" i="13" a="1"/>
  <c r="K16" i="13" s="1"/>
  <c r="U16" i="13"/>
  <c r="T16" i="13"/>
  <c r="M16" i="13"/>
  <c r="R16" i="13"/>
  <c r="O16" i="13"/>
  <c r="S16" i="13"/>
  <c r="AH16" i="13"/>
  <c r="AC19" i="13" a="1"/>
  <c r="AC19" i="13" s="1"/>
  <c r="AH21" i="13"/>
  <c r="AG12" i="13" a="1"/>
  <c r="AG12" i="13" s="1"/>
  <c r="Z21" i="11"/>
  <c r="C21" i="11"/>
  <c r="L21" i="13"/>
  <c r="P21" i="11"/>
  <c r="C18" i="11"/>
  <c r="L18" i="13"/>
  <c r="Z18" i="11"/>
  <c r="P18" i="11"/>
  <c r="AF16" i="13" a="1"/>
  <c r="AF16" i="13" s="1"/>
  <c r="AC12" i="13" a="1"/>
  <c r="AC12" i="13" s="1"/>
  <c r="O12" i="13"/>
  <c r="K12" i="13" a="1"/>
  <c r="K12" i="13" s="1"/>
  <c r="R12" i="13"/>
  <c r="S12" i="13"/>
  <c r="M12" i="13"/>
  <c r="U12" i="13"/>
  <c r="T12" i="13"/>
  <c r="AD19" i="13" a="1"/>
  <c r="AD19" i="13" s="1"/>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AG21" i="13" a="1"/>
  <c r="AG21" i="13" s="1"/>
  <c r="K20" i="13" a="1"/>
  <c r="K20" i="13" s="1"/>
  <c r="U20" i="13"/>
  <c r="T20" i="13"/>
  <c r="S20" i="13"/>
  <c r="R20" i="13"/>
  <c r="O20" i="13"/>
  <c r="M20" i="13"/>
  <c r="A14" i="8"/>
  <c r="S16" i="8"/>
  <c r="B16" i="12"/>
  <c r="B14" i="13"/>
  <c r="D15" i="5"/>
  <c r="AC22" i="13" a="1"/>
  <c r="AC22" i="13" s="1"/>
  <c r="AG22" i="13" a="1"/>
  <c r="AG22" i="13" s="1"/>
  <c r="AF21" i="13" a="1"/>
  <c r="AF21" i="13" s="1"/>
  <c r="AF12" i="13" a="1"/>
  <c r="AF12" i="13" s="1"/>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Z15" i="11"/>
  <c r="C15" i="11"/>
  <c r="L15" i="13"/>
  <c r="P15" i="11"/>
  <c r="AD16" i="13" a="1"/>
  <c r="AD16" i="13" s="1"/>
  <c r="R15" i="13"/>
  <c r="O15" i="13"/>
  <c r="M15" i="13"/>
  <c r="K15" i="13" a="1"/>
  <c r="K15" i="13" s="1"/>
  <c r="U15" i="13"/>
  <c r="T15" i="13"/>
  <c r="S15" i="13"/>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P15" i="13"/>
  <c r="N15" i="13"/>
  <c r="N16" i="13"/>
  <c r="P16" i="13"/>
  <c r="D22" i="13"/>
  <c r="D19" i="13"/>
  <c r="J20" i="8"/>
  <c r="M20" i="8"/>
  <c r="P21" i="13"/>
  <c r="N21" i="13"/>
  <c r="D23" i="13"/>
  <c r="D21" i="13"/>
  <c r="D16" i="13"/>
  <c r="D15" i="13"/>
  <c r="D12" i="13"/>
  <c r="V12" i="13"/>
  <c r="N18" i="13"/>
  <c r="P18" i="13"/>
  <c r="P20" i="13"/>
  <c r="N20" i="13"/>
  <c r="Q20" i="8" l="1"/>
  <c r="S22" i="8"/>
  <c r="F24" i="8"/>
  <c r="P20" i="8"/>
  <c r="M23" i="8" l="1"/>
  <c r="J23" i="8"/>
  <c r="Q23" i="8" l="1"/>
  <c r="P23" i="8"/>
  <c r="S25" i="8"/>
  <c r="F27" i="8"/>
  <c r="M26" i="8" l="1"/>
  <c r="J26" i="8"/>
  <c r="S28" i="8" l="1"/>
  <c r="Q26" i="8"/>
  <c r="P26" i="8"/>
  <c r="C17" i="9" l="1"/>
  <c r="F17" i="9" s="1"/>
  <c r="C16" i="9"/>
  <c r="F16" i="9" s="1"/>
  <c r="A16" i="9"/>
  <c r="A17" i="9"/>
  <c r="A19" i="9"/>
  <c r="A18" i="9"/>
  <c r="C18" i="9"/>
  <c r="F18" i="9" s="1"/>
  <c r="C19" i="9"/>
  <c r="F19" i="9" s="1"/>
  <c r="C16" i="10"/>
  <c r="A16" i="10" s="1"/>
  <c r="C18" i="10"/>
  <c r="A18" i="10" s="1"/>
  <c r="C17" i="10"/>
  <c r="A17" i="10" s="1"/>
  <c r="C19" i="10"/>
  <c r="A19" i="10" s="1"/>
  <c r="A1" i="9"/>
  <c r="A15" i="9"/>
  <c r="M12" i="6" a="1"/>
  <c r="M12" i="6" s="1"/>
  <c r="C1" i="9"/>
  <c r="F1" i="9" s="1"/>
  <c r="C1" i="10"/>
  <c r="A1" i="10" s="1"/>
  <c r="AI15" i="6"/>
  <c r="X15" i="6" s="1"/>
  <c r="X11" i="6" s="1"/>
  <c r="AK15" i="6"/>
  <c r="Z15" i="6" s="1"/>
  <c r="Z11" i="6" s="1"/>
  <c r="AF15" i="6"/>
  <c r="U15" i="6" s="1"/>
  <c r="U11" i="6" s="1"/>
  <c r="AH15" i="6"/>
  <c r="W15" i="6" s="1"/>
  <c r="W11" i="6" s="1"/>
  <c r="AG15" i="6"/>
  <c r="V15" i="6" s="1"/>
  <c r="V11" i="6" s="1"/>
  <c r="AJ15" i="6"/>
  <c r="Y15" i="6" s="1"/>
  <c r="Y11" i="6" s="1"/>
  <c r="AE15" i="6"/>
  <c r="T15" i="6" s="1"/>
  <c r="T11" i="6" s="1"/>
  <c r="D8" i="9" l="1"/>
  <c r="F43" i="8" s="1"/>
  <c r="A11" i="12" s="1"/>
  <c r="P11" i="12" s="1"/>
  <c r="O11" i="12" s="1"/>
  <c r="N14" i="8"/>
  <c r="R14" i="8" s="1"/>
  <c r="N23" i="8"/>
  <c r="N17" i="8"/>
  <c r="N20" i="8"/>
  <c r="AH14" i="13"/>
  <c r="O14" i="13" s="1"/>
  <c r="AE14" i="13"/>
  <c r="M14" i="13" s="1"/>
  <c r="M28" i="13" s="1"/>
  <c r="N26" i="8"/>
  <c r="I29" i="10" a="1"/>
  <c r="I29" i="10" s="1"/>
  <c r="U29" i="10" a="1"/>
  <c r="U29" i="10" s="1"/>
  <c r="M29" i="10" a="1"/>
  <c r="M29" i="10" s="1"/>
  <c r="Y29" i="10" a="1"/>
  <c r="Y29" i="10" s="1"/>
  <c r="AC29" i="10" a="1"/>
  <c r="AC29" i="10" s="1"/>
  <c r="O29" i="10" a="1"/>
  <c r="O29" i="10" s="1"/>
  <c r="S29" i="10" a="1"/>
  <c r="S29" i="10" s="1"/>
  <c r="Q29" i="10" a="1"/>
  <c r="Q29" i="10" s="1"/>
  <c r="W29" i="10" a="1"/>
  <c r="W29" i="10" s="1"/>
  <c r="AA29" i="10" a="1"/>
  <c r="AA29" i="10" s="1"/>
  <c r="AE29" i="10" a="1"/>
  <c r="AE29" i="10" s="1"/>
  <c r="K29" i="10" a="1"/>
  <c r="K29" i="10" s="1"/>
  <c r="D14" i="8" l="1"/>
  <c r="F16" i="8"/>
  <c r="C14" i="8"/>
  <c r="N14" i="13"/>
  <c r="AA27" i="10"/>
  <c r="O28" i="13"/>
  <c r="D53" i="2" s="1" a="1"/>
  <c r="D53" i="2" s="1"/>
  <c r="AE27" i="10"/>
  <c r="K27" i="10"/>
  <c r="W27" i="10"/>
  <c r="Q27" i="10"/>
  <c r="S27" i="10"/>
  <c r="AC27" i="10"/>
  <c r="Y27" i="10"/>
  <c r="O27" i="10"/>
  <c r="M27" i="10"/>
  <c r="U27" i="10"/>
  <c r="I27" i="10" a="1"/>
  <c r="I27" i="10" s="1"/>
  <c r="D52" i="2" l="1" a="1"/>
  <c r="D52" i="2" s="1"/>
  <c r="D54" i="2" a="1"/>
  <c r="D54" i="2" s="1"/>
  <c r="N28" i="13"/>
  <c r="E33" i="14" s="1"/>
  <c r="D47" i="2" a="1"/>
  <c r="D47" i="2" s="1"/>
  <c r="F33" i="14"/>
  <c r="D51" i="2" a="1"/>
  <c r="D51" i="2" s="1"/>
  <c r="D48" i="2" a="1"/>
  <c r="D48" i="2" s="1"/>
  <c r="AD6" i="13"/>
  <c r="AE6" i="13" s="1"/>
  <c r="D50" i="2" l="1"/>
  <c r="S33" i="10" s="1"/>
  <c r="D46" i="2"/>
  <c r="J49" i="12" l="1"/>
  <c r="O26" i="8"/>
  <c r="R26" i="8" s="1"/>
  <c r="F28" i="8" l="1"/>
  <c r="O20" i="8"/>
  <c r="R20" i="8" s="1"/>
  <c r="O23" i="8"/>
  <c r="R23" i="8" s="1"/>
  <c r="O17" i="8"/>
  <c r="R17" i="8" s="1"/>
  <c r="AC28" i="8" l="1" a="1"/>
  <c r="AC28" i="8" s="1"/>
  <c r="Y28" i="8" a="1"/>
  <c r="Y28" i="8" s="1"/>
  <c r="AE28" i="8" a="1"/>
  <c r="AE28" i="8" s="1"/>
  <c r="AB28" i="8" a="1"/>
  <c r="AB28" i="8" s="1"/>
  <c r="AF28" i="8" a="1"/>
  <c r="AF28" i="8" s="1"/>
  <c r="AD28" i="8" a="1"/>
  <c r="AD28" i="8" s="1"/>
  <c r="Z28" i="8" a="1"/>
  <c r="Z28" i="8" s="1"/>
  <c r="X28" i="8" a="1"/>
  <c r="X28" i="8" s="1"/>
  <c r="AA28" i="8" a="1"/>
  <c r="AA28" i="8" s="1"/>
  <c r="F22" i="8"/>
  <c r="AA22" i="8" s="1" a="1"/>
  <c r="AA22" i="8" s="1"/>
  <c r="F25" i="8"/>
  <c r="F19" i="8"/>
  <c r="AC19" i="8" s="1" a="1"/>
  <c r="AC19" i="8" s="1"/>
  <c r="Z22" i="8" l="1" a="1"/>
  <c r="Z22" i="8" s="1"/>
  <c r="AA25" i="8" a="1"/>
  <c r="AA25" i="8" s="1"/>
  <c r="AC25" i="8" a="1"/>
  <c r="AC25" i="8" s="1"/>
  <c r="AD22" i="8" a="1"/>
  <c r="AD22" i="8" s="1"/>
  <c r="AE25" i="8" a="1"/>
  <c r="AE25" i="8" s="1"/>
  <c r="AF22" i="8" a="1"/>
  <c r="AF22" i="8" s="1"/>
  <c r="AB19" i="8" a="1"/>
  <c r="AB19" i="8" s="1"/>
  <c r="AF25" i="8" a="1"/>
  <c r="AF25" i="8" s="1"/>
  <c r="Z25" i="8" a="1"/>
  <c r="Z25" i="8" s="1"/>
  <c r="X25" i="8" a="1"/>
  <c r="X25" i="8" s="1"/>
  <c r="AD25" i="8" a="1"/>
  <c r="AD25" i="8" s="1"/>
  <c r="AB25" i="8" a="1"/>
  <c r="AB25" i="8" s="1"/>
  <c r="Y25" i="8" a="1"/>
  <c r="Y25" i="8" s="1"/>
  <c r="Y22" i="8" a="1"/>
  <c r="Y22" i="8" s="1"/>
  <c r="AE22" i="8" a="1"/>
  <c r="AE22" i="8" s="1"/>
  <c r="X22" i="8" a="1"/>
  <c r="X22" i="8" s="1"/>
  <c r="AB22" i="8" a="1"/>
  <c r="AB22" i="8" s="1"/>
  <c r="AC22" i="8" a="1"/>
  <c r="AC22" i="8" s="1"/>
  <c r="Y19" i="8" a="1"/>
  <c r="Y19" i="8" s="1"/>
  <c r="AE19" i="8" a="1"/>
  <c r="AE19" i="8" s="1"/>
  <c r="X19" i="8" a="1"/>
  <c r="X19" i="8" s="1"/>
  <c r="AF19" i="8" a="1"/>
  <c r="AF19" i="8" s="1"/>
  <c r="AD19" i="8" a="1"/>
  <c r="AD19" i="8" s="1"/>
  <c r="Z19" i="8" a="1"/>
  <c r="Z19" i="8" s="1"/>
  <c r="AA19" i="8" a="1"/>
  <c r="AA19" i="8" s="1"/>
  <c r="I34" i="5" l="1"/>
  <c r="F36" i="12" l="1" a="1"/>
  <c r="F36" i="12" s="1"/>
  <c r="F32" i="12" a="1"/>
  <c r="F32" i="12" s="1"/>
  <c r="F20" i="12" a="1"/>
  <c r="F20" i="12" s="1"/>
  <c r="F18" i="12" a="1"/>
  <c r="F18" i="12" s="1"/>
  <c r="F22" i="12" a="1"/>
  <c r="F22" i="12" s="1"/>
  <c r="F37" i="12" a="1"/>
  <c r="F37" i="12" s="1"/>
  <c r="F30" i="12" a="1"/>
  <c r="F30" i="12" s="1"/>
  <c r="F24" i="12" a="1"/>
  <c r="F24" i="12" s="1"/>
  <c r="F28" i="12" a="1"/>
  <c r="F28" i="12" s="1"/>
  <c r="F35" i="12" a="1"/>
  <c r="F35" i="12" s="1"/>
  <c r="F21" i="12" a="1"/>
  <c r="F21" i="12" s="1"/>
  <c r="F38" i="12" a="1"/>
  <c r="F38" i="12" s="1"/>
  <c r="F33" i="12" a="1"/>
  <c r="F33" i="12" s="1"/>
  <c r="F19" i="12" a="1"/>
  <c r="F19" i="12" s="1"/>
  <c r="H35" i="12" l="1" a="1"/>
  <c r="H35" i="12" s="1"/>
  <c r="H19" i="12" a="1"/>
  <c r="H19" i="12" s="1"/>
  <c r="H28" i="12" a="1"/>
  <c r="H28" i="12" s="1"/>
  <c r="H21" i="12" a="1"/>
  <c r="H21" i="12" s="1"/>
  <c r="H27" i="12" a="1"/>
  <c r="H27" i="12" s="1"/>
  <c r="H36" i="12" a="1"/>
  <c r="H36" i="12" s="1"/>
  <c r="H31" i="12" a="1"/>
  <c r="H31" i="12" s="1"/>
  <c r="H22" i="12" a="1"/>
  <c r="H22" i="12" s="1"/>
  <c r="H20" i="12" a="1"/>
  <c r="H20" i="12" s="1"/>
  <c r="H26" i="12" a="1"/>
  <c r="H26" i="12" s="1"/>
  <c r="H18" i="12" a="1"/>
  <c r="H18" i="12" s="1"/>
  <c r="H24" i="12" l="1" a="1"/>
  <c r="H24" i="12" s="1"/>
  <c r="H33" i="12" l="1" a="1"/>
  <c r="H33" i="12" s="1"/>
  <c r="H37" i="12" a="1"/>
  <c r="H37" i="12" s="1"/>
  <c r="H30" i="12" a="1"/>
  <c r="H30" i="12" s="1"/>
  <c r="H38" i="12" a="1"/>
  <c r="H38" i="12" s="1"/>
  <c r="H32" i="12" a="1"/>
  <c r="H32" i="12" s="1"/>
  <c r="W26" i="5" l="1" a="1"/>
  <c r="W26" i="5" s="1"/>
  <c r="W20" i="5" a="1"/>
  <c r="W20" i="5" s="1"/>
  <c r="W31" i="5" a="1"/>
  <c r="W31" i="5" s="1"/>
  <c r="W27" i="5" a="1"/>
  <c r="W27" i="5" s="1"/>
  <c r="W19" i="5" a="1"/>
  <c r="W19" i="5" s="1"/>
  <c r="W35" i="5" a="1"/>
  <c r="W35" i="5" s="1"/>
  <c r="W28" i="5" a="1"/>
  <c r="W28" i="5" s="1"/>
  <c r="W22" i="5" a="1"/>
  <c r="W22" i="5" s="1"/>
  <c r="W18" i="5" a="1"/>
  <c r="W18" i="5" s="1"/>
  <c r="W36" i="5" a="1"/>
  <c r="W36" i="5" s="1"/>
  <c r="W21" i="5" a="1"/>
  <c r="W21" i="5" s="1"/>
  <c r="AF37" i="5" a="1"/>
  <c r="AF30" i="5" a="1"/>
  <c r="AF18" i="5" a="1"/>
  <c r="AF19" i="5" a="1"/>
  <c r="AF27" i="5" a="1"/>
  <c r="AF26" i="5" a="1"/>
  <c r="AF31" i="5" a="1"/>
  <c r="AF32" i="5" a="1"/>
  <c r="AF35" i="5" a="1"/>
  <c r="AF33" i="5" a="1"/>
  <c r="AF21" i="5" a="1"/>
  <c r="AF22" i="5" a="1"/>
  <c r="AF20" i="5" a="1"/>
  <c r="AF28" i="5" a="1"/>
  <c r="AF38" i="5" a="1"/>
  <c r="AF24" i="5" a="1"/>
  <c r="AF36" i="5" a="1"/>
  <c r="AF36" i="5" l="1"/>
  <c r="AF24" i="5"/>
  <c r="AF38" i="5"/>
  <c r="AF28" i="5"/>
  <c r="AF20" i="5"/>
  <c r="AF22" i="5"/>
  <c r="AF21" i="5"/>
  <c r="AF33" i="5"/>
  <c r="AF35" i="5"/>
  <c r="AF32" i="5"/>
  <c r="AF31" i="5"/>
  <c r="AF26" i="5"/>
  <c r="AF27" i="5"/>
  <c r="AF19" i="5"/>
  <c r="AF18" i="5"/>
  <c r="AF30" i="5"/>
  <c r="AF37" i="5"/>
  <c r="AB28" i="6"/>
  <c r="AC28" i="6"/>
  <c r="AD28" i="6"/>
  <c r="AB31" i="6"/>
  <c r="AC31" i="6"/>
  <c r="AD31" i="6"/>
  <c r="AB22" i="6"/>
  <c r="AC22" i="6"/>
  <c r="AD22" i="6"/>
  <c r="AC35" i="6"/>
  <c r="AB35" i="6"/>
  <c r="AD35" i="6"/>
  <c r="AD20" i="6"/>
  <c r="AB20" i="6"/>
  <c r="AC20" i="6"/>
  <c r="AC36" i="6"/>
  <c r="AB36" i="6"/>
  <c r="AD36" i="6"/>
  <c r="AC19" i="6"/>
  <c r="AB19" i="6"/>
  <c r="AD19" i="6"/>
  <c r="AD26" i="6"/>
  <c r="AC26" i="6"/>
  <c r="AB26" i="6"/>
  <c r="AC18" i="6"/>
  <c r="AD18" i="6"/>
  <c r="AB18" i="6"/>
  <c r="AD27" i="6"/>
  <c r="AB27" i="6"/>
  <c r="AC27" i="6"/>
  <c r="AD21" i="6"/>
  <c r="AB21" i="6"/>
  <c r="AC21" i="6"/>
  <c r="W24" i="5" a="1"/>
  <c r="W24" i="5" s="1"/>
  <c r="S30" i="5" l="1" a="1"/>
  <c r="S30" i="5" s="1"/>
  <c r="G30" i="6" s="1"/>
  <c r="R30" i="5" a="1"/>
  <c r="R30" i="5" s="1"/>
  <c r="AG30" i="5" a="1"/>
  <c r="AG30" i="5" s="1"/>
  <c r="U30" i="5" s="1"/>
  <c r="R26" i="5" a="1"/>
  <c r="R26" i="5" s="1"/>
  <c r="AG26" i="5" a="1"/>
  <c r="AG26" i="5" s="1"/>
  <c r="U26" i="5" s="1"/>
  <c r="AN26" i="5" s="1" a="1"/>
  <c r="AN26" i="5" s="1"/>
  <c r="R33" i="5" a="1"/>
  <c r="R33" i="5" s="1"/>
  <c r="S33" i="5" a="1"/>
  <c r="S33" i="5" s="1"/>
  <c r="G33" i="6" s="1"/>
  <c r="AG33" i="5" a="1"/>
  <c r="AG33" i="5" s="1"/>
  <c r="U33" i="5" s="1"/>
  <c r="AG28" i="5" a="1"/>
  <c r="AG28" i="5" s="1"/>
  <c r="U28" i="5" s="1"/>
  <c r="AN28" i="5" s="1" a="1"/>
  <c r="AN28" i="5" s="1"/>
  <c r="R28" i="5" a="1"/>
  <c r="R28" i="5" s="1"/>
  <c r="S28" i="5" a="1"/>
  <c r="S28" i="5" s="1"/>
  <c r="G28" i="6" s="1"/>
  <c r="S18" i="5" a="1"/>
  <c r="S18" i="5" s="1"/>
  <c r="G18" i="6" s="1"/>
  <c r="R18" i="5" a="1"/>
  <c r="R18" i="5" s="1"/>
  <c r="AG18" i="5" a="1"/>
  <c r="AG18" i="5" s="1"/>
  <c r="U18" i="5" s="1"/>
  <c r="AN18" i="5" s="1" a="1"/>
  <c r="AN18" i="5" s="1"/>
  <c r="AG31" i="5" a="1"/>
  <c r="AG31" i="5" s="1"/>
  <c r="U31" i="5" s="1"/>
  <c r="AN31" i="5" s="1" a="1"/>
  <c r="AN31" i="5" s="1"/>
  <c r="R31" i="5" a="1"/>
  <c r="R31" i="5" s="1"/>
  <c r="S21" i="5" a="1"/>
  <c r="S21" i="5" s="1"/>
  <c r="G21" i="6" s="1"/>
  <c r="R21" i="5" a="1"/>
  <c r="R21" i="5" s="1"/>
  <c r="AG21" i="5" a="1"/>
  <c r="AG21" i="5" s="1"/>
  <c r="U21" i="5" s="1"/>
  <c r="AN21" i="5" s="1" a="1"/>
  <c r="AN21" i="5" s="1"/>
  <c r="R38" i="5" a="1"/>
  <c r="R38" i="5" s="1"/>
  <c r="S38" i="5" a="1"/>
  <c r="S38" i="5" s="1"/>
  <c r="G38" i="6" s="1"/>
  <c r="AG38" i="5" a="1"/>
  <c r="AG38" i="5" s="1"/>
  <c r="U38" i="5" s="1"/>
  <c r="AG19" i="5" a="1"/>
  <c r="AG19" i="5" s="1"/>
  <c r="U19" i="5" s="1"/>
  <c r="AN19" i="5" s="1" a="1"/>
  <c r="AN19" i="5" s="1"/>
  <c r="R19" i="5" a="1"/>
  <c r="R19" i="5" s="1"/>
  <c r="S19" i="5" a="1"/>
  <c r="S19" i="5" s="1"/>
  <c r="G19" i="6" s="1"/>
  <c r="R32" i="5" a="1"/>
  <c r="R32" i="5" s="1"/>
  <c r="S32" i="5" a="1"/>
  <c r="S32" i="5" s="1"/>
  <c r="G32" i="6" s="1"/>
  <c r="AG32" i="5" a="1"/>
  <c r="AG32" i="5" s="1"/>
  <c r="U32" i="5" s="1"/>
  <c r="R22" i="5" a="1"/>
  <c r="R22" i="5" s="1"/>
  <c r="AG22" i="5" a="1"/>
  <c r="AG22" i="5" s="1"/>
  <c r="U22" i="5" s="1"/>
  <c r="AN22" i="5" s="1" a="1"/>
  <c r="AN22" i="5" s="1"/>
  <c r="S22" i="5" a="1"/>
  <c r="S22" i="5" s="1"/>
  <c r="G22" i="6" s="1"/>
  <c r="S24" i="5" a="1"/>
  <c r="S24" i="5" s="1"/>
  <c r="G24" i="6" s="1"/>
  <c r="R24" i="5" a="1"/>
  <c r="R24" i="5" s="1"/>
  <c r="AG24" i="5" a="1"/>
  <c r="AG24" i="5" s="1"/>
  <c r="U24" i="5" s="1"/>
  <c r="AN24" i="5" s="1" a="1"/>
  <c r="AN24" i="5" s="1"/>
  <c r="S37" i="5" a="1"/>
  <c r="S37" i="5" s="1"/>
  <c r="G37" i="6" s="1"/>
  <c r="R37" i="5" a="1"/>
  <c r="R37" i="5" s="1"/>
  <c r="AG37" i="5" a="1"/>
  <c r="AG37" i="5" s="1"/>
  <c r="U37" i="5" s="1"/>
  <c r="AG27" i="5" a="1"/>
  <c r="AG27" i="5" s="1"/>
  <c r="U27" i="5" s="1"/>
  <c r="AN27" i="5" s="1" a="1"/>
  <c r="AN27" i="5" s="1"/>
  <c r="R27" i="5" a="1"/>
  <c r="R27" i="5" s="1"/>
  <c r="AG35" i="5" a="1"/>
  <c r="AG35" i="5" s="1"/>
  <c r="U35" i="5" s="1"/>
  <c r="AN35" i="5" s="1" a="1"/>
  <c r="AN35" i="5" s="1"/>
  <c r="R35" i="5" a="1"/>
  <c r="R35" i="5" s="1"/>
  <c r="S35" i="5" a="1"/>
  <c r="S35" i="5" s="1"/>
  <c r="G35" i="6" s="1"/>
  <c r="S20" i="5" a="1"/>
  <c r="S20" i="5" s="1"/>
  <c r="G20" i="6" s="1"/>
  <c r="AG20" i="5" a="1"/>
  <c r="AG20" i="5" s="1"/>
  <c r="U20" i="5" s="1"/>
  <c r="AN20" i="5" s="1" a="1"/>
  <c r="AN20" i="5" s="1"/>
  <c r="R20" i="5" a="1"/>
  <c r="R20" i="5" s="1"/>
  <c r="S36" i="5" a="1"/>
  <c r="S36" i="5" s="1"/>
  <c r="G36" i="6" s="1"/>
  <c r="R36" i="5" a="1"/>
  <c r="R36" i="5" s="1"/>
  <c r="AG36" i="5" a="1"/>
  <c r="AG36" i="5" s="1"/>
  <c r="U36" i="5" s="1"/>
  <c r="AN36" i="5" s="1" a="1"/>
  <c r="AN36" i="5" s="1"/>
  <c r="X27" i="5" a="1"/>
  <c r="X27" i="5" s="1"/>
  <c r="L27" i="5" s="1"/>
  <c r="X36" i="5" a="1"/>
  <c r="X36" i="5" s="1"/>
  <c r="X28" i="5" a="1"/>
  <c r="X28" i="5" s="1"/>
  <c r="AM28" i="5" s="1"/>
  <c r="Z27" i="5"/>
  <c r="V19" i="8" a="1"/>
  <c r="V19" i="8" s="1"/>
  <c r="L28" i="5"/>
  <c r="AN38" i="5" a="1"/>
  <c r="AN38" i="5" s="1"/>
  <c r="W38" i="5" a="1"/>
  <c r="W38" i="5" s="1"/>
  <c r="X21" i="5" a="1"/>
  <c r="X21" i="5" s="1"/>
  <c r="X26" i="5" a="1"/>
  <c r="X26" i="5" s="1"/>
  <c r="E25" i="8" a="1"/>
  <c r="E25" i="8" s="1"/>
  <c r="U25" i="8" a="1"/>
  <c r="U25" i="8" s="1"/>
  <c r="X19" i="5" a="1"/>
  <c r="X19" i="5" s="1"/>
  <c r="X31" i="5" a="1"/>
  <c r="X31" i="5" s="1"/>
  <c r="W37" i="5" a="1"/>
  <c r="W37" i="5" s="1"/>
  <c r="AN37" i="5" a="1"/>
  <c r="AN37" i="5" s="1"/>
  <c r="AM36" i="5"/>
  <c r="L36" i="5"/>
  <c r="I36" i="12"/>
  <c r="Z36" i="5"/>
  <c r="AC24" i="6"/>
  <c r="V22" i="8" s="1" a="1"/>
  <c r="V22" i="8" s="1"/>
  <c r="AB24" i="6"/>
  <c r="AD24" i="6"/>
  <c r="W22" i="8" s="1" a="1"/>
  <c r="W22" i="8" s="1"/>
  <c r="U19" i="8" a="1"/>
  <c r="U19" i="8" s="1"/>
  <c r="E19" i="8" a="1"/>
  <c r="E19" i="8" s="1"/>
  <c r="X18" i="5" a="1"/>
  <c r="X18" i="5" s="1"/>
  <c r="V25" i="8" a="1"/>
  <c r="V25" i="8" s="1"/>
  <c r="X35" i="5" a="1"/>
  <c r="X35" i="5" s="1"/>
  <c r="X22" i="5" a="1"/>
  <c r="X22" i="5" s="1"/>
  <c r="W32" i="5" a="1"/>
  <c r="W32" i="5" s="1"/>
  <c r="AN32" i="5" a="1"/>
  <c r="AN32" i="5" s="1"/>
  <c r="W19" i="8" a="1"/>
  <c r="W19" i="8" s="1"/>
  <c r="W25" i="8" a="1"/>
  <c r="W25" i="8" s="1"/>
  <c r="X20" i="5" a="1"/>
  <c r="X20" i="5" s="1"/>
  <c r="AN33" i="5" a="1"/>
  <c r="AN33" i="5" s="1"/>
  <c r="W33" i="5" a="1"/>
  <c r="W33" i="5" s="1"/>
  <c r="AN30" i="5" a="1"/>
  <c r="AN30" i="5" s="1"/>
  <c r="W30" i="5" a="1"/>
  <c r="W30" i="5" s="1"/>
  <c r="F37" i="6" l="1"/>
  <c r="E37" i="12"/>
  <c r="E19" i="12"/>
  <c r="F19" i="6"/>
  <c r="F38" i="6"/>
  <c r="E38" i="12"/>
  <c r="E31" i="12"/>
  <c r="F31" i="6"/>
  <c r="F26" i="6"/>
  <c r="E26" i="12"/>
  <c r="E36" i="12"/>
  <c r="F36" i="6"/>
  <c r="F27" i="6"/>
  <c r="E27" i="12"/>
  <c r="Z28" i="5"/>
  <c r="F32" i="6"/>
  <c r="E32" i="12"/>
  <c r="E21" i="12"/>
  <c r="F21" i="6"/>
  <c r="E28" i="12"/>
  <c r="F28" i="6"/>
  <c r="F33" i="6"/>
  <c r="E33" i="12"/>
  <c r="E30" i="12"/>
  <c r="F30" i="6"/>
  <c r="E20" i="12"/>
  <c r="F20" i="6"/>
  <c r="F35" i="6"/>
  <c r="E35" i="12"/>
  <c r="E24" i="12"/>
  <c r="F24" i="6"/>
  <c r="E22" i="12"/>
  <c r="F22" i="6"/>
  <c r="E18" i="12"/>
  <c r="F18" i="6"/>
  <c r="I28" i="12"/>
  <c r="O28" i="12" s="1" a="1"/>
  <c r="O28" i="12" s="1"/>
  <c r="I27" i="12"/>
  <c r="AM27" i="5"/>
  <c r="Z31" i="5"/>
  <c r="AM31" i="5"/>
  <c r="I31" i="12"/>
  <c r="L31" i="5"/>
  <c r="AB38" i="6"/>
  <c r="AD38" i="6"/>
  <c r="AC38" i="6"/>
  <c r="AB33" i="6"/>
  <c r="AD33" i="6"/>
  <c r="AC33" i="6"/>
  <c r="AB36" i="5" a="1"/>
  <c r="AB36" i="5" s="1"/>
  <c r="AM26" i="5"/>
  <c r="L26" i="5"/>
  <c r="X25" i="5" a="1"/>
  <c r="X25" i="5" s="1"/>
  <c r="I26" i="12"/>
  <c r="Z26" i="5"/>
  <c r="AB27" i="5" a="1"/>
  <c r="AB27" i="5" s="1"/>
  <c r="I35" i="12"/>
  <c r="L35" i="5"/>
  <c r="Z35" i="5"/>
  <c r="AM35" i="5"/>
  <c r="I35" i="5"/>
  <c r="I36" i="5" s="1"/>
  <c r="AD30" i="6"/>
  <c r="AB30" i="6"/>
  <c r="AC30" i="6"/>
  <c r="AC32" i="6"/>
  <c r="AB32" i="6"/>
  <c r="AD32" i="6"/>
  <c r="C36" i="12"/>
  <c r="M36" i="12" a="1"/>
  <c r="M36" i="12" s="1"/>
  <c r="O36" i="12" a="1"/>
  <c r="O36" i="12" s="1"/>
  <c r="AO36" i="12" a="1"/>
  <c r="AO36" i="12" s="1"/>
  <c r="I19" i="12"/>
  <c r="Z19" i="5"/>
  <c r="AM19" i="5"/>
  <c r="L19" i="5"/>
  <c r="AM21" i="5"/>
  <c r="Z21" i="5"/>
  <c r="I21" i="12"/>
  <c r="L21" i="5"/>
  <c r="C28" i="6"/>
  <c r="AC28" i="5" a="1"/>
  <c r="AC28" i="5" s="1"/>
  <c r="AO27" i="12" a="1"/>
  <c r="AO27" i="12" s="1"/>
  <c r="O27" i="12" a="1"/>
  <c r="O27" i="12" s="1"/>
  <c r="M27" i="12" a="1"/>
  <c r="M27" i="12" s="1"/>
  <c r="C27" i="12"/>
  <c r="I20" i="12"/>
  <c r="AM20" i="5"/>
  <c r="L20" i="5"/>
  <c r="Z20" i="5"/>
  <c r="AM22" i="5"/>
  <c r="L22" i="5"/>
  <c r="I22" i="12"/>
  <c r="Z22" i="5"/>
  <c r="I18" i="5"/>
  <c r="I19" i="5" s="1"/>
  <c r="I20" i="5" s="1"/>
  <c r="I21" i="5" s="1"/>
  <c r="I22" i="5" s="1"/>
  <c r="I25" i="5" s="1"/>
  <c r="I26" i="5" s="1"/>
  <c r="I27" i="5" s="1"/>
  <c r="I28" i="5" s="1"/>
  <c r="I29" i="5" s="1"/>
  <c r="AM18" i="5"/>
  <c r="I18" i="12"/>
  <c r="X17" i="5" a="1"/>
  <c r="X17" i="5" s="1"/>
  <c r="Z18" i="5"/>
  <c r="L18" i="5"/>
  <c r="U22" i="8" a="1"/>
  <c r="U22" i="8" s="1"/>
  <c r="X24" i="5" a="1"/>
  <c r="X24" i="5" s="1"/>
  <c r="E22" i="8" a="1"/>
  <c r="E22" i="8" s="1"/>
  <c r="AC36" i="5" a="1"/>
  <c r="AC36" i="5" s="1"/>
  <c r="C36" i="6"/>
  <c r="O36" i="5"/>
  <c r="AC37" i="6"/>
  <c r="AD37" i="6"/>
  <c r="W31" i="8" s="1" a="1"/>
  <c r="W31" i="8" s="1"/>
  <c r="AB37" i="6"/>
  <c r="AB28" i="5" a="1"/>
  <c r="AB28" i="5" s="1"/>
  <c r="C27" i="6"/>
  <c r="O27" i="5"/>
  <c r="AC27" i="5" a="1"/>
  <c r="AC27" i="5" s="1"/>
  <c r="M28" i="12" l="1" a="1"/>
  <c r="M28" i="12" s="1"/>
  <c r="V28" i="8" a="1"/>
  <c r="V28" i="8" s="1"/>
  <c r="AO28" i="12" a="1"/>
  <c r="AO28" i="12" s="1"/>
  <c r="Y28" i="12" s="1"/>
  <c r="C28" i="12"/>
  <c r="N36" i="12"/>
  <c r="O28" i="5"/>
  <c r="X38" i="5" a="1"/>
  <c r="X38" i="5" s="1"/>
  <c r="I38" i="12" s="1"/>
  <c r="E27" i="6"/>
  <c r="D27" i="12"/>
  <c r="O18" i="12" a="1"/>
  <c r="O18" i="12" s="1"/>
  <c r="M18" i="12" a="1"/>
  <c r="M18" i="12" s="1"/>
  <c r="AO18" i="12" a="1"/>
  <c r="AO18" i="12" s="1"/>
  <c r="C18" i="12"/>
  <c r="M22" i="12" a="1"/>
  <c r="M22" i="12" s="1"/>
  <c r="O22" i="12" a="1"/>
  <c r="O22" i="12" s="1"/>
  <c r="C22" i="12"/>
  <c r="AO22" i="12" a="1"/>
  <c r="AO22" i="12" s="1"/>
  <c r="O20" i="5"/>
  <c r="C20" i="6"/>
  <c r="AC20" i="5" a="1"/>
  <c r="AC20" i="5" s="1"/>
  <c r="AO26" i="12" a="1"/>
  <c r="AO26" i="12" s="1"/>
  <c r="M26" i="12" a="1"/>
  <c r="M26" i="12" s="1"/>
  <c r="M25" i="12" s="1" a="1"/>
  <c r="M25" i="12" s="1"/>
  <c r="O26" i="12" a="1"/>
  <c r="O26" i="12" s="1"/>
  <c r="C26" i="12"/>
  <c r="E36" i="6"/>
  <c r="D36" i="12"/>
  <c r="X23" i="5" a="1"/>
  <c r="X23" i="5" s="1"/>
  <c r="AM24" i="5"/>
  <c r="Z24" i="5"/>
  <c r="I24" i="5"/>
  <c r="I24" i="12"/>
  <c r="L24" i="5"/>
  <c r="C18" i="6"/>
  <c r="O18" i="5"/>
  <c r="AC18" i="5" a="1"/>
  <c r="AC18" i="5" s="1"/>
  <c r="C22" i="6"/>
  <c r="O22" i="5"/>
  <c r="AC22" i="5" a="1"/>
  <c r="AC22" i="5" s="1"/>
  <c r="N27" i="12"/>
  <c r="D28" i="12"/>
  <c r="E28" i="6"/>
  <c r="AB21" i="5" a="1"/>
  <c r="AB21" i="5" s="1"/>
  <c r="AB19" i="5" a="1"/>
  <c r="AB19" i="5" s="1"/>
  <c r="X32" i="5" a="1"/>
  <c r="X32" i="5" s="1"/>
  <c r="E28" i="8" a="1"/>
  <c r="E28" i="8" s="1"/>
  <c r="U28" i="8" a="1"/>
  <c r="U28" i="8" s="1"/>
  <c r="X30" i="5" a="1"/>
  <c r="X30" i="5" s="1"/>
  <c r="AB35" i="5" a="1"/>
  <c r="AB35" i="5" s="1"/>
  <c r="L25" i="5"/>
  <c r="I25" i="12"/>
  <c r="Z25" i="5"/>
  <c r="AM25" i="5"/>
  <c r="S23" i="8"/>
  <c r="X33" i="5" a="1"/>
  <c r="X33" i="5" s="1"/>
  <c r="C31" i="6"/>
  <c r="AC31" i="5" a="1"/>
  <c r="AC31" i="5" s="1"/>
  <c r="O21" i="12" a="1"/>
  <c r="O21" i="12" s="1"/>
  <c r="C21" i="12"/>
  <c r="M21" i="12" a="1"/>
  <c r="M21" i="12" s="1"/>
  <c r="AO21" i="12" a="1"/>
  <c r="AO21" i="12" s="1"/>
  <c r="AB31" i="5" a="1"/>
  <c r="AB31" i="5" s="1"/>
  <c r="X37" i="5" a="1"/>
  <c r="X37" i="5" s="1"/>
  <c r="AB18" i="5" a="1"/>
  <c r="AB18" i="5" s="1"/>
  <c r="AO20" i="12" a="1"/>
  <c r="AO20" i="12" s="1"/>
  <c r="O20" i="12" a="1"/>
  <c r="O20" i="12" s="1"/>
  <c r="M20" i="12" a="1"/>
  <c r="M20" i="12" s="1"/>
  <c r="C20" i="12"/>
  <c r="Y27" i="12"/>
  <c r="M19" i="12" a="1"/>
  <c r="M19" i="12" s="1"/>
  <c r="AO19" i="12" a="1"/>
  <c r="AO19" i="12" s="1"/>
  <c r="C19" i="12"/>
  <c r="O19" i="12" a="1"/>
  <c r="O19" i="12" s="1"/>
  <c r="W28" i="8" a="1"/>
  <c r="W28" i="8" s="1"/>
  <c r="AD15" i="6"/>
  <c r="S15" i="6" s="1"/>
  <c r="S11" i="6" s="1"/>
  <c r="C35" i="6"/>
  <c r="O35" i="5"/>
  <c r="AC35" i="5" a="1"/>
  <c r="AC35" i="5" s="1"/>
  <c r="O26" i="5"/>
  <c r="C26" i="6"/>
  <c r="AC26" i="5" a="1"/>
  <c r="AC26" i="5" s="1"/>
  <c r="N28" i="12"/>
  <c r="M31" i="12" a="1"/>
  <c r="M31" i="12" s="1"/>
  <c r="AO31" i="12" a="1"/>
  <c r="AO31" i="12" s="1"/>
  <c r="C31" i="12"/>
  <c r="O31" i="12" a="1"/>
  <c r="O31" i="12" s="1"/>
  <c r="AB15" i="6"/>
  <c r="Q15" i="6" s="1"/>
  <c r="Q11" i="6" s="1"/>
  <c r="J23" i="6" s="1" a="1"/>
  <c r="J23" i="6" s="1"/>
  <c r="I17" i="12"/>
  <c r="AM17" i="5"/>
  <c r="S17" i="8"/>
  <c r="Z17" i="5"/>
  <c r="L17" i="5"/>
  <c r="AB22" i="5" a="1"/>
  <c r="AB22" i="5" s="1"/>
  <c r="AB20" i="5" a="1"/>
  <c r="AB20" i="5" s="1"/>
  <c r="AC15" i="6"/>
  <c r="R15" i="6" s="1"/>
  <c r="R11" i="6" s="1"/>
  <c r="J36" i="6" s="1" a="1"/>
  <c r="J36" i="6" s="1"/>
  <c r="C21" i="6"/>
  <c r="O21" i="5"/>
  <c r="AC21" i="5" a="1"/>
  <c r="AC21" i="5" s="1"/>
  <c r="C19" i="6"/>
  <c r="O19" i="5"/>
  <c r="AC19" i="5" a="1"/>
  <c r="AC19" i="5" s="1"/>
  <c r="Y36" i="12"/>
  <c r="AO35" i="12" a="1"/>
  <c r="AO35" i="12" s="1"/>
  <c r="O35" i="12" a="1"/>
  <c r="O35" i="12" s="1"/>
  <c r="C35" i="12"/>
  <c r="M35" i="12" a="1"/>
  <c r="M35" i="12" s="1"/>
  <c r="AB26" i="5" a="1"/>
  <c r="AB26" i="5" s="1"/>
  <c r="AB25" i="5" s="1" a="1"/>
  <c r="AB25" i="5" s="1"/>
  <c r="W28" i="12" l="1" a="1"/>
  <c r="W28" i="12" s="1"/>
  <c r="X28" i="12" a="1"/>
  <c r="X28" i="12" s="1"/>
  <c r="AM38" i="5"/>
  <c r="J21" i="6" a="1"/>
  <c r="J21" i="6" s="1"/>
  <c r="N20" i="12"/>
  <c r="Z38" i="5"/>
  <c r="L38" i="5"/>
  <c r="C38" i="6" s="1"/>
  <c r="N31" i="12"/>
  <c r="Y21" i="12"/>
  <c r="J28" i="6" a="1"/>
  <c r="J28" i="6" s="1"/>
  <c r="Y22" i="12"/>
  <c r="W22" i="12" s="1" a="1"/>
  <c r="W22" i="12" s="1"/>
  <c r="X15" i="5"/>
  <c r="O26" i="10" s="1"/>
  <c r="J27" i="6" a="1"/>
  <c r="J27" i="6" s="1"/>
  <c r="Y31" i="12"/>
  <c r="N21" i="12"/>
  <c r="U28" i="10"/>
  <c r="U31" i="10" s="1"/>
  <c r="AE26" i="10"/>
  <c r="O17" i="5"/>
  <c r="C17" i="6"/>
  <c r="AC17" i="5" a="1"/>
  <c r="AC17" i="5" s="1"/>
  <c r="C17" i="12"/>
  <c r="J17" i="12" a="1"/>
  <c r="J17" i="12" s="1"/>
  <c r="L33" i="5"/>
  <c r="AM33" i="5"/>
  <c r="Z33" i="5"/>
  <c r="I33" i="12"/>
  <c r="C25" i="12"/>
  <c r="J25" i="12" a="1"/>
  <c r="J25" i="12" s="1"/>
  <c r="E22" i="6"/>
  <c r="D22" i="12"/>
  <c r="AB24" i="5" a="1"/>
  <c r="AB24" i="5" s="1"/>
  <c r="AB23" i="5" s="1" a="1"/>
  <c r="AB23" i="5" s="1"/>
  <c r="AO25" i="12" a="1"/>
  <c r="AO25" i="12" s="1"/>
  <c r="Y26" i="12"/>
  <c r="D20" i="12"/>
  <c r="E20" i="6"/>
  <c r="N18" i="12"/>
  <c r="O17" i="12" a="1"/>
  <c r="O17" i="12" s="1"/>
  <c r="L17" i="12" s="1" a="1"/>
  <c r="L17" i="12" s="1"/>
  <c r="K17" i="12" s="1"/>
  <c r="J19" i="6" a="1"/>
  <c r="J19" i="6" s="1"/>
  <c r="E21" i="6"/>
  <c r="D21" i="12"/>
  <c r="D26" i="12"/>
  <c r="E26" i="6"/>
  <c r="Y19" i="12"/>
  <c r="AB17" i="5" a="1"/>
  <c r="AB17" i="5" s="1"/>
  <c r="D17" i="8" s="1"/>
  <c r="J31" i="6" a="1"/>
  <c r="J31" i="6" s="1"/>
  <c r="AA23" i="8" a="1"/>
  <c r="AA23" i="8" s="1"/>
  <c r="AF23" i="8" a="1"/>
  <c r="AF23" i="8" s="1"/>
  <c r="AC23" i="8" a="1"/>
  <c r="AC23" i="8" s="1"/>
  <c r="Y23" i="8" a="1"/>
  <c r="Y23" i="8" s="1"/>
  <c r="H24" i="8" a="1"/>
  <c r="H24" i="8" s="1"/>
  <c r="AB23" i="8" a="1"/>
  <c r="AB23" i="8" s="1"/>
  <c r="D23" i="8"/>
  <c r="AE23" i="8" a="1"/>
  <c r="AE23" i="8" s="1"/>
  <c r="AD23" i="8" a="1"/>
  <c r="AD23" i="8" s="1"/>
  <c r="X23" i="8" a="1"/>
  <c r="X23" i="8" s="1"/>
  <c r="Z23" i="8" a="1"/>
  <c r="Z23" i="8" s="1"/>
  <c r="G23" i="8"/>
  <c r="H23" i="8" a="1"/>
  <c r="H23" i="8" s="1"/>
  <c r="J24" i="8" s="1"/>
  <c r="V23" i="8" a="1"/>
  <c r="V23" i="8" s="1"/>
  <c r="U23" i="8" a="1"/>
  <c r="U23" i="8" s="1"/>
  <c r="W23" i="8" a="1"/>
  <c r="W23" i="8" s="1"/>
  <c r="E23" i="8" a="1"/>
  <c r="E23" i="8" s="1"/>
  <c r="C25" i="6"/>
  <c r="AC25" i="5" a="1"/>
  <c r="AC25" i="5" s="1"/>
  <c r="O25" i="5"/>
  <c r="C24" i="6"/>
  <c r="O24" i="5"/>
  <c r="AC24" i="5" a="1"/>
  <c r="AC24" i="5" s="1"/>
  <c r="J24" i="6" s="1" a="1"/>
  <c r="J24" i="6" s="1"/>
  <c r="X22" i="12" a="1"/>
  <c r="X22" i="12" s="1"/>
  <c r="X21" i="12" a="1"/>
  <c r="X21" i="12" s="1"/>
  <c r="W21" i="12" a="1"/>
  <c r="W21" i="12" s="1"/>
  <c r="AM30" i="5"/>
  <c r="L30" i="5"/>
  <c r="Z30" i="5"/>
  <c r="I30" i="5"/>
  <c r="I31" i="5" s="1"/>
  <c r="O31" i="5" s="1"/>
  <c r="I30" i="12"/>
  <c r="X29" i="5" a="1"/>
  <c r="X29" i="5" s="1"/>
  <c r="X16" i="5" a="1"/>
  <c r="X16" i="5" s="1"/>
  <c r="N35" i="12"/>
  <c r="D19" i="12"/>
  <c r="E19" i="6"/>
  <c r="AF17" i="8" a="1"/>
  <c r="AF17" i="8" s="1"/>
  <c r="G17" i="8"/>
  <c r="AB17" i="8" a="1"/>
  <c r="AB17" i="8" s="1"/>
  <c r="AE17" i="8" a="1"/>
  <c r="AE17" i="8" s="1"/>
  <c r="H18" i="8" a="1"/>
  <c r="H18" i="8" s="1"/>
  <c r="X17" i="8" a="1"/>
  <c r="X17" i="8" s="1"/>
  <c r="AA17" i="8" a="1"/>
  <c r="AA17" i="8" s="1"/>
  <c r="H17" i="8" a="1"/>
  <c r="H17" i="8" s="1"/>
  <c r="J18" i="8" s="1"/>
  <c r="Y17" i="8" a="1"/>
  <c r="Y17" i="8" s="1"/>
  <c r="AD17" i="8" a="1"/>
  <c r="AD17" i="8" s="1"/>
  <c r="AC17" i="8" a="1"/>
  <c r="AC17" i="8" s="1"/>
  <c r="Z17" i="8" a="1"/>
  <c r="Z17" i="8" s="1"/>
  <c r="W17" i="8" a="1"/>
  <c r="W17" i="8" s="1"/>
  <c r="U17" i="8" a="1"/>
  <c r="U17" i="8" s="1"/>
  <c r="V17" i="8" a="1"/>
  <c r="V17" i="8" s="1"/>
  <c r="E17" i="8" a="1"/>
  <c r="E17" i="8" s="1"/>
  <c r="J35" i="6" a="1"/>
  <c r="J35" i="6" s="1"/>
  <c r="J18" i="6" a="1"/>
  <c r="J18" i="6" s="1"/>
  <c r="C24" i="12"/>
  <c r="M24" i="12" a="1"/>
  <c r="M24" i="12" s="1"/>
  <c r="M23" i="12" s="1" a="1"/>
  <c r="M23" i="12" s="1"/>
  <c r="O24" i="12" a="1"/>
  <c r="O24" i="12" s="1"/>
  <c r="AO24" i="12" a="1"/>
  <c r="AO24" i="12" s="1"/>
  <c r="L23" i="5"/>
  <c r="I23" i="12"/>
  <c r="S20" i="8"/>
  <c r="AM23" i="5"/>
  <c r="I30" i="10"/>
  <c r="I31" i="10" s="1"/>
  <c r="Z23" i="5"/>
  <c r="U43" i="8"/>
  <c r="AC43" i="8"/>
  <c r="X43" i="8"/>
  <c r="AE43" i="8"/>
  <c r="W43" i="8"/>
  <c r="AB43" i="8"/>
  <c r="Z43" i="8"/>
  <c r="AF43" i="8"/>
  <c r="V43" i="8"/>
  <c r="AD43" i="8"/>
  <c r="Y43" i="8"/>
  <c r="AA43" i="8"/>
  <c r="AB38" i="5" a="1"/>
  <c r="AB38" i="5" s="1"/>
  <c r="O25" i="12" a="1"/>
  <c r="O25" i="12" s="1"/>
  <c r="N25" i="12" s="1"/>
  <c r="N26" i="12"/>
  <c r="J20" i="6" a="1"/>
  <c r="J20" i="6" s="1"/>
  <c r="Y18" i="12"/>
  <c r="AO17" i="12" a="1"/>
  <c r="AO17" i="12" s="1"/>
  <c r="W36" i="12" a="1"/>
  <c r="W36" i="12" s="1"/>
  <c r="X36" i="12" a="1"/>
  <c r="X36" i="12" s="1"/>
  <c r="W31" i="12" a="1"/>
  <c r="W31" i="12" s="1"/>
  <c r="X31" i="12" a="1"/>
  <c r="X31" i="12" s="1"/>
  <c r="Y35" i="12"/>
  <c r="J26" i="6" a="1"/>
  <c r="J26" i="6" s="1"/>
  <c r="D35" i="12"/>
  <c r="E35" i="6"/>
  <c r="N19" i="12"/>
  <c r="W27" i="12" a="1"/>
  <c r="W27" i="12" s="1"/>
  <c r="X27" i="12" a="1"/>
  <c r="X27" i="12" s="1"/>
  <c r="Y20" i="12"/>
  <c r="I37" i="12"/>
  <c r="Z37" i="5"/>
  <c r="AM37" i="5"/>
  <c r="I37" i="5"/>
  <c r="I38" i="5" s="1"/>
  <c r="L37" i="5"/>
  <c r="X34" i="5" a="1"/>
  <c r="X34" i="5" s="1"/>
  <c r="T28" i="12"/>
  <c r="U28" i="12"/>
  <c r="V28" i="12" a="1"/>
  <c r="V28" i="12" s="1"/>
  <c r="AM32" i="5"/>
  <c r="L32" i="5"/>
  <c r="I32" i="12"/>
  <c r="Z32" i="5"/>
  <c r="J22" i="6" a="1"/>
  <c r="J22" i="6" s="1"/>
  <c r="D18" i="12"/>
  <c r="E18" i="6"/>
  <c r="O38" i="12" a="1"/>
  <c r="O38" i="12" s="1"/>
  <c r="C38" i="12"/>
  <c r="M38" i="12" a="1"/>
  <c r="M38" i="12" s="1"/>
  <c r="AO38" i="12" a="1"/>
  <c r="AO38" i="12" s="1"/>
  <c r="N22" i="12"/>
  <c r="M17" i="12" a="1"/>
  <c r="M17" i="12" s="1"/>
  <c r="AA28" i="10" l="1"/>
  <c r="AA31" i="10" s="1"/>
  <c r="AA26" i="10"/>
  <c r="M28" i="10"/>
  <c r="M31" i="10" s="1"/>
  <c r="W26" i="10"/>
  <c r="AE28" i="10"/>
  <c r="AE31" i="10" s="1"/>
  <c r="Z15" i="5"/>
  <c r="AM15" i="5"/>
  <c r="K26" i="10"/>
  <c r="I28" i="10"/>
  <c r="AE9" i="10" s="1"/>
  <c r="Y26" i="10"/>
  <c r="W28" i="10"/>
  <c r="W31" i="10" s="1"/>
  <c r="O38" i="5"/>
  <c r="K28" i="10"/>
  <c r="K31" i="10" s="1"/>
  <c r="AC26" i="10"/>
  <c r="U26" i="10"/>
  <c r="M26" i="10"/>
  <c r="Q26" i="10"/>
  <c r="Y28" i="10"/>
  <c r="Y31" i="10" s="1"/>
  <c r="Y38" i="12"/>
  <c r="Y17" i="12"/>
  <c r="AC38" i="5" a="1"/>
  <c r="AC38" i="5" s="1"/>
  <c r="J38" i="6" s="1" a="1"/>
  <c r="J38" i="6" s="1"/>
  <c r="Q28" i="10"/>
  <c r="Q31" i="10" s="1"/>
  <c r="S26" i="10"/>
  <c r="I26" i="10"/>
  <c r="Y9" i="10" s="1"/>
  <c r="C11" i="10" s="1" a="1"/>
  <c r="C11" i="10" s="1"/>
  <c r="AC28" i="10"/>
  <c r="AC31" i="10" s="1"/>
  <c r="O28" i="10"/>
  <c r="O31" i="10" s="1"/>
  <c r="S28" i="10"/>
  <c r="S31" i="10" s="1"/>
  <c r="D38" i="12"/>
  <c r="E38" i="6"/>
  <c r="C37" i="12"/>
  <c r="M37" i="12" a="1"/>
  <c r="M37" i="12" s="1"/>
  <c r="M34" i="12" s="1" a="1"/>
  <c r="M34" i="12" s="1"/>
  <c r="O37" i="12" a="1"/>
  <c r="O37" i="12" s="1"/>
  <c r="AO37" i="12" a="1"/>
  <c r="AO37" i="12" s="1"/>
  <c r="D25" i="12"/>
  <c r="I23" i="8"/>
  <c r="A23" i="8" s="1"/>
  <c r="E25" i="6"/>
  <c r="W19" i="12" a="1"/>
  <c r="W19" i="12" s="1"/>
  <c r="X19" i="12" a="1"/>
  <c r="X19" i="12" s="1"/>
  <c r="L25" i="12" a="1"/>
  <c r="L25" i="12" s="1"/>
  <c r="K25" i="12" s="1"/>
  <c r="O33" i="12" a="1"/>
  <c r="O33" i="12" s="1"/>
  <c r="C33" i="12"/>
  <c r="M33" i="12" a="1"/>
  <c r="M33" i="12" s="1"/>
  <c r="AO33" i="12" a="1"/>
  <c r="AO33" i="12" s="1"/>
  <c r="X20" i="12" a="1"/>
  <c r="X20" i="12" s="1"/>
  <c r="W20" i="12" a="1"/>
  <c r="W20" i="12" s="1"/>
  <c r="X35" i="12" a="1"/>
  <c r="X35" i="12" s="1"/>
  <c r="W35" i="12" a="1"/>
  <c r="W35" i="12" s="1"/>
  <c r="U36" i="12"/>
  <c r="T36" i="12"/>
  <c r="V36" i="12" a="1"/>
  <c r="V36" i="12" s="1"/>
  <c r="W18" i="12" a="1"/>
  <c r="W18" i="12" s="1"/>
  <c r="X18" i="12" a="1"/>
  <c r="X18" i="12" s="1"/>
  <c r="X28" i="9"/>
  <c r="Y24" i="12"/>
  <c r="AO23" i="12" a="1"/>
  <c r="AO23" i="12" s="1"/>
  <c r="AB30" i="5" a="1"/>
  <c r="AB30" i="5" s="1"/>
  <c r="AB33" i="5" a="1"/>
  <c r="AB33" i="5" s="1"/>
  <c r="E17" i="6"/>
  <c r="I17" i="8"/>
  <c r="A17" i="8" s="1"/>
  <c r="D17" i="12"/>
  <c r="C37" i="6"/>
  <c r="O37" i="5"/>
  <c r="AC37" i="5" a="1"/>
  <c r="AC37" i="5" s="1"/>
  <c r="J37" i="6" s="1" a="1"/>
  <c r="J37" i="6" s="1"/>
  <c r="X17" i="12" a="1"/>
  <c r="X17" i="12" s="1"/>
  <c r="W17" i="12" a="1"/>
  <c r="W17" i="12" s="1"/>
  <c r="P28" i="9"/>
  <c r="AC23" i="5" a="1"/>
  <c r="AC23" i="5" s="1"/>
  <c r="O23" i="5"/>
  <c r="C23" i="6"/>
  <c r="E31" i="6"/>
  <c r="D31" i="12"/>
  <c r="V21" i="12" a="1"/>
  <c r="V21" i="12" s="1"/>
  <c r="U21" i="12"/>
  <c r="T21" i="12"/>
  <c r="Y25" i="12"/>
  <c r="C32" i="6"/>
  <c r="AC32" i="5" a="1"/>
  <c r="AC32" i="5" s="1"/>
  <c r="J32" i="6" s="1" a="1"/>
  <c r="J32" i="6" s="1"/>
  <c r="Z28" i="9"/>
  <c r="V28" i="9"/>
  <c r="L16" i="5"/>
  <c r="Z16" i="5"/>
  <c r="O14" i="11" a="1"/>
  <c r="O14" i="11" s="1"/>
  <c r="AM16" i="5"/>
  <c r="I16" i="12"/>
  <c r="S14" i="8"/>
  <c r="E24" i="6"/>
  <c r="D24" i="12"/>
  <c r="N38" i="12"/>
  <c r="I32" i="5"/>
  <c r="I33" i="5" s="1"/>
  <c r="O33" i="5" s="1"/>
  <c r="J28" i="9"/>
  <c r="L28" i="9"/>
  <c r="H28" i="9"/>
  <c r="H20" i="8" a="1"/>
  <c r="H20" i="8" s="1"/>
  <c r="J21" i="8" s="1"/>
  <c r="Z20" i="8" a="1"/>
  <c r="Z20" i="8" s="1"/>
  <c r="X20" i="8" a="1"/>
  <c r="X20" i="8" s="1"/>
  <c r="G20" i="8"/>
  <c r="AC20" i="8" a="1"/>
  <c r="AC20" i="8" s="1"/>
  <c r="H21" i="8" a="1"/>
  <c r="H21" i="8" s="1"/>
  <c r="AA20" i="8" a="1"/>
  <c r="AA20" i="8" s="1"/>
  <c r="AB20" i="8" a="1"/>
  <c r="AB20" i="8" s="1"/>
  <c r="D20" i="8"/>
  <c r="AE20" i="8" a="1"/>
  <c r="AE20" i="8" s="1"/>
  <c r="Y20" i="8" a="1"/>
  <c r="Y20" i="8" s="1"/>
  <c r="AF20" i="8" a="1"/>
  <c r="AF20" i="8" s="1"/>
  <c r="AD20" i="8" a="1"/>
  <c r="AD20" i="8" s="1"/>
  <c r="W20" i="8" a="1"/>
  <c r="W20" i="8" s="1"/>
  <c r="V20" i="8" a="1"/>
  <c r="V20" i="8" s="1"/>
  <c r="U20" i="8" a="1"/>
  <c r="U20" i="8" s="1"/>
  <c r="E20" i="8" a="1"/>
  <c r="E20" i="8" s="1"/>
  <c r="N24" i="12"/>
  <c r="O23" i="12" a="1"/>
  <c r="O23" i="12" s="1"/>
  <c r="N23" i="12" s="1"/>
  <c r="L29" i="5"/>
  <c r="S26" i="8"/>
  <c r="I29" i="12"/>
  <c r="AM29" i="5"/>
  <c r="Z29" i="5"/>
  <c r="O30" i="5"/>
  <c r="C30" i="6"/>
  <c r="AC30" i="5" a="1"/>
  <c r="AC30" i="5" s="1"/>
  <c r="J30" i="6" s="1" a="1"/>
  <c r="J30" i="6" s="1"/>
  <c r="V22" i="12" a="1"/>
  <c r="V22" i="12" s="1"/>
  <c r="U22" i="12"/>
  <c r="T22" i="12"/>
  <c r="M32" i="12" a="1"/>
  <c r="M32" i="12" s="1"/>
  <c r="AO32" i="12" a="1"/>
  <c r="AO32" i="12" s="1"/>
  <c r="O32" i="12" a="1"/>
  <c r="O32" i="12" s="1"/>
  <c r="C32" i="12"/>
  <c r="R28" i="9"/>
  <c r="N28" i="9"/>
  <c r="X38" i="12" a="1"/>
  <c r="X38" i="12" s="1"/>
  <c r="W38" i="12" a="1"/>
  <c r="W38" i="12" s="1"/>
  <c r="AB32" i="5" a="1"/>
  <c r="AB32" i="5" s="1"/>
  <c r="S29" i="8"/>
  <c r="Z34" i="5"/>
  <c r="I34" i="12"/>
  <c r="AM34" i="5"/>
  <c r="L34" i="5"/>
  <c r="AB37" i="5" a="1"/>
  <c r="AB37" i="5" s="1"/>
  <c r="AB34" i="5" s="1" a="1"/>
  <c r="AB34" i="5" s="1"/>
  <c r="V27" i="12" a="1"/>
  <c r="V27" i="12" s="1"/>
  <c r="T27" i="12"/>
  <c r="U27" i="12"/>
  <c r="V31" i="12" a="1"/>
  <c r="V31" i="12" s="1"/>
  <c r="T31" i="12"/>
  <c r="U31" i="12"/>
  <c r="T28" i="9"/>
  <c r="AD28" i="9"/>
  <c r="AB28" i="9"/>
  <c r="C23" i="12"/>
  <c r="J23" i="12" a="1"/>
  <c r="J23" i="12" s="1"/>
  <c r="O30" i="12" a="1"/>
  <c r="O30" i="12" s="1"/>
  <c r="O16" i="12" s="1" a="1"/>
  <c r="O16" i="12" s="1"/>
  <c r="M30" i="12" a="1"/>
  <c r="M30" i="12" s="1"/>
  <c r="AO30" i="12" a="1"/>
  <c r="AO30" i="12" s="1"/>
  <c r="C30" i="12"/>
  <c r="N17" i="12"/>
  <c r="X26" i="12" a="1"/>
  <c r="X26" i="12" s="1"/>
  <c r="W26" i="12" a="1"/>
  <c r="W26" i="12" s="1"/>
  <c r="C33" i="6"/>
  <c r="AC33" i="5" a="1"/>
  <c r="AC33" i="5" s="1"/>
  <c r="J33" i="6" s="1" a="1"/>
  <c r="J33" i="6" s="1"/>
  <c r="H31" i="10" l="1"/>
  <c r="AB16" i="8" a="1"/>
  <c r="AB16" i="8" s="1"/>
  <c r="N32" i="12"/>
  <c r="AE16" i="8" a="1"/>
  <c r="AE16" i="8" s="1"/>
  <c r="AE14" i="8" s="1" a="1"/>
  <c r="AE14" i="8" s="1"/>
  <c r="Y33" i="12"/>
  <c r="X33" i="12" s="1" a="1"/>
  <c r="X33" i="12" s="1"/>
  <c r="I12" i="6"/>
  <c r="L23" i="12" a="1"/>
  <c r="L23" i="12" s="1"/>
  <c r="K23" i="12" s="1"/>
  <c r="M29" i="12" a="1"/>
  <c r="M29" i="12" s="1"/>
  <c r="M16" i="12" a="1"/>
  <c r="M16" i="12" s="1"/>
  <c r="N16" i="12" s="1"/>
  <c r="D33" i="12"/>
  <c r="E33" i="6"/>
  <c r="R33" i="8"/>
  <c r="I33" i="8" s="1"/>
  <c r="H15" i="8" a="1"/>
  <c r="H15" i="8" s="1"/>
  <c r="G14" i="8"/>
  <c r="H14" i="8" a="1"/>
  <c r="H14" i="8" s="1"/>
  <c r="J15" i="8" s="1"/>
  <c r="N11" i="6"/>
  <c r="W25" i="12" a="1"/>
  <c r="W25" i="12" s="1"/>
  <c r="X25" i="12" a="1"/>
  <c r="X25" i="12" s="1"/>
  <c r="C34" i="12"/>
  <c r="J34" i="12" a="1"/>
  <c r="J34" i="12" s="1"/>
  <c r="J29" i="12" a="1"/>
  <c r="J29" i="12" s="1"/>
  <c r="C29" i="12"/>
  <c r="C16" i="12"/>
  <c r="J16" i="12" a="1"/>
  <c r="J16" i="12" s="1"/>
  <c r="L16" i="12" a="1"/>
  <c r="L16" i="12" s="1"/>
  <c r="C16" i="6"/>
  <c r="O16" i="5"/>
  <c r="AC16" i="5" a="1"/>
  <c r="AC16" i="5" s="1"/>
  <c r="C14" i="6"/>
  <c r="D29" i="8"/>
  <c r="T38" i="12"/>
  <c r="U38" i="12"/>
  <c r="V38" i="12" a="1"/>
  <c r="V38" i="12" s="1"/>
  <c r="Y32" i="12"/>
  <c r="D30" i="12"/>
  <c r="E30" i="6"/>
  <c r="X16" i="8" a="1"/>
  <c r="X16" i="8" s="1"/>
  <c r="X14" i="8" s="1" a="1"/>
  <c r="X14" i="8" s="1"/>
  <c r="G26" i="8"/>
  <c r="AB26" i="8" a="1"/>
  <c r="AB26" i="8" s="1"/>
  <c r="AE26" i="8" a="1"/>
  <c r="AE26" i="8" s="1"/>
  <c r="H26" i="8" a="1"/>
  <c r="H26" i="8" s="1"/>
  <c r="J27" i="8" s="1"/>
  <c r="X26" i="8" a="1"/>
  <c r="X26" i="8" s="1"/>
  <c r="Y26" i="8" a="1"/>
  <c r="Y26" i="8" s="1"/>
  <c r="AD26" i="8" a="1"/>
  <c r="AD26" i="8" s="1"/>
  <c r="Z26" i="8" a="1"/>
  <c r="Z26" i="8" s="1"/>
  <c r="H27" i="8" a="1"/>
  <c r="H27" i="8" s="1"/>
  <c r="AF26" i="8" a="1"/>
  <c r="AF26" i="8" s="1"/>
  <c r="AA26" i="8" a="1"/>
  <c r="AA26" i="8" s="1"/>
  <c r="AC26" i="8" a="1"/>
  <c r="AC26" i="8" s="1"/>
  <c r="V26" i="8" a="1"/>
  <c r="V26" i="8" s="1"/>
  <c r="U26" i="8" a="1"/>
  <c r="U26" i="8" s="1"/>
  <c r="AF16" i="8" a="1"/>
  <c r="AF16" i="8" s="1"/>
  <c r="AF14" i="8" s="1" a="1"/>
  <c r="AF14" i="8" s="1"/>
  <c r="E16" i="8" a="1"/>
  <c r="E16" i="8" s="1"/>
  <c r="V16" i="8" a="1"/>
  <c r="V16" i="8" s="1"/>
  <c r="V14" i="8" s="1" a="1"/>
  <c r="V14" i="8" s="1"/>
  <c r="W26" i="8" a="1"/>
  <c r="W26" i="8" s="1"/>
  <c r="AC16" i="8" a="1"/>
  <c r="AC16" i="8" s="1"/>
  <c r="AC14" i="8" s="1" a="1"/>
  <c r="AC14" i="8" s="1"/>
  <c r="E26" i="8" a="1"/>
  <c r="E26" i="8" s="1"/>
  <c r="W16" i="8" a="1"/>
  <c r="W16" i="8" s="1"/>
  <c r="W14" i="8" s="1" a="1"/>
  <c r="W14" i="8" s="1"/>
  <c r="Z16" i="8" a="1"/>
  <c r="Z16" i="8" s="1"/>
  <c r="Z14" i="8" s="1" a="1"/>
  <c r="Z14" i="8" s="1"/>
  <c r="AD16" i="8" a="1"/>
  <c r="AD16" i="8" s="1"/>
  <c r="AD14" i="8" s="1" a="1"/>
  <c r="AD14" i="8" s="1"/>
  <c r="Y16" i="8" a="1"/>
  <c r="Y16" i="8" s="1"/>
  <c r="Y14" i="8" s="1" a="1"/>
  <c r="Y14" i="8" s="1"/>
  <c r="AA16" i="8" a="1"/>
  <c r="AA16" i="8" s="1"/>
  <c r="AA14" i="8" s="1" a="1"/>
  <c r="AA14" i="8" s="1"/>
  <c r="U16" i="8" a="1"/>
  <c r="U16" i="8" s="1"/>
  <c r="F11" i="6"/>
  <c r="O32" i="5"/>
  <c r="D37" i="12"/>
  <c r="E37" i="6"/>
  <c r="AB29" i="5" a="1"/>
  <c r="AB29" i="5" s="1"/>
  <c r="D26" i="8" s="1"/>
  <c r="AB16" i="5" a="1"/>
  <c r="AB16" i="5" s="1"/>
  <c r="AB15" i="5"/>
  <c r="V20" i="12" a="1"/>
  <c r="V20" i="12" s="1"/>
  <c r="U20" i="12"/>
  <c r="T20" i="12"/>
  <c r="V19" i="12" a="1"/>
  <c r="V19" i="12" s="1"/>
  <c r="U19" i="12"/>
  <c r="T19" i="12"/>
  <c r="Y37" i="12"/>
  <c r="AO34" i="12" a="1"/>
  <c r="AO34" i="12" s="1"/>
  <c r="X24" i="12" a="1"/>
  <c r="X24" i="12" s="1"/>
  <c r="W24" i="12" a="1"/>
  <c r="W24" i="12" s="1"/>
  <c r="U18" i="12"/>
  <c r="V18" i="12" a="1"/>
  <c r="V18" i="12" s="1"/>
  <c r="T18" i="12"/>
  <c r="U35" i="12"/>
  <c r="V35" i="12" a="1"/>
  <c r="V35" i="12" s="1"/>
  <c r="T35" i="12"/>
  <c r="N30" i="12"/>
  <c r="O29" i="12" a="1"/>
  <c r="O29" i="12" s="1"/>
  <c r="N29" i="12" s="1"/>
  <c r="AB14" i="8" a="1"/>
  <c r="AB14" i="8" s="1"/>
  <c r="T26" i="12"/>
  <c r="U26" i="12"/>
  <c r="V26" i="12" a="1"/>
  <c r="V26" i="12" s="1"/>
  <c r="AO29" i="12" a="1"/>
  <c r="AO29" i="12" s="1"/>
  <c r="Y30" i="12"/>
  <c r="AO16" i="12" a="1"/>
  <c r="AO16" i="12" s="1"/>
  <c r="Y16" i="12" s="1"/>
  <c r="AC34" i="5" a="1"/>
  <c r="AC34" i="5" s="1"/>
  <c r="C34" i="6"/>
  <c r="O34" i="5"/>
  <c r="AD29" i="8" a="1"/>
  <c r="AD29" i="8" s="1"/>
  <c r="AE29" i="8" a="1"/>
  <c r="AE29" i="8" s="1"/>
  <c r="AF29" i="8" a="1"/>
  <c r="AF29" i="8" s="1"/>
  <c r="E29" i="8" a="1"/>
  <c r="E29" i="8" s="1"/>
  <c r="G29" i="8"/>
  <c r="X29" i="8" a="1"/>
  <c r="X29" i="8" s="1"/>
  <c r="AA29" i="8" a="1"/>
  <c r="AA29" i="8" s="1"/>
  <c r="H30" i="8" a="1"/>
  <c r="H30" i="8" s="1"/>
  <c r="AB29" i="8" a="1"/>
  <c r="AB29" i="8" s="1"/>
  <c r="H29" i="8" a="1"/>
  <c r="H29" i="8" s="1"/>
  <c r="J30" i="8" s="1"/>
  <c r="AC29" i="8" a="1"/>
  <c r="AC29" i="8" s="1"/>
  <c r="U29" i="8" a="1"/>
  <c r="U29" i="8" s="1"/>
  <c r="Z29" i="8" a="1"/>
  <c r="Z29" i="8" s="1"/>
  <c r="V29" i="8" a="1"/>
  <c r="V29" i="8" s="1"/>
  <c r="Y29" i="8" a="1"/>
  <c r="Y29" i="8" s="1"/>
  <c r="W29" i="8" a="1"/>
  <c r="W29" i="8" s="1"/>
  <c r="C29" i="6"/>
  <c r="O29" i="5"/>
  <c r="AC29" i="5" a="1"/>
  <c r="AC29" i="5" s="1"/>
  <c r="O24" i="11"/>
  <c r="P14" i="11"/>
  <c r="G11" i="11" s="1"/>
  <c r="C14" i="11"/>
  <c r="L14" i="13"/>
  <c r="D23" i="12"/>
  <c r="I20" i="8"/>
  <c r="A20" i="8" s="1"/>
  <c r="E23" i="6"/>
  <c r="V17" i="12" a="1"/>
  <c r="V17" i="12" s="1"/>
  <c r="T17" i="12"/>
  <c r="U17" i="12"/>
  <c r="Y23" i="12"/>
  <c r="N33" i="12"/>
  <c r="N37" i="12"/>
  <c r="O34" i="12" a="1"/>
  <c r="O34" i="12" s="1"/>
  <c r="N34" i="12" s="1"/>
  <c r="K16" i="12" l="1"/>
  <c r="AC7" i="5"/>
  <c r="W33" i="12" a="1"/>
  <c r="W33" i="12" s="1"/>
  <c r="Y34" i="12"/>
  <c r="Y29" i="12"/>
  <c r="L29" i="12" a="1"/>
  <c r="L29" i="12" s="1"/>
  <c r="K29" i="12" s="1"/>
  <c r="U14" i="8" a="1"/>
  <c r="U14" i="8" s="1"/>
  <c r="U41" i="8" a="1"/>
  <c r="U41" i="8" s="1"/>
  <c r="W23" i="12" a="1"/>
  <c r="W23" i="12" s="1"/>
  <c r="X23" i="12" a="1"/>
  <c r="X23" i="12" s="1"/>
  <c r="E34" i="6"/>
  <c r="D34" i="12"/>
  <c r="I29" i="8"/>
  <c r="A29" i="8" s="1"/>
  <c r="X30" i="12" a="1"/>
  <c r="X30" i="12" s="1"/>
  <c r="W30" i="12" a="1"/>
  <c r="W30" i="12" s="1"/>
  <c r="T25" i="12"/>
  <c r="U25" i="12"/>
  <c r="V25" i="12" a="1"/>
  <c r="V25" i="12" s="1"/>
  <c r="U42" i="8"/>
  <c r="V14" i="13"/>
  <c r="V15" i="13" s="1"/>
  <c r="V16" i="13" s="1"/>
  <c r="V17" i="13" s="1"/>
  <c r="V18" i="13" s="1"/>
  <c r="V19" i="13" s="1"/>
  <c r="V20" i="13" s="1"/>
  <c r="V21" i="13" s="1"/>
  <c r="V22" i="13" s="1"/>
  <c r="V23" i="13" s="1"/>
  <c r="D14" i="13"/>
  <c r="L28" i="13"/>
  <c r="P14" i="13"/>
  <c r="AB14" i="11" a="1"/>
  <c r="AB14" i="11" s="1"/>
  <c r="AG14" i="13" a="1"/>
  <c r="AG14" i="13" s="1"/>
  <c r="U14" i="13" s="1"/>
  <c r="AD4" i="13" s="1"/>
  <c r="AD14" i="13" a="1"/>
  <c r="AD14" i="13" s="1"/>
  <c r="S14" i="13" s="1"/>
  <c r="M27" i="13" s="1"/>
  <c r="D32" i="12"/>
  <c r="E32" i="6"/>
  <c r="E42" i="8"/>
  <c r="E14" i="8" a="1"/>
  <c r="E14" i="8" s="1"/>
  <c r="E41" i="8" a="1"/>
  <c r="E41" i="8" s="1"/>
  <c r="E36" i="8" s="1"/>
  <c r="U33" i="12"/>
  <c r="V33" i="12" a="1"/>
  <c r="V33" i="12" s="1"/>
  <c r="T33" i="12"/>
  <c r="X16" i="12" a="1"/>
  <c r="X16" i="12" s="1"/>
  <c r="W16" i="12" a="1"/>
  <c r="W16" i="12" s="1"/>
  <c r="O25" i="11"/>
  <c r="AA7" i="11"/>
  <c r="W34" i="12" a="1"/>
  <c r="W34" i="12" s="1"/>
  <c r="X34" i="12" a="1"/>
  <c r="X34" i="12" s="1"/>
  <c r="X32" i="12" a="1"/>
  <c r="X32" i="12" s="1"/>
  <c r="W32" i="12" a="1"/>
  <c r="W32" i="12" s="1"/>
  <c r="X29" i="12" a="1"/>
  <c r="X29" i="12" s="1"/>
  <c r="W29" i="12" a="1"/>
  <c r="W29" i="12" s="1"/>
  <c r="W37" i="12" a="1"/>
  <c r="W37" i="12" s="1"/>
  <c r="X37" i="12" a="1"/>
  <c r="X37" i="12" s="1"/>
  <c r="O12" i="5" a="1"/>
  <c r="O12" i="5" s="1"/>
  <c r="I26" i="8"/>
  <c r="A26" i="8" s="1"/>
  <c r="D29" i="12"/>
  <c r="E29" i="6"/>
  <c r="U24" i="12"/>
  <c r="T24" i="12"/>
  <c r="V24" i="12" a="1"/>
  <c r="V24" i="12" s="1"/>
  <c r="AC11" i="5"/>
  <c r="E16" i="6"/>
  <c r="D16" i="12"/>
  <c r="E14" i="6"/>
  <c r="I14" i="8"/>
  <c r="L34" i="12" a="1"/>
  <c r="L34" i="12" s="1"/>
  <c r="K34" i="12" s="1"/>
  <c r="V37" i="12" l="1" a="1"/>
  <c r="V37" i="12" s="1"/>
  <c r="T37" i="12"/>
  <c r="U37" i="12"/>
  <c r="U37" i="8"/>
  <c r="U38" i="8"/>
  <c r="H27" i="9"/>
  <c r="U23" i="12"/>
  <c r="V23" i="12" a="1"/>
  <c r="V23" i="12" s="1"/>
  <c r="T23" i="12"/>
  <c r="T29" i="12"/>
  <c r="U29" i="12"/>
  <c r="V29" i="12" a="1"/>
  <c r="V29" i="12" s="1"/>
  <c r="V16" i="12" a="1"/>
  <c r="V16" i="12" s="1"/>
  <c r="T16" i="12"/>
  <c r="U16" i="12"/>
  <c r="T34" i="12"/>
  <c r="U34" i="12"/>
  <c r="V34" i="12" a="1"/>
  <c r="V34" i="12" s="1"/>
  <c r="E37" i="8"/>
  <c r="E33" i="8" s="1"/>
  <c r="E38" i="8"/>
  <c r="E43" i="8" s="1"/>
  <c r="V30" i="12" a="1"/>
  <c r="V30" i="12" s="1"/>
  <c r="U30" i="12"/>
  <c r="T30" i="12"/>
  <c r="V41" i="8" a="1"/>
  <c r="V41" i="8" s="1"/>
  <c r="U36" i="8"/>
  <c r="AE4" i="13"/>
  <c r="E34" i="14"/>
  <c r="L24" i="13"/>
  <c r="O29" i="13"/>
  <c r="O24" i="13"/>
  <c r="M24" i="13"/>
  <c r="D33" i="14"/>
  <c r="N24" i="13"/>
  <c r="P24" i="13"/>
  <c r="V42" i="8"/>
  <c r="V32" i="12" a="1"/>
  <c r="V32" i="12" s="1"/>
  <c r="T32" i="12"/>
  <c r="U32" i="12"/>
  <c r="N14" i="11"/>
  <c r="N24" i="11" s="1"/>
  <c r="AB24" i="11"/>
  <c r="AB7" i="11" s="1"/>
  <c r="Z3" i="11" s="1"/>
  <c r="AA3" i="11" s="1" a="1"/>
  <c r="AA3" i="11" s="1"/>
  <c r="O27" i="13" l="1"/>
  <c r="U33" i="8"/>
  <c r="H24" i="9" s="1"/>
  <c r="H25" i="9"/>
  <c r="AD17" i="11"/>
  <c r="AD20" i="11"/>
  <c r="AD18" i="11"/>
  <c r="AD15" i="11"/>
  <c r="AD19" i="11"/>
  <c r="AD23" i="11"/>
  <c r="AD21" i="11"/>
  <c r="AD16" i="11"/>
  <c r="AD12" i="11"/>
  <c r="AD14" i="11"/>
  <c r="AD22" i="11"/>
  <c r="AA28" i="5" a="1"/>
  <c r="AA28" i="5" s="1"/>
  <c r="AA36" i="5" a="1"/>
  <c r="AA36" i="5" s="1"/>
  <c r="AA27" i="5" a="1"/>
  <c r="AA27" i="5" s="1"/>
  <c r="AA31" i="5" a="1"/>
  <c r="AA31" i="5" s="1"/>
  <c r="AA18" i="5" a="1"/>
  <c r="AA18" i="5" s="1"/>
  <c r="AA21" i="5" a="1"/>
  <c r="AA21" i="5" s="1"/>
  <c r="AA35" i="5" a="1"/>
  <c r="AA35" i="5" s="1"/>
  <c r="AA22" i="5" a="1"/>
  <c r="AA22" i="5" s="1"/>
  <c r="AA26" i="5" a="1"/>
  <c r="AA26" i="5" s="1"/>
  <c r="AA19" i="5" a="1"/>
  <c r="AA19" i="5" s="1"/>
  <c r="AA20" i="5" a="1"/>
  <c r="AA20" i="5" s="1"/>
  <c r="AA24" i="5" a="1"/>
  <c r="AA24" i="5" s="1"/>
  <c r="AA23" i="5" s="1" a="1"/>
  <c r="AA23" i="5" s="1"/>
  <c r="C20" i="8" s="1"/>
  <c r="AA38" i="5" a="1"/>
  <c r="AA38" i="5" s="1"/>
  <c r="AA33" i="5" a="1"/>
  <c r="AA33" i="5" s="1"/>
  <c r="AA37" i="5" a="1"/>
  <c r="AA37" i="5" s="1"/>
  <c r="AA30" i="5" a="1"/>
  <c r="AA30" i="5" s="1"/>
  <c r="AA32" i="5" a="1"/>
  <c r="AA32" i="5" s="1"/>
  <c r="L27" i="13"/>
  <c r="N25" i="11"/>
  <c r="J27" i="9"/>
  <c r="V38" i="8"/>
  <c r="V37" i="8"/>
  <c r="W42" i="8"/>
  <c r="V36" i="8"/>
  <c r="W41" i="8" a="1"/>
  <c r="W41" i="8" s="1"/>
  <c r="G10" i="13"/>
  <c r="F34" i="14"/>
  <c r="H26" i="9"/>
  <c r="H29" i="9" s="1"/>
  <c r="U44" i="8"/>
  <c r="AE21" i="11" l="1"/>
  <c r="M21" i="11" s="1"/>
  <c r="L21" i="11" s="1"/>
  <c r="AA25" i="5" a="1"/>
  <c r="AA25" i="5" s="1"/>
  <c r="C23" i="8" s="1"/>
  <c r="AE15" i="11"/>
  <c r="M15" i="11" s="1"/>
  <c r="L15" i="11" s="1"/>
  <c r="AE20" i="11"/>
  <c r="M20" i="11" s="1"/>
  <c r="L20" i="11" s="1"/>
  <c r="J26" i="9"/>
  <c r="J29" i="9" s="1"/>
  <c r="V44" i="8"/>
  <c r="W38" i="8"/>
  <c r="L27" i="9"/>
  <c r="W37" i="8"/>
  <c r="X42" i="8"/>
  <c r="AA29" i="5" a="1"/>
  <c r="AA29" i="5" s="1"/>
  <c r="C26" i="8" s="1"/>
  <c r="AE17" i="11"/>
  <c r="M17" i="11" s="1"/>
  <c r="L17" i="11" s="1"/>
  <c r="AA34" i="5" a="1"/>
  <c r="AA34" i="5" s="1"/>
  <c r="C29" i="8" s="1"/>
  <c r="AE12" i="11"/>
  <c r="M12" i="11" s="1"/>
  <c r="L12" i="11" s="1"/>
  <c r="AE22" i="11"/>
  <c r="M22" i="11" s="1"/>
  <c r="L22" i="11" s="1"/>
  <c r="AE23" i="11"/>
  <c r="M23" i="11" s="1"/>
  <c r="L23" i="11" s="1"/>
  <c r="AE19" i="11"/>
  <c r="M19" i="11" s="1"/>
  <c r="L19" i="11" s="1"/>
  <c r="AA16" i="5" a="1"/>
  <c r="AA16" i="5" s="1"/>
  <c r="AA15" i="5"/>
  <c r="AA17" i="5" a="1"/>
  <c r="AA17" i="5" s="1"/>
  <c r="C17" i="8" s="1"/>
  <c r="X41" i="8" a="1"/>
  <c r="X41" i="8" s="1"/>
  <c r="W36" i="8"/>
  <c r="V33" i="8"/>
  <c r="J24" i="9" s="1"/>
  <c r="J25" i="9"/>
  <c r="AC27" i="13"/>
  <c r="D32" i="14"/>
  <c r="AD27" i="13"/>
  <c r="AE18" i="11"/>
  <c r="M18" i="11" s="1"/>
  <c r="L18" i="11" s="1"/>
  <c r="AE16" i="11"/>
  <c r="M16" i="11" s="1"/>
  <c r="L16" i="11" s="1"/>
  <c r="N27" i="13"/>
  <c r="E32" i="14" s="1"/>
  <c r="F32" i="14"/>
  <c r="Y41" i="8" l="1" a="1"/>
  <c r="Y41" i="8" s="1"/>
  <c r="X36" i="8"/>
  <c r="AF14" i="13" a="1"/>
  <c r="AF14" i="13" s="1"/>
  <c r="T14" i="13" s="1"/>
  <c r="AD3" i="13" s="1"/>
  <c r="AD2" i="13" s="1"/>
  <c r="AA14" i="11" a="1"/>
  <c r="AA14" i="11" s="1"/>
  <c r="AC14" i="13" a="1"/>
  <c r="AC14" i="13" s="1"/>
  <c r="R14" i="13" s="1"/>
  <c r="M26" i="13" s="1"/>
  <c r="N27" i="9"/>
  <c r="X38" i="8"/>
  <c r="X37" i="8"/>
  <c r="Y42" i="8"/>
  <c r="L26" i="9"/>
  <c r="L29" i="9" s="1"/>
  <c r="W44" i="8"/>
  <c r="E40" i="8" a="1"/>
  <c r="E40" i="8" s="1"/>
  <c r="U40" i="8" a="1"/>
  <c r="U40" i="8" s="1"/>
  <c r="W33" i="8"/>
  <c r="L24" i="9" s="1"/>
  <c r="L25" i="9"/>
  <c r="N25" i="9" l="1"/>
  <c r="X33" i="8"/>
  <c r="N24" i="9" s="1"/>
  <c r="AA24" i="11"/>
  <c r="Z14" i="11"/>
  <c r="Z24" i="11" s="1"/>
  <c r="AE14" i="11" s="1"/>
  <c r="M14" i="11" s="1"/>
  <c r="U35" i="8"/>
  <c r="V40" i="8" a="1"/>
  <c r="V40" i="8" s="1"/>
  <c r="U39" i="8"/>
  <c r="U34" i="8" s="1"/>
  <c r="N26" i="9"/>
  <c r="N29" i="9" s="1"/>
  <c r="X44" i="8"/>
  <c r="E35" i="8"/>
  <c r="E39" i="8"/>
  <c r="E34" i="8" s="1"/>
  <c r="Y37" i="8"/>
  <c r="Y38" i="8"/>
  <c r="P27" i="9"/>
  <c r="Z42" i="8"/>
  <c r="AE3" i="13"/>
  <c r="M25" i="13"/>
  <c r="Z41" i="8" a="1"/>
  <c r="Z41" i="8" s="1"/>
  <c r="Y36" i="8"/>
  <c r="Y33" i="8" l="1"/>
  <c r="P24" i="9" s="1"/>
  <c r="P25" i="9"/>
  <c r="M24" i="11"/>
  <c r="L14" i="11"/>
  <c r="L24" i="11" s="1"/>
  <c r="Z37" i="8"/>
  <c r="Z38" i="8"/>
  <c r="R27" i="9"/>
  <c r="AA42" i="8"/>
  <c r="AA41" i="8" a="1"/>
  <c r="AA41" i="8" s="1"/>
  <c r="Z36" i="8"/>
  <c r="W40" i="8" a="1"/>
  <c r="W40" i="8" s="1"/>
  <c r="V35" i="8"/>
  <c r="V39" i="8"/>
  <c r="V34" i="8" s="1"/>
  <c r="O26" i="13"/>
  <c r="AE2" i="13"/>
  <c r="P26" i="9"/>
  <c r="P29" i="9" s="1"/>
  <c r="Y44" i="8"/>
  <c r="L25" i="11" l="1"/>
  <c r="L10" i="11"/>
  <c r="M10" i="13" s="1"/>
  <c r="L25" i="13"/>
  <c r="D30" i="14" s="1"/>
  <c r="M10" i="11"/>
  <c r="N10" i="13" s="1"/>
  <c r="L26" i="13"/>
  <c r="M25" i="11"/>
  <c r="AB41" i="8" a="1"/>
  <c r="AB41" i="8" s="1"/>
  <c r="AA36" i="8"/>
  <c r="R26" i="9"/>
  <c r="R29" i="9" s="1"/>
  <c r="Z44" i="8"/>
  <c r="W35" i="8"/>
  <c r="X40" i="8" a="1"/>
  <c r="X40" i="8" s="1"/>
  <c r="W39" i="8"/>
  <c r="W34" i="8" s="1"/>
  <c r="F31" i="14"/>
  <c r="N26" i="13"/>
  <c r="E31" i="14" s="1"/>
  <c r="O25" i="13"/>
  <c r="T27" i="9"/>
  <c r="AA37" i="8"/>
  <c r="AA38" i="8"/>
  <c r="AB42" i="8"/>
  <c r="Z33" i="8"/>
  <c r="R24" i="9" s="1"/>
  <c r="R25" i="9"/>
  <c r="G9" i="11" l="1"/>
  <c r="N25" i="13"/>
  <c r="E30" i="14" s="1"/>
  <c r="F30" i="14"/>
  <c r="AC41" i="8" a="1"/>
  <c r="AC41" i="8" s="1"/>
  <c r="AB36" i="8"/>
  <c r="T25" i="9"/>
  <c r="AA33" i="8"/>
  <c r="T24" i="9" s="1"/>
  <c r="Y40" i="8" a="1"/>
  <c r="Y40" i="8" s="1"/>
  <c r="X35" i="8"/>
  <c r="X39" i="8"/>
  <c r="X34" i="8" s="1"/>
  <c r="T26" i="9"/>
  <c r="T29" i="9" s="1"/>
  <c r="AA44" i="8"/>
  <c r="AB38" i="8"/>
  <c r="V27" i="9"/>
  <c r="AB37" i="8"/>
  <c r="AC42" i="8"/>
  <c r="AD26" i="13"/>
  <c r="D31" i="14"/>
  <c r="AC26" i="13"/>
  <c r="AC36" i="8" l="1"/>
  <c r="AD41" i="8" a="1"/>
  <c r="AD41" i="8" s="1"/>
  <c r="AC38" i="8"/>
  <c r="AC37" i="8"/>
  <c r="X27" i="9"/>
  <c r="AD42" i="8"/>
  <c r="V26" i="9"/>
  <c r="V29" i="9" s="1"/>
  <c r="AB44" i="8"/>
  <c r="Y35" i="8"/>
  <c r="Z40" i="8" a="1"/>
  <c r="Z40" i="8" s="1"/>
  <c r="Y39" i="8"/>
  <c r="Y34" i="8" s="1"/>
  <c r="AB33" i="8"/>
  <c r="V24" i="9" s="1"/>
  <c r="V25" i="9"/>
  <c r="AC33" i="8" l="1"/>
  <c r="X24" i="9" s="1"/>
  <c r="X25" i="9"/>
  <c r="Z35" i="8"/>
  <c r="AA40" i="8" a="1"/>
  <c r="AA40" i="8" s="1"/>
  <c r="Z39" i="8"/>
  <c r="Z34" i="8" s="1"/>
  <c r="AD36" i="8"/>
  <c r="AE41" i="8" a="1"/>
  <c r="AE41" i="8" s="1"/>
  <c r="AD38" i="8"/>
  <c r="Z27" i="9"/>
  <c r="AD37" i="8"/>
  <c r="AE42" i="8"/>
  <c r="X26" i="9"/>
  <c r="X29" i="9" s="1"/>
  <c r="AC44" i="8"/>
  <c r="AA35" i="8" l="1"/>
  <c r="AB40" i="8" a="1"/>
  <c r="AB40" i="8" s="1"/>
  <c r="AA39" i="8"/>
  <c r="AA34" i="8" s="1"/>
  <c r="AD33" i="8"/>
  <c r="Z24" i="9" s="1"/>
  <c r="Z25" i="9"/>
  <c r="AE37" i="8"/>
  <c r="AB27" i="9"/>
  <c r="AE38" i="8"/>
  <c r="AF42" i="8"/>
  <c r="Z26" i="9"/>
  <c r="Z29" i="9" s="1"/>
  <c r="AD44" i="8"/>
  <c r="AE36" i="8"/>
  <c r="AF41" i="8" a="1"/>
  <c r="AF41" i="8" s="1"/>
  <c r="AF36" i="8" s="1"/>
  <c r="AB26" i="9" l="1"/>
  <c r="AB29" i="9" s="1"/>
  <c r="AE44" i="8"/>
  <c r="AC40" i="8" a="1"/>
  <c r="AC40" i="8" s="1"/>
  <c r="AB35" i="8"/>
  <c r="AB39" i="8"/>
  <c r="AB34" i="8" s="1"/>
  <c r="AF37" i="8"/>
  <c r="AD27" i="9"/>
  <c r="AF38" i="8"/>
  <c r="F11" i="8" s="1" a="1"/>
  <c r="F11" i="8" s="1"/>
  <c r="K10" i="8" a="1"/>
  <c r="K10" i="8" s="1"/>
  <c r="B6" i="9" a="1"/>
  <c r="B6" i="9" s="1"/>
  <c r="M13" i="9" s="1"/>
  <c r="AE33" i="8"/>
  <c r="AB24" i="9" s="1"/>
  <c r="AB25" i="9"/>
  <c r="AD40" i="8" l="1" a="1"/>
  <c r="AD40" i="8" s="1"/>
  <c r="AC35" i="8"/>
  <c r="AC39" i="8"/>
  <c r="AC34" i="8" s="1"/>
  <c r="AD25" i="9"/>
  <c r="AF33" i="8"/>
  <c r="AD24" i="9" s="1"/>
  <c r="AD26" i="9"/>
  <c r="AD29" i="9" s="1"/>
  <c r="G29" i="9" s="1"/>
  <c r="AF44" i="8"/>
  <c r="T44" i="8" s="1"/>
  <c r="AD35" i="8" l="1"/>
  <c r="AE40" i="8" a="1"/>
  <c r="AE40" i="8" s="1"/>
  <c r="AD39" i="8"/>
  <c r="AD34" i="8" s="1"/>
  <c r="AE35" i="8" l="1"/>
  <c r="AF40" i="8" a="1"/>
  <c r="AF40" i="8" s="1"/>
  <c r="AE39" i="8"/>
  <c r="AE34" i="8" s="1"/>
  <c r="AF35" i="8" l="1"/>
  <c r="AF39" i="8"/>
  <c r="AF3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<sst xmlns="http://schemas.openxmlformats.org/spreadsheetml/2006/main" count="1890" uniqueCount="1055">
  <si>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</si>
  <si>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</si>
  <si>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</si>
  <si>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</si>
  <si>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</si>
  <si>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</si>
  <si>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</si>
  <si>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</si>
  <si>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</si>
  <si>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</si>
  <si>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</si>
  <si>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</si>
  <si>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</si>
  <si>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</si>
  <si>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</si>
  <si>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</si>
  <si>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</si>
  <si>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</si>
  <si>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</si>
  <si>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</si>
  <si>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</si>
  <si>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</si>
  <si>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</si>
  <si>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</si>
  <si>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</si>
  <si>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</si>
  <si>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</si>
  <si>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</si>
  <si>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</si>
  <si>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</si>
  <si>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</si>
  <si>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</si>
  <si>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</si>
  <si>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</si>
  <si>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</si>
  <si>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</si>
  <si>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</si>
  <si>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</si>
  <si>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</si>
  <si>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</si>
  <si>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</si>
  <si>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</si>
  <si>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</si>
  <si>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</si>
  <si>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</si>
  <si>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</si>
  <si>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</si>
  <si>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</si>
  <si>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</si>
  <si>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</si>
  <si>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</si>
  <si>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</si>
  <si>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</si>
  <si>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</si>
  <si>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</si>
  <si>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</si>
  <si>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</si>
  <si>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</si>
  <si>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</si>
  <si>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</si>
  <si>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</si>
  <si>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</si>
  <si>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</si>
  <si>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</si>
  <si>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</si>
  <si>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</si>
  <si>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</si>
  <si>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</si>
  <si>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</si>
  <si>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</si>
  <si>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</si>
  <si>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</si>
  <si>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</si>
  <si>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</si>
  <si>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</si>
  <si>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</si>
  <si>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</si>
  <si>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</si>
  <si>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</si>
  <si>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</si>
  <si>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</si>
  <si>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</si>
  <si>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</si>
  <si>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</si>
  <si>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</si>
  <si>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</si>
  <si>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</si>
  <si>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</si>
  <si>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</si>
  <si>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</si>
  <si>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</si>
  <si>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</si>
  <si>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</si>
  <si>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</si>
  <si>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</si>
  <si>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</si>
  <si>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</si>
  <si>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</si>
  <si>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</si>
  <si>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</si>
  <si>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</si>
  <si>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</si>
  <si>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</si>
  <si>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</si>
  <si>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</si>
  <si>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</si>
  <si>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</si>
  <si>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</si>
  <si>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</si>
  <si>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</si>
  <si>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</si>
  <si>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</si>
  <si>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</si>
  <si>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</si>
  <si>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</si>
  <si>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</si>
  <si>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</si>
  <si>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</si>
  <si>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</si>
  <si>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</si>
  <si>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</si>
  <si>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</si>
  <si>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</si>
  <si>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</si>
  <si>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</si>
  <si>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</si>
  <si>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</si>
  <si>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</si>
  <si>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</si>
  <si>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</si>
  <si>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</si>
  <si>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</si>
  <si>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</si>
  <si>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</si>
  <si>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</si>
  <si>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</si>
  <si>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</si>
  <si>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</si>
  <si>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</si>
  <si>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</si>
  <si>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</si>
  <si>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</si>
  <si>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</si>
  <si>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</si>
  <si>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</si>
  <si>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</si>
  <si>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</si>
  <si>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</si>
  <si>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</si>
  <si>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</si>
  <si>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</si>
  <si>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</si>
  <si>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</si>
  <si>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</si>
  <si>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</si>
  <si>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</si>
  <si>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</si>
  <si>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</si>
  <si>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</si>
  <si>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</si>
  <si>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</si>
  <si>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</si>
  <si>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</si>
  <si>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</si>
  <si>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</si>
  <si>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</si>
  <si>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</si>
  <si>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</si>
  <si>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</si>
  <si>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</si>
  <si>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</si>
  <si>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</si>
  <si>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</si>
  <si>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</si>
  <si>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</si>
  <si>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</si>
  <si>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</si>
  <si>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</si>
  <si>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</si>
  <si>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</si>
  <si>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</si>
  <si>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</si>
  <si>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</si>
  <si>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</si>
  <si>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</si>
  <si>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</si>
  <si>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</si>
  <si>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</si>
  <si>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</si>
  <si>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</si>
  <si>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</si>
  <si>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</si>
  <si>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</si>
  <si>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</si>
  <si>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</si>
  <si>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</si>
  <si>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</si>
  <si>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</si>
  <si>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</si>
  <si>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</si>
  <si>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</si>
  <si>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</si>
  <si>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</si>
  <si>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</si>
  <si>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</si>
  <si>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</si>
  <si>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</si>
  <si>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</si>
  <si>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</si>
  <si>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</si>
  <si>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</si>
  <si>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</si>
  <si>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</si>
  <si>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</si>
  <si>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</si>
  <si>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</si>
  <si>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</si>
  <si>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</si>
  <si>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</si>
  <si>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</si>
  <si>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</si>
  <si>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</si>
  <si>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</si>
  <si>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</si>
  <si>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</si>
  <si>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</si>
  <si>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</si>
  <si>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</si>
  <si>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</si>
  <si>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</si>
  <si>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</si>
  <si>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</si>
  <si>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</si>
  <si>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</si>
  <si>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</si>
  <si>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</si>
  <si>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</si>
  <si>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</si>
  <si>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</si>
  <si>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</si>
  <si>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</si>
  <si>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</si>
  <si>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</si>
  <si>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</si>
  <si>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</si>
  <si>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</si>
  <si>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</si>
  <si>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</si>
  <si>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</si>
  <si>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</si>
  <si>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</si>
  <si>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</si>
  <si>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</si>
  <si>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</si>
  <si>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</si>
  <si>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</si>
  <si>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</si>
  <si>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</si>
  <si>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</si>
  <si>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</si>
  <si>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</si>
  <si>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</si>
  <si>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</si>
  <si>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</si>
  <si>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</si>
  <si>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</si>
  <si>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</si>
  <si>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</si>
  <si>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</si>
  <si>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</si>
  <si>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</si>
  <si>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</si>
  <si>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</si>
  <si>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</si>
  <si>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</si>
  <si>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</si>
  <si>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</si>
  <si>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</si>
  <si>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</si>
  <si>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</si>
  <si>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</si>
  <si>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</si>
  <si>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</si>
  <si>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</si>
  <si>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</si>
  <si>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</si>
  <si>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</si>
  <si>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</si>
  <si>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</si>
  <si>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</si>
  <si>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</si>
  <si>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</si>
  <si>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</si>
  <si>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</si>
  <si>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</si>
  <si>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</si>
  <si>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</si>
  <si>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</si>
  <si>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</si>
  <si>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</si>
  <si>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</si>
  <si>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</si>
  <si>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</si>
  <si>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</si>
  <si>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</si>
  <si>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</si>
  <si>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</si>
  <si>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</si>
  <si>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</si>
  <si>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</si>
  <si>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</si>
  <si>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</si>
  <si>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</si>
  <si>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</si>
  <si>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</si>
  <si>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</si>
  <si>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</si>
  <si>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</si>
  <si>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</si>
  <si>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</si>
  <si>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</si>
  <si>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</si>
  <si>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</si>
  <si>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</si>
  <si>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</si>
  <si>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</si>
  <si>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</si>
  <si>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</si>
  <si>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</si>
  <si>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</si>
  <si>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</si>
  <si>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</si>
  <si>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</si>
  <si>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</si>
  <si>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</si>
  <si>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</si>
  <si>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</si>
  <si>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</si>
  <si>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</si>
  <si>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</si>
  <si>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</si>
  <si>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</si>
  <si>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</si>
  <si>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</si>
  <si>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</si>
  <si>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</si>
  <si>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</si>
  <si>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</si>
  <si>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</si>
  <si>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</si>
  <si>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</si>
  <si>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</si>
  <si>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</si>
  <si>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</si>
  <si>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</si>
  <si>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</si>
  <si>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</si>
  <si>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</si>
  <si>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</si>
  <si>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</si>
  <si>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</si>
  <si>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</si>
  <si>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</si>
  <si>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</si>
  <si>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</si>
  <si>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</si>
  <si>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</si>
  <si>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</si>
  <si>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</si>
  <si>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</si>
  <si>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</si>
  <si>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</si>
  <si>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</si>
  <si>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</si>
  <si>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</si>
  <si>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</si>
  <si>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</si>
  <si>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</si>
  <si>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</si>
  <si>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</si>
  <si>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</si>
  <si>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</si>
  <si>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</si>
  <si>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</si>
  <si>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</si>
  <si>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</si>
  <si>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</si>
  <si>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</si>
  <si>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</si>
  <si>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</si>
  <si>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</si>
  <si>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</si>
  <si>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</si>
  <si>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</si>
  <si>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</si>
  <si>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</si>
  <si>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</si>
  <si>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</si>
  <si>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</si>
  <si>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</si>
  <si>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</si>
  <si>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</si>
  <si>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</si>
  <si>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</si>
  <si>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</si>
  <si>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</si>
  <si>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</si>
  <si>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</si>
  <si>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</si>
  <si>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</si>
  <si>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</si>
  <si>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</si>
  <si>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</si>
  <si>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</si>
  <si>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</si>
  <si>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</si>
  <si>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</si>
  <si>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</si>
  <si>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</si>
  <si>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</si>
  <si>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</si>
  <si>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</si>
  <si>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</si>
  <si>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</si>
  <si>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</si>
  <si>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</si>
  <si>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</si>
  <si>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</si>
  <si>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</si>
  <si>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</si>
  <si>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</si>
  <si>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</si>
  <si>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</si>
  <si>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</si>
  <si>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</si>
  <si>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</si>
  <si>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</si>
  <si>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</si>
  <si>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</si>
  <si>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</si>
  <si>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</si>
  <si>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</si>
  <si>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</si>
  <si>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</si>
  <si>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</si>
  <si>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</si>
  <si>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</si>
  <si>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</si>
  <si>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</si>
  <si>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</si>
  <si>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</si>
  <si>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</si>
  <si>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</si>
  <si>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</si>
  <si>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</si>
  <si>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</si>
  <si>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</si>
  <si>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</si>
  <si>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</si>
  <si>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</si>
  <si>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</si>
  <si>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</si>
  <si>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</si>
  <si>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</si>
  <si>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</si>
  <si>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</si>
  <si>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</si>
  <si>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</si>
  <si>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</si>
  <si>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</si>
  <si>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</si>
  <si>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</si>
  <si>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</si>
  <si>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</si>
  <si>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</si>
  <si>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</si>
  <si>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</si>
  <si>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</si>
  <si>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</si>
  <si>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</si>
  <si>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</si>
  <si>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</si>
  <si>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</si>
  <si>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</si>
  <si>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</si>
  <si>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</si>
  <si>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</si>
  <si>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</si>
  <si>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</si>
  <si>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</si>
  <si>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</si>
  <si>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</si>
  <si>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</si>
  <si>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</si>
  <si>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</si>
  <si>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</si>
  <si>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</si>
  <si>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</si>
  <si>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</si>
  <si>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</si>
  <si>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</si>
  <si>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</si>
  <si>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</si>
  <si>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</si>
  <si>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</si>
  <si>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</si>
  <si>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</si>
  <si>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</si>
  <si>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</si>
  <si>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</si>
  <si>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</si>
  <si>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</si>
  <si>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</si>
  <si>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</si>
  <si>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</si>
  <si>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</si>
  <si>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</si>
  <si>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</si>
  <si>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</si>
  <si>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</si>
  <si>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</si>
  <si>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</si>
  <si>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</si>
  <si>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</si>
  <si>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</si>
  <si>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</si>
  <si>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</si>
  <si>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</si>
  <si>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</si>
  <si>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</si>
  <si>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</si>
  <si>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</si>
  <si>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</si>
  <si>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</si>
  <si>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</si>
  <si>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</si>
  <si>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</si>
  <si>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</si>
  <si>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</si>
  <si>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</si>
  <si>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</si>
  <si>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</si>
  <si>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</si>
  <si>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</si>
  <si>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</si>
  <si>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</si>
  <si>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</si>
  <si>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</si>
  <si>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</si>
  <si>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</si>
  <si>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</si>
  <si>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</si>
  <si>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</si>
  <si>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</si>
  <si>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</si>
  <si>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</si>
  <si>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</si>
  <si>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</si>
  <si>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</si>
  <si>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</si>
  <si>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</si>
  <si>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</si>
  <si>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</si>
  <si>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</si>
  <si>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</si>
  <si>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</si>
  <si>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</si>
  <si>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</si>
  <si>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</si>
  <si>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</si>
  <si>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</si>
  <si>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</si>
  <si>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</si>
  <si>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</si>
  <si>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</si>
  <si>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</si>
  <si>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</si>
  <si>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</si>
  <si>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</si>
  <si>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</si>
  <si>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</si>
  <si>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</si>
  <si>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</si>
  <si>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</si>
  <si>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</si>
  <si>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</si>
  <si>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</si>
  <si>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</si>
  <si>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</si>
  <si>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</si>
  <si>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</si>
  <si>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</si>
  <si>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</si>
  <si>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</si>
  <si>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</si>
  <si>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</si>
  <si>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</si>
  <si>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</si>
  <si>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</si>
  <si>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</si>
  <si>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</si>
  <si>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</si>
  <si>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</si>
  <si>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</si>
  <si>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</si>
  <si>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</si>
  <si>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</si>
  <si>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</si>
  <si>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</si>
  <si>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</si>
  <si>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</si>
  <si>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</si>
  <si>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</si>
  <si>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</si>
  <si>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</si>
  <si>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</si>
  <si>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</si>
  <si>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</si>
  <si>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</si>
  <si>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</si>
  <si>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</si>
  <si>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</si>
  <si>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</si>
  <si>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</si>
  <si>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</si>
  <si>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</si>
  <si>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</si>
  <si>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</si>
  <si>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</si>
  <si>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</si>
  <si>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</si>
  <si>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</si>
  <si>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</si>
  <si>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</si>
  <si>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</si>
  <si>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</si>
  <si>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</si>
  <si>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</si>
  <si>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</si>
  <si>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</si>
  <si>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</si>
  <si>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</si>
  <si>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</si>
  <si>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</si>
  <si>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</si>
  <si>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</si>
  <si>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</si>
  <si>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</si>
  <si>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</si>
  <si>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</si>
  <si>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</si>
  <si>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</si>
  <si>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</si>
  <si>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</si>
  <si>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</si>
  <si>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</si>
  <si>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</si>
  <si>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</si>
  <si>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</si>
  <si>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</si>
  <si>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</si>
  <si>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</si>
  <si>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</si>
  <si>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</si>
  <si>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</si>
  <si>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</si>
  <si>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</si>
  <si>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</si>
  <si>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</si>
  <si>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</si>
  <si>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</si>
  <si>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</si>
  <si>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</si>
  <si>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</si>
  <si>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</si>
  <si>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</si>
  <si>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</si>
  <si>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</si>
  <si>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</si>
  <si>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</si>
  <si>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</si>
  <si>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</si>
  <si>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</si>
  <si>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</si>
  <si>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</si>
  <si>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</si>
  <si>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</si>
  <si>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</si>
  <si>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</si>
  <si>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</si>
  <si>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</si>
  <si>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</si>
  <si>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</si>
  <si>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</si>
  <si>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</si>
  <si>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</si>
  <si>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</si>
  <si>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</si>
  <si>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</si>
  <si>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</si>
  <si>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</si>
  <si>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</si>
  <si>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</si>
  <si>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</si>
  <si>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</si>
  <si>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</si>
  <si>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</si>
  <si>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</si>
  <si>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</si>
  <si>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</si>
  <si>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</si>
  <si>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</si>
  <si>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</si>
  <si>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</si>
  <si>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</si>
  <si>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</si>
  <si>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</si>
  <si>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</si>
  <si>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</si>
  <si>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</si>
  <si>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</si>
  <si>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</si>
  <si>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</si>
  <si>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</si>
  <si>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</si>
  <si>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</si>
  <si>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</si>
  <si>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</si>
  <si>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</si>
  <si>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</si>
  <si>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</si>
  <si>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</si>
  <si>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</si>
  <si>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</si>
  <si>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</si>
  <si>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</si>
  <si>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</si>
  <si>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</si>
  <si>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</si>
  <si>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</si>
  <si>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</si>
  <si>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</si>
  <si>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</si>
  <si>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</si>
  <si>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</si>
  <si>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</si>
  <si>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</si>
  <si>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</si>
  <si>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</si>
  <si>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</si>
  <si>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</si>
  <si>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</si>
  <si>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</si>
  <si>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</si>
  <si>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</si>
  <si>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</si>
  <si>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</si>
  <si>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</si>
  <si>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</si>
  <si>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</si>
  <si>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</si>
  <si>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</si>
  <si>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</si>
  <si>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</si>
  <si>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</si>
  <si>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</si>
  <si>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</si>
  <si>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</si>
  <si>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</si>
  <si>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</si>
  <si>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</si>
  <si>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</si>
  <si>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</si>
  <si>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</si>
  <si>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</si>
  <si>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</si>
  <si>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</si>
  <si>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</si>
  <si>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</si>
  <si>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</si>
  <si>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</si>
  <si>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</si>
  <si>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</si>
  <si>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</si>
  <si>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</si>
  <si>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</si>
  <si>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</si>
  <si>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</si>
  <si>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</si>
  <si>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</si>
  <si>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</si>
  <si>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</si>
  <si>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</si>
  <si>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</si>
  <si>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</si>
  <si>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</si>
  <si>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</si>
  <si>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</si>
  <si>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</si>
  <si>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</si>
  <si>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</si>
  <si>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</si>
  <si>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</si>
  <si>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</si>
  <si>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</si>
  <si>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</si>
  <si>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</si>
  <si>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</si>
  <si>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</si>
  <si>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</si>
  <si>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</si>
  <si>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</si>
  <si>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</si>
  <si>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</si>
  <si>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</si>
  <si>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</si>
  <si>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</si>
  <si>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</si>
  <si>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</si>
  <si>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</si>
  <si>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</si>
  <si>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</si>
  <si>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</si>
  <si>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</si>
  <si>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</si>
  <si>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</si>
  <si>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</si>
  <si>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</si>
  <si>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</si>
  <si>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</si>
  <si>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</si>
  <si>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</si>
  <si>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</si>
  <si>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</si>
  <si>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</si>
  <si>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</si>
  <si>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</si>
  <si>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</si>
  <si>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</si>
  <si>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</si>
  <si>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</si>
  <si>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</si>
  <si>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</si>
  <si>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</si>
  <si>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</si>
  <si>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</si>
  <si>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</si>
  <si>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</si>
  <si>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</si>
  <si>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</si>
  <si>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</si>
  <si>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</si>
  <si>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</si>
  <si>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</si>
  <si>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</si>
  <si>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</si>
  <si>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</si>
  <si>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</si>
  <si>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</si>
  <si>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</si>
  <si>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</si>
  <si>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</si>
  <si>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</si>
  <si>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</si>
  <si>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</si>
  <si>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</si>
  <si>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</si>
  <si>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</si>
  <si>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</si>
  <si>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</si>
  <si>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</si>
  <si>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</si>
  <si>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</si>
  <si>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</si>
  <si>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</si>
  <si>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</si>
  <si>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</si>
  <si>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</si>
  <si>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</si>
  <si>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</si>
  <si>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</si>
  <si>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</si>
  <si>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</si>
  <si>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</si>
  <si>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</si>
  <si>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</si>
  <si>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</si>
  <si>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</si>
  <si>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</si>
  <si>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</si>
  <si>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</si>
  <si>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</si>
  <si>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</si>
  <si>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</si>
  <si>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</si>
  <si>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</si>
  <si>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</si>
  <si>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</si>
  <si>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</si>
  <si>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</si>
  <si>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</si>
  <si>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</si>
  <si>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</si>
  <si>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</si>
  <si>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</si>
  <si>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</si>
  <si>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</si>
  <si>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</si>
  <si>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</si>
  <si>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</si>
  <si>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</si>
  <si>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</si>
  <si>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</si>
  <si>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</si>
  <si>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</si>
  <si>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</si>
  <si>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</si>
  <si>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</si>
  <si>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</si>
  <si>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</si>
  <si>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</si>
  <si>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</si>
  <si>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</si>
  <si>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</si>
  <si>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</si>
  <si>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</si>
  <si>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</si>
  <si>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</si>
  <si>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</si>
  <si>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</si>
  <si>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</si>
  <si>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</si>
  <si>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</si>
  <si>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</si>
  <si>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</si>
  <si>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</si>
  <si>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</si>
  <si>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</si>
  <si>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</si>
  <si>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</si>
  <si>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</si>
  <si>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</si>
  <si>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</si>
  <si>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</si>
  <si>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</si>
  <si>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</si>
  <si>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</si>
  <si>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</si>
  <si>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</si>
  <si>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</si>
  <si>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</si>
  <si>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</si>
  <si>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</si>
  <si>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</si>
  <si>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</si>
  <si>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</si>
  <si>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</si>
  <si>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</si>
  <si>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</si>
  <si>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</si>
  <si>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</si>
  <si>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</si>
  <si>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</si>
  <si>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</si>
  <si>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</si>
  <si>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</si>
  <si>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</si>
  <si>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</si>
  <si>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</si>
  <si>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</si>
  <si>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</si>
  <si>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</si>
  <si>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</si>
  <si>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</si>
  <si>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</si>
  <si>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</si>
  <si>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</si>
  <si>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</si>
  <si>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</si>
  <si>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</si>
  <si>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</si>
  <si>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</si>
  <si>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</si>
  <si>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</si>
  <si>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</si>
  <si>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</si>
  <si>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</si>
  <si>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</si>
  <si>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</si>
  <si>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</si>
  <si>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</si>
  <si>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</si>
  <si>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</si>
  <si>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</si>
  <si>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</si>
  <si>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</si>
  <si>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</si>
  <si>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</si>
  <si>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</si>
  <si>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</si>
  <si>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</si>
  <si>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</si>
  <si>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</si>
  <si>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</si>
  <si>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</si>
  <si>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</si>
  <si>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</si>
  <si>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MUNICÍPIO DE BENTO GONÇALVES</t>
  </si>
  <si>
    <t>BENTO GONÇALVES/RS</t>
  </si>
  <si>
    <t>REVITALIZAÇÃO DA PIPA PÓRTICO</t>
  </si>
  <si>
    <t>REVITALIZAÇÃO DO PÓRTICO PIPA</t>
  </si>
  <si>
    <t>Nathália Cortes Tosi</t>
  </si>
  <si>
    <t>RS227774</t>
  </si>
  <si>
    <t>14233645</t>
  </si>
  <si>
    <t>Prefeito</t>
  </si>
  <si>
    <t>Diogo Segabinazzi Siqueira</t>
  </si>
  <si>
    <t>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t>
  </si>
  <si>
    <t>SERVIÇOS INICIAIS</t>
  </si>
  <si>
    <t>103689</t>
  </si>
  <si>
    <t>PM BENTO 01</t>
  </si>
  <si>
    <t>SICRO-E-CHP</t>
  </si>
  <si>
    <t>E9690</t>
  </si>
  <si>
    <t>SICRO-E-CHI</t>
  </si>
  <si>
    <t>88296</t>
  </si>
  <si>
    <t>104792</t>
  </si>
  <si>
    <t>LIMPEZA E PREPARO DA ESTRUTURA</t>
  </si>
  <si>
    <t>3806402</t>
  </si>
  <si>
    <t>1600408</t>
  </si>
  <si>
    <t>100717</t>
  </si>
  <si>
    <t>RECUPERAÇÃO, REVESTIMENTO E PROTEÇÃO DA ESTRUTURA</t>
  </si>
  <si>
    <t>PM BENTO 08</t>
  </si>
  <si>
    <t>4915654</t>
  </si>
  <si>
    <t>PM BENTO 09</t>
  </si>
  <si>
    <t>PM BENTO 10</t>
  </si>
  <si>
    <t>SERVIÇOS FINAIS</t>
  </si>
  <si>
    <t>104785</t>
  </si>
  <si>
    <t>91926</t>
  </si>
  <si>
    <t>PM BENTO 06</t>
  </si>
  <si>
    <t>PM BENTO 11</t>
  </si>
  <si>
    <t>PLACA DE OBRA</t>
  </si>
  <si>
    <t>CRONOGRAMA DA OBRA</t>
  </si>
  <si>
    <t>1H/DIA x 65 DIAS = 65H</t>
  </si>
  <si>
    <t>7H/DIA x 65 DIAS = 455H</t>
  </si>
  <si>
    <t>8H/DIA x 65 DIAS = 520H</t>
  </si>
  <si>
    <t>METRAGEM CONFORME PROJETO ELÉTRICO EXISTENTE</t>
  </si>
  <si>
    <t xml:space="preserve">ÁREA TOTAL PIPA, CONSIDERANDO:                                ALTURA PIPA = 17,35M                              RAIO MÉDIO PILARES BASE INFERIOR = 8,40M                                                    ESPAÇAMENTO EIXO A EIXO PILAR = 1,00M                                                                                           DIMENSÕES PILARES = 15x50                                            DIMENSÕES VIGAS = 20x60                        NÚMERO DE PILARES = 54                               NÚMERO DE VIGAS = 06                                     </t>
  </si>
  <si>
    <t>APROX. 1/3 DA ÁREA TOTAL PIPA</t>
  </si>
  <si>
    <t>480,00M2 x 0,015M = 7,20M3</t>
  </si>
  <si>
    <t>QUANTIDADE EXISTENTE</t>
  </si>
  <si>
    <t>16,80M x 16,80M = 282,24M2</t>
  </si>
  <si>
    <t>MÊS 1</t>
  </si>
  <si>
    <t>MÊS 2</t>
  </si>
  <si>
    <t>MÊS 3</t>
  </si>
  <si>
    <t>ADMINISTRAÇÃO LOCAL</t>
  </si>
  <si>
    <t>2. ADMINISTRAÇÃO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</si>
</sst>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1"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8" applyFont="1" applyFill="1" applyBorder="1" applyAlignment="1" applyProtection="1">
      <alignment vertical="center" shrinkToFit="1"/>
    </xf>
    <xf numFmtId="172"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2"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2" fontId="24" fillId="17" borderId="44" xfId="48" applyFont="1" applyFill="1" applyBorder="1" applyAlignment="1" applyProtection="1">
      <alignment horizontal="center" vertical="center" shrinkToFit="1"/>
    </xf>
    <xf numFmtId="172"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2" fontId="0" fillId="6" borderId="38" xfId="48" applyFont="1" applyFill="1" applyBorder="1" applyAlignment="1" applyProtection="1">
      <alignment vertical="center" shrinkToFit="1"/>
      <protection locked="0"/>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8"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2"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3"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4" fontId="56" fillId="0" borderId="59" xfId="48" applyNumberFormat="1" applyFill="1" applyBorder="1" applyAlignment="1" applyProtection="1">
      <alignment horizontal="right" shrinkToFit="1"/>
    </xf>
    <xf numFmtId="174"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6" fontId="0" fillId="0" borderId="60" xfId="49" applyFont="1" applyFill="1" applyBorder="1" applyAlignment="1" applyProtection="1">
      <alignment horizontal="right" shrinkToFit="1"/>
    </xf>
    <xf numFmtId="174" fontId="0" fillId="0" borderId="30" xfId="48" applyNumberFormat="1" applyFont="1" applyFill="1" applyBorder="1" applyAlignment="1" applyProtection="1">
      <alignment horizontal="center" vertical="center"/>
    </xf>
    <xf numFmtId="166" fontId="48" fillId="0" borderId="61" xfId="49" applyFont="1" applyFill="1" applyBorder="1" applyAlignment="1" applyProtection="1">
      <alignment horizontal="center"/>
    </xf>
    <xf numFmtId="0" fontId="46" fillId="0" borderId="13" xfId="34" applyFont="1" applyBorder="1" applyAlignment="1">
      <alignment horizontal="center"/>
    </xf>
    <xf numFmtId="166" fontId="48" fillId="0" borderId="0" xfId="49" applyFont="1" applyFill="1" applyBorder="1" applyAlignment="1" applyProtection="1">
      <alignment horizontal="center"/>
    </xf>
    <xf numFmtId="166" fontId="0" fillId="0" borderId="13"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6" fontId="24" fillId="0" borderId="32"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5"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5" fontId="49" fillId="0" borderId="54" xfId="34" applyNumberFormat="1" applyFont="1" applyBorder="1" applyAlignment="1" applyProtection="1">
      <alignment horizontal="center"/>
      <protection locked="0"/>
    </xf>
    <xf numFmtId="0" fontId="46" fillId="8" borderId="33" xfId="34" applyFont="1" applyFill="1" applyBorder="1"/>
    <xf numFmtId="166" fontId="24" fillId="0" borderId="0" xfId="49" applyFont="1" applyFill="1" applyBorder="1" applyAlignment="1" applyProtection="1">
      <alignment horizontal="center" shrinkToFit="1"/>
    </xf>
    <xf numFmtId="166" fontId="0" fillId="8" borderId="62" xfId="49" applyFont="1" applyFill="1" applyBorder="1" applyAlignment="1" applyProtection="1">
      <alignment horizontal="center"/>
    </xf>
    <xf numFmtId="166" fontId="0" fillId="8" borderId="63" xfId="49" applyFont="1" applyFill="1" applyBorder="1" applyAlignment="1" applyProtection="1">
      <alignment horizontal="right"/>
    </xf>
    <xf numFmtId="172" fontId="56" fillId="0" borderId="39" xfId="48" applyFill="1" applyBorder="1" applyAlignment="1" applyProtection="1">
      <alignment shrinkToFit="1"/>
    </xf>
    <xf numFmtId="0" fontId="46" fillId="8" borderId="30" xfId="34" applyFont="1" applyFill="1" applyBorder="1"/>
    <xf numFmtId="166" fontId="0" fillId="0" borderId="37" xfId="49" applyFont="1" applyFill="1" applyBorder="1" applyAlignment="1" applyProtection="1">
      <alignment horizontal="center"/>
    </xf>
    <xf numFmtId="166"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6" fontId="0" fillId="8" borderId="37" xfId="49" applyFont="1" applyFill="1" applyBorder="1" applyAlignment="1" applyProtection="1">
      <alignment horizontal="center"/>
    </xf>
    <xf numFmtId="166" fontId="0" fillId="8" borderId="65" xfId="49" applyFont="1" applyFill="1" applyBorder="1" applyAlignment="1" applyProtection="1">
      <alignment horizontal="right"/>
    </xf>
    <xf numFmtId="172" fontId="56" fillId="0" borderId="42" xfId="48" applyFill="1" applyBorder="1" applyAlignment="1" applyProtection="1">
      <alignment shrinkToFit="1"/>
    </xf>
    <xf numFmtId="166" fontId="0" fillId="0" borderId="57" xfId="49" applyFont="1" applyFill="1" applyBorder="1" applyAlignment="1" applyProtection="1">
      <alignment horizontal="center"/>
    </xf>
    <xf numFmtId="166" fontId="0" fillId="0" borderId="59" xfId="49" applyFont="1" applyFill="1" applyBorder="1" applyAlignment="1" applyProtection="1">
      <alignment horizontal="right"/>
    </xf>
    <xf numFmtId="0" fontId="46" fillId="8" borderId="13" xfId="34" applyFont="1" applyFill="1" applyBorder="1"/>
    <xf numFmtId="166" fontId="24" fillId="8" borderId="68" xfId="49" applyFont="1" applyFill="1" applyBorder="1" applyAlignment="1" applyProtection="1">
      <alignment horizontal="center"/>
    </xf>
    <xf numFmtId="166" fontId="24" fillId="8" borderId="69" xfId="49" applyFont="1" applyFill="1" applyBorder="1" applyAlignment="1" applyProtection="1">
      <alignment horizontal="right"/>
    </xf>
    <xf numFmtId="0" fontId="46" fillId="0" borderId="29" xfId="34" applyFont="1" applyBorder="1" applyAlignment="1">
      <alignment horizontal="center"/>
    </xf>
    <xf numFmtId="166"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9" fontId="0" fillId="0" borderId="45" xfId="0" applyNumberFormat="1" applyBorder="1" applyAlignment="1">
      <alignment horizontal="center" vertical="center"/>
    </xf>
    <xf numFmtId="179" fontId="0" fillId="0" borderId="13" xfId="0" applyNumberFormat="1" applyBorder="1" applyAlignment="1">
      <alignment horizontal="center" vertical="center"/>
    </xf>
    <xf numFmtId="180" fontId="24"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5" xfId="0" applyNumberFormat="1" applyBorder="1" applyAlignment="1">
      <alignment horizontal="center" vertical="center"/>
    </xf>
    <xf numFmtId="179" fontId="0" fillId="0" borderId="65"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6"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9" fontId="17" fillId="8" borderId="78"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2" fontId="8" fillId="8" borderId="45"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28" xfId="0" applyNumberFormat="1" applyFont="1" applyFill="1" applyBorder="1" applyAlignment="1">
      <alignment horizontal="center"/>
    </xf>
    <xf numFmtId="182"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3"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4" fontId="24" fillId="8" borderId="33" xfId="0" applyNumberFormat="1" applyFont="1" applyFill="1" applyBorder="1" applyAlignment="1">
      <alignment horizontal="center" vertical="center" wrapText="1"/>
    </xf>
    <xf numFmtId="172" fontId="0" fillId="0" borderId="37" xfId="48" applyFont="1" applyFill="1" applyBorder="1" applyAlignment="1" applyProtection="1">
      <alignment vertical="center" shrinkToFit="1"/>
    </xf>
    <xf numFmtId="172" fontId="0" fillId="0" borderId="65" xfId="48" applyFont="1" applyFill="1" applyBorder="1" applyAlignment="1" applyProtection="1">
      <alignment vertical="center" shrinkToFit="1"/>
    </xf>
    <xf numFmtId="172" fontId="0" fillId="0" borderId="38" xfId="48" applyFont="1" applyFill="1" applyBorder="1" applyAlignment="1" applyProtection="1">
      <alignment horizontal="center" vertical="center" shrinkToFit="1"/>
    </xf>
    <xf numFmtId="172" fontId="0" fillId="0" borderId="39" xfId="48" applyFont="1" applyFill="1" applyBorder="1" applyAlignment="1" applyProtection="1">
      <alignment horizontal="center" vertical="center" shrinkToFit="1"/>
    </xf>
    <xf numFmtId="172" fontId="0" fillId="6" borderId="38" xfId="48" applyFont="1" applyFill="1" applyBorder="1" applyAlignment="1" applyProtection="1">
      <protection locked="0"/>
    </xf>
    <xf numFmtId="172" fontId="0" fillId="6" borderId="40" xfId="48" applyFont="1" applyFill="1" applyBorder="1" applyAlignment="1" applyProtection="1">
      <protection locked="0"/>
    </xf>
    <xf numFmtId="166" fontId="0" fillId="0" borderId="39" xfId="0" applyNumberFormat="1" applyBorder="1"/>
    <xf numFmtId="172" fontId="24" fillId="17" borderId="13" xfId="48" applyFont="1" applyFill="1" applyBorder="1" applyAlignment="1" applyProtection="1">
      <alignment horizontal="center" vertical="center"/>
    </xf>
    <xf numFmtId="172"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5"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9"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2" fontId="8" fillId="8" borderId="80" xfId="0" applyNumberFormat="1" applyFont="1" applyFill="1" applyBorder="1" applyAlignment="1">
      <alignment horizontal="center"/>
    </xf>
    <xf numFmtId="182" fontId="8" fillId="8" borderId="81" xfId="0" applyNumberFormat="1" applyFont="1" applyFill="1" applyBorder="1" applyAlignment="1">
      <alignment horizontal="center"/>
    </xf>
    <xf numFmtId="182" fontId="8" fillId="8" borderId="62" xfId="0" applyNumberFormat="1" applyFont="1" applyFill="1" applyBorder="1" applyAlignment="1">
      <alignment horizontal="center"/>
    </xf>
    <xf numFmtId="182"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5" xfId="0" applyNumberFormat="1" applyFill="1" applyBorder="1" applyAlignment="1">
      <alignment horizontal="center" vertical="center"/>
    </xf>
    <xf numFmtId="179" fontId="0" fillId="8" borderId="65" xfId="0" applyNumberFormat="1" applyFill="1" applyBorder="1" applyAlignment="1">
      <alignment horizontal="center" vertical="center"/>
    </xf>
    <xf numFmtId="0" fontId="0" fillId="18" borderId="80" xfId="0" applyFill="1" applyBorder="1" applyAlignment="1">
      <alignment horizontal="right"/>
    </xf>
    <xf numFmtId="179" fontId="55" fillId="0" borderId="39" xfId="0" applyNumberFormat="1" applyFont="1" applyBorder="1"/>
    <xf numFmtId="179" fontId="0" fillId="0" borderId="82" xfId="0" applyNumberFormat="1" applyBorder="1" applyAlignment="1">
      <alignment horizontal="center" vertical="center"/>
    </xf>
    <xf numFmtId="179" fontId="0" fillId="0" borderId="57"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0" fontId="0" fillId="18" borderId="83" xfId="0" applyFill="1" applyBorder="1" applyAlignment="1">
      <alignment horizontal="right"/>
    </xf>
    <xf numFmtId="179" fontId="17" fillId="8" borderId="31" xfId="0" applyNumberFormat="1" applyFont="1" applyFill="1" applyBorder="1" applyAlignment="1">
      <alignment horizontal="center" vertical="center"/>
    </xf>
    <xf numFmtId="179" fontId="17" fillId="8" borderId="44"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9" xfId="48" applyNumberFormat="1" applyFont="1" applyFill="1" applyBorder="1" applyAlignment="1" applyProtection="1">
      <alignment vertical="top" shrinkToFit="1"/>
    </xf>
    <xf numFmtId="181"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2"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2"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2"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2"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2"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2" fontId="0" fillId="0" borderId="36" xfId="48" applyFont="1" applyFill="1" applyBorder="1" applyAlignment="1" applyProtection="1">
      <alignment vertical="center" shrinkToFit="1"/>
    </xf>
    <xf numFmtId="186"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2" fontId="24" fillId="17" borderId="29" xfId="48" applyFont="1" applyFill="1" applyBorder="1" applyAlignment="1" applyProtection="1">
      <alignment horizontal="center" vertical="center"/>
    </xf>
    <xf numFmtId="172"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2" fontId="0" fillId="0" borderId="40" xfId="48" applyFont="1" applyFill="1" applyBorder="1" applyAlignment="1" applyProtection="1">
      <alignment vertical="center" shrinkToFit="1"/>
    </xf>
    <xf numFmtId="172" fontId="24" fillId="17" borderId="67" xfId="48" applyFont="1" applyFill="1" applyBorder="1" applyAlignment="1" applyProtection="1">
      <alignment horizontal="center" vertical="center" shrinkToFit="1"/>
    </xf>
    <xf numFmtId="172"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164"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8" fontId="0" fillId="0" borderId="90" xfId="0" applyNumberFormat="1" applyBorder="1"/>
    <xf numFmtId="187"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110" xfId="49" applyFont="1" applyFill="1" applyBorder="1" applyAlignment="1" applyProtection="1">
      <alignment horizontal="center"/>
    </xf>
    <xf numFmtId="166" fontId="24" fillId="8" borderId="75" xfId="49" applyFont="1" applyFill="1" applyBorder="1" applyAlignment="1" applyProtection="1">
      <alignment horizontal="right"/>
    </xf>
    <xf numFmtId="166" fontId="56" fillId="0" borderId="111" xfId="49" applyFill="1" applyBorder="1" applyAlignment="1" applyProtection="1">
      <alignment horizontal="right"/>
    </xf>
    <xf numFmtId="10" fontId="0" fillId="29" borderId="52" xfId="38" applyNumberFormat="1" applyFont="1" applyFill="1" applyBorder="1" applyAlignment="1" applyProtection="1"/>
    <xf numFmtId="172" fontId="56" fillId="29" borderId="39" xfId="48" applyFill="1" applyBorder="1" applyAlignment="1" applyProtection="1">
      <alignment shrinkToFit="1"/>
    </xf>
    <xf numFmtId="166" fontId="24" fillId="29" borderId="67" xfId="49" applyFont="1" applyFill="1" applyBorder="1" applyAlignment="1" applyProtection="1">
      <alignment shrinkToFit="1"/>
    </xf>
    <xf numFmtId="172"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5" fontId="49" fillId="0" borderId="116" xfId="34" applyNumberFormat="1" applyFont="1" applyBorder="1" applyAlignment="1">
      <alignment horizontal="center"/>
    </xf>
    <xf numFmtId="10" fontId="0" fillId="29" borderId="117" xfId="38" applyNumberFormat="1" applyFont="1" applyFill="1" applyBorder="1" applyAlignment="1" applyProtection="1"/>
    <xf numFmtId="172"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2"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2"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5" fontId="74" fillId="0" borderId="0" xfId="0" applyNumberFormat="1" applyFont="1"/>
    <xf numFmtId="0" fontId="77" fillId="0" borderId="0" xfId="0" applyFont="1"/>
    <xf numFmtId="179" fontId="0" fillId="6" borderId="66" xfId="0" applyNumberFormat="1" applyFill="1" applyBorder="1" applyAlignment="1" applyProtection="1">
      <alignment horizontal="right" vertical="center"/>
      <protection locked="0"/>
    </xf>
    <xf numFmtId="179" fontId="0" fillId="6" borderId="42" xfId="0" applyNumberFormat="1" applyFill="1" applyBorder="1" applyAlignment="1" applyProtection="1">
      <alignment horizontal="right" vertical="center"/>
      <protection locked="0"/>
    </xf>
    <xf numFmtId="179"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90"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90"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2"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2" fontId="56" fillId="0" borderId="122" xfId="48" applyBorder="1" applyAlignment="1" applyProtection="1">
      <alignment shrinkToFit="1"/>
    </xf>
    <xf numFmtId="172"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2" fontId="24" fillId="30" borderId="122" xfId="0" applyNumberFormat="1" applyFont="1" applyFill="1" applyBorder="1"/>
    <xf numFmtId="0" fontId="46" fillId="31" borderId="123" xfId="0" applyFont="1" applyFill="1" applyBorder="1" applyAlignment="1">
      <alignment horizontal="left" vertical="center"/>
    </xf>
    <xf numFmtId="172" fontId="56" fillId="31" borderId="122" xfId="48" applyFill="1" applyBorder="1" applyAlignment="1" applyProtection="1">
      <alignment horizontal="left" vertical="center" shrinkToFit="1"/>
    </xf>
    <xf numFmtId="172"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6"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9" fontId="17" fillId="8" borderId="123" xfId="0" applyNumberFormat="1" applyFont="1" applyFill="1" applyBorder="1" applyAlignment="1">
      <alignment horizontal="center" vertical="center"/>
    </xf>
    <xf numFmtId="179"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90"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90" fontId="56" fillId="28" borderId="143" xfId="50" applyNumberFormat="1" applyFont="1" applyFill="1" applyBorder="1" applyAlignment="1">
      <alignment horizontal="center" vertical="center"/>
    </xf>
    <xf numFmtId="190"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8" fontId="0" fillId="0" borderId="29" xfId="33" applyNumberFormat="1" applyFont="1" applyBorder="1" applyAlignment="1">
      <alignment horizontal="left"/>
    </xf>
    <xf numFmtId="187"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5"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7"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7" fontId="63" fillId="0" borderId="29" xfId="0" applyNumberFormat="1" applyFont="1" applyBorder="1" applyAlignment="1">
      <alignment horizontal="left"/>
    </xf>
    <xf numFmtId="172" fontId="56" fillId="0" borderId="103" xfId="48" applyBorder="1" applyAlignment="1" applyProtection="1">
      <alignment horizontal="center" shrinkToFit="1"/>
    </xf>
    <xf numFmtId="172" fontId="56" fillId="0" borderId="105" xfId="48" applyBorder="1" applyAlignment="1" applyProtection="1">
      <alignment horizontal="center" shrinkToFit="1"/>
    </xf>
    <xf numFmtId="172" fontId="56" fillId="0" borderId="122" xfId="48" applyBorder="1" applyAlignment="1" applyProtection="1">
      <alignment horizontal="center" shrinkToFit="1"/>
    </xf>
    <xf numFmtId="189" fontId="46" fillId="0" borderId="103" xfId="48" applyNumberFormat="1" applyFont="1" applyBorder="1" applyAlignment="1" applyProtection="1">
      <alignment horizontal="center" shrinkToFit="1"/>
    </xf>
    <xf numFmtId="189" fontId="46" fillId="0" borderId="105" xfId="48" applyNumberFormat="1" applyFont="1" applyBorder="1" applyAlignment="1" applyProtection="1">
      <alignment horizontal="center" shrinkToFit="1"/>
    </xf>
    <xf numFmtId="188"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9"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4" fontId="24" fillId="0" borderId="31" xfId="48" applyNumberFormat="1" applyFont="1" applyFill="1" applyBorder="1" applyAlignment="1" applyProtection="1">
      <alignment horizontal="center" vertical="center"/>
    </xf>
    <xf numFmtId="166"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7"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6"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8" fontId="56" fillId="0" borderId="13" xfId="48" applyNumberFormat="1" applyFill="1" applyBorder="1" applyAlignment="1" applyProtection="1">
      <alignment horizontal="center" shrinkToFit="1"/>
    </xf>
    <xf numFmtId="178"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7"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2"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1"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00000000-0005-0000-0000-000023000000}"/>
    <cellStyle name="Normal_FICHA DE VERIFICAÇÃO PRELIMINAR - Plano R" xfId="35" xr:uid="{00000000-0005-0000-0000-000024000000}"/>
    <cellStyle name="Note" xfId="36" builtinId="10" customBuiltin="1"/>
    <cellStyle name="Output" xfId="39" builtinId="21" customBuiltin="1"/>
    <cellStyle name="Percent" xfId="37" builtinId="5"/>
    <cellStyle name="Porcentagem 2" xfId="38" xr:uid="{00000000-0005-0000-0000-000027000000}"/>
    <cellStyle name="Título 5" xfId="46" xr:uid="{00000000-0005-0000-0000-00002F000000}"/>
    <cellStyle name="Total" xfId="47" builtinId="25" customBuiltin="1"/>
    <cellStyle name="Vírgula 2" xfId="49" xr:uid="{00000000-0005-0000-0000-000032000000}"/>
    <cellStyle name="Warning Text" xfId="40" builtinId="11" customBuiltin="1"/>
  </cellStyles>
  <dxfs count="32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2"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FLxUB7wuaV0nUmKAqQW2428X7figT616AmKKuSmKsfy55juLM/wys3ZNNJUC6DHspHGXTT2XFoA1jTQqwYRWBw==" saltValue="Qi0/0/u6D8vZN/NiCeVhk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2</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PROPOSTA: Para visualizar/preencher esta seção, altere o TIPO DE ORÇAMENTO para 'Proposto'</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c>
      <c r="D10" s="405"/>
      <c r="E10" s="478" t="str" cm="1">
        <f t="array" ref="E10">IF(TIPOORCAMENTO&lt;&gt;"Proposto","","             ORÇAMENTO             ")</f>
        <v/>
      </c>
      <c r="F10" s="405"/>
      <c r="G10" s="480" t="str" cm="1">
        <f t="array" ref="G10">IF(TIPOORCAMENTO&lt;&gt;"Proposto","","MEMÓRIA DE CÁLCULO / PLQ")</f>
        <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c>
      <c r="D12" s="405"/>
      <c r="E12" s="479" t="str" cm="1">
        <f t="array" ref="E12">IF(TIPOORCAMENTO&lt;&gt;"Proposto","","CRONOGRAMA FÍSICO-FINANCEIRO")</f>
        <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ref="C14">IF(TIPOORCAMENTO&lt;&gt;"Proposto","","Obs: Composições e Cotações devem ser preenchidas diretamente no arquivo Referência "&amp;IF(ISBLANK(Import.DataBase),"mm-aaaa",TEXT(Import.DataBase,"mm-aaaa"))&amp;".xlsm.")</f>
        <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RESULTADO DO PROCESSO LICITATÓRIO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xml:space="preserve">             ORÇAMENTO             </v>
      </c>
      <c r="D18" s="405"/>
      <c r="E18" s="478" t="str" cm="1">
        <f t="array" ref="E18">IF(TIPOORCAMENTO&lt;&gt;"Licitado","","                    QCI                    ")</f>
        <v xml:space="preserve">                    QCI                    </v>
      </c>
      <c r="F18" s="405"/>
      <c r="G18" s="479" t="str" cm="1">
        <f t="array" ref="G18">IF(TIPOORCAMENTO&lt;&gt;"Licitado","","CRONOGRAMA FÍSICO-FINANCEIRO")</f>
        <v>CRONOGRAMA FÍSICO-FINANCEIRO</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DO EMPREENDIMENTO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PLAN. DE LEVANT. DE EVENTOS - PLE</v>
      </c>
      <c r="D22" s="405"/>
      <c r="E22" s="478" t="str" cm="1">
        <f t="array" ref="E22">IF(TIPOORCAMENTO&lt;&gt;"Licitado","","                    RRE                    ")</f>
        <v xml:space="preserve">                    RRE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OF. DE SOLICITAÇÃO DE DESBLOQUEIO</v>
      </c>
      <c r="F24" s="405"/>
      <c r="G24" s="405"/>
      <c r="H24" s="404"/>
      <c r="I24" s="404"/>
    </row>
    <row r="25" spans="1:14" x14ac:dyDescent="0.2">
      <c r="A25" s="404"/>
      <c r="B25" s="404"/>
      <c r="C25" s="404"/>
      <c r="D25" s="404"/>
      <c r="E25" s="404"/>
      <c r="F25" s="404"/>
      <c r="G25" s="404"/>
      <c r="H25" s="404"/>
      <c r="I25" s="404"/>
    </row>
  </sheetData>
  <sheetProtection algorithmName="SHA-512" hashValue="juUBe7OAp/X2ImFLtHE/+ADYyjdeErjQ8pya5GmofhJWjtpYjMvEHcedZmH5KWCVmkIZA5eGF5gAOoSfkHI2aQ==" saltValue="5wQVDB8B6N87b4dFDWmnQw==" spinCount="100000" sheet="1" objects="1" scenarios="1" autoFilter="0"/>
  <mergeCells count="4">
    <mergeCell ref="B20:H20"/>
    <mergeCell ref="B8:H8"/>
    <mergeCell ref="E2:G3"/>
    <mergeCell ref="B16:H16"/>
  </mergeCells>
  <phoneticPr fontId="38" type="noConversion"/>
  <conditionalFormatting sqref="C10:G14">
    <cfRule type="expression" dxfId="325" priority="70" stopIfTrue="1">
      <formula>TIPOORCAMENTO="Licitado"</formula>
    </cfRule>
  </conditionalFormatting>
  <conditionalFormatting sqref="C18:G18 E22:E24">
    <cfRule type="expression" dxfId="324" priority="71" stopIfTrue="1">
      <formula>TIPOORCAMENTO&lt;&gt;"Licitado"</formula>
    </cfRule>
  </conditionalFormatting>
  <conditionalFormatting sqref="C22">
    <cfRule type="expression" dxfId="323" priority="73" stopIfTrue="1">
      <formula>OR(TIPOORCAMENTO&lt;&gt;"Licitado",ACOMPANHAMENTO&lt;&gt;"PLE")</formula>
    </cfRule>
  </conditionalFormatting>
  <conditionalFormatting sqref="G22">
    <cfRule type="expression" dxfId="322" priority="74" stopIfTrue="1">
      <formula>OR(TIPOORCAMENTO&lt;&gt;"Licitado",ACOMPANHAMENTO&lt;&gt;"BM")</formula>
    </cfRule>
  </conditionalFormatting>
  <conditionalFormatting sqref="B16:H16 B20:H20">
    <cfRule type="expression" dxfId="321" priority="599" stopIfTrue="1">
      <formula>$O$3&lt;&gt;2</formula>
    </cfRule>
  </conditionalFormatting>
  <conditionalFormatting sqref="B8:H8">
    <cfRule type="expression" dxfId="320"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W222"/>
  <sheetViews>
    <sheetView showGridLines="0" zoomScaleNormal="100" workbookViewId="0">
      <pane ySplit="2" topLeftCell="A3" activePane="bottomLeft" state="frozen"/>
      <selection pane="bottomLeft" activeCell="C9" sqref="C9"/>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1009</v>
      </c>
      <c r="D16" s="563" t="str">
        <f t="shared" ref="D16:D19" ca="1" si="1">IF(OFFSET(D16,0,-1)="","◄","")</f>
        <v/>
      </c>
      <c r="L16" s="12" t="s">
        <v>113</v>
      </c>
      <c r="AV16" t="s">
        <v>224</v>
      </c>
      <c r="AW16" t="s">
        <v>225</v>
      </c>
    </row>
    <row r="17" spans="2:49" x14ac:dyDescent="0.2">
      <c r="B17" s="17" t="s">
        <v>226</v>
      </c>
      <c r="C17" s="26" t="s">
        <v>1010</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45992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1011</v>
      </c>
      <c r="D22" s="563" t="str">
        <f t="shared" ref="D22:D24" ca="1" si="2">IF(OFFSET(D22,0,-1)="","◄","")</f>
        <v/>
      </c>
      <c r="AV22" t="s">
        <v>241</v>
      </c>
      <c r="AW22" t="s">
        <v>242</v>
      </c>
    </row>
    <row r="23" spans="2:49" x14ac:dyDescent="0.2">
      <c r="B23" s="17" t="s">
        <v>243</v>
      </c>
      <c r="C23" s="18" t="s">
        <v>1012</v>
      </c>
      <c r="D23" s="563" t="str">
        <f t="shared" ca="1" si="2"/>
        <v/>
      </c>
      <c r="AV23" t="s">
        <v>244</v>
      </c>
      <c r="AW23" t="s">
        <v>245</v>
      </c>
    </row>
    <row r="24" spans="2:49" x14ac:dyDescent="0.2">
      <c r="B24" s="17" t="s">
        <v>246</v>
      </c>
      <c r="C24" s="18" t="s">
        <v>1013</v>
      </c>
      <c r="D24" s="563" t="str">
        <f t="shared" ca="1" si="2"/>
        <v/>
      </c>
      <c r="AV24" t="s">
        <v>247</v>
      </c>
      <c r="AW24" t="s">
        <v>248</v>
      </c>
    </row>
    <row r="25" spans="2:49" ht="13.5" thickBot="1" x14ac:dyDescent="0.25">
      <c r="B25" s="21" t="s">
        <v>249</v>
      </c>
      <c r="C25" s="32">
        <v>46073</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1015</v>
      </c>
      <c r="D28" s="563" t="str">
        <f t="shared" ref="D28:D29" ca="1" si="3">IF(OFFSET(D28,0,-1)="","◄","")</f>
        <v/>
      </c>
      <c r="AV28" t="s">
        <v>258</v>
      </c>
      <c r="AW28" t="s">
        <v>259</v>
      </c>
    </row>
    <row r="29" spans="2:49" ht="13.5" thickBot="1" x14ac:dyDescent="0.25">
      <c r="B29" s="21" t="s">
        <v>260</v>
      </c>
      <c r="C29" s="34" t="s">
        <v>1014</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Falta preencher a linha 36</v>
      </c>
      <c r="AV35" t="s">
        <v>274</v>
      </c>
      <c r="AW35" t="s">
        <v>275</v>
      </c>
    </row>
    <row r="36" spans="2:49" x14ac:dyDescent="0.2">
      <c r="B36" s="13" t="s">
        <v>276</v>
      </c>
      <c r="C36" s="35"/>
      <c r="D36" s="563" t="str" cm="1">
        <f t="array" aca="1" ref="D36" ca="1">IF(AND(TIPOORCAMENTO="Licitado",OFFSET(D36,0,-1)=""),"◄","")</f>
        <v>◄</v>
      </c>
      <c r="AV36" t="s">
        <v>277</v>
      </c>
      <c r="AW36" t="s">
        <v>278</v>
      </c>
    </row>
    <row r="37" spans="2:49" x14ac:dyDescent="0.2">
      <c r="B37" s="15" t="s">
        <v>279</v>
      </c>
      <c r="C37" s="16"/>
      <c r="D37" s="563" t="str" cm="1">
        <f t="array" aca="1" ref="D37" ca="1">IF(AND(TIPOORCAMENTO="Licitado",OFFSET(D37,0,-1)=""),"◄","")</f>
        <v>◄</v>
      </c>
      <c r="AV37" t="s">
        <v>280</v>
      </c>
      <c r="AW37" t="s">
        <v>281</v>
      </c>
    </row>
    <row r="38" spans="2:49" x14ac:dyDescent="0.2">
      <c r="B38" s="17" t="s">
        <v>282</v>
      </c>
      <c r="C38" s="18"/>
      <c r="D38" s="563" t="str" cm="1">
        <f t="array" aca="1" ref="D38" ca="1">IF(AND(TIPOORCAMENTO="Licitado",OFFSET(D38,0,-1)=""),"◄","")</f>
        <v>◄</v>
      </c>
      <c r="AV38" t="s">
        <v>283</v>
      </c>
      <c r="AW38" t="s">
        <v>284</v>
      </c>
    </row>
    <row r="39" spans="2:49" x14ac:dyDescent="0.2">
      <c r="B39" s="17" t="s">
        <v>285</v>
      </c>
      <c r="C39" s="18"/>
      <c r="D39" s="563" t="str" cm="1">
        <f t="array" aca="1" ref="D39" ca="1">IF(AND(TIPOORCAMENTO="Licitado",OFFSET(D39,0,-1)=""),"◄","")</f>
        <v>◄</v>
      </c>
      <c r="AV39" t="s">
        <v>286</v>
      </c>
      <c r="AW39" t="s">
        <v>287</v>
      </c>
    </row>
    <row r="40" spans="2:49" x14ac:dyDescent="0.2">
      <c r="B40" s="17" t="s">
        <v>288</v>
      </c>
      <c r="C40" s="27" t="s">
        <v>968</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dmRhPQwjf4q+YJ7LXBbZkOF1VYOAF6xniP2kVbwnaeFieM8foi1TNP77ckeNcx9BTyGQi8vkw6CY7rMdP7+VTA==" saltValue="qPgYOxHgswaVQl5x0w2Nk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19" priority="2" stopIfTrue="1">
      <formula>CAIXA.Modo=FALSE</formula>
    </cfRule>
  </conditionalFormatting>
  <conditionalFormatting sqref="B59:C61">
    <cfRule type="expression" dxfId="31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2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200-000001000000}">
      <formula1>DADOS.Lista.RegimePreviden</formula1>
    </dataValidation>
    <dataValidation type="decimal" allowBlank="1" showErrorMessage="1" error="Digite um valor em percentual._x000a__x000a_Ou seja um valor de 0% (zero) até 100% (cem). " sqref="C11 C13:C14" xr:uid="{00000000-0002-0000-0200-000002000000}">
      <formula1>0</formula1>
      <formula2>1</formula2>
    </dataValidation>
    <dataValidation type="list" allowBlank="1" showInputMessage="1" showErrorMessage="1" errorTitle="Erro:" error="Selecione na lista a fonte de recursos." prompt="Selecione na lista a fonte de recursos." sqref="C4" xr:uid="{00000000-0002-0000-0200-000003000000}">
      <formula1>DADOS.Lista.FonteRecursos</formula1>
    </dataValidation>
    <dataValidation type="decimal" operator="greaterThan" allowBlank="1" showErrorMessage="1" error="Digite um valor maior do que 0." sqref="C12" xr:uid="{00000000-0002-0000-02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2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2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t="str">
        <f>Import.Proponente</f>
        <v>MUNICÍPIO DE BENTO GONÇALVES</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REVITALIZAÇÃO DA PIPA PÓRTICO / REVITALIZAÇÃO DO PÓRTICO PIPA</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0.45</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0.03</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IF(COUNTIF(ORÇAMENTO!$V$15:$V$39,BDI_1.Título)=0,"",IF(OR(Import.BDI.Tipo1="(SELECIONAR)",Import.BDI.Tipo1="",U17&lt;&gt;"",AND($J17&lt;&gt;$A$145,OR(S21="",S22="",AND($J17&lt;&gt;$A$146,OR(S23="",S24="")),S25="",S26=""))),"Falta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645</v>
      </c>
      <c r="K17" s="701"/>
      <c r="L17" s="701"/>
      <c r="M17" s="701"/>
      <c r="N17" s="701"/>
      <c r="O17" s="701"/>
      <c r="P17" s="701"/>
      <c r="Q17" s="701"/>
      <c r="R17" s="701"/>
      <c r="S17" s="701"/>
      <c r="T17" s="563" t="str">
        <f ca="1">IF(U17="","","◄")</f>
        <v/>
      </c>
      <c r="U17" s="562" t="str">
        <f ca="1">IF(AND(OR(S29&gt;0,COUNTIF(ORÇAMENTO!$V$15:$V$39,BDI_1.Título)&gt;0),OR(Import.BDI.Tipo1="(SELECIONAR)",Import.BDI.Tipo1="")),"Selecione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5.5E-2</v>
      </c>
      <c r="T21" s="572" t="str">
        <f ca="1">IF(AND($U$14&lt;&gt;"",$U$17="",R21&lt;&gt;"",S21=""),"◄","")</f>
        <v/>
      </c>
      <c r="U21" s="689" t="str">
        <f ca="1">IFERROR(IF(T21="◄","FALTA PREENCHER",IF(AND(OR(S21&gt;=X21,X21="-"),OR(S21&lt;=Z21,Z21="-")),"OK","FORA DO INTERVALO")),"-")</f>
        <v>OK</v>
      </c>
      <c r="V21" s="689"/>
      <c r="W21" s="689"/>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0.01</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1.2699999999999999E-2</v>
      </c>
      <c r="T23" s="572" t="str">
        <f t="shared" ca="1" si="1"/>
        <v/>
      </c>
      <c r="U23" s="689" t="str">
        <f t="shared" ca="1" si="2"/>
        <v>OK</v>
      </c>
      <c r="V23" s="689"/>
      <c r="W23" s="689"/>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1.3899999999999999E-2</v>
      </c>
      <c r="T24" s="572" t="str">
        <f t="shared" ca="1" si="1"/>
        <v/>
      </c>
      <c r="U24" s="689" t="str">
        <f t="shared" ca="1" si="2"/>
        <v>OK</v>
      </c>
      <c r="V24" s="689"/>
      <c r="W24" s="689"/>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8.6800000000000002E-2</v>
      </c>
      <c r="T25" s="572" t="str">
        <f t="shared" ca="1" si="1"/>
        <v/>
      </c>
      <c r="U25" s="689" t="str">
        <f t="shared" ca="1" si="2"/>
        <v>OK</v>
      </c>
      <c r="V25" s="689"/>
      <c r="W25" s="689"/>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1.35E-2</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0.25</v>
      </c>
      <c r="U29" s="690" t="str">
        <f ca="1">IFERROR(IF(AND(OR(S29&gt;=X29,X29="-"),OR(S29&lt;=Z29,Z29="-")),"OK","FORA DO INTERVALO"),IF(S29=0,"OK","Selecione o Tipo de obra"))</f>
        <v>OK</v>
      </c>
      <c r="V29" s="690"/>
      <c r="W29" s="69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0.25</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2" t="s">
        <v>1016</v>
      </c>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BENTO GONÇALVES/RS</v>
      </c>
      <c r="K45" s="683"/>
      <c r="L45" s="683"/>
      <c r="M45" s="683"/>
      <c r="P45" s="684">
        <f>DADOS!$C$25</f>
        <v>46073</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Nathália Cortes Tosi</v>
      </c>
      <c r="L50" s="79"/>
      <c r="M50" s="79"/>
      <c r="N50" s="76"/>
    </row>
    <row r="51" spans="1:26" ht="14.25" x14ac:dyDescent="0.2">
      <c r="A51"/>
      <c r="B51"/>
      <c r="C51"/>
      <c r="D51"/>
      <c r="E51"/>
      <c r="F51"/>
      <c r="G51"/>
      <c r="I51" t="s">
        <v>536</v>
      </c>
      <c r="J51" s="77" t="s">
        <v>243</v>
      </c>
      <c r="K51" s="78" t="str">
        <v>RS227774</v>
      </c>
      <c r="L51" s="79"/>
      <c r="M51" s="79"/>
      <c r="N51" s="76"/>
    </row>
    <row r="52" spans="1:26" ht="14.25" x14ac:dyDescent="0.2">
      <c r="A52"/>
      <c r="B52"/>
      <c r="C52"/>
      <c r="D52"/>
      <c r="E52"/>
      <c r="F52"/>
      <c r="G52"/>
      <c r="I52" t="s">
        <v>536</v>
      </c>
      <c r="J52" s="77" t="s">
        <v>246</v>
      </c>
      <c r="K52" s="78" t="str">
        <v>14233645</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02" t="s">
        <v>697</v>
      </c>
      <c r="K54" s="702"/>
      <c r="L54" s="702"/>
      <c r="M54" s="702"/>
      <c r="N54" s="702"/>
      <c r="O54" s="702"/>
      <c r="P54" s="702"/>
      <c r="Q54" s="702"/>
      <c r="R54" s="702"/>
      <c r="S54" s="702"/>
      <c r="U54" s="521" t="str">
        <f>IF(COUNTIF(ORÇAMENTO!$V$15:$V$39,BDI_2.Título)=0,"",IF(OR(Import.BDI.Tipo2="(SELECIONAR)",Import.BDI.Tipo2="",U57&lt;&gt;"",AND($J57&lt;&gt;$A$145,OR(S61="",S62="",AND($J57&lt;&gt;$A$146,OR(S63="",S64="")),S65="",S66=""))),"Falta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0" t="s">
        <v>664</v>
      </c>
      <c r="K56" s="700"/>
      <c r="L56" s="700"/>
      <c r="M56" s="700"/>
      <c r="N56" s="700"/>
      <c r="O56" s="700"/>
      <c r="P56" s="700"/>
      <c r="Q56" s="700"/>
      <c r="R56" s="700"/>
      <c r="S56" s="700"/>
    </row>
    <row r="57" spans="1:26" ht="15" x14ac:dyDescent="0.25">
      <c r="A57"/>
      <c r="B57"/>
      <c r="C57"/>
      <c r="D57"/>
      <c r="E57"/>
      <c r="F57"/>
      <c r="G57"/>
      <c r="I57" t="str">
        <f t="shared" ca="1" si="3"/>
        <v/>
      </c>
      <c r="J57" s="701" t="s">
        <v>139</v>
      </c>
      <c r="K57" s="701"/>
      <c r="L57" s="701"/>
      <c r="M57" s="701"/>
      <c r="N57" s="701"/>
      <c r="O57" s="701"/>
      <c r="P57" s="701"/>
      <c r="Q57" s="701"/>
      <c r="R57" s="701"/>
      <c r="S57" s="701"/>
      <c r="T57" s="563" t="str">
        <f ca="1">IF(U57="","","◄")</f>
        <v/>
      </c>
      <c r="U57" s="562" t="str">
        <f ca="1">IF(AND(OR(S69&gt;0,COUNTIF(ORÇAMENTO!$V$15:$V$39,BDI_2.Título)&gt;0),OR(Import.BDI.Tipo2="(SELECIONAR)",Import.BDI.Tipo2="")),"Selecione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
      </c>
      <c r="J61" s="688" t="str">
        <f>IF($J$57=$A$146,"Encargos Sociais incidentes sobre a mão de obra","Administração Central")</f>
        <v>Administração Central</v>
      </c>
      <c r="K61" s="688"/>
      <c r="L61" s="688"/>
      <c r="M61" s="688"/>
      <c r="N61" s="688"/>
      <c r="O61" s="688"/>
      <c r="P61" s="688"/>
      <c r="Q61" s="688"/>
      <c r="R61" s="60" t="str">
        <f>IF($J57=$A$146,"K1","AC")</f>
        <v>AC</v>
      </c>
      <c r="S61" s="61"/>
      <c r="T61" s="572" t="str">
        <f ca="1">IF(AND($U$54&lt;&gt;"",$U$57="",R61&lt;&gt;"",S61=""),"◄","")</f>
        <v/>
      </c>
      <c r="U61" s="689" t="str">
        <f ca="1">IFERROR(IF(T61="◄","FALTA PREENCHER",IF(AND(OR(S61&gt;=X61,X61="-"),OR(S61&lt;=Z61,Z61="-")),"OK","FORA DO INTERVALO")),"-")</f>
        <v>-</v>
      </c>
      <c r="V61" s="689"/>
      <c r="W61" s="689"/>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88" t="str">
        <f>IF($J$57=$A$146,"Administração Central da empresa ou consultoria - overhead","Seguro e Garantia")</f>
        <v>Seguro e Garantia</v>
      </c>
      <c r="K62" s="688"/>
      <c r="L62" s="688"/>
      <c r="M62" s="688"/>
      <c r="N62" s="688"/>
      <c r="O62" s="688"/>
      <c r="P62" s="688"/>
      <c r="Q62" s="688"/>
      <c r="R62" s="60" t="str">
        <f>IF($J57=$A$146,"K2","SG")</f>
        <v>SG</v>
      </c>
      <c r="S62" s="61"/>
      <c r="T62" s="572" t="str">
        <f t="shared" ref="T62:T66" ca="1" si="4">IF(AND($U$54&lt;&gt;"",$U$57="",R62&lt;&gt;"",S62=""),"◄","")</f>
        <v/>
      </c>
      <c r="U62" s="689" t="str">
        <f t="shared" ref="U62:U68" ca="1" si="5">IFERROR(IF(T62="◄","FALTA PREENCHER",IF(AND(OR(S62&gt;=X62,X62="-"),OR(S62&lt;=Z62,Z62="-")),"OK","FORA DO INTERVALO")),"-")</f>
        <v>-</v>
      </c>
      <c r="V62" s="689"/>
      <c r="W62" s="689"/>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88" t="s">
        <v>942</v>
      </c>
      <c r="K63" s="688"/>
      <c r="L63" s="688"/>
      <c r="M63" s="688"/>
      <c r="N63" s="688"/>
      <c r="O63" s="688"/>
      <c r="P63" s="688"/>
      <c r="Q63" s="688"/>
      <c r="R63" s="60" t="str">
        <f>IF($J57=$A$146,"","R")</f>
        <v>R</v>
      </c>
      <c r="S63" s="61"/>
      <c r="T63" s="572" t="str">
        <f t="shared" ca="1" si="4"/>
        <v/>
      </c>
      <c r="U63" s="689" t="str">
        <f t="shared" ca="1" si="5"/>
        <v>-</v>
      </c>
      <c r="V63" s="689"/>
      <c r="W63" s="689"/>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88" t="s">
        <v>943</v>
      </c>
      <c r="K64" s="688"/>
      <c r="L64" s="688"/>
      <c r="M64" s="688"/>
      <c r="N64" s="688"/>
      <c r="O64" s="688"/>
      <c r="P64" s="688"/>
      <c r="Q64" s="688"/>
      <c r="R64" s="60" t="str">
        <f>IF($J57=$A$146,"","DF")</f>
        <v>DF</v>
      </c>
      <c r="S64" s="61"/>
      <c r="T64" s="572" t="str">
        <f t="shared" ca="1" si="4"/>
        <v/>
      </c>
      <c r="U64" s="689" t="str">
        <f t="shared" ca="1" si="5"/>
        <v>-</v>
      </c>
      <c r="V64" s="689"/>
      <c r="W64" s="689"/>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88" t="str">
        <f>IF($J$57=$A$146,"Margem bruta da empresa de consultoria","Lucro")</f>
        <v>Lucro</v>
      </c>
      <c r="K65" s="688"/>
      <c r="L65" s="688"/>
      <c r="M65" s="688"/>
      <c r="N65" s="688"/>
      <c r="O65" s="688"/>
      <c r="P65" s="688"/>
      <c r="Q65" s="688"/>
      <c r="R65" s="60" t="str">
        <f>IF($J57=$A$146,"K3","L")</f>
        <v>L</v>
      </c>
      <c r="S65" s="61"/>
      <c r="T65" s="572" t="str">
        <f t="shared" ca="1" si="4"/>
        <v/>
      </c>
      <c r="U65" s="689" t="str">
        <f t="shared" ca="1" si="5"/>
        <v>-</v>
      </c>
      <c r="V65" s="689"/>
      <c r="W65" s="689"/>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88" t="s">
        <v>675</v>
      </c>
      <c r="K66" s="688"/>
      <c r="L66" s="688"/>
      <c r="M66" s="688"/>
      <c r="N66" s="688"/>
      <c r="O66" s="688"/>
      <c r="P66" s="688"/>
      <c r="Q66" s="688"/>
      <c r="R66" s="60" t="s">
        <v>456</v>
      </c>
      <c r="S66" s="61"/>
      <c r="T66" s="572" t="str">
        <f t="shared" ca="1" si="4"/>
        <v/>
      </c>
      <c r="U66" s="689" t="str">
        <f t="shared" ca="1" si="5"/>
        <v>FORA DO INTERVALO</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88" t="s">
        <v>676</v>
      </c>
      <c r="K67" s="688"/>
      <c r="L67" s="688"/>
      <c r="M67" s="688"/>
      <c r="N67" s="688"/>
      <c r="O67" s="688"/>
      <c r="P67" s="688"/>
      <c r="Q67" s="688"/>
      <c r="R67" s="60" t="s">
        <v>677</v>
      </c>
      <c r="S67" s="62">
        <f ca="1">IF(AND($J57&lt;&gt;$A$145,COUNTA(OFFSET(S60,1,0,6))&gt;0),$R$11*$R$10,0)</f>
        <v>0</v>
      </c>
      <c r="U67" s="689" t="str">
        <f t="shared" ca="1" si="5"/>
        <v>OK</v>
      </c>
      <c r="V67" s="689"/>
      <c r="W67" s="689"/>
      <c r="X67" s="62">
        <v>0</v>
      </c>
      <c r="Y67" s="62">
        <v>2.5000000000000001E-2</v>
      </c>
      <c r="Z67" s="62">
        <v>0.05</v>
      </c>
    </row>
    <row r="68" spans="1:26" ht="15" customHeight="1" x14ac:dyDescent="0.2">
      <c r="A68"/>
      <c r="B68"/>
      <c r="C68"/>
      <c r="D68"/>
      <c r="E68"/>
      <c r="F68"/>
      <c r="G68"/>
      <c r="I68" t="str">
        <f t="shared" ca="1" si="3"/>
        <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
      </c>
      <c r="J69" s="688" t="s">
        <v>680</v>
      </c>
      <c r="K69" s="688"/>
      <c r="L69" s="688"/>
      <c r="M69" s="688"/>
      <c r="N69" s="688"/>
      <c r="O69" s="688"/>
      <c r="P69" s="688"/>
      <c r="Q69" s="688"/>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1" t="s">
        <v>681</v>
      </c>
      <c r="K70" s="691"/>
      <c r="L70" s="691"/>
      <c r="M70" s="691"/>
      <c r="N70" s="691"/>
      <c r="O70" s="691"/>
      <c r="P70" s="691"/>
      <c r="Q70" s="691"/>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
      </c>
    </row>
    <row r="74" spans="1:26" x14ac:dyDescent="0.2">
      <c r="A74"/>
      <c r="B74"/>
      <c r="C74"/>
      <c r="D74"/>
      <c r="E74"/>
      <c r="F74"/>
      <c r="G74"/>
      <c r="I74" t="str">
        <f t="shared" ca="1" si="3"/>
        <v/>
      </c>
      <c r="J74" s="694" t="s">
        <v>683</v>
      </c>
      <c r="K74" s="694"/>
      <c r="L74" s="694"/>
      <c r="M74" s="694"/>
      <c r="N74" s="694"/>
      <c r="O74" s="694"/>
      <c r="P74" s="694"/>
      <c r="Q74" s="694"/>
      <c r="R74" s="694"/>
      <c r="S74" s="694"/>
    </row>
    <row r="75" spans="1:26" ht="15.75" x14ac:dyDescent="0.25">
      <c r="A75"/>
      <c r="B75"/>
      <c r="C75"/>
      <c r="D75"/>
      <c r="E75"/>
      <c r="F75"/>
      <c r="G75"/>
      <c r="I75" t="str">
        <f t="shared" ca="1" si="3"/>
        <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
      </c>
      <c r="J76" s="68"/>
      <c r="K76" s="68"/>
      <c r="L76" s="68"/>
      <c r="M76" s="695"/>
      <c r="N76" s="687" t="s">
        <v>686</v>
      </c>
      <c r="O76" s="687"/>
      <c r="P76" s="687"/>
      <c r="Q76" s="69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78" s="681"/>
      <c r="L78" s="681"/>
      <c r="M78" s="681"/>
      <c r="N78" s="681"/>
      <c r="O78" s="681"/>
      <c r="P78" s="681"/>
      <c r="Q78" s="681"/>
      <c r="R78" s="681"/>
      <c r="S78" s="681"/>
    </row>
    <row r="79" spans="1:26" x14ac:dyDescent="0.2">
      <c r="A79"/>
      <c r="B79"/>
      <c r="C79"/>
      <c r="D79"/>
      <c r="E79"/>
      <c r="F79"/>
      <c r="G79"/>
      <c r="I79" t="str">
        <f t="shared" ca="1" si="3"/>
        <v/>
      </c>
    </row>
    <row r="80" spans="1:26" ht="50.1" customHeight="1" x14ac:dyDescent="0.2">
      <c r="A80"/>
      <c r="B80"/>
      <c r="C80"/>
      <c r="D80"/>
      <c r="E80"/>
      <c r="F80"/>
      <c r="G80"/>
      <c r="I80" t="str">
        <f t="shared" ca="1" si="3"/>
        <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82"/>
      <c r="K83" s="682"/>
      <c r="L83" s="682"/>
      <c r="M83" s="682"/>
      <c r="N83" s="682"/>
      <c r="O83" s="682"/>
      <c r="P83" s="682"/>
      <c r="Q83" s="682"/>
      <c r="R83" s="682"/>
      <c r="S83" s="682"/>
    </row>
    <row r="84" spans="1:21" x14ac:dyDescent="0.2">
      <c r="A84"/>
      <c r="B84"/>
      <c r="C84"/>
      <c r="D84"/>
      <c r="E84"/>
      <c r="F84"/>
      <c r="G84"/>
      <c r="I84" t="str">
        <f t="shared" ca="1" si="3"/>
        <v/>
      </c>
    </row>
    <row r="85" spans="1:21" x14ac:dyDescent="0.2">
      <c r="A85"/>
      <c r="B85"/>
      <c r="C85"/>
      <c r="D85"/>
      <c r="E85"/>
      <c r="F85"/>
      <c r="G85"/>
      <c r="I85" t="str">
        <f t="shared" ca="1" si="3"/>
        <v/>
      </c>
      <c r="J85" s="683" t="str">
        <f>Import.Município</f>
        <v>BENTO GONÇALVES/RS</v>
      </c>
      <c r="K85" s="683"/>
      <c r="L85" s="683"/>
      <c r="M85" s="683"/>
      <c r="P85" s="684">
        <f>DADOS!$C$25</f>
        <v>46073</v>
      </c>
      <c r="Q85" s="684"/>
      <c r="R85" s="684"/>
      <c r="S85" s="684"/>
    </row>
    <row r="86" spans="1:21" x14ac:dyDescent="0.2">
      <c r="A86"/>
      <c r="B86"/>
      <c r="C86"/>
      <c r="D86"/>
      <c r="E86"/>
      <c r="F86"/>
      <c r="G86"/>
      <c r="I86" t="str">
        <f t="shared" ca="1" si="3"/>
        <v/>
      </c>
      <c r="J86" s="685" t="s">
        <v>693</v>
      </c>
      <c r="K86" s="685"/>
      <c r="L86" s="685"/>
      <c r="M86" s="68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86"/>
      <c r="K88" s="686"/>
      <c r="L88" s="686"/>
      <c r="M88" s="686"/>
      <c r="N88" s="76"/>
    </row>
    <row r="89" spans="1:21" x14ac:dyDescent="0.2">
      <c r="A89"/>
      <c r="B89"/>
      <c r="C89"/>
      <c r="D89"/>
      <c r="E89"/>
      <c r="F89"/>
      <c r="G89"/>
      <c r="I89" t="str">
        <f t="shared" ca="1" si="3"/>
        <v/>
      </c>
      <c r="J89" s="680" t="s">
        <v>696</v>
      </c>
      <c r="K89" s="680"/>
      <c r="L89" s="680"/>
      <c r="M89" s="680"/>
    </row>
    <row r="90" spans="1:21" ht="14.25" x14ac:dyDescent="0.2">
      <c r="A90"/>
      <c r="B90"/>
      <c r="C90"/>
      <c r="D90"/>
      <c r="E90"/>
      <c r="F90"/>
      <c r="G90"/>
      <c r="I90" t="str">
        <f t="shared" ca="1" si="3"/>
        <v/>
      </c>
      <c r="J90" s="77" t="s">
        <v>240</v>
      </c>
      <c r="K90" s="78" t="str">
        <f t="array" ref="K90:K92">Import.RespOrçamento</f>
        <v>Nathália Cortes Tosi</v>
      </c>
      <c r="L90" s="79"/>
      <c r="M90" s="79"/>
      <c r="N90" s="76"/>
    </row>
    <row r="91" spans="1:21" ht="14.25" x14ac:dyDescent="0.2">
      <c r="A91"/>
      <c r="B91"/>
      <c r="C91"/>
      <c r="D91"/>
      <c r="E91"/>
      <c r="F91"/>
      <c r="G91"/>
      <c r="I91" t="str">
        <f t="shared" ca="1" si="3"/>
        <v/>
      </c>
      <c r="J91" s="77" t="s">
        <v>243</v>
      </c>
      <c r="K91" s="78" t="str">
        <v>RS227774</v>
      </c>
      <c r="L91" s="79"/>
      <c r="M91" s="79"/>
      <c r="N91" s="76"/>
    </row>
    <row r="92" spans="1:21" ht="14.25" x14ac:dyDescent="0.2">
      <c r="A92"/>
      <c r="B92"/>
      <c r="C92"/>
      <c r="D92"/>
      <c r="E92"/>
      <c r="F92"/>
      <c r="G92"/>
      <c r="I92" t="str">
        <f t="shared" ca="1" si="3"/>
        <v/>
      </c>
      <c r="J92" s="77" t="s">
        <v>246</v>
      </c>
      <c r="K92" s="78" t="str">
        <v>14233645</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02" t="s">
        <v>698</v>
      </c>
      <c r="K94" s="702"/>
      <c r="L94" s="702"/>
      <c r="M94" s="702"/>
      <c r="N94" s="702"/>
      <c r="O94" s="702"/>
      <c r="P94" s="702"/>
      <c r="Q94" s="702"/>
      <c r="R94" s="702"/>
      <c r="S94" s="702"/>
      <c r="U94" s="521" t="str">
        <f>IF(COUNTIF(ORÇAMENTO!$V$15:$V$39,BDI_3.Título)=0,"",IF(OR(Import.BDI.Tipo3="(SELECIONAR)",Import.BDI.Tipo3="",U97&lt;&gt;"",AND($J97&lt;&gt;$A$145,OR(S101="",S102="",AND($J97&lt;&gt;$A$146,OR(S103="",S104="")),S105="",S106=""))),"Falta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0" t="s">
        <v>664</v>
      </c>
      <c r="K96" s="700"/>
      <c r="L96" s="700"/>
      <c r="M96" s="700"/>
      <c r="N96" s="700"/>
      <c r="O96" s="700"/>
      <c r="P96" s="700"/>
      <c r="Q96" s="700"/>
      <c r="R96" s="700"/>
      <c r="S96" s="700"/>
    </row>
    <row r="97" spans="1:26" ht="15"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IF(AND(OR(S109&gt;0,COUNTIF(ORÇAMENTO!$V$15:$V$39,BDI_3.Título)&gt;0),OR(Import.BDI.Tipo3="(SELECIONAR)",Import.BDI.Tipo3="")),"Selecione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customHeight="1" x14ac:dyDescent="0.2">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customHeight="1" x14ac:dyDescent="0.2">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customHeight="1" x14ac:dyDescent="0.2">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customHeight="1" x14ac:dyDescent="0.2">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ca="1" si="6"/>
        <v/>
      </c>
    </row>
    <row r="114" spans="1:19" x14ac:dyDescent="0.2">
      <c r="A114"/>
      <c r="B114"/>
      <c r="C114"/>
      <c r="D114"/>
      <c r="E114"/>
      <c r="F114"/>
      <c r="G114"/>
      <c r="I114" t="str">
        <f t="shared" ca="1" si="6"/>
        <v/>
      </c>
      <c r="J114" s="694" t="s">
        <v>683</v>
      </c>
      <c r="K114" s="694"/>
      <c r="L114" s="694"/>
      <c r="M114" s="694"/>
      <c r="N114" s="694"/>
      <c r="O114" s="694"/>
      <c r="P114" s="694"/>
      <c r="Q114" s="694"/>
      <c r="R114" s="694"/>
      <c r="S114" s="694"/>
    </row>
    <row r="115" spans="1:19" ht="15.75" x14ac:dyDescent="0.25">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75" x14ac:dyDescent="0.2">
      <c r="A116"/>
      <c r="B116"/>
      <c r="C116"/>
      <c r="D116"/>
      <c r="E116"/>
      <c r="F116"/>
      <c r="G116"/>
      <c r="I116" t="str">
        <f t="shared" ca="1" si="6"/>
        <v/>
      </c>
      <c r="J116" s="68"/>
      <c r="K116" s="68"/>
      <c r="L116" s="68"/>
      <c r="M116" s="695"/>
      <c r="N116" s="687" t="s">
        <v>686</v>
      </c>
      <c r="O116" s="687"/>
      <c r="P116" s="687"/>
      <c r="Q116" s="69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118" s="681"/>
      <c r="L118" s="681"/>
      <c r="M118" s="681"/>
      <c r="N118" s="681"/>
      <c r="O118" s="681"/>
      <c r="P118" s="681"/>
      <c r="Q118" s="681"/>
      <c r="R118" s="681"/>
      <c r="S118" s="681"/>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82"/>
      <c r="K123" s="682"/>
      <c r="L123" s="682"/>
      <c r="M123" s="682"/>
      <c r="N123" s="682"/>
      <c r="O123" s="682"/>
      <c r="P123" s="682"/>
      <c r="Q123" s="682"/>
      <c r="R123" s="682"/>
      <c r="S123" s="682"/>
    </row>
    <row r="124" spans="1:19" x14ac:dyDescent="0.2">
      <c r="A124"/>
      <c r="B124"/>
      <c r="C124"/>
      <c r="D124"/>
      <c r="E124"/>
      <c r="F124"/>
      <c r="G124"/>
      <c r="I124" t="str">
        <f t="shared" ca="1" si="6"/>
        <v/>
      </c>
    </row>
    <row r="125" spans="1:19" x14ac:dyDescent="0.2">
      <c r="A125"/>
      <c r="B125"/>
      <c r="C125"/>
      <c r="D125"/>
      <c r="E125"/>
      <c r="F125"/>
      <c r="G125"/>
      <c r="I125" t="str">
        <f t="shared" ca="1" si="6"/>
        <v/>
      </c>
      <c r="J125" s="683" t="str">
        <f>Import.Município</f>
        <v>BENTO GONÇALVES/RS</v>
      </c>
      <c r="K125" s="683"/>
      <c r="L125" s="683"/>
      <c r="M125" s="683"/>
      <c r="P125" s="684">
        <f>DADOS!$C$25</f>
        <v>46073</v>
      </c>
      <c r="Q125" s="684"/>
      <c r="R125" s="684"/>
      <c r="S125" s="684"/>
    </row>
    <row r="126" spans="1:19" x14ac:dyDescent="0.2">
      <c r="A126"/>
      <c r="B126"/>
      <c r="C126"/>
      <c r="D126"/>
      <c r="E126"/>
      <c r="F126"/>
      <c r="G126"/>
      <c r="I126" t="str">
        <f t="shared" ca="1" si="6"/>
        <v/>
      </c>
      <c r="J126" s="685" t="s">
        <v>693</v>
      </c>
      <c r="K126" s="685"/>
      <c r="L126" s="685"/>
      <c r="M126" s="68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6"/>
      <c r="K128" s="686"/>
      <c r="L128" s="686"/>
      <c r="M128" s="686"/>
      <c r="N128" s="76"/>
    </row>
    <row r="129" spans="1:14" x14ac:dyDescent="0.2">
      <c r="A129"/>
      <c r="B129"/>
      <c r="C129"/>
      <c r="D129"/>
      <c r="E129"/>
      <c r="F129"/>
      <c r="G129"/>
      <c r="I129" t="str">
        <f t="shared" ca="1" si="6"/>
        <v/>
      </c>
      <c r="J129" s="680" t="s">
        <v>696</v>
      </c>
      <c r="K129" s="680"/>
      <c r="L129" s="680"/>
      <c r="M129" s="680"/>
    </row>
    <row r="130" spans="1:14" ht="14.25" x14ac:dyDescent="0.2">
      <c r="A130"/>
      <c r="B130"/>
      <c r="C130"/>
      <c r="D130"/>
      <c r="E130"/>
      <c r="F130"/>
      <c r="G130"/>
      <c r="I130" t="str">
        <f t="shared" ca="1" si="6"/>
        <v/>
      </c>
      <c r="J130" s="77" t="s">
        <v>240</v>
      </c>
      <c r="K130" s="78" t="str">
        <f t="array" ref="K130:K132">Import.RespOrçamento</f>
        <v>Nathália Cortes Tosi</v>
      </c>
      <c r="L130" s="79"/>
      <c r="M130" s="79"/>
      <c r="N130" s="76"/>
    </row>
    <row r="131" spans="1:14" ht="14.25" x14ac:dyDescent="0.2">
      <c r="A131"/>
      <c r="B131"/>
      <c r="C131"/>
      <c r="D131"/>
      <c r="E131"/>
      <c r="F131"/>
      <c r="G131"/>
      <c r="I131" t="str">
        <f t="shared" ca="1" si="6"/>
        <v/>
      </c>
      <c r="J131" s="77" t="s">
        <v>243</v>
      </c>
      <c r="K131" s="78" t="str">
        <v>RS227774</v>
      </c>
      <c r="L131" s="79"/>
      <c r="M131" s="79"/>
      <c r="N131" s="76"/>
    </row>
    <row r="132" spans="1:14" ht="14.25" x14ac:dyDescent="0.2">
      <c r="A132"/>
      <c r="B132"/>
      <c r="C132"/>
      <c r="D132"/>
      <c r="E132"/>
      <c r="F132"/>
      <c r="G132"/>
      <c r="I132" t="str">
        <f t="shared" ca="1" si="6"/>
        <v/>
      </c>
      <c r="J132" s="77" t="s">
        <v>246</v>
      </c>
      <c r="K132" s="78" t="str">
        <v>14233645</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8c68QBHSYjeqOfGsMPKX0KLWqLVvoQZpWE2FHIZ20pvCkxJuhYNqo3+s3pwd59a1c7SaZuftkUwU5JdO+GLK1A==" saltValue="KM2jT2uVrPr52k6gxNg3GQ=="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17" priority="11" stopIfTrue="1">
      <formula>DESONERACAO="não"</formula>
    </cfRule>
  </conditionalFormatting>
  <conditionalFormatting sqref="U69:W69 U29:W29 U109:W109">
    <cfRule type="expression" dxfId="316" priority="12" stopIfTrue="1">
      <formula>AND(U29&lt;&gt;"OK",U29&lt;&gt;"-",U29&lt;&gt;"")</formula>
    </cfRule>
    <cfRule type="cellIs" dxfId="315" priority="13" stopIfTrue="1" operator="equal">
      <formula>"OK"</formula>
    </cfRule>
  </conditionalFormatting>
  <conditionalFormatting sqref="S29 S69 S109">
    <cfRule type="expression" dxfId="314" priority="14" stopIfTrue="1">
      <formula>DESONERACAO="não"</formula>
    </cfRule>
  </conditionalFormatting>
  <conditionalFormatting sqref="J23:S24">
    <cfRule type="expression" dxfId="313" priority="9">
      <formula>$J$17=$A$146</formula>
    </cfRule>
  </conditionalFormatting>
  <conditionalFormatting sqref="S21:S26">
    <cfRule type="expression" dxfId="312" priority="8">
      <formula>$J$17=$A$145</formula>
    </cfRule>
  </conditionalFormatting>
  <conditionalFormatting sqref="J63:S64">
    <cfRule type="expression" dxfId="311" priority="7">
      <formula>$J$57=$A$146</formula>
    </cfRule>
  </conditionalFormatting>
  <conditionalFormatting sqref="S61:S66">
    <cfRule type="expression" dxfId="310" priority="6">
      <formula>$J$57=$A$145</formula>
    </cfRule>
  </conditionalFormatting>
  <conditionalFormatting sqref="J103:S104">
    <cfRule type="expression" dxfId="309" priority="5">
      <formula>$J$97=$A$146</formula>
    </cfRule>
  </conditionalFormatting>
  <conditionalFormatting sqref="S101:S106">
    <cfRule type="expression" dxfId="308" priority="4">
      <formula>$J$97=$A$145</formula>
    </cfRule>
  </conditionalFormatting>
  <conditionalFormatting sqref="U21:W28">
    <cfRule type="cellIs" dxfId="307" priority="3" operator="notEqual">
      <formula>"OK"</formula>
    </cfRule>
  </conditionalFormatting>
  <conditionalFormatting sqref="U61:W68">
    <cfRule type="cellIs" dxfId="306" priority="2" operator="notEqual">
      <formula>"OK"</formula>
    </cfRule>
  </conditionalFormatting>
  <conditionalFormatting sqref="U101:W108">
    <cfRule type="cellIs" dxfId="30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69"/>
  <sheetViews>
    <sheetView showGridLines="0" tabSelected="1" zoomScale="90" zoomScaleNormal="9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Licitado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MAX($C$15:$C$39)</f>
        <v>2</v>
      </c>
      <c r="B5" s="7"/>
      <c r="C5" s="7"/>
      <c r="D5" s="7"/>
      <c r="E5" s="7"/>
      <c r="F5" s="663">
        <f ca="1">IF(BDI.Opcao="DESONERADO",BDI!$S$30,BDI!$S$29)</f>
        <v>0.25</v>
      </c>
      <c r="G5" s="663">
        <f ca="1">IF(BDI.Opcao="DESONERADO",BDI!$S$70,BDI!$S$69)</f>
        <v>0</v>
      </c>
      <c r="H5" s="663">
        <f ca="1">IF(BDI.Opcao="DESONERADO",BDI!$S$110,BDI!$S$109)</f>
        <v>0</v>
      </c>
      <c r="I5" s="7"/>
      <c r="O5" s="703">
        <f>Import.CR</f>
        <v>0</v>
      </c>
      <c r="P5" s="703"/>
      <c r="Q5" s="90" cm="1">
        <f t="array" ref="Q5">Import.TransfereGOV</f>
        <v>0</v>
      </c>
      <c r="R5" s="91" t="str">
        <f>Import.Proponente</f>
        <v>MUNICÍPIO DE BENTO GONÇALVES</v>
      </c>
      <c r="S5" s="703" t="str">
        <f>Import.Apelido</f>
        <v>REVITALIZAÇÃO DA PIPA PÓRTICO</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NOME DA EMPRESA</v>
      </c>
      <c r="S7" s="711" t="str" cm="1">
        <f t="array" ref="S7">IF(TIPOORCAMENTO="Licitado","REGIME DE EXECUÇÃO","MUNICÍPIO / UF")</f>
        <v>REGIME DE EXECUÇÃO</v>
      </c>
      <c r="T7" s="711"/>
      <c r="U7" s="711"/>
      <c r="V7" s="97" t="str" cm="1">
        <f t="array" ref="V7">IF(TIPOORCAMENTO="Licitado","","BDI 1")</f>
        <v/>
      </c>
      <c r="W7" s="97" t="str" cm="1">
        <f t="array" ref="W7">IF(TIPOORCAMENTO="Licitado","","BDI 2")</f>
        <v/>
      </c>
      <c r="X7" s="98" t="str" cm="1">
        <f t="array" ref="X7">IF(TIPOORCAMENTO="Licitado","Nº CTEF","BDI 3")</f>
        <v>Nº CTEF</v>
      </c>
      <c r="Y7" s="97"/>
      <c r="Z7" s="97"/>
      <c r="AC7" s="571" t="str">
        <f ca="1">IF(COUNTIFS($L$15:$L$39,"F",$AC$15:$AC$39,"JUSTIFICAR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12-Monday.xlsm]Banco'!$a5:$a$65536</v>
      </c>
      <c r="G8" s="715"/>
      <c r="H8" s="715"/>
      <c r="I8" s="715"/>
      <c r="J8" s="715"/>
      <c r="K8" s="715"/>
      <c r="L8" s="693" t="s">
        <v>655</v>
      </c>
      <c r="O8" s="703" t="str" cm="1">
        <f t="array" aca="1" ref="O8" ca="1">IF(ISERROR(INDIRECT($F$9)),"(N/D: 'Referência "&amp;Excel_BuiltIn_Database&amp;".xlsm)",INDIRECT($F$9))</f>
        <v>(N/D: 'Referência 12-Monday.xlsm)</v>
      </c>
      <c r="P8" s="703"/>
      <c r="Q8" s="99" t="str" cm="1">
        <f t="array" aca="1" ref="Q8" ca="1">TEXT(Import.DataBase,"mm-aa")&amp;IF(DESONERACAO="Sim"," (DES.)"," (N DES.)")</f>
        <v>12-aa (N DES.)</v>
      </c>
      <c r="R8" s="91" cm="1">
        <f t="array" ref="R8">IF(TIPOORCAMENTO="Licitado",Import.empresa,Import.DescLote)</f>
        <v>0</v>
      </c>
      <c r="S8" s="716" t="str" cm="1">
        <f t="array" aca="1" ref="S8" ca="1">IF(TIPOORCAMENTO="Licitado",Import.RegimeExecução,Import.Município)</f>
        <v>EMPREITADA POR PREÇO GLOBAL</v>
      </c>
      <c r="T8" s="716"/>
      <c r="U8" s="716"/>
      <c r="V8" s="100" t="str" cm="1">
        <f t="array" ref="V8">IF(TIPOORCAMENTO="Licitado","",TEXT(F5,"0,00%"))</f>
        <v/>
      </c>
      <c r="W8" s="100" t="str" cm="1">
        <f t="array" ref="W8">IF(TIPOORCAMENTO="Licitado","",TEXT(G5,"0,00%"))</f>
        <v/>
      </c>
      <c r="X8" s="101" cm="1">
        <f t="array" ref="X8">IF(TIPOORCAMENTO="Licitado",Import.CTEF,TEXT(H5,"0,00%"))</f>
        <v>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12-Monday.xlsm]Banco'!$d$3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12-Monday.xlsm]Banco'!$B$3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
      </c>
      <c r="G11" s="665" t="str" cm="1">
        <f t="array" aca="1" ref="G11" ca="1">IFERROR(TEXT(Import.DataBase,"mm/aaaa"),"")</f>
        <v>12/Monday</v>
      </c>
      <c r="H11" s="104"/>
      <c r="L11" s="693"/>
      <c r="Y11" s="693"/>
      <c r="Z11" s="693"/>
      <c r="AC11" s="105" t="str">
        <f ca="1">IF(COUNTIFS($L$15:$L$39,"F",$AC$15:$AC$39,"&lt;&gt;"&amp;" ",$AC$15:$AC$39,"&lt;&gt;"&amp;"JUSTIFICAR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IF(COUNTIF($AC$15:$AC$39,"FONTE")&gt;0,"Falta preencher a Fonte (coluna P) na Linha "&amp;(14+MATCH("FONTE",$AC$15:$AC$39,0)),
 IF(COUNTIF($AC$15:$AC$39,"CÓDIGO")&gt;0,"Falta preencher o Código (coluna Q) na Linha "&amp;(14+MATCH("CÓDIGO",$AC$15:$AC$39,0)),
 IF(COUNTIF($AC$15:$AC$39,"CÓDIGO N/ID")&gt;0,"Código (coluna Q) não identificado na Linha "&amp;(14+MATCH("CÓDIGO N/ID",$AC$15:$AC$39,0))&amp;". Verifique se o código está correto ou busque outro código",
 IF(COUNTIF($AC$15:$AC$39,"DESCRIÇÃO")&gt;0,"Falta preencher a Descrição (coluna R) na Linha "&amp;(14+MATCH("DESCRIÇÃO",$AC$15:$AC$39,0)),
 IF(COUNTIF($AC$15:$AC$39,"UNIDADE")&gt;0,"Falta preencher a Unidade (coluna S) na Linha "&amp;(14+MATCH("UNIDADE",$AC$15:$AC$39,0)),
 IF(COUNTIF($AC$15:$AC$39,"SEM CUSTO")&gt;0,"Falta preencher o Custo Unitário (coluna U) na Linha "&amp;(14+MATCH("SEM CUSTO",$AC$15:$AC$39,0)),
 IF(COUNTIF($AC$15:$AC$39,"SEM PREÇO")&gt;0,"Falta preencher o Preço Unitário licitado (coluna AL) na Linha "&amp;(14+MATCH("SEM CUSTO",$AC$15:$AC$39,0)),
 IF(COUNTIF($AC$15:$AC$39,"BDI")&gt;0,"Falta definir o BDI (coluna V) na Linha "&amp;(14+MATCH("BDI",$AC$15:$AC$39,0)),
 IF(COUNTIF($AC$15:$AC$39,"ACIMA REF.")&gt;0,
         IF(TIPOORCAMENTO="Proposto","O custo unitário (coluna U) na Linha "&amp;(14+MATCH("ACIMA REF.",$AC$15:$AC$39,0))&amp;" está acima do custo referencial (coluna AG)",
            "O preço unitário licitado (coluna AL) na Linha "&amp;(14+MATCH("ACIMA REF.",$AC$15:$AC$39,0))&amp;" está acima do preço referencial do edital (coluna AN)"),
 IF(COUNTIF($AC$15:$AC$39,"QUANT.")&gt;0,"Falta a Quantidade do serviço na Linha "&amp;(14+MATCH("QUANT.",$AC$15:$AC$39,0))&amp;IF(ACOMPANHAMENTO="PLE",". Preencher na aba CÁLCULO",". Preencher na coluna AJ"),
 IF(COUNTIF($AC$15:$AC$39,"Código &gt;13")&gt;0,"O tamanho do código do serviço no TransfereGOV é limitado a 13 caracteres. Resuma o código (coluna Q) na Linha "&amp;(14+MATCH("Código &gt;13",$AC$15:$AC$39,0)),
 IF(COUNTIF($AC$15:$AC$39,"Descrição &gt;100")&gt;0,"O tamanho da descrição de macrosserviço no TransfereGOV é limitado a 100 caracteres. Resuma a descrição (coluna R) na Linha "&amp;(14+MATCH("Descrição &gt;100",$AC$15:$AC$39,0)),
 IF(COUNTIF($AC$15:$AC$39,"Descrição &gt;500")&gt;0,"O tamanho da descrição de serviço no TransfereGOV é limitado a 500 caracteres. Resuma a descrição (coluna R) na Linha "&amp;(14+MATCH("Descrição &gt;500",$AC$15:$AC$39,0)),
 IF(COUNTIF($AC$15:$AC$39,"Unid. Não Disp")&gt;0,"Unidade não disponível na lista do TransfereGOV. Reveja a unidade (coluna S) na Linha "&amp;(14+MATCH("Unid. Não Disp",$AC$15:$AC$39,0)),
 IF(AND(TIPOORCAMENTO="Proposto",LEFT($O$8,5)="(N/D:"),"Abra o arquivo Referência "&amp;Excel_BuiltIn_Database&amp;".xlsm","")))))))))))))))))</f>
        <v>Código (coluna Q) não identificado na Linha 18. Verifique se o código está correto ou busque outro código</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
      </c>
      <c r="V13" s="107" t="str" cm="1">
        <f t="array" ref="V13">IF(TIPOORCAMENTO="Licitado","","BDI
(%)")</f>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 Edital</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IF(OR($C14="S",$C14=0),0,MATCH(0,OFFSET($D14,1,$C14,ROW($C$39)-ROW($C14)),0))</f>
        <v>0</v>
      </c>
      <c r="K14">
        <f ca="1">IF(OR($C14="S",$C14=0),0,MATCH(OFFSET($D14,0,$C14)+IF($C14&lt;&gt;1,1,COUNTIF(QCI!$A$13:$A$24,ORÇAMENTO!E14)),OFFSET($D14,1,$C14,ROW($C$39)-ROW($C14)),0))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v>
      </c>
      <c r="AJ14" s="431"/>
      <c r="AL14" s="439"/>
      <c r="AM14" s="336">
        <f t="shared" ref="AM14:AM38" ca="1" si="0">$X14</f>
        <v>0</v>
      </c>
      <c r="AN14" s="470" cm="1">
        <f t="array" aca="1" ref="AN14" ca="1">ROUND(ORÇAMENTO.CustoUnitario*(1+$AH14),2)</f>
        <v>0</v>
      </c>
    </row>
    <row r="15" spans="1:40" ht="12.75" customHeight="1" x14ac:dyDescent="0.2">
      <c r="A15">
        <v>0</v>
      </c>
      <c r="C15" t="s">
        <v>654</v>
      </c>
      <c r="D15">
        <f ca="1">COUNTA(OFFSET(D15,1,0):D$39)</f>
        <v>23</v>
      </c>
      <c r="E15">
        <v>0</v>
      </c>
      <c r="L15" s="114" t="s">
        <v>536</v>
      </c>
      <c r="M15" s="130" t="str" cm="1">
        <f t="array" ref="M15">IF(TIPOORCAMENTO="LICITADO","CTEF","LOTE")</f>
        <v>CTEF</v>
      </c>
      <c r="N15" s="130" t="str" cm="1">
        <f t="array" ref="N15">IF(TIPOORCAMENTO="LICITADO","CTEF","LOTE")</f>
        <v>CTEF</v>
      </c>
      <c r="O15" s="718" t="str">
        <f>Import.DescLote</f>
        <v>REVITALIZAÇÃO DO PÓRTICO PIPA</v>
      </c>
      <c r="P15" s="719"/>
      <c r="Q15" s="719"/>
      <c r="R15" s="719"/>
      <c r="S15" s="613"/>
      <c r="T15" s="614"/>
      <c r="U15" s="614"/>
      <c r="V15" s="615"/>
      <c r="W15" s="614"/>
      <c r="X15" s="131">
        <f ca="1">SUMIF(OFFSET($C15,1,0,ROW(X39)-ROW(X15)-1),"S",OFFSET(X15,1,0,ROW(X39)-ROW(X15)-1))</f>
        <v>0</v>
      </c>
      <c r="Y15" s="7"/>
      <c r="Z15" t="str">
        <f ca="1">IF(AND($C15="S",$X15&gt;0),LEFT($Y15,2),"")</f>
        <v/>
      </c>
      <c r="AA15" s="426">
        <f ca="1">SUMIF(OFFSET($C15,1,0,ROW(AA39)-ROW(AA15)-1),"S",OFFSET(AA15,1,0,ROW(AA39)-ROW(AA15)-1))</f>
        <v>0</v>
      </c>
      <c r="AB15" s="132">
        <f ca="1">SUMIF(OFFSET($C15,1,0,ROW(AB39)-ROW(AB15)-1),"S",OFFSET(AB15,1,0,ROW(AB39)-ROW(AB15)-1))</f>
        <v>0</v>
      </c>
      <c r="AC15" s="565" t="s">
        <v>752</v>
      </c>
      <c r="AG15" s="441"/>
      <c r="AH15" s="442"/>
      <c r="AJ15" s="430"/>
      <c r="AL15" s="440"/>
      <c r="AM15" s="471">
        <f t="shared" ca="1" si="0"/>
        <v>0</v>
      </c>
      <c r="AN15" s="472"/>
    </row>
    <row r="16" spans="1:40" x14ac:dyDescent="0.2">
      <c r="A16">
        <f t="shared" ref="A16:A38" si="1">CHOOSE(1+LOG(1+2*(ORÇAMENTO.Nivel="Meta")+4*(ORÇAMENTO.Nivel="Nível 2")+8*(ORÇAMENTO.Nivel="Nível 3")+16*(ORÇAMENTO.Nivel="Nível 4")+32*(ORÇAMENTO.Nivel="Serviço"),2),0,1,2,3,4,"S")</f>
        <v>1</v>
      </c>
      <c r="B16">
        <f t="shared" ref="B16:B38" ca="1" si="2">IF(OR(C16="s",C16=0),OFFSET(B16,-1,0),C16)</f>
        <v>1</v>
      </c>
      <c r="C16">
        <f t="shared" ref="C16:C38" ca="1" si="3">IF(OFFSET(C16,-1,0)="L",1,IF(OFFSET(C16,-1,0)=1,2,IF(OR(A16="s",A16=0),"S",IF(AND(OFFSET(C16,-1,0)=2,A16=4),3,IF(AND(OR(OFFSET(C16,-1,0)="s",OFFSET(C16,-1,0)=0),A16&lt;&gt;"s",A16&gt;OFFSET(B16,-1,0)),OFFSET(B16,-1,0),A16)))))</f>
        <v>1</v>
      </c>
      <c r="D16">
        <f t="shared" ref="D16:D38" ca="1" si="4">IF(OR(C16="S",C16=0),0,IF(ISERROR(K16),J16,SMALL(J16:K16,1)))</f>
        <v>23</v>
      </c>
      <c r="E16">
        <f ca="1">IF($C16=1,OFFSET(E16,-1,0)+MAX(1,COUNTIF(QCI!$A$13:$A$24,OFFSET(ORÇAMENTO!E16,-1,0))),OFFSET(E16,-1,0))</f>
        <v>1</v>
      </c>
      <c r="F16">
        <f t="shared" ref="F16:F38" ca="1" si="5">IF($C16=1,0,IF($C16=2,OFFSET(F16,-1,0)+1,OFFSET(F16,-1,0)))</f>
        <v>0</v>
      </c>
      <c r="G16">
        <f t="shared" ref="G16:G38" ca="1" si="6">IF(AND($C16&lt;=2,$C16&lt;&gt;0),0,IF($C16=3,OFFSET(G16,-1,0)+1,OFFSET(G16,-1,0)))</f>
        <v>0</v>
      </c>
      <c r="H16">
        <f t="shared" ref="H16:H38" ca="1" si="7">IF(AND($C16&lt;=3,$C16&lt;&gt;0),0,IF($C16=4,OFFSET(H16,-1,0)+1,OFFSET(H16,-1,0)))</f>
        <v>0</v>
      </c>
      <c r="I16">
        <f t="shared" ref="I16:I38" ca="1" si="8">IF(AND($C16&lt;=4,$C16&lt;&gt;0),0,IF(AND($C16="S",$X16&gt;0),OFFSET(I16,-1,0)+1,OFFSET(I16,-1,0)))</f>
        <v>0</v>
      </c>
      <c r="J16">
        <f t="shared" ref="J16:J22" ca="1" si="9">IF(OR($C16="S",$C16=0),0,MATCH(0,OFFSET($D16,1,$C16,ROW($C$39)-ROW($C16)),0))</f>
        <v>23</v>
      </c>
      <c r="K16" t="e">
        <f ca="1">IF(OR($C16="S",$C16=0),0,MATCH(OFFSET($D16,0,$C16)+IF($C16&lt;&gt;1,1,COUNTIF(QCI!$A$13:$A$24,ORÇAMENTO!E16)),OFFSET($D16,1,$C16,ROW($C$39)-ROW($C16)),0))</f>
        <v>#N/A</v>
      </c>
      <c r="L16" s="114" t="str">
        <f t="shared" ref="L16:L38" ca="1" si="10">IF(OR($X16&gt;0,$C16=1,$C16=2,$C16=3,$C16=4),"F","")</f>
        <v>F</v>
      </c>
      <c r="M16" s="115" t="s">
        <v>701</v>
      </c>
      <c r="N16" s="116" t="str">
        <f t="shared" ref="N16:N38" ca="1" si="11">CHOOSE(1+LOG(1+2*(C16=1)+4*(C16=2)+8*(C16=3)+16*(C16=4)+32*(C16="S"),2),"","Meta","Nível 2","Nível 3","Nível 4","Serviço")</f>
        <v>Meta</v>
      </c>
      <c r="O16" s="117" t="str">
        <f t="shared" ref="O16:O38"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38"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38" ca="1" si="14">ROUND(IF(ISNUMBER(ORÇAMENTO.OpcaoBDI),ORÇAMENTO.OpcaoBDI,IF(LEFT(ORÇAMENTO.OpcaoBDI,3)="BDI",HLOOKUP(ORÇAMENTO.OpcaoBDI,$F$4:$H$5,2,FALSE),0)),15-11*$AF$9)</f>
        <v>0.25</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6</v>
      </c>
      <c r="E17">
        <f ca="1">IF($C17=1,OFFSET(E17,-1,0)+MAX(1,COUNTIF(QCI!$A$13:$A$24,OFFSET(ORÇAMENTO!E17,-1,0))),OFFSET(E17,-1,0))</f>
        <v>1</v>
      </c>
      <c r="F17">
        <f t="shared" ca="1" si="5"/>
        <v>1</v>
      </c>
      <c r="G17">
        <f t="shared" ca="1" si="6"/>
        <v>0</v>
      </c>
      <c r="H17">
        <f t="shared" ca="1" si="7"/>
        <v>0</v>
      </c>
      <c r="I17">
        <f t="shared" ca="1" si="8"/>
        <v>0</v>
      </c>
      <c r="J17">
        <f t="shared" ca="1" si="9"/>
        <v>22</v>
      </c>
      <c r="K17">
        <f ca="1">IF(OR($C17="S",$C17=0),0,MATCH(OFFSET($D17,0,$C17)+IF($C17&lt;&gt;1,1,COUNTIF(QCI!$A$13:$A$24,ORÇAMENTO!E17)),OFFSET($D17,1,$C17,ROW($C$39)-ROW($C17)),0))</f>
        <v>6</v>
      </c>
      <c r="L17" s="114" t="str">
        <f t="shared" ca="1" si="10"/>
        <v>F</v>
      </c>
      <c r="M17" s="115" t="s">
        <v>702</v>
      </c>
      <c r="N17" s="116" t="str">
        <f t="shared" ca="1" si="11"/>
        <v>Nível 2</v>
      </c>
      <c r="O17" s="117" t="str">
        <f t="shared" ca="1" si="12"/>
        <v>1.1.</v>
      </c>
      <c r="P17" s="118" t="s">
        <v>750</v>
      </c>
      <c r="Q17" s="119"/>
      <c r="R17" s="120" t="s">
        <v>1017</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0.25</v>
      </c>
      <c r="AJ17" s="431"/>
      <c r="AL17" s="439"/>
      <c r="AM17" s="336">
        <f t="shared" ca="1" si="0"/>
        <v>0</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IF(OR($C18="S",$C18=0),0,MATCH(OFFSET($D18,0,$C18)+IF($C18&lt;&gt;1,1,COUNTIF(QCI!$A$13:$A$24,ORÇAMENTO!E18)),OFFSET($D18,1,$C18,ROW($C$39)-ROW($C18)),0))</f>
        <v>0</v>
      </c>
      <c r="L18" s="114" t="str">
        <f t="shared" ca="1" si="10"/>
        <v/>
      </c>
      <c r="M18" s="115" t="s">
        <v>705</v>
      </c>
      <c r="N18" s="116" t="str">
        <f t="shared" ca="1" si="11"/>
        <v>Serviço</v>
      </c>
      <c r="O18" s="117" t="str">
        <f t="shared" ca="1" si="12"/>
        <v>-</v>
      </c>
      <c r="P18" s="118" t="s">
        <v>750</v>
      </c>
      <c r="Q18" s="119" t="s">
        <v>1018</v>
      </c>
      <c r="R18" s="120" t="str" cm="1">
        <f t="array" aca="1" ref="R18" ca="1">IF($C18="S",REFERENCIA.Descricao,"(digite a descrição aqui)")</f>
        <v>(Código não identificado nas referências)</v>
      </c>
      <c r="S18" s="121" t="str" cm="1">
        <f t="array" aca="1" ref="S18" ca="1">REFERENCIA.Unidade</f>
        <v>-</v>
      </c>
      <c r="T18" s="122">
        <f ca="1">OFFSET(CÁLCULO!H$15,ROW($T18)-ROW(T$15),0)</f>
        <v>4.5</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0.25</v>
      </c>
      <c r="AJ18" s="431"/>
      <c r="AL18" s="439"/>
      <c r="AM18" s="336">
        <f t="shared" ca="1" si="0"/>
        <v>0</v>
      </c>
      <c r="AN18" s="470" cm="1">
        <f t="array" aca="1" ref="AN18" ca="1">ROUND(ORÇAMENTO.CustoUnitario*(1+$AH18),2)</f>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IF(OR($C19="S",$C19=0),0,MATCH(OFFSET($D19,0,$C19)+IF($C19&lt;&gt;1,1,COUNTIF(QCI!$A$13:$A$24,ORÇAMENTO!E19)),OFFSET($D19,1,$C19,ROW($C$39)-ROW($C19)),0))</f>
        <v>0</v>
      </c>
      <c r="L19" s="114" t="str">
        <f t="shared" ca="1" si="10"/>
        <v/>
      </c>
      <c r="M19" s="115" t="s">
        <v>705</v>
      </c>
      <c r="N19" s="116" t="str">
        <f t="shared" ca="1" si="11"/>
        <v>Serviço</v>
      </c>
      <c r="O19" s="117" t="str">
        <f t="shared" ca="1" si="12"/>
        <v>-</v>
      </c>
      <c r="P19" s="118" t="s">
        <v>1020</v>
      </c>
      <c r="Q19" s="119" t="s">
        <v>1021</v>
      </c>
      <c r="R19" s="120" t="str" cm="1">
        <f t="array" aca="1" ref="R19" ca="1">IF($C19="S",REFERENCIA.Descricao,"(digite a descrição aqui)")</f>
        <v>(Código não identificado nas referências)</v>
      </c>
      <c r="S19" s="121" t="str" cm="1">
        <f t="array" aca="1" ref="S19" ca="1">REFERENCIA.Unidade</f>
        <v>-</v>
      </c>
      <c r="T19" s="122">
        <f ca="1">OFFSET(CÁLCULO!H$15,ROW($T19)-ROW(T$15),0)</f>
        <v>455</v>
      </c>
      <c r="U19" s="123">
        <f ca="1">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SICRO-E-CHP E9690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0.25</v>
      </c>
      <c r="AJ19" s="431"/>
      <c r="AL19" s="439"/>
      <c r="AM19" s="336">
        <f t="shared" ca="1" si="0"/>
        <v>0</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IF(OR($C20="S",$C20=0),0,MATCH(OFFSET($D20,0,$C20)+IF($C20&lt;&gt;1,1,COUNTIF(QCI!$A$13:$A$24,ORÇAMENTO!E20)),OFFSET($D20,1,$C20,ROW($C$39)-ROW($C20)),0))</f>
        <v>0</v>
      </c>
      <c r="L20" s="114" t="str">
        <f t="shared" ca="1" si="10"/>
        <v/>
      </c>
      <c r="M20" s="115" t="s">
        <v>705</v>
      </c>
      <c r="N20" s="116" t="str">
        <f t="shared" ca="1" si="11"/>
        <v>Serviço</v>
      </c>
      <c r="O20" s="117" t="str">
        <f t="shared" ca="1" si="12"/>
        <v>-</v>
      </c>
      <c r="P20" s="118" t="s">
        <v>1022</v>
      </c>
      <c r="Q20" s="119" t="s">
        <v>1021</v>
      </c>
      <c r="R20" s="120" t="str" cm="1">
        <f t="array" aca="1" ref="R20" ca="1">IF($C20="S",REFERENCIA.Descricao,"(digite a descrição aqui)")</f>
        <v>(Código não identificado nas referências)</v>
      </c>
      <c r="S20" s="121" t="str" cm="1">
        <f t="array" aca="1" ref="S20" ca="1">REFERENCIA.Unidade</f>
        <v>-</v>
      </c>
      <c r="T20" s="122">
        <f ca="1">OFFSET(CÁLCULO!H$15,ROW($T20)-ROW(T$15),0)</f>
        <v>65</v>
      </c>
      <c r="U20" s="123">
        <f ca="1">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SICRO-E-CHI E9690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0.25</v>
      </c>
      <c r="AJ20" s="431"/>
      <c r="AL20" s="439"/>
      <c r="AM20" s="336">
        <f t="shared" ca="1" si="0"/>
        <v>0</v>
      </c>
      <c r="AN20" s="470" cm="1">
        <f t="array" aca="1" ref="AN20" ca="1">ROUND(ORÇAMENTO.CustoUnitario*(1+$AH20),2)</f>
        <v>0</v>
      </c>
    </row>
    <row r="21" spans="1:40"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0</v>
      </c>
      <c r="J21">
        <f t="shared" ca="1" si="9"/>
        <v>0</v>
      </c>
      <c r="K21">
        <f ca="1">IF(OR($C21="S",$C21=0),0,MATCH(OFFSET($D21,0,$C21)+IF($C21&lt;&gt;1,1,COUNTIF(QCI!$A$13:$A$24,ORÇAMENTO!E21)),OFFSET($D21,1,$C21,ROW($C$39)-ROW($C21)),0))</f>
        <v>0</v>
      </c>
      <c r="L21" s="114" t="str">
        <f t="shared" ca="1" si="10"/>
        <v/>
      </c>
      <c r="M21" s="115" t="s">
        <v>705</v>
      </c>
      <c r="N21" s="116" t="str">
        <f t="shared" ca="1" si="11"/>
        <v>Serviço</v>
      </c>
      <c r="O21" s="117" t="str">
        <f t="shared" ca="1" si="12"/>
        <v>-</v>
      </c>
      <c r="P21" s="118" t="s">
        <v>750</v>
      </c>
      <c r="Q21" s="119" t="s">
        <v>1023</v>
      </c>
      <c r="R21" s="120" t="str" cm="1">
        <f t="array" aca="1" ref="R21" ca="1">IF($C21="S",REFERENCIA.Descricao,"(digite a descrição aqui)")</f>
        <v>(Código não identificado nas referências)</v>
      </c>
      <c r="S21" s="121" t="str" cm="1">
        <f t="array" aca="1" ref="S21" ca="1">REFERENCIA.Unidade</f>
        <v>-</v>
      </c>
      <c r="T21" s="122">
        <f ca="1">OFFSET(CÁLCULO!H$15,ROW($T21)-ROW(T$15),0)</f>
        <v>520</v>
      </c>
      <c r="U21" s="123">
        <f ca="1">AG21</f>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88296</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0.25</v>
      </c>
      <c r="AJ21" s="431"/>
      <c r="AL21" s="439"/>
      <c r="AM21" s="336">
        <f t="shared" ca="1" si="0"/>
        <v>0</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IF(OR($C22="S",$C22=0),0,MATCH(OFFSET($D22,0,$C22)+IF($C22&lt;&gt;1,1,COUNTIF(QCI!$A$13:$A$24,ORÇAMENTO!E22)),OFFSET($D22,1,$C22,ROW($C$39)-ROW($C22)),0))</f>
        <v>0</v>
      </c>
      <c r="L22" s="114" t="str">
        <f t="shared" ca="1" si="10"/>
        <v/>
      </c>
      <c r="M22" s="115" t="s">
        <v>705</v>
      </c>
      <c r="N22" s="116" t="str">
        <f t="shared" ca="1" si="11"/>
        <v>Serviço</v>
      </c>
      <c r="O22" s="117" t="str">
        <f t="shared" ca="1" si="12"/>
        <v>-</v>
      </c>
      <c r="P22" s="118" t="s">
        <v>750</v>
      </c>
      <c r="Q22" s="119" t="s">
        <v>1024</v>
      </c>
      <c r="R22" s="120" t="str" cm="1">
        <f t="array" aca="1" ref="R22" ca="1">IF($C22="S",REFERENCIA.Descricao,"(digite a descrição aqui)")</f>
        <v>(Código não identificado nas referências)</v>
      </c>
      <c r="S22" s="121" t="str" cm="1">
        <f t="array" aca="1" ref="S22" ca="1">REFERENCIA.Unidade</f>
        <v>-</v>
      </c>
      <c r="T22" s="122">
        <f ca="1">OFFSET(CÁLCULO!H$15,ROW($T22)-ROW(T$15),0)</f>
        <v>200</v>
      </c>
      <c r="U22" s="123">
        <f ca="1">AG22</f>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104792</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0.25</v>
      </c>
      <c r="AJ22" s="431"/>
      <c r="AL22" s="439"/>
      <c r="AM22" s="336">
        <f t="shared" ca="1" si="0"/>
        <v>0</v>
      </c>
      <c r="AN22" s="470" cm="1">
        <f t="array" aca="1" ref="AN22" ca="1">ROUND(ORÇAMENTO.CustoUnitario*(1+$AH22),2)</f>
        <v>0</v>
      </c>
    </row>
    <row r="23" spans="1:40" x14ac:dyDescent="0.2">
      <c r="A23">
        <f t="shared" si="1"/>
        <v>2</v>
      </c>
      <c r="B23">
        <f t="shared" ca="1" si="2"/>
        <v>2</v>
      </c>
      <c r="C23">
        <f t="shared" ca="1" si="3"/>
        <v>2</v>
      </c>
      <c r="D23">
        <f t="shared" ca="1" si="4"/>
        <v>2</v>
      </c>
      <c r="E23">
        <f ca="1">IF($C23=1,OFFSET(E23,-1,0)+MAX(1,COUNTIF(QCI!$A$13:$A$24,OFFSET(ORÇAMENTO!E23,-1,0))),OFFSET(E23,-1,0))</f>
        <v>1</v>
      </c>
      <c r="F23">
        <f t="shared" ca="1" si="5"/>
        <v>2</v>
      </c>
      <c r="G23">
        <f t="shared" ca="1" si="6"/>
        <v>0</v>
      </c>
      <c r="H23">
        <f t="shared" ca="1" si="7"/>
        <v>0</v>
      </c>
      <c r="I23">
        <f t="shared" ca="1" si="8"/>
        <v>0</v>
      </c>
      <c r="J23">
        <f t="shared" ref="J23:J24" ca="1" si="15">IF(OR($C23="S",$C23=0),0,MATCH(0,OFFSET($D23,1,$C23,ROW($C$39)-ROW($C23)),0))</f>
        <v>16</v>
      </c>
      <c r="K23">
        <f ca="1">IF(OR($C23="S",$C23=0),0,MATCH(OFFSET($D23,0,$C23)+IF($C23&lt;&gt;1,1,COUNTIF(QCI!$A$13:$A$24,ORÇAMENTO!E23)),OFFSET($D23,1,$C23,ROW($C$39)-ROW($C23)),0))</f>
        <v>2</v>
      </c>
      <c r="L23" s="114" t="str">
        <f t="shared" ca="1" si="10"/>
        <v>F</v>
      </c>
      <c r="M23" s="115" t="s">
        <v>702</v>
      </c>
      <c r="N23" s="116" t="str">
        <f t="shared" ca="1" si="11"/>
        <v>Nível 2</v>
      </c>
      <c r="O23" s="117" t="str">
        <f t="shared" ca="1" si="12"/>
        <v>1.2.</v>
      </c>
      <c r="P23" s="118" t="s">
        <v>750</v>
      </c>
      <c r="Q23" s="119"/>
      <c r="R23" s="120" t="s">
        <v>1053</v>
      </c>
      <c r="S23" s="121" t="str" cm="1">
        <f t="array" aca="1" ref="S23" ca="1">REFERENCIA.Unidade</f>
        <v>-</v>
      </c>
      <c r="T23" s="122">
        <f ca="1">OFFSET(CÁLCULO!H$15,ROW($T23)-ROW(T$15),0)</f>
        <v>0</v>
      </c>
      <c r="U23" s="123"/>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f ca="1">IF(C23&lt;=CRONO.NivelExibicao,MAX($AD$15:OFFSET(AD23,-1,0))+IF($C23&lt;&gt;1,1,MAX(1,COUNTIF(QCI!$A$13:$A$24,OFFSET($E23,-1,0)))),"")</f>
        <v>3</v>
      </c>
      <c r="AE23" s="7" t="b" cm="1">
        <f t="array" aca="1" ref="AE23" ca="1">IF(AND($C23="S",ORÇAMENTO.CodBarra&lt;&gt;""),IF(ORÇAMENTO.Fonte="",ORÇAMENTO.CodBarra,CONCATENATE(ORÇAMENTO.Fonte," ",ORÇAMENTO.CodBarra)))</f>
        <v>0</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4"/>
        <v>0.25</v>
      </c>
      <c r="AJ23" s="431"/>
      <c r="AL23" s="439"/>
      <c r="AM23" s="336">
        <f t="shared" ca="1" si="0"/>
        <v>0</v>
      </c>
      <c r="AN23" s="470" cm="1">
        <f t="array" aca="1" ref="AN23" ca="1">ROUND(ORÇAMENTO.CustoUnitario*(1+$AH23),2)</f>
        <v>0</v>
      </c>
    </row>
    <row r="24" spans="1:40"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15"/>
        <v>0</v>
      </c>
      <c r="K24">
        <f ca="1">IF(OR($C24="S",$C24=0),0,MATCH(OFFSET($D24,0,$C24)+IF($C24&lt;&gt;1,1,COUNTIF(QCI!$A$13:$A$24,ORÇAMENTO!E24)),OFFSET($D24,1,$C24,ROW($C$39)-ROW($C24)),0))</f>
        <v>0</v>
      </c>
      <c r="L24" s="114" t="str">
        <f t="shared" ca="1" si="10"/>
        <v/>
      </c>
      <c r="M24" s="115" t="s">
        <v>705</v>
      </c>
      <c r="N24" s="116" t="str">
        <f t="shared" ca="1" si="11"/>
        <v>Serviço</v>
      </c>
      <c r="O24" s="117" t="str">
        <f t="shared" ca="1" si="12"/>
        <v>-</v>
      </c>
      <c r="P24" s="118" t="s">
        <v>956</v>
      </c>
      <c r="Q24" s="119" t="s">
        <v>1019</v>
      </c>
      <c r="R24" s="120" t="str" cm="1">
        <f t="array" aca="1" ref="R24" ca="1">IF($C24="S",REFERENCIA.Descricao,"(digite a descrição aqui)")</f>
        <v>(Código não identificado nas referências)</v>
      </c>
      <c r="S24" s="121" t="str" cm="1">
        <f t="array" aca="1" ref="S24" ca="1">REFERENCIA.Unidade</f>
        <v>-</v>
      </c>
      <c r="T24" s="122">
        <f ca="1">OFFSET(CÁLCULO!H$15,ROW($T24)-ROW(T$15),0)</f>
        <v>1</v>
      </c>
      <c r="U24" s="123">
        <f ca="1">AG24</f>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13"/>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PM BENTO 01</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0.25</v>
      </c>
      <c r="AJ24" s="431"/>
      <c r="AL24" s="439"/>
      <c r="AM24" s="336">
        <f t="shared" ca="1" si="0"/>
        <v>0</v>
      </c>
      <c r="AN24" s="470" cm="1">
        <f t="array" aca="1" ref="AN24" ca="1">ROUND(ORÇAMENTO.CustoUnitario*(1+$AH24),2)</f>
        <v>0</v>
      </c>
    </row>
    <row r="25" spans="1:40" x14ac:dyDescent="0.2">
      <c r="A25">
        <f t="shared" si="1"/>
        <v>2</v>
      </c>
      <c r="B25">
        <f t="shared" ca="1" si="2"/>
        <v>2</v>
      </c>
      <c r="C25">
        <f t="shared" ca="1" si="3"/>
        <v>2</v>
      </c>
      <c r="D25">
        <f t="shared" ca="1" si="4"/>
        <v>4</v>
      </c>
      <c r="E25">
        <f ca="1">IF($C25=1,OFFSET(E25,-1,0)+MAX(1,COUNTIF(QCI!$A$13:$A$24,OFFSET(ORÇAMENTO!E25,-1,0))),OFFSET(E25,-1,0))</f>
        <v>1</v>
      </c>
      <c r="F25">
        <f t="shared" ca="1" si="5"/>
        <v>3</v>
      </c>
      <c r="G25">
        <f t="shared" ca="1" si="6"/>
        <v>0</v>
      </c>
      <c r="H25">
        <f t="shared" ca="1" si="7"/>
        <v>0</v>
      </c>
      <c r="I25">
        <f t="shared" ca="1" si="8"/>
        <v>0</v>
      </c>
      <c r="J25">
        <f t="shared" ref="J25:J38" ca="1" si="16">IF(OR($C25="S",$C25=0),0,MATCH(0,OFFSET($D25,1,$C25,ROW($C$39)-ROW($C25)),0))</f>
        <v>14</v>
      </c>
      <c r="K25">
        <f ca="1">IF(OR($C25="S",$C25=0),0,MATCH(OFFSET($D25,0,$C25)+IF($C25&lt;&gt;1,1,COUNTIF(QCI!$A$13:$A$24,ORÇAMENTO!E25)),OFFSET($D25,1,$C25,ROW($C$39)-ROW($C25)),0))</f>
        <v>4</v>
      </c>
      <c r="L25" s="114" t="str">
        <f t="shared" ca="1" si="10"/>
        <v>F</v>
      </c>
      <c r="M25" s="115" t="s">
        <v>702</v>
      </c>
      <c r="N25" s="116" t="str">
        <f t="shared" ca="1" si="11"/>
        <v>Nível 2</v>
      </c>
      <c r="O25" s="117" t="str">
        <f t="shared" ca="1" si="12"/>
        <v>1.3.</v>
      </c>
      <c r="P25" s="118" t="s">
        <v>750</v>
      </c>
      <c r="Q25" s="119"/>
      <c r="R25" s="120" t="s">
        <v>1025</v>
      </c>
      <c r="S25" s="121" t="str" cm="1">
        <f t="array" aca="1" ref="S25" ca="1">REFERENCIA.Unidade</f>
        <v>-</v>
      </c>
      <c r="T25" s="122">
        <f ca="1">OFFSET(CÁLCULO!H$15,ROW($T25)-ROW(T$15),0)</f>
        <v>0</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4</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4"/>
        <v>0.25</v>
      </c>
      <c r="AJ25" s="431"/>
      <c r="AL25" s="439"/>
      <c r="AM25" s="336">
        <f t="shared" ca="1" si="0"/>
        <v>0</v>
      </c>
      <c r="AN25" s="470" cm="1">
        <f t="array" aca="1" ref="AN25" ca="1">ROUND(ORÇAMENTO.CustoUnitario*(1+$AH25),2)</f>
        <v>0</v>
      </c>
    </row>
    <row r="26" spans="1:40" x14ac:dyDescent="0.2">
      <c r="A26" t="str">
        <f t="shared" si="1"/>
        <v>S</v>
      </c>
      <c r="B26">
        <f t="shared" ca="1" si="2"/>
        <v>2</v>
      </c>
      <c r="C26" t="str">
        <f t="shared" ca="1" si="3"/>
        <v>S</v>
      </c>
      <c r="D26">
        <f t="shared" ca="1" si="4"/>
        <v>0</v>
      </c>
      <c r="E26">
        <f ca="1">IF($C26=1,OFFSET(E26,-1,0)+MAX(1,COUNTIF(QCI!$A$13:$A$24,OFFSET(ORÇAMENTO!E26,-1,0))),OFFSET(E26,-1,0))</f>
        <v>1</v>
      </c>
      <c r="F26">
        <f t="shared" ca="1" si="5"/>
        <v>3</v>
      </c>
      <c r="G26">
        <f t="shared" ca="1" si="6"/>
        <v>0</v>
      </c>
      <c r="H26">
        <f t="shared" ca="1" si="7"/>
        <v>0</v>
      </c>
      <c r="I26">
        <f t="shared" ca="1" si="8"/>
        <v>0</v>
      </c>
      <c r="J26">
        <f t="shared" ca="1" si="16"/>
        <v>0</v>
      </c>
      <c r="K26">
        <f ca="1">IF(OR($C26="S",$C26=0),0,MATCH(OFFSET($D26,0,$C26)+IF($C26&lt;&gt;1,1,COUNTIF(QCI!$A$13:$A$24,ORÇAMENTO!E26)),OFFSET($D26,1,$C26,ROW($C$39)-ROW($C26)),0))</f>
        <v>0</v>
      </c>
      <c r="L26" s="114" t="str">
        <f t="shared" ca="1" si="10"/>
        <v/>
      </c>
      <c r="M26" s="115" t="s">
        <v>705</v>
      </c>
      <c r="N26" s="116" t="str">
        <f t="shared" ca="1" si="11"/>
        <v>Serviço</v>
      </c>
      <c r="O26" s="117" t="str">
        <f t="shared" ca="1" si="12"/>
        <v>-</v>
      </c>
      <c r="P26" s="118" t="s">
        <v>955</v>
      </c>
      <c r="Q26" s="119" t="s">
        <v>1026</v>
      </c>
      <c r="R26" s="120" t="str" cm="1">
        <f t="array" aca="1" ref="R26" ca="1">IF($C26="S",REFERENCIA.Descricao,"(digite a descrição aqui)")</f>
        <v>(Código não identificado nas referências)</v>
      </c>
      <c r="S26" s="121" t="s">
        <v>623</v>
      </c>
      <c r="T26" s="122">
        <f ca="1">OFFSET(CÁLCULO!H$15,ROW($T26)-ROW(T$15),0)</f>
        <v>1450</v>
      </c>
      <c r="U26" s="123">
        <f ca="1">AG26</f>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SICRO 3806402</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0.25</v>
      </c>
      <c r="AJ26" s="431"/>
      <c r="AL26" s="439"/>
      <c r="AM26" s="336">
        <f t="shared" ca="1" si="0"/>
        <v>0</v>
      </c>
      <c r="AN26" s="470" cm="1">
        <f t="array" aca="1" ref="AN26" ca="1">ROUND(ORÇAMENTO.CustoUnitario*(1+$AH26),2)</f>
        <v>0</v>
      </c>
    </row>
    <row r="27" spans="1:40" x14ac:dyDescent="0.2">
      <c r="A27" t="str">
        <f t="shared" si="1"/>
        <v>S</v>
      </c>
      <c r="B27">
        <f t="shared" ca="1" si="2"/>
        <v>2</v>
      </c>
      <c r="C27" t="str">
        <f t="shared" ca="1" si="3"/>
        <v>S</v>
      </c>
      <c r="D27">
        <f t="shared" ca="1" si="4"/>
        <v>0</v>
      </c>
      <c r="E27">
        <f ca="1">IF($C27=1,OFFSET(E27,-1,0)+MAX(1,COUNTIF(QCI!$A$13:$A$24,OFFSET(ORÇAMENTO!E27,-1,0))),OFFSET(E27,-1,0))</f>
        <v>1</v>
      </c>
      <c r="F27">
        <f t="shared" ca="1" si="5"/>
        <v>3</v>
      </c>
      <c r="G27">
        <f t="shared" ca="1" si="6"/>
        <v>0</v>
      </c>
      <c r="H27">
        <f t="shared" ca="1" si="7"/>
        <v>0</v>
      </c>
      <c r="I27">
        <f t="shared" ca="1" si="8"/>
        <v>0</v>
      </c>
      <c r="J27">
        <f t="shared" ca="1" si="16"/>
        <v>0</v>
      </c>
      <c r="K27">
        <f ca="1">IF(OR($C27="S",$C27=0),0,MATCH(OFFSET($D27,0,$C27)+IF($C27&lt;&gt;1,1,COUNTIF(QCI!$A$13:$A$24,ORÇAMENTO!E27)),OFFSET($D27,1,$C27,ROW($C$39)-ROW($C27)),0))</f>
        <v>0</v>
      </c>
      <c r="L27" s="114" t="str">
        <f t="shared" ca="1" si="10"/>
        <v/>
      </c>
      <c r="M27" s="115" t="s">
        <v>705</v>
      </c>
      <c r="N27" s="116" t="str">
        <f t="shared" ca="1" si="11"/>
        <v>Serviço</v>
      </c>
      <c r="O27" s="117" t="str">
        <f t="shared" ca="1" si="12"/>
        <v>-</v>
      </c>
      <c r="P27" s="118" t="s">
        <v>955</v>
      </c>
      <c r="Q27" s="119" t="s">
        <v>1027</v>
      </c>
      <c r="R27" s="120" t="str" cm="1">
        <f t="array" aca="1" ref="R27" ca="1">IF($C27="S",REFERENCIA.Descricao,"(digite a descrição aqui)")</f>
        <v>(Código não identificado nas referências)</v>
      </c>
      <c r="S27" s="121" t="s">
        <v>623</v>
      </c>
      <c r="T27" s="122">
        <f ca="1">OFFSET(CÁLCULO!H$15,ROW($T27)-ROW(T$15),0)</f>
        <v>480</v>
      </c>
      <c r="U27" s="123">
        <f ca="1">AG27</f>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SICRO 1600408</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0.25</v>
      </c>
      <c r="AJ27" s="431"/>
      <c r="AL27" s="439"/>
      <c r="AM27" s="336">
        <f t="shared" ca="1" si="0"/>
        <v>0</v>
      </c>
      <c r="AN27" s="470" cm="1">
        <f t="array" aca="1" ref="AN27" ca="1">ROUND(ORÇAMENTO.CustoUnitario*(1+$AH27),2)</f>
        <v>0</v>
      </c>
    </row>
    <row r="28" spans="1:40" ht="25.5" x14ac:dyDescent="0.2">
      <c r="A28" t="str">
        <f t="shared" si="1"/>
        <v>S</v>
      </c>
      <c r="B28">
        <f t="shared" ca="1" si="2"/>
        <v>2</v>
      </c>
      <c r="C28" t="str">
        <f t="shared" ca="1" si="3"/>
        <v>S</v>
      </c>
      <c r="D28">
        <f t="shared" ca="1" si="4"/>
        <v>0</v>
      </c>
      <c r="E28">
        <f ca="1">IF($C28=1,OFFSET(E28,-1,0)+MAX(1,COUNTIF(QCI!$A$13:$A$24,OFFSET(ORÇAMENTO!E28,-1,0))),OFFSET(E28,-1,0))</f>
        <v>1</v>
      </c>
      <c r="F28">
        <f t="shared" ca="1" si="5"/>
        <v>3</v>
      </c>
      <c r="G28">
        <f t="shared" ca="1" si="6"/>
        <v>0</v>
      </c>
      <c r="H28">
        <f t="shared" ca="1" si="7"/>
        <v>0</v>
      </c>
      <c r="I28">
        <f t="shared" ca="1" si="8"/>
        <v>0</v>
      </c>
      <c r="J28">
        <f t="shared" ca="1" si="16"/>
        <v>0</v>
      </c>
      <c r="K28">
        <f ca="1">IF(OR($C28="S",$C28=0),0,MATCH(OFFSET($D28,0,$C28)+IF($C28&lt;&gt;1,1,COUNTIF(QCI!$A$13:$A$24,ORÇAMENTO!E28)),OFFSET($D28,1,$C28,ROW($C$39)-ROW($C28)),0))</f>
        <v>0</v>
      </c>
      <c r="L28" s="114" t="str">
        <f t="shared" ca="1" si="10"/>
        <v/>
      </c>
      <c r="M28" s="115" t="s">
        <v>705</v>
      </c>
      <c r="N28" s="116" t="str">
        <f t="shared" ca="1" si="11"/>
        <v>Serviço</v>
      </c>
      <c r="O28" s="117" t="str">
        <f t="shared" ca="1" si="12"/>
        <v>-</v>
      </c>
      <c r="P28" s="118" t="s">
        <v>750</v>
      </c>
      <c r="Q28" s="119" t="s">
        <v>1028</v>
      </c>
      <c r="R28" s="120" t="str" cm="1">
        <f t="array" aca="1" ref="R28" ca="1">IF($C28="S",REFERENCIA.Descricao,"(digite a descrição aqui)")</f>
        <v>(Código não identificado nas referências)</v>
      </c>
      <c r="S28" s="121" t="str" cm="1">
        <f t="array" aca="1" ref="S28" ca="1">REFERENCIA.Unidade</f>
        <v>-</v>
      </c>
      <c r="T28" s="122">
        <f ca="1">OFFSET(CÁLCULO!H$15,ROW($T28)-ROW(T$15),0)</f>
        <v>480</v>
      </c>
      <c r="U28" s="123">
        <f ca="1">AG28</f>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100717</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0.25</v>
      </c>
      <c r="AJ28" s="431"/>
      <c r="AL28" s="439"/>
      <c r="AM28" s="336">
        <f t="shared" ca="1" si="0"/>
        <v>0</v>
      </c>
      <c r="AN28" s="470" cm="1">
        <f t="array" aca="1" ref="AN28" ca="1">ROUND(ORÇAMENTO.CustoUnitario*(1+$AH28),2)</f>
        <v>0</v>
      </c>
    </row>
    <row r="29" spans="1:40" x14ac:dyDescent="0.2">
      <c r="A29">
        <f t="shared" si="1"/>
        <v>2</v>
      </c>
      <c r="B29">
        <f t="shared" ca="1" si="2"/>
        <v>2</v>
      </c>
      <c r="C29">
        <f t="shared" ca="1" si="3"/>
        <v>2</v>
      </c>
      <c r="D29">
        <f t="shared" ca="1" si="4"/>
        <v>5</v>
      </c>
      <c r="E29">
        <f ca="1">IF($C29=1,OFFSET(E29,-1,0)+MAX(1,COUNTIF(QCI!$A$13:$A$24,OFFSET(ORÇAMENTO!E29,-1,0))),OFFSET(E29,-1,0))</f>
        <v>1</v>
      </c>
      <c r="F29">
        <f t="shared" ca="1" si="5"/>
        <v>4</v>
      </c>
      <c r="G29">
        <f t="shared" ca="1" si="6"/>
        <v>0</v>
      </c>
      <c r="H29">
        <f t="shared" ca="1" si="7"/>
        <v>0</v>
      </c>
      <c r="I29">
        <f t="shared" ca="1" si="8"/>
        <v>0</v>
      </c>
      <c r="J29">
        <f t="shared" ca="1" si="16"/>
        <v>10</v>
      </c>
      <c r="K29">
        <f ca="1">IF(OR($C29="S",$C29=0),0,MATCH(OFFSET($D29,0,$C29)+IF($C29&lt;&gt;1,1,COUNTIF(QCI!$A$13:$A$24,ORÇAMENTO!E29)),OFFSET($D29,1,$C29,ROW($C$39)-ROW($C29)),0))</f>
        <v>5</v>
      </c>
      <c r="L29" s="114" t="str">
        <f t="shared" ca="1" si="10"/>
        <v>F</v>
      </c>
      <c r="M29" s="115" t="s">
        <v>702</v>
      </c>
      <c r="N29" s="116" t="str">
        <f t="shared" ca="1" si="11"/>
        <v>Nível 2</v>
      </c>
      <c r="O29" s="117" t="str">
        <f t="shared" ca="1" si="12"/>
        <v>1.4.</v>
      </c>
      <c r="P29" s="118" t="s">
        <v>750</v>
      </c>
      <c r="Q29" s="119"/>
      <c r="R29" s="120" t="s">
        <v>1029</v>
      </c>
      <c r="S29" s="121" t="str" cm="1">
        <f t="array" aca="1" ref="S29" ca="1">REFERENCIA.Unidade</f>
        <v>-</v>
      </c>
      <c r="T29" s="122">
        <f ca="1">OFFSET(CÁLCULO!H$15,ROW($T29)-ROW(T$15),0)</f>
        <v>0</v>
      </c>
      <c r="U29" s="123"/>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5</v>
      </c>
      <c r="AE29" s="7" t="b" cm="1">
        <f t="array" aca="1" ref="AE29" ca="1">IF(AND($C29="S",ORÇAMENTO.CodBarra&lt;&gt;""),IF(ORÇAMENTO.Fonte="",ORÇAMENTO.CodBarra,CONCATENATE(ORÇAMENTO.Fonte," ",ORÇAMENTO.CodBarra)))</f>
        <v>0</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(Sem Código)</v>
      </c>
      <c r="AG29" s="428" cm="1">
        <f t="array" aca="1" ref="AG29" ca="1">ROUND(IF(DESONERACAO="sim",REFERENCIA.Desonerado,REFERENCIA.NaoDesonerado),2)</f>
        <v>0</v>
      </c>
      <c r="AH29" s="429">
        <f t="shared" ca="1" si="14"/>
        <v>0.25</v>
      </c>
      <c r="AJ29" s="431"/>
      <c r="AL29" s="439"/>
      <c r="AM29" s="336">
        <f t="shared" ca="1" si="0"/>
        <v>0</v>
      </c>
      <c r="AN29" s="470" cm="1">
        <f t="array" aca="1" ref="AN29" ca="1">ROUND(ORÇAMENTO.CustoUnitario*(1+$AH29),2)</f>
        <v>0</v>
      </c>
    </row>
    <row r="30" spans="1:40" ht="51" x14ac:dyDescent="0.2">
      <c r="A30" t="str">
        <f t="shared" si="1"/>
        <v>S</v>
      </c>
      <c r="B30">
        <f t="shared" ca="1" si="2"/>
        <v>2</v>
      </c>
      <c r="C30" t="str">
        <f t="shared" ca="1" si="3"/>
        <v>S</v>
      </c>
      <c r="D30">
        <f t="shared" ca="1" si="4"/>
        <v>0</v>
      </c>
      <c r="E30">
        <f ca="1">IF($C30=1,OFFSET(E30,-1,0)+MAX(1,COUNTIF(QCI!$A$13:$A$24,OFFSET(ORÇAMENTO!E30,-1,0))),OFFSET(E30,-1,0))</f>
        <v>1</v>
      </c>
      <c r="F30">
        <f t="shared" ca="1" si="5"/>
        <v>4</v>
      </c>
      <c r="G30">
        <f t="shared" ca="1" si="6"/>
        <v>0</v>
      </c>
      <c r="H30">
        <f t="shared" ca="1" si="7"/>
        <v>0</v>
      </c>
      <c r="I30">
        <f t="shared" ca="1" si="8"/>
        <v>0</v>
      </c>
      <c r="J30">
        <f t="shared" ca="1" si="16"/>
        <v>0</v>
      </c>
      <c r="K30">
        <f ca="1">IF(OR($C30="S",$C30=0),0,MATCH(OFFSET($D30,0,$C30)+IF($C30&lt;&gt;1,1,COUNTIF(QCI!$A$13:$A$24,ORÇAMENTO!E30)),OFFSET($D30,1,$C30,ROW($C$39)-ROW($C30)),0))</f>
        <v>0</v>
      </c>
      <c r="L30" s="114" t="str">
        <f t="shared" ca="1" si="10"/>
        <v/>
      </c>
      <c r="M30" s="115" t="s">
        <v>705</v>
      </c>
      <c r="N30" s="116" t="str">
        <f t="shared" ca="1" si="11"/>
        <v>Serviço</v>
      </c>
      <c r="O30" s="117" t="str">
        <f t="shared" ca="1" si="12"/>
        <v>-</v>
      </c>
      <c r="P30" s="118" t="s">
        <v>956</v>
      </c>
      <c r="Q30" s="119" t="s">
        <v>1030</v>
      </c>
      <c r="R30" s="120" t="str" cm="1">
        <f t="array" aca="1" ref="R30" ca="1">IF($C30="S",REFERENCIA.Descricao,"(digite a descrição aqui)")</f>
        <v>(Código não identificado nas referências)</v>
      </c>
      <c r="S30" s="121" t="str" cm="1">
        <f t="array" aca="1" ref="S30" ca="1">REFERENCIA.Unidade</f>
        <v>-</v>
      </c>
      <c r="T30" s="122">
        <f ca="1">OFFSET(CÁLCULO!H$15,ROW($T30)-ROW(T$15),0)</f>
        <v>7.2</v>
      </c>
      <c r="U30" s="123">
        <f ca="1">AG30</f>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13"/>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PM BENTO 08</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4"/>
        <v>0.25</v>
      </c>
      <c r="AJ30" s="431"/>
      <c r="AL30" s="439"/>
      <c r="AM30" s="336">
        <f t="shared" ca="1" si="0"/>
        <v>0</v>
      </c>
      <c r="AN30" s="470" cm="1">
        <f t="array" aca="1" ref="AN30" ca="1">ROUND(ORÇAMENTO.CustoUnitario*(1+$AH30),2)</f>
        <v>0</v>
      </c>
    </row>
    <row r="31" spans="1:40" x14ac:dyDescent="0.2">
      <c r="A31" t="str">
        <f t="shared" si="1"/>
        <v>S</v>
      </c>
      <c r="B31">
        <f t="shared" ca="1" si="2"/>
        <v>2</v>
      </c>
      <c r="C31" t="str">
        <f t="shared" ca="1" si="3"/>
        <v>S</v>
      </c>
      <c r="D31">
        <f t="shared" ca="1" si="4"/>
        <v>0</v>
      </c>
      <c r="E31">
        <f ca="1">IF($C31=1,OFFSET(E31,-1,0)+MAX(1,COUNTIF(QCI!$A$13:$A$24,OFFSET(ORÇAMENTO!E31,-1,0))),OFFSET(E31,-1,0))</f>
        <v>1</v>
      </c>
      <c r="F31">
        <f t="shared" ca="1" si="5"/>
        <v>4</v>
      </c>
      <c r="G31">
        <f t="shared" ca="1" si="6"/>
        <v>0</v>
      </c>
      <c r="H31">
        <f t="shared" ca="1" si="7"/>
        <v>0</v>
      </c>
      <c r="I31">
        <f t="shared" ca="1" si="8"/>
        <v>0</v>
      </c>
      <c r="J31">
        <f t="shared" ca="1" si="16"/>
        <v>0</v>
      </c>
      <c r="K31">
        <f ca="1">IF(OR($C31="S",$C31=0),0,MATCH(OFFSET($D31,0,$C31)+IF($C31&lt;&gt;1,1,COUNTIF(QCI!$A$13:$A$24,ORÇAMENTO!E31)),OFFSET($D31,1,$C31,ROW($C$39)-ROW($C31)),0))</f>
        <v>0</v>
      </c>
      <c r="L31" s="114" t="str">
        <f t="shared" ca="1" si="10"/>
        <v/>
      </c>
      <c r="M31" s="115" t="s">
        <v>705</v>
      </c>
      <c r="N31" s="116" t="str">
        <f t="shared" ca="1" si="11"/>
        <v>Serviço</v>
      </c>
      <c r="O31" s="117" t="str">
        <f t="shared" ca="1" si="12"/>
        <v>-</v>
      </c>
      <c r="P31" s="118" t="s">
        <v>955</v>
      </c>
      <c r="Q31" s="119" t="s">
        <v>1031</v>
      </c>
      <c r="R31" s="120" t="str" cm="1">
        <f t="array" aca="1" ref="R31" ca="1">IF($C31="S",REFERENCIA.Descricao,"(digite a descrição aqui)")</f>
        <v>(Código não identificado nas referências)</v>
      </c>
      <c r="S31" s="121" t="s">
        <v>623</v>
      </c>
      <c r="T31" s="122">
        <f ca="1">OFFSET(CÁLCULO!H$15,ROW($T31)-ROW(T$15),0)</f>
        <v>480</v>
      </c>
      <c r="U31" s="123">
        <f ca="1">AG31</f>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SICRO 4915654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0.25</v>
      </c>
      <c r="AJ31" s="431"/>
      <c r="AL31" s="439"/>
      <c r="AM31" s="336">
        <f t="shared" ca="1" si="0"/>
        <v>0</v>
      </c>
      <c r="AN31" s="470" cm="1">
        <f t="array" aca="1" ref="AN31" ca="1">ROUND(ORÇAMENTO.CustoUnitario*(1+$AH31),2)</f>
        <v>0</v>
      </c>
    </row>
    <row r="32" spans="1:40" ht="51" x14ac:dyDescent="0.2">
      <c r="A32" t="str">
        <f t="shared" si="1"/>
        <v>S</v>
      </c>
      <c r="B32">
        <f t="shared" ca="1" si="2"/>
        <v>2</v>
      </c>
      <c r="C32" t="str">
        <f t="shared" ca="1" si="3"/>
        <v>S</v>
      </c>
      <c r="D32">
        <f t="shared" ca="1" si="4"/>
        <v>0</v>
      </c>
      <c r="E32">
        <f ca="1">IF($C32=1,OFFSET(E32,-1,0)+MAX(1,COUNTIF(QCI!$A$13:$A$24,OFFSET(ORÇAMENTO!E32,-1,0))),OFFSET(E32,-1,0))</f>
        <v>1</v>
      </c>
      <c r="F32">
        <f t="shared" ca="1" si="5"/>
        <v>4</v>
      </c>
      <c r="G32">
        <f t="shared" ca="1" si="6"/>
        <v>0</v>
      </c>
      <c r="H32">
        <f t="shared" ca="1" si="7"/>
        <v>0</v>
      </c>
      <c r="I32">
        <f t="shared" ca="1" si="8"/>
        <v>0</v>
      </c>
      <c r="J32">
        <f t="shared" ca="1" si="16"/>
        <v>0</v>
      </c>
      <c r="K32">
        <f ca="1">IF(OR($C32="S",$C32=0),0,MATCH(OFFSET($D32,0,$C32)+IF($C32&lt;&gt;1,1,COUNTIF(QCI!$A$13:$A$24,ORÇAMENTO!E32)),OFFSET($D32,1,$C32,ROW($C$39)-ROW($C32)),0))</f>
        <v>0</v>
      </c>
      <c r="L32" s="114" t="str">
        <f t="shared" ca="1" si="10"/>
        <v/>
      </c>
      <c r="M32" s="115" t="s">
        <v>705</v>
      </c>
      <c r="N32" s="116" t="str">
        <f t="shared" ca="1" si="11"/>
        <v>Serviço</v>
      </c>
      <c r="O32" s="117" t="str">
        <f t="shared" ca="1" si="12"/>
        <v>-</v>
      </c>
      <c r="P32" s="118" t="s">
        <v>956</v>
      </c>
      <c r="Q32" s="119" t="s">
        <v>1032</v>
      </c>
      <c r="R32" s="120" t="str" cm="1">
        <f t="array" aca="1" ref="R32" ca="1">IF($C32="S",REFERENCIA.Descricao,"(digite a descrição aqui)")</f>
        <v>(Código não identificado nas referências)</v>
      </c>
      <c r="S32" s="121" t="str" cm="1">
        <f t="array" aca="1" ref="S32" ca="1">REFERENCIA.Unidade</f>
        <v>-</v>
      </c>
      <c r="T32" s="122">
        <f ca="1">OFFSET(CÁLCULO!H$15,ROW($T32)-ROW(T$15),0)</f>
        <v>1450</v>
      </c>
      <c r="U32" s="123">
        <f ca="1">AG32</f>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Composição PM BENTO 09</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0.25</v>
      </c>
      <c r="AJ32" s="431"/>
      <c r="AL32" s="439"/>
      <c r="AM32" s="336">
        <f t="shared" ca="1" si="0"/>
        <v>0</v>
      </c>
      <c r="AN32" s="470" cm="1">
        <f t="array" aca="1" ref="AN32" ca="1">ROUND(ORÇAMENTO.CustoUnitario*(1+$AH32),2)</f>
        <v>0</v>
      </c>
    </row>
    <row r="33" spans="1:40" ht="25.5" x14ac:dyDescent="0.2">
      <c r="A33" t="str">
        <f t="shared" si="1"/>
        <v>S</v>
      </c>
      <c r="B33">
        <f t="shared" ca="1" si="2"/>
        <v>2</v>
      </c>
      <c r="C33" t="str">
        <f t="shared" ca="1" si="3"/>
        <v>S</v>
      </c>
      <c r="D33">
        <f t="shared" ca="1" si="4"/>
        <v>0</v>
      </c>
      <c r="E33">
        <f ca="1">IF($C33=1,OFFSET(E33,-1,0)+MAX(1,COUNTIF(QCI!$A$13:$A$24,OFFSET(ORÇAMENTO!E33,-1,0))),OFFSET(E33,-1,0))</f>
        <v>1</v>
      </c>
      <c r="F33">
        <f t="shared" ca="1" si="5"/>
        <v>4</v>
      </c>
      <c r="G33">
        <f t="shared" ca="1" si="6"/>
        <v>0</v>
      </c>
      <c r="H33">
        <f t="shared" ca="1" si="7"/>
        <v>0</v>
      </c>
      <c r="I33">
        <f t="shared" ca="1" si="8"/>
        <v>0</v>
      </c>
      <c r="J33">
        <f t="shared" ca="1" si="16"/>
        <v>0</v>
      </c>
      <c r="K33">
        <f ca="1">IF(OR($C33="S",$C33=0),0,MATCH(OFFSET($D33,0,$C33)+IF($C33&lt;&gt;1,1,COUNTIF(QCI!$A$13:$A$24,ORÇAMENTO!E33)),OFFSET($D33,1,$C33,ROW($C$39)-ROW($C33)),0))</f>
        <v>0</v>
      </c>
      <c r="L33" s="114" t="str">
        <f t="shared" ca="1" si="10"/>
        <v/>
      </c>
      <c r="M33" s="115" t="s">
        <v>705</v>
      </c>
      <c r="N33" s="116" t="str">
        <f t="shared" ca="1" si="11"/>
        <v>Serviço</v>
      </c>
      <c r="O33" s="117" t="str">
        <f t="shared" ca="1" si="12"/>
        <v>-</v>
      </c>
      <c r="P33" s="118" t="s">
        <v>956</v>
      </c>
      <c r="Q33" s="119" t="s">
        <v>1033</v>
      </c>
      <c r="R33" s="120" t="str" cm="1">
        <f t="array" aca="1" ref="R33" ca="1">IF($C33="S",REFERENCIA.Descricao,"(digite a descrição aqui)")</f>
        <v>(Código não identificado nas referências)</v>
      </c>
      <c r="S33" s="121" t="str" cm="1">
        <f t="array" aca="1" ref="S33" ca="1">REFERENCIA.Unidade</f>
        <v>-</v>
      </c>
      <c r="T33" s="122">
        <f ca="1">OFFSET(CÁLCULO!H$15,ROW($T33)-ROW(T$15),0)</f>
        <v>1450</v>
      </c>
      <c r="U33" s="123">
        <f ca="1">AG33</f>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Composição PM BENTO 10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0.25</v>
      </c>
      <c r="AJ33" s="431"/>
      <c r="AL33" s="439"/>
      <c r="AM33" s="336">
        <f t="shared" ca="1" si="0"/>
        <v>0</v>
      </c>
      <c r="AN33" s="470" cm="1">
        <f t="array" aca="1" ref="AN33" ca="1">ROUND(ORÇAMENTO.CustoUnitario*(1+$AH33),2)</f>
        <v>0</v>
      </c>
    </row>
    <row r="34" spans="1:40" x14ac:dyDescent="0.2">
      <c r="A34">
        <f t="shared" si="1"/>
        <v>2</v>
      </c>
      <c r="B34">
        <f t="shared" ca="1" si="2"/>
        <v>2</v>
      </c>
      <c r="C34">
        <f t="shared" ca="1" si="3"/>
        <v>2</v>
      </c>
      <c r="D34">
        <f t="shared" ca="1" si="4"/>
        <v>5</v>
      </c>
      <c r="E34">
        <f ca="1">IF($C34=1,OFFSET(E34,-1,0)+MAX(1,COUNTIF(QCI!$A$13:$A$24,OFFSET(ORÇAMENTO!E34,-1,0))),OFFSET(E34,-1,0))</f>
        <v>1</v>
      </c>
      <c r="F34">
        <f t="shared" ca="1" si="5"/>
        <v>5</v>
      </c>
      <c r="G34">
        <f t="shared" ca="1" si="6"/>
        <v>0</v>
      </c>
      <c r="H34">
        <f t="shared" ca="1" si="7"/>
        <v>0</v>
      </c>
      <c r="I34">
        <f t="shared" ca="1" si="8"/>
        <v>0</v>
      </c>
      <c r="J34">
        <f t="shared" ca="1" si="16"/>
        <v>5</v>
      </c>
      <c r="K34" t="e">
        <f ca="1">IF(OR($C34="S",$C34=0),0,MATCH(OFFSET($D34,0,$C34)+IF($C34&lt;&gt;1,1,COUNTIF(QCI!$A$13:$A$24,ORÇAMENTO!E34)),OFFSET($D34,1,$C34,ROW($C$39)-ROW($C34)),0))</f>
        <v>#N/A</v>
      </c>
      <c r="L34" s="114" t="str">
        <f t="shared" ca="1" si="10"/>
        <v>F</v>
      </c>
      <c r="M34" s="115" t="s">
        <v>702</v>
      </c>
      <c r="N34" s="116" t="str">
        <f t="shared" ca="1" si="11"/>
        <v>Nível 2</v>
      </c>
      <c r="O34" s="117" t="str">
        <f t="shared" ca="1" si="12"/>
        <v>1.5.</v>
      </c>
      <c r="P34" s="118" t="s">
        <v>750</v>
      </c>
      <c r="Q34" s="119"/>
      <c r="R34" s="120" t="s">
        <v>1034</v>
      </c>
      <c r="S34" s="121" t="str" cm="1">
        <f t="array" aca="1" ref="S34" ca="1">REFERENCIA.Unidade</f>
        <v>-</v>
      </c>
      <c r="T34" s="122">
        <f ca="1">OFFSET(CÁLCULO!H$15,ROW($T34)-ROW(T$15),0)</f>
        <v>0</v>
      </c>
      <c r="U34" s="123"/>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6</v>
      </c>
      <c r="AE34" s="7" t="b" cm="1">
        <f t="array" aca="1" ref="AE34" ca="1">IF(AND($C34="S",ORÇAMENTO.CodBarra&lt;&gt;""),IF(ORÇAMENTO.Fonte="",ORÇAMENTO.CodBarra,CONCATENATE(ORÇAMENTO.Fonte," ",ORÇAMENTO.CodBarra)))</f>
        <v>0</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(Sem Código)</v>
      </c>
      <c r="AG34" s="428" cm="1">
        <f t="array" aca="1" ref="AG34" ca="1">ROUND(IF(DESONERACAO="sim",REFERENCIA.Desonerado,REFERENCIA.NaoDesonerado),2)</f>
        <v>0</v>
      </c>
      <c r="AH34" s="429">
        <f t="shared" ca="1" si="14"/>
        <v>0.25</v>
      </c>
      <c r="AJ34" s="431"/>
      <c r="AL34" s="439"/>
      <c r="AM34" s="336">
        <f t="shared" ca="1" si="0"/>
        <v>0</v>
      </c>
      <c r="AN34" s="470" cm="1">
        <f t="array" aca="1" ref="AN34" ca="1">ROUND(ORÇAMENTO.CustoUnitario*(1+$AH34),2)</f>
        <v>0</v>
      </c>
    </row>
    <row r="35" spans="1:40" ht="51" x14ac:dyDescent="0.2">
      <c r="A35" t="str">
        <f t="shared" si="1"/>
        <v>S</v>
      </c>
      <c r="B35">
        <f t="shared" ca="1" si="2"/>
        <v>2</v>
      </c>
      <c r="C35" t="str">
        <f t="shared" ca="1" si="3"/>
        <v>S</v>
      </c>
      <c r="D35">
        <f t="shared" ca="1" si="4"/>
        <v>0</v>
      </c>
      <c r="E35">
        <f ca="1">IF($C35=1,OFFSET(E35,-1,0)+MAX(1,COUNTIF(QCI!$A$13:$A$24,OFFSET(ORÇAMENTO!E35,-1,0))),OFFSET(E35,-1,0))</f>
        <v>1</v>
      </c>
      <c r="F35">
        <f t="shared" ca="1" si="5"/>
        <v>5</v>
      </c>
      <c r="G35">
        <f t="shared" ca="1" si="6"/>
        <v>0</v>
      </c>
      <c r="H35">
        <f t="shared" ca="1" si="7"/>
        <v>0</v>
      </c>
      <c r="I35">
        <f t="shared" ca="1" si="8"/>
        <v>0</v>
      </c>
      <c r="J35">
        <f t="shared" ca="1" si="16"/>
        <v>0</v>
      </c>
      <c r="K35">
        <f ca="1">IF(OR($C35="S",$C35=0),0,MATCH(OFFSET($D35,0,$C35)+IF($C35&lt;&gt;1,1,COUNTIF(QCI!$A$13:$A$24,ORÇAMENTO!E35)),OFFSET($D35,1,$C35,ROW($C$39)-ROW($C35)),0))</f>
        <v>0</v>
      </c>
      <c r="L35" s="114" t="str">
        <f t="shared" ca="1" si="10"/>
        <v/>
      </c>
      <c r="M35" s="115" t="s">
        <v>705</v>
      </c>
      <c r="N35" s="116" t="str">
        <f t="shared" ca="1" si="11"/>
        <v>Serviço</v>
      </c>
      <c r="O35" s="117" t="str">
        <f t="shared" ca="1" si="12"/>
        <v>-</v>
      </c>
      <c r="P35" s="118" t="s">
        <v>750</v>
      </c>
      <c r="Q35" s="119" t="s">
        <v>1035</v>
      </c>
      <c r="R35" s="120" t="str" cm="1">
        <f t="array" aca="1" ref="R35" ca="1">IF($C35="S",REFERENCIA.Descricao,"(digite a descrição aqui)")</f>
        <v>(Código não identificado nas referências)</v>
      </c>
      <c r="S35" s="121" t="str" cm="1">
        <f t="array" aca="1" ref="S35" ca="1">REFERENCIA.Unidade</f>
        <v>-</v>
      </c>
      <c r="T35" s="122">
        <f ca="1">OFFSET(CÁLCULO!H$15,ROW($T35)-ROW(T$15),0)</f>
        <v>50</v>
      </c>
      <c r="U35" s="123">
        <f ca="1">AG35</f>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104785</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0.25</v>
      </c>
      <c r="AJ35" s="431"/>
      <c r="AL35" s="439"/>
      <c r="AM35" s="336">
        <f t="shared" ca="1" si="0"/>
        <v>0</v>
      </c>
      <c r="AN35" s="470" cm="1">
        <f t="array" aca="1" ref="AN35" ca="1">ROUND(ORÇAMENTO.CustoUnitario*(1+$AH35),2)</f>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5</v>
      </c>
      <c r="G36">
        <f t="shared" ca="1" si="6"/>
        <v>0</v>
      </c>
      <c r="H36">
        <f t="shared" ca="1" si="7"/>
        <v>0</v>
      </c>
      <c r="I36">
        <f t="shared" ca="1" si="8"/>
        <v>0</v>
      </c>
      <c r="J36">
        <f t="shared" ca="1" si="16"/>
        <v>0</v>
      </c>
      <c r="K36">
        <f ca="1">IF(OR($C36="S",$C36=0),0,MATCH(OFFSET($D36,0,$C36)+IF($C36&lt;&gt;1,1,COUNTIF(QCI!$A$13:$A$24,ORÇAMENTO!E36)),OFFSET($D36,1,$C36,ROW($C$39)-ROW($C36)),0))</f>
        <v>0</v>
      </c>
      <c r="L36" s="114" t="str">
        <f t="shared" ca="1" si="10"/>
        <v/>
      </c>
      <c r="M36" s="115" t="s">
        <v>705</v>
      </c>
      <c r="N36" s="116" t="str">
        <f t="shared" ca="1" si="11"/>
        <v>Serviço</v>
      </c>
      <c r="O36" s="117" t="str">
        <f t="shared" ca="1" si="12"/>
        <v>-</v>
      </c>
      <c r="P36" s="118" t="s">
        <v>750</v>
      </c>
      <c r="Q36" s="119" t="s">
        <v>1036</v>
      </c>
      <c r="R36" s="120" t="str" cm="1">
        <f t="array" aca="1" ref="R36" ca="1">IF($C36="S",REFERENCIA.Descricao,"(digite a descrição aqui)")</f>
        <v>(Código não identificado nas referências)</v>
      </c>
      <c r="S36" s="121" t="str" cm="1">
        <f t="array" aca="1" ref="S36" ca="1">REFERENCIA.Unidade</f>
        <v>-</v>
      </c>
      <c r="T36" s="122">
        <f ca="1">OFFSET(CÁLCULO!H$15,ROW($T36)-ROW(T$15),0)</f>
        <v>200</v>
      </c>
      <c r="U36" s="123">
        <f ca="1">AG36</f>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91926</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0.25</v>
      </c>
      <c r="AJ36" s="431"/>
      <c r="AL36" s="439"/>
      <c r="AM36" s="336">
        <f t="shared" ca="1" si="0"/>
        <v>0</v>
      </c>
      <c r="AN36" s="470" cm="1">
        <f t="array" aca="1" ref="AN36" ca="1">ROUND(ORÇAMENTO.CustoUnitario*(1+$AH36),2)</f>
        <v>0</v>
      </c>
    </row>
    <row r="37" spans="1:40" ht="25.5" x14ac:dyDescent="0.2">
      <c r="A37" t="str">
        <f t="shared" si="1"/>
        <v>S</v>
      </c>
      <c r="B37">
        <f t="shared" ca="1" si="2"/>
        <v>2</v>
      </c>
      <c r="C37" t="str">
        <f t="shared" ca="1" si="3"/>
        <v>S</v>
      </c>
      <c r="D37">
        <f t="shared" ca="1" si="4"/>
        <v>0</v>
      </c>
      <c r="E37">
        <f ca="1">IF($C37=1,OFFSET(E37,-1,0)+MAX(1,COUNTIF(QCI!$A$13:$A$24,OFFSET(ORÇAMENTO!E37,-1,0))),OFFSET(E37,-1,0))</f>
        <v>1</v>
      </c>
      <c r="F37">
        <f t="shared" ca="1" si="5"/>
        <v>5</v>
      </c>
      <c r="G37">
        <f t="shared" ca="1" si="6"/>
        <v>0</v>
      </c>
      <c r="H37">
        <f t="shared" ca="1" si="7"/>
        <v>0</v>
      </c>
      <c r="I37">
        <f t="shared" ca="1" si="8"/>
        <v>0</v>
      </c>
      <c r="J37">
        <f t="shared" ca="1" si="16"/>
        <v>0</v>
      </c>
      <c r="K37">
        <f ca="1">IF(OR($C37="S",$C37=0),0,MATCH(OFFSET($D37,0,$C37)+IF($C37&lt;&gt;1,1,COUNTIF(QCI!$A$13:$A$24,ORÇAMENTO!E37)),OFFSET($D37,1,$C37,ROW($C$39)-ROW($C37)),0))</f>
        <v>0</v>
      </c>
      <c r="L37" s="114" t="str">
        <f t="shared" ca="1" si="10"/>
        <v/>
      </c>
      <c r="M37" s="115" t="s">
        <v>705</v>
      </c>
      <c r="N37" s="116" t="str">
        <f t="shared" ca="1" si="11"/>
        <v>Serviço</v>
      </c>
      <c r="O37" s="117" t="str">
        <f t="shared" ca="1" si="12"/>
        <v>-</v>
      </c>
      <c r="P37" s="118" t="s">
        <v>956</v>
      </c>
      <c r="Q37" s="119" t="s">
        <v>1037</v>
      </c>
      <c r="R37" s="120" t="str" cm="1">
        <f t="array" aca="1" ref="R37" ca="1">IF($C37="S",REFERENCIA.Descricao,"(digite a descrição aqui)")</f>
        <v>(Código não identificado nas referências)</v>
      </c>
      <c r="S37" s="121" t="str" cm="1">
        <f t="array" aca="1" ref="S37" ca="1">REFERENCIA.Unidade</f>
        <v>-</v>
      </c>
      <c r="T37" s="122">
        <f ca="1">OFFSET(CÁLCULO!H$15,ROW($T37)-ROW(T$15),0)</f>
        <v>3</v>
      </c>
      <c r="U37" s="123">
        <f ca="1">AG37</f>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Composição PM BENTO 06</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0.25</v>
      </c>
      <c r="AJ37" s="431"/>
      <c r="AL37" s="439"/>
      <c r="AM37" s="336">
        <f t="shared" ca="1" si="0"/>
        <v>0</v>
      </c>
      <c r="AN37" s="470" cm="1">
        <f t="array" aca="1" ref="AN37" ca="1">ROUND(ORÇAMENTO.CustoUnitario*(1+$AH37),2)</f>
        <v>0</v>
      </c>
    </row>
    <row r="38" spans="1:40" x14ac:dyDescent="0.2">
      <c r="A38" t="str">
        <f t="shared" si="1"/>
        <v>S</v>
      </c>
      <c r="B38">
        <f t="shared" ca="1" si="2"/>
        <v>2</v>
      </c>
      <c r="C38" t="str">
        <f t="shared" ca="1" si="3"/>
        <v>S</v>
      </c>
      <c r="D38">
        <f t="shared" ca="1" si="4"/>
        <v>0</v>
      </c>
      <c r="E38">
        <f ca="1">IF($C38=1,OFFSET(E38,-1,0)+MAX(1,COUNTIF(QCI!$A$13:$A$24,OFFSET(ORÇAMENTO!E38,-1,0))),OFFSET(E38,-1,0))</f>
        <v>1</v>
      </c>
      <c r="F38">
        <f t="shared" ca="1" si="5"/>
        <v>5</v>
      </c>
      <c r="G38">
        <f t="shared" ca="1" si="6"/>
        <v>0</v>
      </c>
      <c r="H38">
        <f t="shared" ca="1" si="7"/>
        <v>0</v>
      </c>
      <c r="I38">
        <f t="shared" ca="1" si="8"/>
        <v>0</v>
      </c>
      <c r="J38">
        <f t="shared" ca="1" si="16"/>
        <v>0</v>
      </c>
      <c r="K38">
        <f ca="1">IF(OR($C38="S",$C38=0),0,MATCH(OFFSET($D38,0,$C38)+IF($C38&lt;&gt;1,1,COUNTIF(QCI!$A$13:$A$24,ORÇAMENTO!E38)),OFFSET($D38,1,$C38,ROW($C$39)-ROW($C38)),0))</f>
        <v>0</v>
      </c>
      <c r="L38" s="114" t="str">
        <f t="shared" ca="1" si="10"/>
        <v/>
      </c>
      <c r="M38" s="115" t="s">
        <v>705</v>
      </c>
      <c r="N38" s="116" t="str">
        <f t="shared" ca="1" si="11"/>
        <v>Serviço</v>
      </c>
      <c r="O38" s="117" t="str">
        <f t="shared" ca="1" si="12"/>
        <v>-</v>
      </c>
      <c r="P38" s="118" t="s">
        <v>956</v>
      </c>
      <c r="Q38" s="119" t="s">
        <v>1038</v>
      </c>
      <c r="R38" s="120" t="str" cm="1">
        <f t="array" aca="1" ref="R38" ca="1">IF($C38="S",REFERENCIA.Descricao,"(digite a descrição aqui)")</f>
        <v>(Código não identificado nas referências)</v>
      </c>
      <c r="S38" s="121" t="str" cm="1">
        <f t="array" aca="1" ref="S38" ca="1">REFERENCIA.Unidade</f>
        <v>-</v>
      </c>
      <c r="T38" s="122">
        <f ca="1">OFFSET(CÁLCULO!H$15,ROW($T38)-ROW(T$15),0)</f>
        <v>300</v>
      </c>
      <c r="U38" s="123">
        <f ca="1">AG38</f>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Composição PM BENTO 11</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0.25</v>
      </c>
      <c r="AJ38" s="431"/>
      <c r="AL38" s="439"/>
      <c r="AM38" s="336">
        <f t="shared" ca="1" si="0"/>
        <v>0</v>
      </c>
      <c r="AN38" s="470" cm="1">
        <f t="array" aca="1" ref="AN38" ca="1">ROUND(ORÇAMENTO.CustoUnitario*(1+$AH38),2)</f>
        <v>0</v>
      </c>
    </row>
    <row r="39" spans="1:40" ht="5.0999999999999996" customHeight="1" x14ac:dyDescent="0.2">
      <c r="A39">
        <v>-1</v>
      </c>
      <c r="C39">
        <v>-1</v>
      </c>
      <c r="E39">
        <v>0</v>
      </c>
      <c r="F39">
        <v>0</v>
      </c>
      <c r="G39">
        <v>0</v>
      </c>
      <c r="H39">
        <v>0</v>
      </c>
      <c r="I39">
        <v>0</v>
      </c>
      <c r="L39" s="114" t="s">
        <v>536</v>
      </c>
      <c r="M39" s="616"/>
      <c r="N39" s="424"/>
      <c r="O39" s="616"/>
      <c r="P39" s="617"/>
      <c r="Q39" s="617"/>
      <c r="R39" s="617"/>
      <c r="S39" s="617"/>
      <c r="T39" s="617"/>
      <c r="U39" s="617"/>
      <c r="V39" s="617"/>
      <c r="W39" s="617"/>
      <c r="X39" s="424"/>
      <c r="Y39" s="424"/>
      <c r="AC39" s="565" t="str" cm="1">
        <f t="array" ref="AC39">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F39" s="12"/>
      <c r="AG39" s="618"/>
      <c r="AH39" s="419"/>
      <c r="AJ39" s="425"/>
      <c r="AL39" s="618"/>
      <c r="AM39" s="619"/>
      <c r="AN39" s="419"/>
    </row>
    <row r="40" spans="1:40" x14ac:dyDescent="0.2">
      <c r="AF40" s="12"/>
    </row>
    <row r="41" spans="1:40" x14ac:dyDescent="0.2">
      <c r="AF41" s="12"/>
    </row>
    <row r="42" spans="1:40" ht="14.25" x14ac:dyDescent="0.2">
      <c r="O42" s="134" t="s">
        <v>753</v>
      </c>
      <c r="Q42" s="720" t="s">
        <v>754</v>
      </c>
      <c r="R42" s="720"/>
      <c r="S42" s="720"/>
      <c r="T42" s="720"/>
      <c r="U42" s="720"/>
      <c r="V42" s="720"/>
      <c r="W42" s="720"/>
      <c r="X42" s="720"/>
      <c r="AF42" s="12"/>
    </row>
    <row r="43" spans="1:40" x14ac:dyDescent="0.2">
      <c r="AF43" s="12"/>
    </row>
    <row r="44" spans="1:40" ht="14.25" x14ac:dyDescent="0.2">
      <c r="O44" s="135" t="s">
        <v>689</v>
      </c>
      <c r="X44" s="4"/>
      <c r="AF44" s="12"/>
    </row>
    <row r="45" spans="1:40" ht="12.75" customHeight="1" x14ac:dyDescent="0.2">
      <c r="O45" s="721"/>
      <c r="P45" s="721"/>
      <c r="Q45" s="721"/>
      <c r="R45" s="721"/>
      <c r="S45" s="721"/>
      <c r="T45" s="721"/>
      <c r="U45" s="721"/>
      <c r="V45" s="721"/>
      <c r="W45" s="721"/>
      <c r="X45" s="721"/>
      <c r="AF45" s="12"/>
    </row>
    <row r="46" spans="1:40" x14ac:dyDescent="0.2">
      <c r="O46" s="721"/>
      <c r="P46" s="721"/>
      <c r="Q46" s="721"/>
      <c r="R46" s="721"/>
      <c r="S46" s="721"/>
      <c r="T46" s="721"/>
      <c r="U46" s="721"/>
      <c r="V46" s="721"/>
      <c r="W46" s="721"/>
      <c r="X46" s="721"/>
      <c r="AF46" s="12"/>
    </row>
    <row r="47" spans="1:40" x14ac:dyDescent="0.2">
      <c r="O47" s="721"/>
      <c r="P47" s="721"/>
      <c r="Q47" s="721"/>
      <c r="R47" s="721"/>
      <c r="S47" s="721"/>
      <c r="T47" s="721"/>
      <c r="U47" s="721"/>
      <c r="V47" s="721"/>
      <c r="W47" s="721"/>
      <c r="X47" s="721"/>
      <c r="AF47" s="12"/>
    </row>
    <row r="48" spans="1:40" ht="14.25" x14ac:dyDescent="0.2">
      <c r="O48" s="443"/>
      <c r="P48" s="443"/>
      <c r="Q48" s="443"/>
      <c r="R48" s="443"/>
      <c r="S48" s="443"/>
      <c r="T48" s="443"/>
      <c r="U48" s="443"/>
      <c r="V48" s="443"/>
      <c r="W48" s="443"/>
      <c r="X48" s="443"/>
      <c r="Y48" s="443"/>
      <c r="Z48" s="136"/>
      <c r="AA48" s="136"/>
      <c r="AB48" s="136"/>
      <c r="AF48" s="12"/>
    </row>
    <row r="49" spans="15:32" ht="15" x14ac:dyDescent="0.25">
      <c r="O49"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9" s="722"/>
      <c r="Q49" s="722"/>
      <c r="R49" s="722"/>
      <c r="S49" s="722"/>
      <c r="T49" s="722"/>
      <c r="U49" s="722"/>
      <c r="V49" s="722"/>
      <c r="W49" s="722"/>
      <c r="X49" s="722"/>
      <c r="Y49" s="137"/>
      <c r="Z49" s="137"/>
      <c r="AA49" s="137"/>
      <c r="AB49" s="137"/>
      <c r="AF49" s="12"/>
    </row>
    <row r="50" spans="15:32" ht="15" customHeight="1" x14ac:dyDescent="0.25">
      <c r="O50" s="724" t="s">
        <v>755</v>
      </c>
      <c r="P50" s="724"/>
      <c r="Q50" s="724"/>
      <c r="R50" s="724"/>
      <c r="S50" s="724"/>
      <c r="T50" s="724"/>
      <c r="U50" s="724"/>
      <c r="V50" s="724"/>
      <c r="W50" s="724"/>
      <c r="X50" s="724"/>
      <c r="Y50" s="137"/>
      <c r="Z50" s="137"/>
      <c r="AA50" s="137"/>
      <c r="AB50" s="137"/>
      <c r="AF50" s="12"/>
    </row>
    <row r="51" spans="15:32" x14ac:dyDescent="0.2">
      <c r="AF51" s="12"/>
    </row>
    <row r="52" spans="15:32" ht="30" customHeight="1" x14ac:dyDescent="0.2">
      <c r="O52" s="723" t="str">
        <f>Import.Município</f>
        <v>BENTO GONÇALVES/RS</v>
      </c>
      <c r="P52" s="723"/>
      <c r="Q52" s="723"/>
      <c r="S52" s="460"/>
      <c r="T52" s="460"/>
      <c r="U52" s="460"/>
      <c r="V52" s="460"/>
      <c r="W52" s="417"/>
      <c r="AF52" s="12"/>
    </row>
    <row r="53" spans="15:32" x14ac:dyDescent="0.2">
      <c r="O53" s="9" t="s">
        <v>693</v>
      </c>
      <c r="S53" s="181" t="s">
        <v>696</v>
      </c>
      <c r="T53" s="181"/>
      <c r="U53" s="181"/>
      <c r="V53" s="181"/>
      <c r="AF53" s="12"/>
    </row>
    <row r="54" spans="15:32" x14ac:dyDescent="0.2">
      <c r="S54" s="77" t="s">
        <v>240</v>
      </c>
      <c r="T54" s="78" t="str">
        <f t="array" ref="T54:T56">Import.RespOrçamento</f>
        <v>Nathália Cortes Tosi</v>
      </c>
      <c r="V54" s="79"/>
      <c r="AF54" s="12"/>
    </row>
    <row r="55" spans="15:32" x14ac:dyDescent="0.2">
      <c r="O55" s="717">
        <f>DADOS!$C$25</f>
        <v>46073</v>
      </c>
      <c r="P55" s="717"/>
      <c r="Q55" s="717"/>
      <c r="S55" s="77" t="s">
        <v>243</v>
      </c>
      <c r="T55" s="78" t="str">
        <v>RS227774</v>
      </c>
      <c r="U55" s="79"/>
      <c r="V55" s="79"/>
      <c r="AF55" s="12"/>
    </row>
    <row r="56" spans="15:32" x14ac:dyDescent="0.2">
      <c r="O56" s="140" t="s">
        <v>694</v>
      </c>
      <c r="P56" s="1"/>
      <c r="Q56" s="1"/>
      <c r="S56" s="77" t="s">
        <v>246</v>
      </c>
      <c r="T56" s="78" t="str">
        <v>14233645</v>
      </c>
      <c r="U56" s="79"/>
      <c r="V56" s="79"/>
      <c r="AF56" s="12"/>
    </row>
    <row r="57" spans="15:32" x14ac:dyDescent="0.2">
      <c r="AF57" s="12"/>
    </row>
    <row r="58" spans="15:32" x14ac:dyDescent="0.2">
      <c r="AF58" s="12"/>
    </row>
    <row r="59" spans="15:32" x14ac:dyDescent="0.2">
      <c r="AF59" s="12"/>
    </row>
    <row r="60" spans="15:32" x14ac:dyDescent="0.2">
      <c r="AF60" s="12"/>
    </row>
    <row r="61" spans="15:32" x14ac:dyDescent="0.2">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sheetData>
  <sheetProtection algorithmName="SHA-512" hashValue="5sjZ4mPCBxng2uZSpDfCZERqdhv5aAWPx6lGkw3lXoY97l0w0U4PAzMPlSkznT7LvSSvCfV75eNcBCRjyzix/w==" saltValue="W2IT2Myksb0U58/ClmqbxQ==" spinCount="100000" sheet="1" objects="1" scenarios="1" autoFilter="0"/>
  <autoFilter ref="L15:L39" xr:uid="{00000000-0009-0000-0000-000004000000}"/>
  <mergeCells count="25">
    <mergeCell ref="O55:Q55"/>
    <mergeCell ref="O15:R15"/>
    <mergeCell ref="Q42:X42"/>
    <mergeCell ref="O45:X47"/>
    <mergeCell ref="O49:X49"/>
    <mergeCell ref="O52:Q52"/>
    <mergeCell ref="O50:X50"/>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35:M38 M16:M22">
    <cfRule type="cellIs" dxfId="304" priority="43090" stopIfTrue="1" operator="notEqual">
      <formula>$N14</formula>
    </cfRule>
  </conditionalFormatting>
  <conditionalFormatting sqref="N14:O14 W14 N35:O38 W35:X38 R35:R38 N16:O22 W16:X22 R16:R22">
    <cfRule type="expression" dxfId="303" priority="43091" stopIfTrue="1">
      <formula>$C14=1</formula>
    </cfRule>
    <cfRule type="expression" dxfId="302" priority="43092" stopIfTrue="1">
      <formula>OR($C14=0,$C14=2,$C14=3,$C14=4)</formula>
    </cfRule>
  </conditionalFormatting>
  <conditionalFormatting sqref="U14:V14 U35:V38 U16:V22">
    <cfRule type="expression" dxfId="301" priority="43093" stopIfTrue="1">
      <formula>$C14=1</formula>
    </cfRule>
    <cfRule type="expression" dxfId="300" priority="43094" stopIfTrue="1">
      <formula>OR($C14=0,$C14=2,$C14=3,$C14=4)</formula>
    </cfRule>
    <cfRule type="expression" dxfId="299" priority="43095" stopIfTrue="1">
      <formula>AND(TIPOORCAMENTO="Licitado",$C14&lt;&gt;"L",$C14&lt;&gt;-1)</formula>
    </cfRule>
  </conditionalFormatting>
  <conditionalFormatting sqref="P14:Q14 S14:T14 Y14 AG14:AH14 P35:Q38 S35:T38 Y35:Y38 AG35:AH38 P16:Q22 S16:T22 Y16:Y22 AG16:AH22">
    <cfRule type="expression" dxfId="298" priority="43096" stopIfTrue="1">
      <formula>$C14=1</formula>
    </cfRule>
    <cfRule type="expression" dxfId="297" priority="43097" stopIfTrue="1">
      <formula>OR($C14=0,$C14=2,$C14=3,$C14=4)</formula>
    </cfRule>
  </conditionalFormatting>
  <conditionalFormatting sqref="AJ25:AJ39 AJ7:AJ22">
    <cfRule type="expression" dxfId="296" priority="43098" stopIfTrue="1">
      <formula>OR(ACOMPANHAMENTO&lt;&gt;"BM",TIPOORCAMENTO="Licitado")</formula>
    </cfRule>
    <cfRule type="expression" dxfId="295" priority="43099" stopIfTrue="1">
      <formula>$C7=1</formula>
    </cfRule>
    <cfRule type="expression" dxfId="294" priority="43100" stopIfTrue="1">
      <formula>OR(AND(ISNUMBER($C7),$C7=0),$C7=2,$C7=3,$C7=4)</formula>
    </cfRule>
  </conditionalFormatting>
  <conditionalFormatting sqref="AL25:AL39 AL7:AL22">
    <cfRule type="expression" dxfId="293" priority="43101" stopIfTrue="1">
      <formula>TIPOORCAMENTO="PROPOSTO"</formula>
    </cfRule>
    <cfRule type="expression" dxfId="292" priority="43102" stopIfTrue="1">
      <formula>$C7=1</formula>
    </cfRule>
    <cfRule type="expression" dxfId="291" priority="43103" stopIfTrue="1">
      <formula>OR(AND(ISNUMBER($C7),$C7=0),$C7=2,$C7=3,$C7=4)</formula>
    </cfRule>
  </conditionalFormatting>
  <conditionalFormatting sqref="O8:P8">
    <cfRule type="expression" dxfId="290" priority="43107" stopIfTrue="1">
      <formula>ISERROR(INDIRECT($F$9))</formula>
    </cfRule>
  </conditionalFormatting>
  <conditionalFormatting sqref="S7:V8">
    <cfRule type="expression" dxfId="289" priority="43108" stopIfTrue="1">
      <formula>TIPOORCAMENTO="Proposto"</formula>
    </cfRule>
  </conditionalFormatting>
  <conditionalFormatting sqref="S9:X9">
    <cfRule type="expression" dxfId="288" priority="43055" stopIfTrue="1">
      <formula>TIPOORCAMENTO="Proposto"</formula>
    </cfRule>
  </conditionalFormatting>
  <conditionalFormatting sqref="AM25:AN39 AM7:AN22">
    <cfRule type="expression" dxfId="287" priority="43104" stopIfTrue="1">
      <formula>TIPOORCAMENTO="PROPOSTO"</formula>
    </cfRule>
    <cfRule type="expression" dxfId="286" priority="43105" stopIfTrue="1">
      <formula>$C7=1</formula>
    </cfRule>
    <cfRule type="expression" dxfId="285" priority="43106" stopIfTrue="1">
      <formula>OR(AND(ISNUMBER($C7),$C7=0),$C7=2,$C7=3,$C7=4)</formula>
    </cfRule>
  </conditionalFormatting>
  <conditionalFormatting sqref="X14">
    <cfRule type="expression" dxfId="284" priority="28680" stopIfTrue="1">
      <formula>$C14=1</formula>
    </cfRule>
    <cfRule type="expression" dxfId="283" priority="28681" stopIfTrue="1">
      <formula>OR($C14=0,$C14=2,$C14=3,$C14=4)</formula>
    </cfRule>
  </conditionalFormatting>
  <conditionalFormatting sqref="AC11">
    <cfRule type="cellIs" dxfId="282" priority="19515" operator="equal">
      <formula>"OK"</formula>
    </cfRule>
  </conditionalFormatting>
  <conditionalFormatting sqref="R14">
    <cfRule type="expression" dxfId="281" priority="4447" stopIfTrue="1">
      <formula>$C14=1</formula>
    </cfRule>
    <cfRule type="expression" dxfId="280" priority="4448" stopIfTrue="1">
      <formula>OR($C14=0,$C14=2,$C14=3,$C14=4)</formula>
    </cfRule>
  </conditionalFormatting>
  <conditionalFormatting sqref="R14 R16:R22">
    <cfRule type="beginsWith" dxfId="279" priority="4446" operator="beginsWith" text="(">
      <formula>LEFT(R14,LEN("("))="("</formula>
    </cfRule>
  </conditionalFormatting>
  <conditionalFormatting sqref="M25">
    <cfRule type="cellIs" dxfId="278" priority="379" stopIfTrue="1" operator="notEqual">
      <formula>$N25</formula>
    </cfRule>
  </conditionalFormatting>
  <conditionalFormatting sqref="W25 N25:O25">
    <cfRule type="expression" dxfId="277" priority="380" stopIfTrue="1">
      <formula>$C25=1</formula>
    </cfRule>
    <cfRule type="expression" dxfId="276" priority="381" stopIfTrue="1">
      <formula>OR($C25=0,$C25=2,$C25=3,$C25=4)</formula>
    </cfRule>
  </conditionalFormatting>
  <conditionalFormatting sqref="U25:V25">
    <cfRule type="expression" dxfId="275" priority="382" stopIfTrue="1">
      <formula>$C25=1</formula>
    </cfRule>
    <cfRule type="expression" dxfId="274" priority="383" stopIfTrue="1">
      <formula>OR($C25=0,$C25=2,$C25=3,$C25=4)</formula>
    </cfRule>
    <cfRule type="expression" dxfId="273" priority="384" stopIfTrue="1">
      <formula>AND(TIPOORCAMENTO="Licitado",$C25&lt;&gt;"L",$C25&lt;&gt;-1)</formula>
    </cfRule>
  </conditionalFormatting>
  <conditionalFormatting sqref="AG25:AH25 Y25 S25:T25 P25:Q25">
    <cfRule type="expression" dxfId="272" priority="385" stopIfTrue="1">
      <formula>$C25=1</formula>
    </cfRule>
    <cfRule type="expression" dxfId="271" priority="386" stopIfTrue="1">
      <formula>OR($C25=0,$C25=2,$C25=3,$C25=4)</formula>
    </cfRule>
  </conditionalFormatting>
  <conditionalFormatting sqref="X25">
    <cfRule type="expression" dxfId="270" priority="377" stopIfTrue="1">
      <formula>$C25=1</formula>
    </cfRule>
    <cfRule type="expression" dxfId="269" priority="378" stopIfTrue="1">
      <formula>OR($C25=0,$C25=2,$C25=3,$C25=4)</formula>
    </cfRule>
  </conditionalFormatting>
  <conditionalFormatting sqref="R25">
    <cfRule type="expression" dxfId="268" priority="375" stopIfTrue="1">
      <formula>$C25=1</formula>
    </cfRule>
    <cfRule type="expression" dxfId="267" priority="376" stopIfTrue="1">
      <formula>OR($C25=0,$C25=2,$C25=3,$C25=4)</formula>
    </cfRule>
  </conditionalFormatting>
  <conditionalFormatting sqref="R25">
    <cfRule type="beginsWith" dxfId="266" priority="374" operator="beginsWith" text="(">
      <formula>LEFT(R25,LEN("("))="("</formula>
    </cfRule>
  </conditionalFormatting>
  <conditionalFormatting sqref="M26:M34">
    <cfRule type="cellIs" dxfId="265" priority="366" stopIfTrue="1" operator="notEqual">
      <formula>$N26</formula>
    </cfRule>
  </conditionalFormatting>
  <conditionalFormatting sqref="N26:O34 W26:W34">
    <cfRule type="expression" dxfId="264" priority="367" stopIfTrue="1">
      <formula>$C26=1</formula>
    </cfRule>
    <cfRule type="expression" dxfId="263" priority="368" stopIfTrue="1">
      <formula>OR($C26=0,$C26=2,$C26=3,$C26=4)</formula>
    </cfRule>
  </conditionalFormatting>
  <conditionalFormatting sqref="U26:V34">
    <cfRule type="expression" dxfId="262" priority="369" stopIfTrue="1">
      <formula>$C26=1</formula>
    </cfRule>
    <cfRule type="expression" dxfId="261" priority="370" stopIfTrue="1">
      <formula>OR($C26=0,$C26=2,$C26=3,$C26=4)</formula>
    </cfRule>
    <cfRule type="expression" dxfId="260" priority="371" stopIfTrue="1">
      <formula>AND(TIPOORCAMENTO="Licitado",$C26&lt;&gt;"L",$C26&lt;&gt;-1)</formula>
    </cfRule>
  </conditionalFormatting>
  <conditionalFormatting sqref="P26:Q34 S26:T34 Y26:Y34 AG26:AH34">
    <cfRule type="expression" dxfId="259" priority="372" stopIfTrue="1">
      <formula>$C26=1</formula>
    </cfRule>
    <cfRule type="expression" dxfId="258" priority="373" stopIfTrue="1">
      <formula>OR($C26=0,$C26=2,$C26=3,$C26=4)</formula>
    </cfRule>
  </conditionalFormatting>
  <conditionalFormatting sqref="X26:X34">
    <cfRule type="expression" dxfId="257" priority="364" stopIfTrue="1">
      <formula>$C26=1</formula>
    </cfRule>
    <cfRule type="expression" dxfId="256" priority="365" stopIfTrue="1">
      <formula>OR($C26=0,$C26=2,$C26=3,$C26=4)</formula>
    </cfRule>
  </conditionalFormatting>
  <conditionalFormatting sqref="R26:R34">
    <cfRule type="expression" dxfId="255" priority="362" stopIfTrue="1">
      <formula>$C26=1</formula>
    </cfRule>
    <cfRule type="expression" dxfId="254" priority="363" stopIfTrue="1">
      <formula>OR($C26=0,$C26=2,$C26=3,$C26=4)</formula>
    </cfRule>
  </conditionalFormatting>
  <conditionalFormatting sqref="R26:R34">
    <cfRule type="beginsWith" dxfId="253" priority="361" operator="beginsWith" text="(">
      <formula>LEFT(R26,LEN("("))="("</formula>
    </cfRule>
  </conditionalFormatting>
  <conditionalFormatting sqref="R35:R38">
    <cfRule type="beginsWith" dxfId="252" priority="348" operator="beginsWith" text="(">
      <formula>LEFT(R35,LEN("("))="("</formula>
    </cfRule>
  </conditionalFormatting>
  <conditionalFormatting sqref="M23:M24">
    <cfRule type="cellIs" dxfId="251" priority="6" stopIfTrue="1" operator="notEqual">
      <formula>$N23</formula>
    </cfRule>
  </conditionalFormatting>
  <conditionalFormatting sqref="N23:O24 W23:W24">
    <cfRule type="expression" dxfId="250" priority="7" stopIfTrue="1">
      <formula>$C23=1</formula>
    </cfRule>
    <cfRule type="expression" dxfId="249" priority="8" stopIfTrue="1">
      <formula>OR($C23=0,$C23=2,$C23=3,$C23=4)</formula>
    </cfRule>
  </conditionalFormatting>
  <conditionalFormatting sqref="U23:V24">
    <cfRule type="expression" dxfId="248" priority="9" stopIfTrue="1">
      <formula>$C23=1</formula>
    </cfRule>
    <cfRule type="expression" dxfId="247" priority="10" stopIfTrue="1">
      <formula>OR($C23=0,$C23=2,$C23=3,$C23=4)</formula>
    </cfRule>
    <cfRule type="expression" dxfId="246" priority="11" stopIfTrue="1">
      <formula>AND(TIPOORCAMENTO="Licitado",$C23&lt;&gt;"L",$C23&lt;&gt;-1)</formula>
    </cfRule>
  </conditionalFormatting>
  <conditionalFormatting sqref="P23:Q24 S23:T24 Y23:Y24 AG23:AH24">
    <cfRule type="expression" dxfId="245" priority="12" stopIfTrue="1">
      <formula>$C23=1</formula>
    </cfRule>
    <cfRule type="expression" dxfId="244" priority="13" stopIfTrue="1">
      <formula>OR($C23=0,$C23=2,$C23=3,$C23=4)</formula>
    </cfRule>
  </conditionalFormatting>
  <conditionalFormatting sqref="AJ23:AJ24">
    <cfRule type="expression" dxfId="243" priority="14" stopIfTrue="1">
      <formula>OR(ACOMPANHAMENTO&lt;&gt;"BM",TIPOORCAMENTO="Licitado")</formula>
    </cfRule>
    <cfRule type="expression" dxfId="242" priority="15" stopIfTrue="1">
      <formula>$C23=1</formula>
    </cfRule>
    <cfRule type="expression" dxfId="241" priority="16" stopIfTrue="1">
      <formula>OR(AND(ISNUMBER($C23),$C23=0),$C23=2,$C23=3,$C23=4)</formula>
    </cfRule>
  </conditionalFormatting>
  <conditionalFormatting sqref="AL23:AL24">
    <cfRule type="expression" dxfId="240" priority="17" stopIfTrue="1">
      <formula>TIPOORCAMENTO="PROPOSTO"</formula>
    </cfRule>
    <cfRule type="expression" dxfId="239" priority="18" stopIfTrue="1">
      <formula>$C23=1</formula>
    </cfRule>
    <cfRule type="expression" dxfId="238" priority="19" stopIfTrue="1">
      <formula>OR(AND(ISNUMBER($C23),$C23=0),$C23=2,$C23=3,$C23=4)</formula>
    </cfRule>
  </conditionalFormatting>
  <conditionalFormatting sqref="AM23:AN24">
    <cfRule type="expression" dxfId="237" priority="20" stopIfTrue="1">
      <formula>TIPOORCAMENTO="PROPOSTO"</formula>
    </cfRule>
    <cfRule type="expression" dxfId="236" priority="21" stopIfTrue="1">
      <formula>$C23=1</formula>
    </cfRule>
    <cfRule type="expression" dxfId="235" priority="22" stopIfTrue="1">
      <formula>OR(AND(ISNUMBER($C23),$C23=0),$C23=2,$C23=3,$C23=4)</formula>
    </cfRule>
  </conditionalFormatting>
  <conditionalFormatting sqref="X23:X24">
    <cfRule type="expression" dxfId="234" priority="4" stopIfTrue="1">
      <formula>$C23=1</formula>
    </cfRule>
    <cfRule type="expression" dxfId="233" priority="5" stopIfTrue="1">
      <formula>OR($C23=0,$C23=2,$C23=3,$C23=4)</formula>
    </cfRule>
  </conditionalFormatting>
  <conditionalFormatting sqref="R23:R24">
    <cfRule type="expression" dxfId="232" priority="2" stopIfTrue="1">
      <formula>$C23=1</formula>
    </cfRule>
    <cfRule type="expression" dxfId="231" priority="3" stopIfTrue="1">
      <formula>OR($C23=0,$C23=2,$C23=3,$C23=4)</formula>
    </cfRule>
  </conditionalFormatting>
  <conditionalFormatting sqref="R23:R24">
    <cfRule type="beginsWith" dxfId="230" priority="1" operator="beginsWith" text="(">
      <formula>LEFT(R23,LEN("("))="("</formula>
    </cfRule>
  </conditionalFormatting>
  <dataValidations count="8">
    <dataValidation type="decimal" operator="greaterThan" allowBlank="1" showErrorMessage="1" error="Apenas números decimais maiores que zero." sqref="U14 AL14 AJ14 U16:U38 AL16:AL38 AJ16:AJ38"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38" xr:uid="{00000000-0002-0000-0400-000001000000}"/>
    <dataValidation allowBlank="1" showInputMessage="1" showErrorMessage="1" prompt="Para Orçamento Proposto, o Preço Unitário é resultado do produto do Custo Unitário pelo BDI._x000a_Para Orçamento Licitado, deve ser preenchido na Coluna AL." sqref="W14 W16:W38" xr:uid="{00000000-0002-0000-0400-000002000000}"/>
    <dataValidation type="list" errorStyle="information" allowBlank="1" showInputMessage="1" prompt="Selecione uma sigla de unidade na lista suspensa." sqref="S14 S16:S38" xr:uid="{00000000-0002-0000-0400-00000300000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8" xr:uid="{00000000-0002-0000-0400-00000400000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38" xr:uid="{00000000-0002-0000-0400-00000500000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38" xr:uid="{00000000-0002-0000-0400-000006000000}">
      <formula1>ORÇAMENTO.Lista.Fonte</formula1>
    </dataValidation>
    <dataValidation type="list" showInputMessage="1" showErrorMessage="1" errorTitle="Erro de Entrada" error="Selecione somente os itens da lista." promptTitle="Nível:" prompt="Selecione na lista o nível de itemização da Planilha." sqref="M14 M16:M38" xr:uid="{00000000-0002-0000-0400-000007000000}">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28"/>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IF(AUTOEVENTO="Manual",ROUND(SUMPRODUCT((CÁLCULO!$M$15:$M$39=EVENTOS!$C1)*(OFFSET(CÁLCULO!$AA$15:$AA$39,0,E$13))),2),0)</f>
        <v>0</v>
      </c>
      <c r="F1" s="183">
        <f ca="1">IF(AUTOEVENTO="Manual",ROUND(SUMPRODUCT((CÁLCULO!$M$15:$M$39=EVENTOS!$C1)*(OFFSET(CÁLCULO!$AA$15,0,1):OFFSET(CÁLCULO!$AL$39,0,-1))),2),0)</f>
        <v>0</v>
      </c>
      <c r="G1" s="621" t="str">
        <f ca="1">IF(AND(D1=0,F1&gt;0),"NOME",
 IF(AND(D1&lt;&gt;0,$F$14&gt;0,F1=0),"VALOR",
 IF(AND(Import.TipoArredondamento="TransfereGOV",$A1="F",LEN(D1)&gt;100),"Nome &gt;100","")))</f>
        <v/>
      </c>
      <c r="H1" s="620" cm="1">
        <f t="array" aca="1" ref="H1" ca="1">IF(AUTOEVENTO="Manual",ROUND(SUMPRODUCT((CÁLCULO!$M$15:$M$39=EVENTOS!$C1)*(OFFSET(CÁLCULO!$AA$15:$AA$39,0,H$13))),2),0)</f>
        <v>0</v>
      </c>
      <c r="I1" s="620" cm="1">
        <f t="array" aca="1" ref="I1" ca="1">IF(AUTOEVENTO="Manual",ROUND(SUMPRODUCT((CÁLCULO!$M$15:$M$39=EVENTOS!$C1)*(OFFSET(CÁLCULO!$AA$15:$AA$39,0,I$13))),2),0)</f>
        <v>0</v>
      </c>
      <c r="J1" s="620" cm="1">
        <f t="array" aca="1" ref="J1" ca="1">IF(AUTOEVENTO="Manual",ROUND(SUMPRODUCT((CÁLCULO!$M$15:$M$39=EVENTOS!$C1)*(OFFSET(CÁLCULO!$AA$15:$AA$39,0,J$13))),2),0)</f>
        <v>0</v>
      </c>
      <c r="K1" s="620" cm="1">
        <f t="array" aca="1" ref="K1" ca="1">IF(AUTOEVENTO="Manual",ROUND(SUMPRODUCT((CÁLCULO!$M$15:$M$39=EVENTOS!$C1)*(OFFSET(CÁLCULO!$AA$15:$AA$39,0,K$13))),2),0)</f>
        <v>0</v>
      </c>
      <c r="L1" s="620" cm="1">
        <f t="array" aca="1" ref="L1" ca="1">IF(AUTOEVENTO="Manual",ROUND(SUMPRODUCT((CÁLCULO!$M$15:$M$39=EVENTOS!$C1)*(OFFSET(CÁLCULO!$AA$15:$AA$39,0,L$13))),2),0)</f>
        <v>0</v>
      </c>
      <c r="M1" s="620" cm="1">
        <f t="array" aca="1" ref="M1" ca="1">IF(AUTOEVENTO="Manual",ROUND(SUMPRODUCT((CÁLCULO!$M$15:$M$39=EVENTOS!$C1)*(OFFSET(CÁLCULO!$AA$15:$AA$39,0,M$13))),2),0)</f>
        <v>0</v>
      </c>
      <c r="N1" s="620" cm="1">
        <f t="array" aca="1" ref="N1" ca="1">IF(AUTOEVENTO="Manual",ROUND(SUMPRODUCT((CÁLCULO!$M$15:$M$39=EVENTOS!$C1)*(OFFSET(CÁLCULO!$AA$15:$AA$39,0,N$13))),2),0)</f>
        <v>0</v>
      </c>
      <c r="O1" s="620" cm="1">
        <f t="array" aca="1" ref="O1" ca="1">IF(AUTOEVENTO="Manual",ROUND(SUMPRODUCT((CÁLCULO!$M$15:$M$39=EVENTOS!$C1)*(OFFSET(CÁLCULO!$AA$15:$AA$39,0,O$13))),2),0)</f>
        <v>0</v>
      </c>
      <c r="P1" s="620" cm="1">
        <f t="array" aca="1" ref="P1" ca="1">IF(AUTOEVENTO="Manual",ROUND(SUMPRODUCT((CÁLCULO!$M$15:$M$39=EVENTOS!$C1)*(OFFSET(CÁLCULO!$AA$15:$AA$39,0,P$13))),2),0)</f>
        <v>0</v>
      </c>
      <c r="Q1" s="620" cm="1">
        <f t="array" aca="1" ref="Q1" ca="1">IF(AUTOEVENTO="Manual",ROUND(SUMPRODUCT((CÁLCULO!$M$15:$M$39=EVENTOS!$C1)*(OFFSET(CÁLCULO!$AA$15:$AA$39,0,Q$13))),2),0)</f>
        <v>0</v>
      </c>
      <c r="R1" s="620" cm="1">
        <f t="array" aca="1" ref="R1" ca="1">IF(AUTOEVENTO="Manual",ROUND(SUMPRODUCT((CÁLCULO!$M$15:$M$39=EVENTOS!$C1)*(OFFSET(CÁLCULO!$AA$15:$AA$39,0,R$13))),2),0)</f>
        <v>0</v>
      </c>
      <c r="S1" s="620" cm="1">
        <f t="array" aca="1" ref="S1" ca="1">IF(AUTOEVENTO="Manual",ROUND(SUMPRODUCT((CÁLCULO!$M$15:$M$39=EVENTOS!$C1)*(OFFSET(CÁLCULO!$AA$15:$AA$39,0,S$13))),2),0)</f>
        <v>0</v>
      </c>
      <c r="T1" s="620" cm="1">
        <f t="array" aca="1" ref="T1" ca="1">IF(AUTOEVENTO="Manual",ROUND(SUMPRODUCT((CÁLCULO!$M$15:$M$39=EVENTOS!$C1)*(OFFSET(CÁLCULO!$AA$15:$AA$39,0,T$13))),2),0)</f>
        <v>0</v>
      </c>
      <c r="U1" s="620" cm="1">
        <f t="array" aca="1" ref="U1" ca="1">IF(AUTOEVENTO="Manual",ROUND(SUMPRODUCT((CÁLCULO!$M$15:$M$39=EVENTOS!$C1)*(OFFSET(CÁLCULO!$AA$15:$AA$39,0,U$13))),2),0)</f>
        <v>0</v>
      </c>
      <c r="V1" s="620" cm="1">
        <f t="array" aca="1" ref="V1" ca="1">IF(AUTOEVENTO="Manual",ROUND(SUMPRODUCT((CÁLCULO!$M$15:$M$39=EVENTOS!$C1)*(OFFSET(CÁLCULO!$AA$15:$AA$39,0,V$13))),2),0)</f>
        <v>0</v>
      </c>
      <c r="W1" s="620" cm="1">
        <f t="array" aca="1" ref="W1" ca="1">IF(AUTOEVENTO="Manual",ROUND(SUMPRODUCT((CÁLCULO!$M$15:$M$39=EVENTOS!$C1)*(OFFSET(CÁLCULO!$AA$15:$AA$39,0,W$13))),2),0)</f>
        <v>0</v>
      </c>
      <c r="X1" s="620" cm="1">
        <f t="array" aca="1" ref="X1" ca="1">IF(AUTOEVENTO="Manual",ROUND(SUMPRODUCT((CÁLCULO!$M$15:$M$39=EVENTOS!$C1)*(OFFSET(CÁLCULO!$AA$15:$AA$39,0,X$13))),2),0)</f>
        <v>0</v>
      </c>
      <c r="Y1" s="620" cm="1">
        <f t="array" aca="1" ref="Y1" ca="1">IF(AUTOEVENTO="Manual",ROUND(SUMPRODUCT((CÁLCULO!$M$15:$M$39=EVENTOS!$C1)*(OFFSET(CÁLCULO!$AA$15:$AA$39,0,Y$13))),2),0)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MUNICÍPIO DE BENTO GONÇALVES</v>
      </c>
      <c r="D5" s="503"/>
      <c r="E5" s="503"/>
      <c r="F5" s="725" t="str">
        <f>Import.Apelido</f>
        <v>REVITALIZAÇÃO DA PIPA PÓRTICO</v>
      </c>
      <c r="G5" s="726"/>
      <c r="H5" s="726"/>
      <c r="I5" s="726"/>
      <c r="J5" s="726"/>
      <c r="K5" s="726"/>
      <c r="L5" s="726"/>
      <c r="M5" s="727"/>
      <c r="N5" s="56">
        <f>Import.CR</f>
        <v>0</v>
      </c>
      <c r="O5" s="56">
        <f>Import.SICONV</f>
        <v>0</v>
      </c>
      <c r="P5" s="725" t="str">
        <f>Import.Apelido</f>
        <v>REVITALIZAÇÃO DA PIPA PÓRTICO</v>
      </c>
      <c r="Q5" s="726"/>
      <c r="R5" s="726"/>
      <c r="S5" s="726"/>
      <c r="T5" s="726"/>
      <c r="U5" s="726"/>
      <c r="V5" s="726"/>
      <c r="W5" s="727"/>
      <c r="X5" s="56">
        <f>Import.CR</f>
        <v>0</v>
      </c>
      <c r="Y5" s="56">
        <f>Import.SICONV</f>
        <v>0</v>
      </c>
      <c r="Z5" t="s">
        <v>752</v>
      </c>
    </row>
    <row r="6" spans="1:26" ht="24.95" customHeight="1" x14ac:dyDescent="0.25">
      <c r="B6" t="s">
        <v>937</v>
      </c>
      <c r="C6" t="s">
        <v>759</v>
      </c>
      <c r="F6" s="521" t="str">
        <f>IF(AUTOEVENTO="MANUAL",
  IF(COUNTIF($G$15:$G$21,"NOME")&gt;0,"Falta preencher o nome do Título do Evento nº "&amp;INDEX($C$15:$C$21,MATCH("NOME",$G$15:$G$21,0)),
  IF(COUNTIF($G$15:$G$21,"VALOR")&gt;0,"Falta atribuir serviços ao Evento nº "&amp;INDEX($C$15:$C$21,MATCH("VALOR",$G$15:$G$21,0))&amp;". Corrigir a atribuição dos eventos na aba CÁLCULO. Ou excluir linhas dos eventos não utilizados.",
  IF(ROUND($F$14,2)&lt;&gt;ROUND(ORÇAMENTO!$X$15,2),"O valor total dos Eventos é diferente do valor total do Orçamento. Corrigir a atribuição dos eventos na aba CÁLCULO",
  IF(COUNTIF($G$15:$G$21,"Nome &gt;100")&gt;0,"O tamanho do Título do Evento no TransfereGOV é limitado a 100 caracteres. Resuma o nome do Título do Evento nº "&amp;INDEX($C$15:$C$21,MATCH("Nome &gt;100",$G$15:$G$21,0)),"")))),"")</f>
        <v/>
      </c>
    </row>
    <row r="7" spans="1:26" ht="3.95" customHeight="1" thickBot="1" x14ac:dyDescent="0.25">
      <c r="B7" t="s">
        <v>940</v>
      </c>
    </row>
    <row r="8" spans="1:26" ht="16.5" thickBot="1" x14ac:dyDescent="0.3">
      <c r="B8" t="s">
        <v>941</v>
      </c>
      <c r="C8" s="732" t="s">
        <v>941</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COUNTIF($C$15:$C$21,"&gt;0")-1</f>
        <v>0</v>
      </c>
      <c r="D10" t="s">
        <v>752</v>
      </c>
      <c r="E10" s="728" t="str">
        <f ca="1">OFFSET(CÁLCULO!$P$12,0,EVENTOS!E$13)</f>
        <v>MÊS 1</v>
      </c>
      <c r="F10" t="s">
        <v>752</v>
      </c>
      <c r="G10" s="729"/>
      <c r="H10" s="728" t="str">
        <f ca="1">OFFSET(CÁLCULO!$P$12,0,EVENTOS!H$13)</f>
        <v>MÊS 1</v>
      </c>
      <c r="I10" s="728" t="str">
        <f ca="1">OFFSET(CÁLCULO!$P$12,0,EVENTOS!I$13)</f>
        <v>MÊS 2</v>
      </c>
      <c r="J10" s="728" t="str">
        <f ca="1">OFFSET(CÁLCULO!$P$12,0,EVENTOS!J$13)</f>
        <v>MÊS 3</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SUM(E$15:E$21)</f>
        <v>0</v>
      </c>
      <c r="F14" s="543">
        <f ca="1">SUM(F$15:F$21)</f>
        <v>0</v>
      </c>
      <c r="H14" s="625">
        <f t="shared" ref="H14:Y14" ca="1" si="2">SUM(H$15:H$21)</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0" si="3">IF(D15="","","F")</f>
        <v/>
      </c>
      <c r="B15" t="str">
        <f>IF(OR(C15=" ",D15=""),"",CONCATENATE(C15,". ",D15))</f>
        <v/>
      </c>
      <c r="C15" s="546" cm="1">
        <f t="array" ref="C15">IF(AdmLocal="Automática",1,0)</f>
        <v>0</v>
      </c>
      <c r="D15" s="626" t="str">
        <f>IF(C15=1,"Administração Local","")</f>
        <v/>
      </c>
      <c r="E15" s="627">
        <f ca="1">IF($F$15=0,0,IF(E13=1,$F$15-SUM($I$15:$Z$15),ROUND(SUM(OFFSET(E15,1,0):OFFSET(E$21,-1,0))/SUM(OFFSET($F15,1,0):OFFSET($F$21,-1,0))*$F$15,2)))</f>
        <v>0</v>
      </c>
      <c r="F15" s="547" cm="1">
        <f t="array" ref="F15">IF($C$15=0,0,ROUND(SUMPRODUCT((CÁLCULO!$M$15:$M$39=EVENTOS!$C15)*(ORÇAMENTO!$X$15:'ORÇAMENTO'!$X$39)),2))</f>
        <v>0</v>
      </c>
      <c r="G15" s="628"/>
      <c r="H15" s="627">
        <f ca="1">IF($F$15=0,0,IF(H13=1,$F$15-SUM($I$15:$Z$15),ROUND(SUM(OFFSET(H15,1,0):OFFSET(H$21,-1,0))/SUM(OFFSET($F15,1,0):OFFSET($F$21,-1,0))*$F$15,2)))</f>
        <v>0</v>
      </c>
      <c r="I15" s="627">
        <f ca="1">IF($F$15=0,0,IF(I13=1,$F$15-SUM($I$15:$Z$15),ROUND(SUM(OFFSET(I15,1,0):OFFSET(I$21,-1,0))/SUM(OFFSET($F15,1,0):OFFSET($F$21,-1,0))*$F$15,2)))</f>
        <v>0</v>
      </c>
      <c r="J15" s="627">
        <f ca="1">IF($F$15=0,0,IF(J13=1,$F$15-SUM($I$15:$Z$15),ROUND(SUM(OFFSET(J15,1,0):OFFSET(J$21,-1,0))/SUM(OFFSET($F15,1,0):OFFSET($F$21,-1,0))*$F$15,2)))</f>
        <v>0</v>
      </c>
      <c r="K15" s="627">
        <f ca="1">IF($F$15=0,0,IF(K13=1,$F$15-SUM($I$15:$Z$15),ROUND(SUM(OFFSET(K15,1,0):OFFSET(K$21,-1,0))/SUM(OFFSET($F15,1,0):OFFSET($F$21,-1,0))*$F$15,2)))</f>
        <v>0</v>
      </c>
      <c r="L15" s="627">
        <f ca="1">IF($F$15=0,0,IF(L13=1,$F$15-SUM($I$15:$Z$15),ROUND(SUM(OFFSET(L15,1,0):OFFSET(L$21,-1,0))/SUM(OFFSET($F15,1,0):OFFSET($F$21,-1,0))*$F$15,2)))</f>
        <v>0</v>
      </c>
      <c r="M15" s="627">
        <f ca="1">IF($F$15=0,0,IF(M13=1,$F$15-SUM($I$15:$Z$15),ROUND(SUM(OFFSET(M15,1,0):OFFSET(M$21,-1,0))/SUM(OFFSET($F15,1,0):OFFSET($F$21,-1,0))*$F$15,2)))</f>
        <v>0</v>
      </c>
      <c r="N15" s="627">
        <f ca="1">IF($F$15=0,0,IF(N13=1,$F$15-SUM($I$15:$Z$15),ROUND(SUM(OFFSET(N15,1,0):OFFSET(N$21,-1,0))/SUM(OFFSET($F15,1,0):OFFSET($F$21,-1,0))*$F$15,2)))</f>
        <v>0</v>
      </c>
      <c r="O15" s="627">
        <f ca="1">IF($F$15=0,0,IF(O13=1,$F$15-SUM($I$15:$Z$15),ROUND(SUM(OFFSET(O15,1,0):OFFSET(O$21,-1,0))/SUM(OFFSET($F15,1,0):OFFSET($F$21,-1,0))*$F$15,2)))</f>
        <v>0</v>
      </c>
      <c r="P15" s="627">
        <f ca="1">IF($F$15=0,0,IF(P13=1,$F$15-SUM($I$15:$Z$15),ROUND(SUM(OFFSET(P15,1,0):OFFSET(P$21,-1,0))/SUM(OFFSET($F15,1,0):OFFSET($F$21,-1,0))*$F$15,2)))</f>
        <v>0</v>
      </c>
      <c r="Q15" s="627">
        <f ca="1">IF($F$15=0,0,IF(Q13=1,$F$15-SUM($I$15:$Z$15),ROUND(SUM(OFFSET(Q15,1,0):OFFSET(Q$21,-1,0))/SUM(OFFSET($F15,1,0):OFFSET($F$21,-1,0))*$F$15,2)))</f>
        <v>0</v>
      </c>
      <c r="R15" s="627">
        <f ca="1">IF($F$15=0,0,IF(R13=1,$F$15-SUM($I$15:$Z$15),ROUND(SUM(OFFSET(R15,1,0):OFFSET(R$21,-1,0))/SUM(OFFSET($F15,1,0):OFFSET($F$21,-1,0))*$F$15,2)))</f>
        <v>0</v>
      </c>
      <c r="S15" s="627">
        <f ca="1">IF($F$15=0,0,IF(S13=1,$F$15-SUM($I$15:$Z$15),ROUND(SUM(OFFSET(S15,1,0):OFFSET(S$21,-1,0))/SUM(OFFSET($F15,1,0):OFFSET($F$21,-1,0))*$F$15,2)))</f>
        <v>0</v>
      </c>
      <c r="T15" s="627">
        <f ca="1">IF($F$15=0,0,IF(T13=1,$F$15-SUM($I$15:$Z$15),ROUND(SUM(OFFSET(T15,1,0):OFFSET(T$21,-1,0))/SUM(OFFSET($F15,1,0):OFFSET($F$21,-1,0))*$F$15,2)))</f>
        <v>0</v>
      </c>
      <c r="U15" s="627">
        <f ca="1">IF($F$15=0,0,IF(U13=1,$F$15-SUM($I$15:$Z$15),ROUND(SUM(OFFSET(U15,1,0):OFFSET(U$21,-1,0))/SUM(OFFSET($F15,1,0):OFFSET($F$21,-1,0))*$F$15,2)))</f>
        <v>0</v>
      </c>
      <c r="V15" s="627">
        <f ca="1">IF($F$15=0,0,IF(V13=1,$F$15-SUM($I$15:$Z$15),ROUND(SUM(OFFSET(V15,1,0):OFFSET(V$21,-1,0))/SUM(OFFSET($F15,1,0):OFFSET($F$21,-1,0))*$F$15,2)))</f>
        <v>0</v>
      </c>
      <c r="W15" s="627">
        <f ca="1">IF($F$15=0,0,IF(W13=1,$F$15-SUM($I$15:$Z$15),ROUND(SUM(OFFSET(W15,1,0):OFFSET(W$21,-1,0))/SUM(OFFSET($F15,1,0):OFFSET($F$21,-1,0))*$F$15,2)))</f>
        <v>0</v>
      </c>
      <c r="X15" s="627">
        <f ca="1">IF($F$15=0,0,IF(X13=1,$F$15-SUM($I$15:$Z$15),ROUND(SUM(OFFSET(X15,1,0):OFFSET(X$21,-1,0))/SUM(OFFSET($F15,1,0):OFFSET($F$21,-1,0))*$F$15,2)))</f>
        <v>0</v>
      </c>
      <c r="Y15" s="627">
        <f ca="1">IF($F$15=0,0,IF(Y13=1,$F$15-SUM($I$15:$Z$15),ROUND(SUM(OFFSET(Y15,1,0):OFFSET(Y$21,-1,0))/SUM(OFFSET($F15,1,0):OFFSET($F$21,-1,0))*$F$15,2)))</f>
        <v>0</v>
      </c>
    </row>
    <row r="16" spans="1:26" x14ac:dyDescent="0.2">
      <c r="A16" s="506" t="str">
        <f t="shared" si="3"/>
        <v/>
      </c>
      <c r="B16" t="str">
        <f t="shared" ref="B16:B19" ca="1" si="4">IF(OR(C16=" ",D16=""),"",CONCATENATE(C16,". ",D16))</f>
        <v/>
      </c>
      <c r="C16" s="182" cm="1">
        <f t="array" aca="1" ref="C16" ca="1">IF(OR(ROW(C16)=ROW(EVENTOS.firstrow)+1,AND(OFFSET(C16,-1,0)&lt;&gt;" ",OFFSET(C16,-1,1)&lt;&gt;"")),OFFSET(C16,-1,0)+1," ")</f>
        <v>1</v>
      </c>
      <c r="D16" s="496"/>
      <c r="E16" s="620" cm="1">
        <f t="array" aca="1" ref="E16" ca="1">IF(AUTOEVENTO="Manual",ROUND(SUMPRODUCT((CÁLCULO!$M$15:$M$39=EVENTOS!$C16)*(OFFSET(CÁLCULO!$AA$15:$AA$39,0,E$13))),2),0)</f>
        <v>0</v>
      </c>
      <c r="F16" s="183">
        <f ca="1">IF(AUTOEVENTO="Manual",ROUND(SUMPRODUCT((CÁLCULO!$M$15:$M$39=EVENTOS!$C16)*(OFFSET(CÁLCULO!$AA$15,0,1):OFFSET(CÁLCULO!$AL$39,0,-1))),2),0)</f>
        <v>0</v>
      </c>
      <c r="G16" s="621" t="str">
        <f t="shared" ref="G16:G19" ca="1" si="5">IF(AND(D16=0,F16&gt;0),"NOME",
 IF(AND(D16&lt;&gt;0,$F$14&gt;0,F16=0),"VALOR",
 IF(AND(Import.TipoArredondamento="TransfereGOV",$A16="F",LEN(D16)&gt;100),"Nome &gt;100","")))</f>
        <v/>
      </c>
      <c r="H16" s="620" cm="1">
        <f t="array" aca="1" ref="H16" ca="1">IF(AUTOEVENTO="Manual",ROUND(SUMPRODUCT((CÁLCULO!$M$15:$M$39=EVENTOS!$C16)*(OFFSET(CÁLCULO!$AA$15:$AA$39,0,H$13))),2),0)</f>
        <v>0</v>
      </c>
      <c r="I16" s="620" cm="1">
        <f t="array" aca="1" ref="I16" ca="1">IF(AUTOEVENTO="Manual",ROUND(SUMPRODUCT((CÁLCULO!$M$15:$M$39=EVENTOS!$C16)*(OFFSET(CÁLCULO!$AA$15:$AA$39,0,I$13))),2),0)</f>
        <v>0</v>
      </c>
      <c r="J16" s="620" cm="1">
        <f t="array" aca="1" ref="J16" ca="1">IF(AUTOEVENTO="Manual",ROUND(SUMPRODUCT((CÁLCULO!$M$15:$M$39=EVENTOS!$C16)*(OFFSET(CÁLCULO!$AA$15:$AA$39,0,J$13))),2),0)</f>
        <v>0</v>
      </c>
      <c r="K16" s="620" cm="1">
        <f t="array" aca="1" ref="K16" ca="1">IF(AUTOEVENTO="Manual",ROUND(SUMPRODUCT((CÁLCULO!$M$15:$M$39=EVENTOS!$C16)*(OFFSET(CÁLCULO!$AA$15:$AA$39,0,K$13))),2),0)</f>
        <v>0</v>
      </c>
      <c r="L16" s="620" cm="1">
        <f t="array" aca="1" ref="L16" ca="1">IF(AUTOEVENTO="Manual",ROUND(SUMPRODUCT((CÁLCULO!$M$15:$M$39=EVENTOS!$C16)*(OFFSET(CÁLCULO!$AA$15:$AA$39,0,L$13))),2),0)</f>
        <v>0</v>
      </c>
      <c r="M16" s="620" cm="1">
        <f t="array" aca="1" ref="M16" ca="1">IF(AUTOEVENTO="Manual",ROUND(SUMPRODUCT((CÁLCULO!$M$15:$M$39=EVENTOS!$C16)*(OFFSET(CÁLCULO!$AA$15:$AA$39,0,M$13))),2),0)</f>
        <v>0</v>
      </c>
      <c r="N16" s="620" cm="1">
        <f t="array" aca="1" ref="N16" ca="1">IF(AUTOEVENTO="Manual",ROUND(SUMPRODUCT((CÁLCULO!$M$15:$M$39=EVENTOS!$C16)*(OFFSET(CÁLCULO!$AA$15:$AA$39,0,N$13))),2),0)</f>
        <v>0</v>
      </c>
      <c r="O16" s="620" cm="1">
        <f t="array" aca="1" ref="O16" ca="1">IF(AUTOEVENTO="Manual",ROUND(SUMPRODUCT((CÁLCULO!$M$15:$M$39=EVENTOS!$C16)*(OFFSET(CÁLCULO!$AA$15:$AA$39,0,O$13))),2),0)</f>
        <v>0</v>
      </c>
      <c r="P16" s="620" cm="1">
        <f t="array" aca="1" ref="P16" ca="1">IF(AUTOEVENTO="Manual",ROUND(SUMPRODUCT((CÁLCULO!$M$15:$M$39=EVENTOS!$C16)*(OFFSET(CÁLCULO!$AA$15:$AA$39,0,P$13))),2),0)</f>
        <v>0</v>
      </c>
      <c r="Q16" s="620" cm="1">
        <f t="array" aca="1" ref="Q16" ca="1">IF(AUTOEVENTO="Manual",ROUND(SUMPRODUCT((CÁLCULO!$M$15:$M$39=EVENTOS!$C16)*(OFFSET(CÁLCULO!$AA$15:$AA$39,0,Q$13))),2),0)</f>
        <v>0</v>
      </c>
      <c r="R16" s="620" cm="1">
        <f t="array" aca="1" ref="R16" ca="1">IF(AUTOEVENTO="Manual",ROUND(SUMPRODUCT((CÁLCULO!$M$15:$M$39=EVENTOS!$C16)*(OFFSET(CÁLCULO!$AA$15:$AA$39,0,R$13))),2),0)</f>
        <v>0</v>
      </c>
      <c r="S16" s="620" cm="1">
        <f t="array" aca="1" ref="S16" ca="1">IF(AUTOEVENTO="Manual",ROUND(SUMPRODUCT((CÁLCULO!$M$15:$M$39=EVENTOS!$C16)*(OFFSET(CÁLCULO!$AA$15:$AA$39,0,S$13))),2),0)</f>
        <v>0</v>
      </c>
      <c r="T16" s="620" cm="1">
        <f t="array" aca="1" ref="T16" ca="1">IF(AUTOEVENTO="Manual",ROUND(SUMPRODUCT((CÁLCULO!$M$15:$M$39=EVENTOS!$C16)*(OFFSET(CÁLCULO!$AA$15:$AA$39,0,T$13))),2),0)</f>
        <v>0</v>
      </c>
      <c r="U16" s="620" cm="1">
        <f t="array" aca="1" ref="U16" ca="1">IF(AUTOEVENTO="Manual",ROUND(SUMPRODUCT((CÁLCULO!$M$15:$M$39=EVENTOS!$C16)*(OFFSET(CÁLCULO!$AA$15:$AA$39,0,U$13))),2),0)</f>
        <v>0</v>
      </c>
      <c r="V16" s="620" cm="1">
        <f t="array" aca="1" ref="V16" ca="1">IF(AUTOEVENTO="Manual",ROUND(SUMPRODUCT((CÁLCULO!$M$15:$M$39=EVENTOS!$C16)*(OFFSET(CÁLCULO!$AA$15:$AA$39,0,V$13))),2),0)</f>
        <v>0</v>
      </c>
      <c r="W16" s="620" cm="1">
        <f t="array" aca="1" ref="W16" ca="1">IF(AUTOEVENTO="Manual",ROUND(SUMPRODUCT((CÁLCULO!$M$15:$M$39=EVENTOS!$C16)*(OFFSET(CÁLCULO!$AA$15:$AA$39,0,W$13))),2),0)</f>
        <v>0</v>
      </c>
      <c r="X16" s="620" cm="1">
        <f t="array" aca="1" ref="X16" ca="1">IF(AUTOEVENTO="Manual",ROUND(SUMPRODUCT((CÁLCULO!$M$15:$M$39=EVENTOS!$C16)*(OFFSET(CÁLCULO!$AA$15:$AA$39,0,X$13))),2),0)</f>
        <v>0</v>
      </c>
      <c r="Y16" s="620" cm="1">
        <f t="array" aca="1" ref="Y16" ca="1">IF(AUTOEVENTO="Manual",ROUND(SUMPRODUCT((CÁLCULO!$M$15:$M$39=EVENTOS!$C16)*(OFFSET(CÁLCULO!$AA$15:$AA$39,0,Y$13))),2),0)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IF(AUTOEVENTO="Manual",ROUND(SUMPRODUCT((CÁLCULO!$M$15:$M$39=EVENTOS!$C17)*(OFFSET(CÁLCULO!$AA$15:$AA$39,0,E$13))),2),0)</f>
        <v>0</v>
      </c>
      <c r="F17" s="183">
        <f ca="1">IF(AUTOEVENTO="Manual",ROUND(SUMPRODUCT((CÁLCULO!$M$15:$M$39=EVENTOS!$C17)*(OFFSET(CÁLCULO!$AA$15,0,1):OFFSET(CÁLCULO!$AL$39,0,-1))),2),0)</f>
        <v>0</v>
      </c>
      <c r="G17" s="621" t="str">
        <f t="shared" ca="1" si="5"/>
        <v/>
      </c>
      <c r="H17" s="620" cm="1">
        <f t="array" aca="1" ref="H17" ca="1">IF(AUTOEVENTO="Manual",ROUND(SUMPRODUCT((CÁLCULO!$M$15:$M$39=EVENTOS!$C17)*(OFFSET(CÁLCULO!$AA$15:$AA$39,0,H$13))),2),0)</f>
        <v>0</v>
      </c>
      <c r="I17" s="620" cm="1">
        <f t="array" aca="1" ref="I17" ca="1">IF(AUTOEVENTO="Manual",ROUND(SUMPRODUCT((CÁLCULO!$M$15:$M$39=EVENTOS!$C17)*(OFFSET(CÁLCULO!$AA$15:$AA$39,0,I$13))),2),0)</f>
        <v>0</v>
      </c>
      <c r="J17" s="620" cm="1">
        <f t="array" aca="1" ref="J17" ca="1">IF(AUTOEVENTO="Manual",ROUND(SUMPRODUCT((CÁLCULO!$M$15:$M$39=EVENTOS!$C17)*(OFFSET(CÁLCULO!$AA$15:$AA$39,0,J$13))),2),0)</f>
        <v>0</v>
      </c>
      <c r="K17" s="620" cm="1">
        <f t="array" aca="1" ref="K17" ca="1">IF(AUTOEVENTO="Manual",ROUND(SUMPRODUCT((CÁLCULO!$M$15:$M$39=EVENTOS!$C17)*(OFFSET(CÁLCULO!$AA$15:$AA$39,0,K$13))),2),0)</f>
        <v>0</v>
      </c>
      <c r="L17" s="620" cm="1">
        <f t="array" aca="1" ref="L17" ca="1">IF(AUTOEVENTO="Manual",ROUND(SUMPRODUCT((CÁLCULO!$M$15:$M$39=EVENTOS!$C17)*(OFFSET(CÁLCULO!$AA$15:$AA$39,0,L$13))),2),0)</f>
        <v>0</v>
      </c>
      <c r="M17" s="620" cm="1">
        <f t="array" aca="1" ref="M17" ca="1">IF(AUTOEVENTO="Manual",ROUND(SUMPRODUCT((CÁLCULO!$M$15:$M$39=EVENTOS!$C17)*(OFFSET(CÁLCULO!$AA$15:$AA$39,0,M$13))),2),0)</f>
        <v>0</v>
      </c>
      <c r="N17" s="620" cm="1">
        <f t="array" aca="1" ref="N17" ca="1">IF(AUTOEVENTO="Manual",ROUND(SUMPRODUCT((CÁLCULO!$M$15:$M$39=EVENTOS!$C17)*(OFFSET(CÁLCULO!$AA$15:$AA$39,0,N$13))),2),0)</f>
        <v>0</v>
      </c>
      <c r="O17" s="620" cm="1">
        <f t="array" aca="1" ref="O17" ca="1">IF(AUTOEVENTO="Manual",ROUND(SUMPRODUCT((CÁLCULO!$M$15:$M$39=EVENTOS!$C17)*(OFFSET(CÁLCULO!$AA$15:$AA$39,0,O$13))),2),0)</f>
        <v>0</v>
      </c>
      <c r="P17" s="620" cm="1">
        <f t="array" aca="1" ref="P17" ca="1">IF(AUTOEVENTO="Manual",ROUND(SUMPRODUCT((CÁLCULO!$M$15:$M$39=EVENTOS!$C17)*(OFFSET(CÁLCULO!$AA$15:$AA$39,0,P$13))),2),0)</f>
        <v>0</v>
      </c>
      <c r="Q17" s="620" cm="1">
        <f t="array" aca="1" ref="Q17" ca="1">IF(AUTOEVENTO="Manual",ROUND(SUMPRODUCT((CÁLCULO!$M$15:$M$39=EVENTOS!$C17)*(OFFSET(CÁLCULO!$AA$15:$AA$39,0,Q$13))),2),0)</f>
        <v>0</v>
      </c>
      <c r="R17" s="620" cm="1">
        <f t="array" aca="1" ref="R17" ca="1">IF(AUTOEVENTO="Manual",ROUND(SUMPRODUCT((CÁLCULO!$M$15:$M$39=EVENTOS!$C17)*(OFFSET(CÁLCULO!$AA$15:$AA$39,0,R$13))),2),0)</f>
        <v>0</v>
      </c>
      <c r="S17" s="620" cm="1">
        <f t="array" aca="1" ref="S17" ca="1">IF(AUTOEVENTO="Manual",ROUND(SUMPRODUCT((CÁLCULO!$M$15:$M$39=EVENTOS!$C17)*(OFFSET(CÁLCULO!$AA$15:$AA$39,0,S$13))),2),0)</f>
        <v>0</v>
      </c>
      <c r="T17" s="620" cm="1">
        <f t="array" aca="1" ref="T17" ca="1">IF(AUTOEVENTO="Manual",ROUND(SUMPRODUCT((CÁLCULO!$M$15:$M$39=EVENTOS!$C17)*(OFFSET(CÁLCULO!$AA$15:$AA$39,0,T$13))),2),0)</f>
        <v>0</v>
      </c>
      <c r="U17" s="620" cm="1">
        <f t="array" aca="1" ref="U17" ca="1">IF(AUTOEVENTO="Manual",ROUND(SUMPRODUCT((CÁLCULO!$M$15:$M$39=EVENTOS!$C17)*(OFFSET(CÁLCULO!$AA$15:$AA$39,0,U$13))),2),0)</f>
        <v>0</v>
      </c>
      <c r="V17" s="620" cm="1">
        <f t="array" aca="1" ref="V17" ca="1">IF(AUTOEVENTO="Manual",ROUND(SUMPRODUCT((CÁLCULO!$M$15:$M$39=EVENTOS!$C17)*(OFFSET(CÁLCULO!$AA$15:$AA$39,0,V$13))),2),0)</f>
        <v>0</v>
      </c>
      <c r="W17" s="620" cm="1">
        <f t="array" aca="1" ref="W17" ca="1">IF(AUTOEVENTO="Manual",ROUND(SUMPRODUCT((CÁLCULO!$M$15:$M$39=EVENTOS!$C17)*(OFFSET(CÁLCULO!$AA$15:$AA$39,0,W$13))),2),0)</f>
        <v>0</v>
      </c>
      <c r="X17" s="620" cm="1">
        <f t="array" aca="1" ref="X17" ca="1">IF(AUTOEVENTO="Manual",ROUND(SUMPRODUCT((CÁLCULO!$M$15:$M$39=EVENTOS!$C17)*(OFFSET(CÁLCULO!$AA$15:$AA$39,0,X$13))),2),0)</f>
        <v>0</v>
      </c>
      <c r="Y17" s="620" cm="1">
        <f t="array" aca="1" ref="Y17" ca="1">IF(AUTOEVENTO="Manual",ROUND(SUMPRODUCT((CÁLCULO!$M$15:$M$39=EVENTOS!$C17)*(OFFSET(CÁLCULO!$AA$15:$AA$39,0,Y$13))),2),0)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IF(AUTOEVENTO="Manual",ROUND(SUMPRODUCT((CÁLCULO!$M$15:$M$39=EVENTOS!$C18)*(OFFSET(CÁLCULO!$AA$15:$AA$39,0,E$13))),2),0)</f>
        <v>0</v>
      </c>
      <c r="F18" s="183">
        <f ca="1">IF(AUTOEVENTO="Manual",ROUND(SUMPRODUCT((CÁLCULO!$M$15:$M$39=EVENTOS!$C18)*(OFFSET(CÁLCULO!$AA$15,0,1):OFFSET(CÁLCULO!$AL$39,0,-1))),2),0)</f>
        <v>0</v>
      </c>
      <c r="G18" s="621" t="str">
        <f t="shared" ca="1" si="5"/>
        <v/>
      </c>
      <c r="H18" s="620" cm="1">
        <f t="array" aca="1" ref="H18" ca="1">IF(AUTOEVENTO="Manual",ROUND(SUMPRODUCT((CÁLCULO!$M$15:$M$39=EVENTOS!$C18)*(OFFSET(CÁLCULO!$AA$15:$AA$39,0,H$13))),2),0)</f>
        <v>0</v>
      </c>
      <c r="I18" s="620" cm="1">
        <f t="array" aca="1" ref="I18" ca="1">IF(AUTOEVENTO="Manual",ROUND(SUMPRODUCT((CÁLCULO!$M$15:$M$39=EVENTOS!$C18)*(OFFSET(CÁLCULO!$AA$15:$AA$39,0,I$13))),2),0)</f>
        <v>0</v>
      </c>
      <c r="J18" s="620" cm="1">
        <f t="array" aca="1" ref="J18" ca="1">IF(AUTOEVENTO="Manual",ROUND(SUMPRODUCT((CÁLCULO!$M$15:$M$39=EVENTOS!$C18)*(OFFSET(CÁLCULO!$AA$15:$AA$39,0,J$13))),2),0)</f>
        <v>0</v>
      </c>
      <c r="K18" s="620" cm="1">
        <f t="array" aca="1" ref="K18" ca="1">IF(AUTOEVENTO="Manual",ROUND(SUMPRODUCT((CÁLCULO!$M$15:$M$39=EVENTOS!$C18)*(OFFSET(CÁLCULO!$AA$15:$AA$39,0,K$13))),2),0)</f>
        <v>0</v>
      </c>
      <c r="L18" s="620" cm="1">
        <f t="array" aca="1" ref="L18" ca="1">IF(AUTOEVENTO="Manual",ROUND(SUMPRODUCT((CÁLCULO!$M$15:$M$39=EVENTOS!$C18)*(OFFSET(CÁLCULO!$AA$15:$AA$39,0,L$13))),2),0)</f>
        <v>0</v>
      </c>
      <c r="M18" s="620" cm="1">
        <f t="array" aca="1" ref="M18" ca="1">IF(AUTOEVENTO="Manual",ROUND(SUMPRODUCT((CÁLCULO!$M$15:$M$39=EVENTOS!$C18)*(OFFSET(CÁLCULO!$AA$15:$AA$39,0,M$13))),2),0)</f>
        <v>0</v>
      </c>
      <c r="N18" s="620" cm="1">
        <f t="array" aca="1" ref="N18" ca="1">IF(AUTOEVENTO="Manual",ROUND(SUMPRODUCT((CÁLCULO!$M$15:$M$39=EVENTOS!$C18)*(OFFSET(CÁLCULO!$AA$15:$AA$39,0,N$13))),2),0)</f>
        <v>0</v>
      </c>
      <c r="O18" s="620" cm="1">
        <f t="array" aca="1" ref="O18" ca="1">IF(AUTOEVENTO="Manual",ROUND(SUMPRODUCT((CÁLCULO!$M$15:$M$39=EVENTOS!$C18)*(OFFSET(CÁLCULO!$AA$15:$AA$39,0,O$13))),2),0)</f>
        <v>0</v>
      </c>
      <c r="P18" s="620" cm="1">
        <f t="array" aca="1" ref="P18" ca="1">IF(AUTOEVENTO="Manual",ROUND(SUMPRODUCT((CÁLCULO!$M$15:$M$39=EVENTOS!$C18)*(OFFSET(CÁLCULO!$AA$15:$AA$39,0,P$13))),2),0)</f>
        <v>0</v>
      </c>
      <c r="Q18" s="620" cm="1">
        <f t="array" aca="1" ref="Q18" ca="1">IF(AUTOEVENTO="Manual",ROUND(SUMPRODUCT((CÁLCULO!$M$15:$M$39=EVENTOS!$C18)*(OFFSET(CÁLCULO!$AA$15:$AA$39,0,Q$13))),2),0)</f>
        <v>0</v>
      </c>
      <c r="R18" s="620" cm="1">
        <f t="array" aca="1" ref="R18" ca="1">IF(AUTOEVENTO="Manual",ROUND(SUMPRODUCT((CÁLCULO!$M$15:$M$39=EVENTOS!$C18)*(OFFSET(CÁLCULO!$AA$15:$AA$39,0,R$13))),2),0)</f>
        <v>0</v>
      </c>
      <c r="S18" s="620" cm="1">
        <f t="array" aca="1" ref="S18" ca="1">IF(AUTOEVENTO="Manual",ROUND(SUMPRODUCT((CÁLCULO!$M$15:$M$39=EVENTOS!$C18)*(OFFSET(CÁLCULO!$AA$15:$AA$39,0,S$13))),2),0)</f>
        <v>0</v>
      </c>
      <c r="T18" s="620" cm="1">
        <f t="array" aca="1" ref="T18" ca="1">IF(AUTOEVENTO="Manual",ROUND(SUMPRODUCT((CÁLCULO!$M$15:$M$39=EVENTOS!$C18)*(OFFSET(CÁLCULO!$AA$15:$AA$39,0,T$13))),2),0)</f>
        <v>0</v>
      </c>
      <c r="U18" s="620" cm="1">
        <f t="array" aca="1" ref="U18" ca="1">IF(AUTOEVENTO="Manual",ROUND(SUMPRODUCT((CÁLCULO!$M$15:$M$39=EVENTOS!$C18)*(OFFSET(CÁLCULO!$AA$15:$AA$39,0,U$13))),2),0)</f>
        <v>0</v>
      </c>
      <c r="V18" s="620" cm="1">
        <f t="array" aca="1" ref="V18" ca="1">IF(AUTOEVENTO="Manual",ROUND(SUMPRODUCT((CÁLCULO!$M$15:$M$39=EVENTOS!$C18)*(OFFSET(CÁLCULO!$AA$15:$AA$39,0,V$13))),2),0)</f>
        <v>0</v>
      </c>
      <c r="W18" s="620" cm="1">
        <f t="array" aca="1" ref="W18" ca="1">IF(AUTOEVENTO="Manual",ROUND(SUMPRODUCT((CÁLCULO!$M$15:$M$39=EVENTOS!$C18)*(OFFSET(CÁLCULO!$AA$15:$AA$39,0,W$13))),2),0)</f>
        <v>0</v>
      </c>
      <c r="X18" s="620" cm="1">
        <f t="array" aca="1" ref="X18" ca="1">IF(AUTOEVENTO="Manual",ROUND(SUMPRODUCT((CÁLCULO!$M$15:$M$39=EVENTOS!$C18)*(OFFSET(CÁLCULO!$AA$15:$AA$39,0,X$13))),2),0)</f>
        <v>0</v>
      </c>
      <c r="Y18" s="620" cm="1">
        <f t="array" aca="1" ref="Y18" ca="1">IF(AUTOEVENTO="Manual",ROUND(SUMPRODUCT((CÁLCULO!$M$15:$M$39=EVENTOS!$C18)*(OFFSET(CÁLCULO!$AA$15:$AA$39,0,Y$13))),2),0)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IF(AUTOEVENTO="Manual",ROUND(SUMPRODUCT((CÁLCULO!$M$15:$M$39=EVENTOS!$C19)*(OFFSET(CÁLCULO!$AA$15:$AA$39,0,E$13))),2),0)</f>
        <v>0</v>
      </c>
      <c r="F19" s="183">
        <f ca="1">IF(AUTOEVENTO="Manual",ROUND(SUMPRODUCT((CÁLCULO!$M$15:$M$39=EVENTOS!$C19)*(OFFSET(CÁLCULO!$AA$15,0,1):OFFSET(CÁLCULO!$AL$39,0,-1))),2),0)</f>
        <v>0</v>
      </c>
      <c r="G19" s="621" t="str">
        <f t="shared" ca="1" si="5"/>
        <v/>
      </c>
      <c r="H19" s="620" cm="1">
        <f t="array" aca="1" ref="H19" ca="1">IF(AUTOEVENTO="Manual",ROUND(SUMPRODUCT((CÁLCULO!$M$15:$M$39=EVENTOS!$C19)*(OFFSET(CÁLCULO!$AA$15:$AA$39,0,H$13))),2),0)</f>
        <v>0</v>
      </c>
      <c r="I19" s="620" cm="1">
        <f t="array" aca="1" ref="I19" ca="1">IF(AUTOEVENTO="Manual",ROUND(SUMPRODUCT((CÁLCULO!$M$15:$M$39=EVENTOS!$C19)*(OFFSET(CÁLCULO!$AA$15:$AA$39,0,I$13))),2),0)</f>
        <v>0</v>
      </c>
      <c r="J19" s="620" cm="1">
        <f t="array" aca="1" ref="J19" ca="1">IF(AUTOEVENTO="Manual",ROUND(SUMPRODUCT((CÁLCULO!$M$15:$M$39=EVENTOS!$C19)*(OFFSET(CÁLCULO!$AA$15:$AA$39,0,J$13))),2),0)</f>
        <v>0</v>
      </c>
      <c r="K19" s="620" cm="1">
        <f t="array" aca="1" ref="K19" ca="1">IF(AUTOEVENTO="Manual",ROUND(SUMPRODUCT((CÁLCULO!$M$15:$M$39=EVENTOS!$C19)*(OFFSET(CÁLCULO!$AA$15:$AA$39,0,K$13))),2),0)</f>
        <v>0</v>
      </c>
      <c r="L19" s="620" cm="1">
        <f t="array" aca="1" ref="L19" ca="1">IF(AUTOEVENTO="Manual",ROUND(SUMPRODUCT((CÁLCULO!$M$15:$M$39=EVENTOS!$C19)*(OFFSET(CÁLCULO!$AA$15:$AA$39,0,L$13))),2),0)</f>
        <v>0</v>
      </c>
      <c r="M19" s="620" cm="1">
        <f t="array" aca="1" ref="M19" ca="1">IF(AUTOEVENTO="Manual",ROUND(SUMPRODUCT((CÁLCULO!$M$15:$M$39=EVENTOS!$C19)*(OFFSET(CÁLCULO!$AA$15:$AA$39,0,M$13))),2),0)</f>
        <v>0</v>
      </c>
      <c r="N19" s="620" cm="1">
        <f t="array" aca="1" ref="N19" ca="1">IF(AUTOEVENTO="Manual",ROUND(SUMPRODUCT((CÁLCULO!$M$15:$M$39=EVENTOS!$C19)*(OFFSET(CÁLCULO!$AA$15:$AA$39,0,N$13))),2),0)</f>
        <v>0</v>
      </c>
      <c r="O19" s="620" cm="1">
        <f t="array" aca="1" ref="O19" ca="1">IF(AUTOEVENTO="Manual",ROUND(SUMPRODUCT((CÁLCULO!$M$15:$M$39=EVENTOS!$C19)*(OFFSET(CÁLCULO!$AA$15:$AA$39,0,O$13))),2),0)</f>
        <v>0</v>
      </c>
      <c r="P19" s="620" cm="1">
        <f t="array" aca="1" ref="P19" ca="1">IF(AUTOEVENTO="Manual",ROUND(SUMPRODUCT((CÁLCULO!$M$15:$M$39=EVENTOS!$C19)*(OFFSET(CÁLCULO!$AA$15:$AA$39,0,P$13))),2),0)</f>
        <v>0</v>
      </c>
      <c r="Q19" s="620" cm="1">
        <f t="array" aca="1" ref="Q19" ca="1">IF(AUTOEVENTO="Manual",ROUND(SUMPRODUCT((CÁLCULO!$M$15:$M$39=EVENTOS!$C19)*(OFFSET(CÁLCULO!$AA$15:$AA$39,0,Q$13))),2),0)</f>
        <v>0</v>
      </c>
      <c r="R19" s="620" cm="1">
        <f t="array" aca="1" ref="R19" ca="1">IF(AUTOEVENTO="Manual",ROUND(SUMPRODUCT((CÁLCULO!$M$15:$M$39=EVENTOS!$C19)*(OFFSET(CÁLCULO!$AA$15:$AA$39,0,R$13))),2),0)</f>
        <v>0</v>
      </c>
      <c r="S19" s="620" cm="1">
        <f t="array" aca="1" ref="S19" ca="1">IF(AUTOEVENTO="Manual",ROUND(SUMPRODUCT((CÁLCULO!$M$15:$M$39=EVENTOS!$C19)*(OFFSET(CÁLCULO!$AA$15:$AA$39,0,S$13))),2),0)</f>
        <v>0</v>
      </c>
      <c r="T19" s="620" cm="1">
        <f t="array" aca="1" ref="T19" ca="1">IF(AUTOEVENTO="Manual",ROUND(SUMPRODUCT((CÁLCULO!$M$15:$M$39=EVENTOS!$C19)*(OFFSET(CÁLCULO!$AA$15:$AA$39,0,T$13))),2),0)</f>
        <v>0</v>
      </c>
      <c r="U19" s="620" cm="1">
        <f t="array" aca="1" ref="U19" ca="1">IF(AUTOEVENTO="Manual",ROUND(SUMPRODUCT((CÁLCULO!$M$15:$M$39=EVENTOS!$C19)*(OFFSET(CÁLCULO!$AA$15:$AA$39,0,U$13))),2),0)</f>
        <v>0</v>
      </c>
      <c r="V19" s="620" cm="1">
        <f t="array" aca="1" ref="V19" ca="1">IF(AUTOEVENTO="Manual",ROUND(SUMPRODUCT((CÁLCULO!$M$15:$M$39=EVENTOS!$C19)*(OFFSET(CÁLCULO!$AA$15:$AA$39,0,V$13))),2),0)</f>
        <v>0</v>
      </c>
      <c r="W19" s="620" cm="1">
        <f t="array" aca="1" ref="W19" ca="1">IF(AUTOEVENTO="Manual",ROUND(SUMPRODUCT((CÁLCULO!$M$15:$M$39=EVENTOS!$C19)*(OFFSET(CÁLCULO!$AA$15:$AA$39,0,W$13))),2),0)</f>
        <v>0</v>
      </c>
      <c r="X19" s="620" cm="1">
        <f t="array" aca="1" ref="X19" ca="1">IF(AUTOEVENTO="Manual",ROUND(SUMPRODUCT((CÁLCULO!$M$15:$M$39=EVENTOS!$C19)*(OFFSET(CÁLCULO!$AA$15:$AA$39,0,X$13))),2),0)</f>
        <v>0</v>
      </c>
      <c r="Y19" s="620" cm="1">
        <f t="array" aca="1" ref="Y19" ca="1">IF(AUTOEVENTO="Manual",ROUND(SUMPRODUCT((CÁLCULO!$M$15:$M$39=EVENTOS!$C19)*(OFFSET(CÁLCULO!$AA$15:$AA$39,0,Y$13))),2),0)</f>
        <v>0</v>
      </c>
    </row>
    <row r="20" spans="1:25" x14ac:dyDescent="0.2">
      <c r="A20" s="506" t="str">
        <f t="shared" si="3"/>
        <v/>
      </c>
      <c r="B20" t="str">
        <f ca="1">IF(OR(C20=" ",D20=""),"",CONCATENATE(C20,". ",D20))</f>
        <v/>
      </c>
      <c r="C20" s="182" t="str" cm="1">
        <f t="array" aca="1" ref="C20" ca="1">IF(OR(ROW(C20)=ROW(EVENTOS.firstrow)+1,AND(OFFSET(C20,-1,0)&lt;&gt;" ",OFFSET(C20,-1,1)&lt;&gt;"")),OFFSET(C20,-1,0)+1," ")</f>
        <v xml:space="preserve"> </v>
      </c>
      <c r="D20" s="496"/>
      <c r="E20" s="620" cm="1">
        <f t="array" aca="1" ref="E20" ca="1">IF(AUTOEVENTO="Manual",ROUND(SUMPRODUCT((CÁLCULO!$M$15:$M$39=EVENTOS!$C20)*(OFFSET(CÁLCULO!$AA$15:$AA$39,0,E$13))),2),0)</f>
        <v>0</v>
      </c>
      <c r="F20" s="183">
        <f ca="1">IF(AUTOEVENTO="Manual",ROUND(SUMPRODUCT((CÁLCULO!$M$15:$M$39=EVENTOS!$C20)*(OFFSET(CÁLCULO!$AA$15,0,1):OFFSET(CÁLCULO!$AL$39,0,-1))),2),0)</f>
        <v>0</v>
      </c>
      <c r="G20" s="621" t="str">
        <f ca="1">IF(AND(D20=0,F20&gt;0),"NOME",
 IF(AND(D20&lt;&gt;0,$F$14&gt;0,F20=0),"VALOR",
 IF(AND(Import.TipoArredondamento="TransfereGOV",$A20="F",LEN(D20)&gt;100),"Nome &gt;100","")))</f>
        <v/>
      </c>
      <c r="H20" s="620" cm="1">
        <f t="array" aca="1" ref="H20" ca="1">IF(AUTOEVENTO="Manual",ROUND(SUMPRODUCT((CÁLCULO!$M$15:$M$39=EVENTOS!$C20)*(OFFSET(CÁLCULO!$AA$15:$AA$39,0,H$13))),2),0)</f>
        <v>0</v>
      </c>
      <c r="I20" s="620" cm="1">
        <f t="array" aca="1" ref="I20" ca="1">IF(AUTOEVENTO="Manual",ROUND(SUMPRODUCT((CÁLCULO!$M$15:$M$39=EVENTOS!$C20)*(OFFSET(CÁLCULO!$AA$15:$AA$39,0,I$13))),2),0)</f>
        <v>0</v>
      </c>
      <c r="J20" s="620" cm="1">
        <f t="array" aca="1" ref="J20" ca="1">IF(AUTOEVENTO="Manual",ROUND(SUMPRODUCT((CÁLCULO!$M$15:$M$39=EVENTOS!$C20)*(OFFSET(CÁLCULO!$AA$15:$AA$39,0,J$13))),2),0)</f>
        <v>0</v>
      </c>
      <c r="K20" s="620" cm="1">
        <f t="array" aca="1" ref="K20" ca="1">IF(AUTOEVENTO="Manual",ROUND(SUMPRODUCT((CÁLCULO!$M$15:$M$39=EVENTOS!$C20)*(OFFSET(CÁLCULO!$AA$15:$AA$39,0,K$13))),2),0)</f>
        <v>0</v>
      </c>
      <c r="L20" s="620" cm="1">
        <f t="array" aca="1" ref="L20" ca="1">IF(AUTOEVENTO="Manual",ROUND(SUMPRODUCT((CÁLCULO!$M$15:$M$39=EVENTOS!$C20)*(OFFSET(CÁLCULO!$AA$15:$AA$39,0,L$13))),2),0)</f>
        <v>0</v>
      </c>
      <c r="M20" s="620" cm="1">
        <f t="array" aca="1" ref="M20" ca="1">IF(AUTOEVENTO="Manual",ROUND(SUMPRODUCT((CÁLCULO!$M$15:$M$39=EVENTOS!$C20)*(OFFSET(CÁLCULO!$AA$15:$AA$39,0,M$13))),2),0)</f>
        <v>0</v>
      </c>
      <c r="N20" s="620" cm="1">
        <f t="array" aca="1" ref="N20" ca="1">IF(AUTOEVENTO="Manual",ROUND(SUMPRODUCT((CÁLCULO!$M$15:$M$39=EVENTOS!$C20)*(OFFSET(CÁLCULO!$AA$15:$AA$39,0,N$13))),2),0)</f>
        <v>0</v>
      </c>
      <c r="O20" s="620" cm="1">
        <f t="array" aca="1" ref="O20" ca="1">IF(AUTOEVENTO="Manual",ROUND(SUMPRODUCT((CÁLCULO!$M$15:$M$39=EVENTOS!$C20)*(OFFSET(CÁLCULO!$AA$15:$AA$39,0,O$13))),2),0)</f>
        <v>0</v>
      </c>
      <c r="P20" s="620" cm="1">
        <f t="array" aca="1" ref="P20" ca="1">IF(AUTOEVENTO="Manual",ROUND(SUMPRODUCT((CÁLCULO!$M$15:$M$39=EVENTOS!$C20)*(OFFSET(CÁLCULO!$AA$15:$AA$39,0,P$13))),2),0)</f>
        <v>0</v>
      </c>
      <c r="Q20" s="620" cm="1">
        <f t="array" aca="1" ref="Q20" ca="1">IF(AUTOEVENTO="Manual",ROUND(SUMPRODUCT((CÁLCULO!$M$15:$M$39=EVENTOS!$C20)*(OFFSET(CÁLCULO!$AA$15:$AA$39,0,Q$13))),2),0)</f>
        <v>0</v>
      </c>
      <c r="R20" s="620" cm="1">
        <f t="array" aca="1" ref="R20" ca="1">IF(AUTOEVENTO="Manual",ROUND(SUMPRODUCT((CÁLCULO!$M$15:$M$39=EVENTOS!$C20)*(OFFSET(CÁLCULO!$AA$15:$AA$39,0,R$13))),2),0)</f>
        <v>0</v>
      </c>
      <c r="S20" s="620" cm="1">
        <f t="array" aca="1" ref="S20" ca="1">IF(AUTOEVENTO="Manual",ROUND(SUMPRODUCT((CÁLCULO!$M$15:$M$39=EVENTOS!$C20)*(OFFSET(CÁLCULO!$AA$15:$AA$39,0,S$13))),2),0)</f>
        <v>0</v>
      </c>
      <c r="T20" s="620" cm="1">
        <f t="array" aca="1" ref="T20" ca="1">IF(AUTOEVENTO="Manual",ROUND(SUMPRODUCT((CÁLCULO!$M$15:$M$39=EVENTOS!$C20)*(OFFSET(CÁLCULO!$AA$15:$AA$39,0,T$13))),2),0)</f>
        <v>0</v>
      </c>
      <c r="U20" s="620" cm="1">
        <f t="array" aca="1" ref="U20" ca="1">IF(AUTOEVENTO="Manual",ROUND(SUMPRODUCT((CÁLCULO!$M$15:$M$39=EVENTOS!$C20)*(OFFSET(CÁLCULO!$AA$15:$AA$39,0,U$13))),2),0)</f>
        <v>0</v>
      </c>
      <c r="V20" s="620" cm="1">
        <f t="array" aca="1" ref="V20" ca="1">IF(AUTOEVENTO="Manual",ROUND(SUMPRODUCT((CÁLCULO!$M$15:$M$39=EVENTOS!$C20)*(OFFSET(CÁLCULO!$AA$15:$AA$39,0,V$13))),2),0)</f>
        <v>0</v>
      </c>
      <c r="W20" s="620" cm="1">
        <f t="array" aca="1" ref="W20" ca="1">IF(AUTOEVENTO="Manual",ROUND(SUMPRODUCT((CÁLCULO!$M$15:$M$39=EVENTOS!$C20)*(OFFSET(CÁLCULO!$AA$15:$AA$39,0,W$13))),2),0)</f>
        <v>0</v>
      </c>
      <c r="X20" s="620" cm="1">
        <f t="array" aca="1" ref="X20" ca="1">IF(AUTOEVENTO="Manual",ROUND(SUMPRODUCT((CÁLCULO!$M$15:$M$39=EVENTOS!$C20)*(OFFSET(CÁLCULO!$AA$15:$AA$39,0,X$13))),2),0)</f>
        <v>0</v>
      </c>
      <c r="Y20" s="620" cm="1">
        <f t="array" aca="1" ref="Y20" ca="1">IF(AUTOEVENTO="Manual",ROUND(SUMPRODUCT((CÁLCULO!$M$15:$M$39=EVENTOS!$C20)*(OFFSET(CÁLCULO!$AA$15:$AA$39,0,Y$13))),2),0)</f>
        <v>0</v>
      </c>
    </row>
    <row r="21" spans="1:25" ht="5.0999999999999996" customHeight="1" x14ac:dyDescent="0.2">
      <c r="A21" s="506" t="s">
        <v>536</v>
      </c>
      <c r="C21" s="629"/>
      <c r="D21" s="630"/>
      <c r="E21" s="631"/>
      <c r="F21" s="184"/>
      <c r="G21" s="631"/>
      <c r="H21" s="631"/>
      <c r="I21" s="631"/>
      <c r="J21" s="631"/>
      <c r="K21" s="631"/>
      <c r="L21" s="631"/>
      <c r="M21" s="631"/>
      <c r="N21" s="631"/>
      <c r="O21" s="631"/>
      <c r="P21" s="631"/>
      <c r="Q21" s="631"/>
      <c r="R21" s="631"/>
      <c r="S21" s="631"/>
      <c r="T21" s="631"/>
      <c r="U21" s="631"/>
      <c r="V21" s="631"/>
      <c r="W21" s="631"/>
      <c r="X21" s="631"/>
      <c r="Y21" s="631"/>
    </row>
    <row r="22" spans="1:25" x14ac:dyDescent="0.2">
      <c r="A22" s="506" t="s">
        <v>536</v>
      </c>
    </row>
    <row r="23" spans="1:25" x14ac:dyDescent="0.2">
      <c r="A23" s="506" t="s">
        <v>536</v>
      </c>
    </row>
    <row r="24" spans="1:25" ht="15" x14ac:dyDescent="0.2">
      <c r="A24" s="506" t="s">
        <v>536</v>
      </c>
      <c r="D24" s="493" t="str">
        <f>Import.Município</f>
        <v>BENTO GONÇALVES/RS</v>
      </c>
      <c r="L24" s="460"/>
      <c r="M24" s="417"/>
      <c r="N24" s="417"/>
      <c r="O24" s="417"/>
      <c r="V24" s="460"/>
      <c r="W24" s="417"/>
      <c r="X24" s="417"/>
      <c r="Y24" s="417"/>
    </row>
    <row r="25" spans="1:25" x14ac:dyDescent="0.2">
      <c r="A25" s="506" t="s">
        <v>536</v>
      </c>
      <c r="D25" s="9" t="s">
        <v>693</v>
      </c>
      <c r="H25" s="544"/>
      <c r="I25" s="544"/>
      <c r="J25" s="544"/>
      <c r="L25" s="181" t="s">
        <v>696</v>
      </c>
      <c r="V25" s="181" t="s">
        <v>696</v>
      </c>
    </row>
    <row r="26" spans="1:25" x14ac:dyDescent="0.2">
      <c r="A26" s="506" t="s">
        <v>536</v>
      </c>
      <c r="H26" s="544"/>
      <c r="I26" s="544"/>
      <c r="J26" s="544"/>
      <c r="L26" s="398" t="str">
        <f t="array" aca="1" ref="L26:L28" ca="1">OFFSET(Import.RespOrçamento,0,-1) &amp; " " &amp; Import.RespOrçamento</f>
        <v>Nome: Nathália Cortes Tosi</v>
      </c>
      <c r="V26" s="398" t="str">
        <f t="array" aca="1" ref="V26:V28" ca="1">OFFSET(Import.RespOrçamento,0,-1) &amp; " " &amp; Import.RespOrçamento</f>
        <v>Nome: Nathália Cortes Tosi</v>
      </c>
    </row>
    <row r="27" spans="1:25" x14ac:dyDescent="0.2">
      <c r="A27" s="506" t="s">
        <v>536</v>
      </c>
      <c r="D27" s="494">
        <f>DADOS!$C$25</f>
        <v>46073</v>
      </c>
      <c r="L27" s="398" t="str">
        <f ca="1"/>
        <v>CREA/CAU: RS227774</v>
      </c>
      <c r="V27" s="398" t="str">
        <f ca="1"/>
        <v>CREA/CAU: RS227774</v>
      </c>
    </row>
    <row r="28" spans="1:25" x14ac:dyDescent="0.2">
      <c r="A28" s="506" t="s">
        <v>536</v>
      </c>
      <c r="D28" s="9" t="s">
        <v>694</v>
      </c>
      <c r="L28" s="398" t="str">
        <f ca="1"/>
        <v>ART/RRT: 14233645</v>
      </c>
      <c r="V28" s="398" t="str">
        <f ca="1"/>
        <v>ART/RRT: 14233645</v>
      </c>
    </row>
  </sheetData>
  <sheetProtection algorithmName="SHA-512" hashValue="2qkmiaL5gP7sCQ1C+IUH4azHbfVijTth3a+qFWPbpeoqtjX9Bl02p7R2NjTAXBJzm0BlV6gPVbjYHhtyNstmEg==" saltValue="w+S4FElgn84R7KLa92qiFQ==" spinCount="100000" sheet="1" objects="1" scenarios="1"/>
  <autoFilter ref="A13:A28"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19 C21:Z21">
    <cfRule type="expression" dxfId="229" priority="2" stopIfTrue="1">
      <formula>OR(AUTOEVENTO&lt;&gt;"Manual",ACOMPANHAMENTO="BM",C$10=0,C$13=0,$C1=" ")</formula>
    </cfRule>
  </conditionalFormatting>
  <conditionalFormatting sqref="A15 C15:XFD15">
    <cfRule type="expression" dxfId="228" priority="152">
      <formula>$C$15=0</formula>
    </cfRule>
  </conditionalFormatting>
  <conditionalFormatting sqref="C20:Z20">
    <cfRule type="expression" dxfId="227" priority="1" stopIfTrue="1">
      <formula>OR(AUTOEVENTO&lt;&gt;"Manual",ACOMPANHAMENTO="BM",C$10=0,C$13=0,$C20=" ")</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00000000-0002-0000-0500-000000000000}">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07"/>
  <sheetViews>
    <sheetView showGridLines="0" view="pageBreakPreview" zoomScale="90" zoomScaleNormal="8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3</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Memória de Cálculo - (SELECIONAR)</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REVITALIZAÇÃO DA PIPA PÓRTICO</v>
      </c>
      <c r="F10" s="703"/>
      <c r="G10" s="703" cm="1">
        <f t="array" ref="G10">Import.TransfereGOV</f>
        <v>0</v>
      </c>
      <c r="H10" s="703"/>
      <c r="I10" s="90">
        <f>Import.CR</f>
        <v>0</v>
      </c>
      <c r="K10" s="148" t="str">
        <f>Import.Proponente</f>
        <v>MUNICÍPIO DE BENTO GONÇALVES</v>
      </c>
      <c r="L10" s="149"/>
      <c r="M10" s="100"/>
      <c r="N10" s="149"/>
      <c r="O10" s="149"/>
      <c r="P10" s="149"/>
      <c r="Q10" s="149"/>
      <c r="R10" s="91"/>
      <c r="S10" s="703">
        <f>Import.CR</f>
        <v>0</v>
      </c>
      <c r="T10" s="703"/>
      <c r="U10" s="703" t="str">
        <f>Import.Proponente</f>
        <v>MUNICÍPIO DE BENTO GONÇALVES</v>
      </c>
      <c r="V10" s="703"/>
      <c r="W10" s="703"/>
      <c r="X10" s="703"/>
      <c r="Y10" s="703"/>
      <c r="Z10" s="703"/>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IF(COUNTIF($J$15:$J$39,"►E")&gt;0,"Não pode haver serviços sem agrupador de eventos",
  IF(COUNTIF($P$11:$AA$11,"▼")&gt;0,"Não pode haver frentes de obra sem quantidades",
  IF(COUNTIF($P$11:$AA$11,"Nome &gt;100")&gt;0,"Nome da frente de obra com mais de 100 caracteres","")))))</f>
        <v>Não pode haver frentes de obra sem quantidades</v>
      </c>
      <c r="N11" s="573" t="str">
        <f ca="1">IF(OR(COUNTIF($J$15:$J$39,"►E")&gt;0,COUNTIF($J$15:$J$39,"►Q")&gt;0),"",
IF(COUNTIF($J$15:$J$39,"►S")&gt;0,"Preencha as quantidades com no máximo duas casas decimais",
IF(COUNTIF($P$11:$AA$11,"▼")&gt;0,"Falta preencher a frente de obra nº " &amp; HLOOKUP("▼",$P$11:$AA$13,3,FALSE),
IF(COUNTIF($P$11:$AA$11,"Nome &gt;100")&gt;0,"Resuma o nome da frente de obra nº " &amp; HLOOKUP("Nome &gt;100",$P$11:$AA$13,3,FALSE),""))))</f>
        <v>Falta preencher a frente de obra nº 1</v>
      </c>
      <c r="O11" s="566" t="e">
        <f ca="1">IF(AND(O1=1,O15=0),"▼",IF(AND(O1=1,LEN(O12)&gt;100),"Nome &gt;100",""))</f>
        <v>#VALUE!</v>
      </c>
      <c r="P11" s="7"/>
      <c r="Q11" s="566" t="str">
        <f t="shared" ref="Q11:Z11" ca="1" si="0">IF(AND(Q1=1,Q15=0),"▼",IF(AND(Q1=1,LEN(Q12)&gt;100),"Nome &gt;100",""))</f>
        <v>▼</v>
      </c>
      <c r="R11" s="566" t="str">
        <f t="shared" ca="1" si="0"/>
        <v>▼</v>
      </c>
      <c r="S11" s="566" t="str">
        <f t="shared" ca="1" si="0"/>
        <v>▼</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4</v>
      </c>
      <c r="B12" s="7" t="s">
        <v>769</v>
      </c>
      <c r="C12" s="489" t="s">
        <v>655</v>
      </c>
      <c r="H12" s="150"/>
      <c r="I12" s="575" t="str">
        <f ca="1">IF(AND(ACOMPANHAMENTO="PLE",CÁLCULO.FrentesPreenchidas=0),"",
  IF(COUNTIF($J$15:$J$39,"►E")&gt;0,"Falta Definir o Agrupador de Evento na linha "&amp;MATCH("►E",$J$15:$J$39,0)+ROW($J$14),
  IF(COUNTIF($J$15:$J$39,"►Q")&gt;0,"Falta preencher a quantidade do serviço na linha "&amp;MATCH("►Q",$J$15:$J$39,0)+ROW($J$14),
  IF(COUNTIF($J$15:$J$39,"►S")&gt;0,"Verifique as quantidades preenchidas na linha "&amp;MATCH("►S",$J$15:$J$39,0)+ROW($J$14),
  IF(AND(COUNTIF($P$11:$AA$11,"▼")=0,COUNTIF($J$15:$J$39,"◄")&gt;0),"Falta Preencher o Memorial de Cálculo na linha "&amp;MATCH("◄",$J$15:$J$39,0)+ROW($J$14),"")))))</f>
        <v/>
      </c>
      <c r="J12" s="151" t="s">
        <v>764</v>
      </c>
      <c r="K12" s="152" t="s">
        <v>770</v>
      </c>
      <c r="L12" s="151" t="s">
        <v>764</v>
      </c>
      <c r="M12" s="570" cm="1">
        <f t="array" aca="1" ref="M12" ca="1">IF(ACOMPANHAMENTO="BM",0,MAX($M$15:$M$39))</f>
        <v>5</v>
      </c>
      <c r="N12" s="574" t="str">
        <f ca="1">IF(AND(ACOMPANHAMENTO="PLE",CÁLCULO.FrentesPreenchidas=0),"Preencher os nomes das Frentes de Obra ►","FRENTES DE OBRA:")</f>
        <v>FRENTES DE OBRA:</v>
      </c>
      <c r="O12" s="153"/>
      <c r="P12" s="151" t="s">
        <v>764</v>
      </c>
      <c r="Q12" s="452" t="s">
        <v>1050</v>
      </c>
      <c r="R12" s="153" t="s">
        <v>1051</v>
      </c>
      <c r="S12" s="153" t="s">
        <v>1052</v>
      </c>
      <c r="T12" s="520"/>
      <c r="U12" s="153"/>
      <c r="V12" s="153"/>
      <c r="W12" s="153"/>
      <c r="X12" s="153"/>
      <c r="Y12" s="153"/>
      <c r="Z12" s="154"/>
      <c r="AA12" s="151" t="s">
        <v>764</v>
      </c>
      <c r="AB12" s="155" t="str">
        <f ca="1">IF(OFFSET($P$1,0,AB$13)=0,0,OFFSET($P$12,0,AB$13))</f>
        <v>MÊS 1</v>
      </c>
      <c r="AC12" s="155" t="str">
        <f t="shared" ref="AC12:AK12" ca="1" si="1">IF(OFFSET($P$1,0,AC$13)=0,0,OFFSET($P$12,0,AC$13))</f>
        <v>MÊS 2</v>
      </c>
      <c r="AD12" s="155" t="str">
        <f t="shared" ca="1" si="1"/>
        <v>MÊS 3</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MÊS 1</v>
      </c>
      <c r="AN12" s="156" t="str">
        <f t="shared" ca="1" si="2"/>
        <v>MÊS 2</v>
      </c>
      <c r="AO12" s="156" t="str">
        <f t="shared" ca="1" si="2"/>
        <v>MÊS 3</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t="str">
        <f t="shared" ca="1" si="2"/>
        <v>MÊS 3</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REVITALIZAÇÃO DO PÓRTICO PIPA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CTEF</v>
      </c>
      <c r="E15" s="735" t="str">
        <f>Import.DescLote</f>
        <v>REVITALIZAÇÃO DO PÓRTICO PIPA</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ROUND(SUM(OFFSET(AB$15,1,0):AB$39),2)</f>
        <v>0</v>
      </c>
      <c r="AC15" s="177">
        <f ca="1">SUM(OFFSET(AC$15,1,0):AC$39)</f>
        <v>0</v>
      </c>
      <c r="AD15" s="177">
        <f ca="1">SUM(OFFSET(AD$15,1,0):AD$39)</f>
        <v>0</v>
      </c>
      <c r="AE15" s="177">
        <f ca="1">SUM(OFFSET(AE$15,1,0):AE$39)</f>
        <v>0</v>
      </c>
      <c r="AF15" s="177">
        <f ca="1">SUM(OFFSET(AF$15,1,0):AF$39)</f>
        <v>0</v>
      </c>
      <c r="AG15" s="177">
        <f ca="1">SUM(OFFSET(AG$15,1,0):AG$39)</f>
        <v>0</v>
      </c>
      <c r="AH15" s="177">
        <f ca="1">SUM(OFFSET(AH$15,1,0):AH$39)</f>
        <v>0</v>
      </c>
      <c r="AI15" s="177">
        <f ca="1">SUM(OFFSET(AI$15,1,0):AI$39)</f>
        <v>0</v>
      </c>
      <c r="AJ15" s="177">
        <f ca="1">SUM(OFFSET(AJ$15,1,0):AJ$39)</f>
        <v>0</v>
      </c>
      <c r="AK15" s="177">
        <f ca="1">SUM(OFFSET(AK$15,1,0):AK$39)</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38"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REVITALIZAÇÃO DO PÓRTICO PIPA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38"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4.5</v>
      </c>
      <c r="I18" s="468" t="s">
        <v>1039</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v>4.5</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3</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455</v>
      </c>
      <c r="I19" s="468" t="s">
        <v>1042</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v>154</v>
      </c>
      <c r="R19" s="169">
        <v>154</v>
      </c>
      <c r="S19" s="169">
        <v>147</v>
      </c>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3</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65</v>
      </c>
      <c r="I20" s="468" t="s">
        <v>1041</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v>22</v>
      </c>
      <c r="R20" s="169">
        <v>22</v>
      </c>
      <c r="S20" s="169">
        <v>21</v>
      </c>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3</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2</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520</v>
      </c>
      <c r="I21" s="468" t="s">
        <v>1043</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v>176</v>
      </c>
      <c r="R21" s="169">
        <v>176</v>
      </c>
      <c r="S21" s="169">
        <v>168</v>
      </c>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3</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38.25" x14ac:dyDescent="0.2">
      <c r="A22" s="7" t="str">
        <f t="shared" ca="1" si="8"/>
        <v>2</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200</v>
      </c>
      <c r="I22" s="468" t="s">
        <v>1044</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v>200</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3</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12.75" x14ac:dyDescent="0.2">
      <c r="A23" s="7" t="str">
        <f t="shared" ca="1" si="8"/>
        <v>8.</v>
      </c>
      <c r="B23" s="7">
        <f ca="1">OFFSET(ORÇAMENTO!C$15,$L23,0)</f>
        <v>2</v>
      </c>
      <c r="C23" s="7" t="str">
        <f ca="1">OFFSET(ORÇAMENTO!L$15,$L23,0)</f>
        <v>F</v>
      </c>
      <c r="D23" s="116" t="str">
        <f ca="1">OFFSET(ORÇAMENTO!N$15,$L23,0)</f>
        <v>Nível 2</v>
      </c>
      <c r="E23" s="117" t="str">
        <f ca="1">OFFSET(ORÇAMENTO!O$15,$L23,0)</f>
        <v>1.2.</v>
      </c>
      <c r="F23" s="163" t="str">
        <f ca="1">OFFSET(ORÇAMENTO!R$15,$L23,0)</f>
        <v>ADMINISTRAÇÃO LOCAL</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ht="12.75" x14ac:dyDescent="0.2">
      <c r="A24" s="7" t="str">
        <f t="shared" ca="1" si="8"/>
        <v>8</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1</v>
      </c>
      <c r="I24" s="468" t="s">
        <v>1040</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ADMINISTRAÇÃO LOCAL</v>
      </c>
      <c r="O24" s="168"/>
      <c r="Q24" s="168">
        <v>0.2</v>
      </c>
      <c r="R24" s="169">
        <v>0.35</v>
      </c>
      <c r="S24" s="169">
        <v>0.45</v>
      </c>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2</v>
      </c>
      <c r="AO24" s="171">
        <f ca="1">IF(OR($D24&lt;&gt;"Serviço",AND(AUTOEVENTO="Manual",$M24=$A$15)),0,
         IF(OFFSET(CRONOPLE!$F$15,$M24-$A$15,AO$13)=0,10^12,OFFSET(CRONOPLE!$F$15,$M24-$A$15,AO$13)))</f>
        <v>3</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t="str">
        <f t="shared" ca="1" si="8"/>
        <v>10.</v>
      </c>
      <c r="B25" s="7">
        <f ca="1">OFFSET(ORÇAMENTO!C$15,$L25,0)</f>
        <v>2</v>
      </c>
      <c r="C25" s="7" t="str">
        <f ca="1">OFFSET(ORÇAMENTO!L$15,$L25,0)</f>
        <v>F</v>
      </c>
      <c r="D25" s="116" t="str">
        <f ca="1">OFFSET(ORÇAMENTO!N$15,$L25,0)</f>
        <v>Nível 2</v>
      </c>
      <c r="E25" s="117" t="str">
        <f ca="1">OFFSET(ORÇAMENTO!O$15,$L25,0)</f>
        <v>1.3.</v>
      </c>
      <c r="F25" s="163" t="str">
        <f ca="1">OFFSET(ORÇAMENTO!R$15,$L25,0)</f>
        <v>LIMPEZA E PREPARO DA ESTRUTURA</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140.25" x14ac:dyDescent="0.2">
      <c r="A26" s="7" t="str">
        <f t="shared" ca="1" si="8"/>
        <v>10</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M2</v>
      </c>
      <c r="H26" s="122" cm="1">
        <f t="array" aca="1" ref="H26" ca="1">IF($D26&lt;&gt;"Serviço",0,IF(ACOMPANHAMENTO="BM",ROUND(OFFSET(ORÇAMENTO!AJ$15,$L26,0),15-13*ORÇAMENTO!$AF$7),IF(IFERROR(CÁLCULO.FrentesPreenchidas,0)=0,0,SUM(ROUND(OFFSET($P26,0,1,1,CÁLCULO.FrentesPreenchidas),15-13*ORÇAMENTO!$AF$7)))))</f>
        <v>1450</v>
      </c>
      <c r="I26" s="468" t="s">
        <v>1045</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LIMPEZA E PREPARO DA ESTRUTURA</v>
      </c>
      <c r="O26" s="168"/>
      <c r="Q26" s="168">
        <v>1450</v>
      </c>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2</v>
      </c>
      <c r="AO26" s="171">
        <f ca="1">IF(OR($D26&lt;&gt;"Serviço",AND(AUTOEVENTO="Manual",$M26=$A$15)),0,
         IF(OFFSET(CRONOPLE!$F$15,$M26-$A$15,AO$13)=0,10^12,OFFSET(CRONOPLE!$F$15,$M26-$A$15,AO$13)))</f>
        <v>3</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5.5" x14ac:dyDescent="0.2">
      <c r="A27" s="7" t="str">
        <f t="shared" ca="1" si="8"/>
        <v>10</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480</v>
      </c>
      <c r="I27" s="468" t="s">
        <v>1046</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LIMPEZA E PREPARO DA ESTRUTURA</v>
      </c>
      <c r="O27" s="168"/>
      <c r="Q27" s="168">
        <v>480</v>
      </c>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3</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8"/>
        <v>10</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480</v>
      </c>
      <c r="I28" s="468" t="s">
        <v>1046</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LIMPEZA E PREPARO DA ESTRUTURA</v>
      </c>
      <c r="O28" s="168"/>
      <c r="Q28" s="168">
        <v>480</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2</v>
      </c>
      <c r="AO28" s="171">
        <f ca="1">IF(OR($D28&lt;&gt;"Serviço",AND(AUTOEVENTO="Manual",$M28=$A$15)),0,
         IF(OFFSET(CRONOPLE!$F$15,$M28-$A$15,AO$13)=0,10^12,OFFSET(CRONOPLE!$F$15,$M28-$A$15,AO$13)))</f>
        <v>3</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12.75" x14ac:dyDescent="0.2">
      <c r="A29" s="7" t="str">
        <f t="shared" ca="1" si="8"/>
        <v>14.</v>
      </c>
      <c r="B29" s="7">
        <f ca="1">OFFSET(ORÇAMENTO!C$15,$L29,0)</f>
        <v>2</v>
      </c>
      <c r="C29" s="7" t="str">
        <f ca="1">OFFSET(ORÇAMENTO!L$15,$L29,0)</f>
        <v>F</v>
      </c>
      <c r="D29" s="116" t="str">
        <f ca="1">OFFSET(ORÇAMENTO!N$15,$L29,0)</f>
        <v>Nível 2</v>
      </c>
      <c r="E29" s="117" t="str">
        <f ca="1">OFFSET(ORÇAMENTO!O$15,$L29,0)</f>
        <v>1.4.</v>
      </c>
      <c r="F29" s="163" t="str">
        <f ca="1">OFFSET(ORÇAMENTO!R$15,$L29,0)</f>
        <v>RECUPERAÇÃO, REVESTIMENTO E PROTEÇÃO DA ESTRUTURA</v>
      </c>
      <c r="G29" s="164" t="str">
        <f ca="1">IF($D29&lt;&gt;"Serviço","",OFFSET(ORÇAMENTO!S$15,$L29,0))</f>
        <v/>
      </c>
      <c r="H29" s="122" cm="1">
        <f t="array" aca="1" ref="H29" ca="1">IF($D29&lt;&gt;"Serviço",0,IF(ACOMPANHAMENTO="BM",ROUND(OFFSET(ORÇAMENTO!AJ$15,$L29,0),15-13*ORÇAMENTO!$AF$7),IF(IFERROR(CÁLCULO.FrentesPreenchidas,0)=0,0,SUM(ROUND(OFFSET($P29,0,1,1,CÁLCULO.FrentesPreenchidas),15-13*ORÇAMENTO!$AF$7)))))</f>
        <v>0</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t="str">
        <f ca="1">IF($D29&lt;&gt;"Serviço","",
          IF(AUTOEVENTO="manual",$A29,
                IF(ISERROR(MATCH($A29,$A$15:OFFSET($A29,-1,0),0)),MAX($M$15:OFFSET(M29,-1,0))+1,
                      INDEX($M$15:OFFSET(M29,-1,0),MATCH($A29,$A$15:OFFSET($A29,-1,0),0)))))</f>
        <v/>
      </c>
      <c r="N29" s="167" t="str">
        <f ca="1">IF($D29&lt;&gt;"Serviço","",
         IF(AUTOEVENTO="Manual",
                IF($A29=0,"&lt;-- defina o número do agrupador",
                       OFFSET(EVENTOS!$D$15,$A29-$A$15,0)),
                OFFSET($F$15,$A29,0)))</f>
        <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0</v>
      </c>
      <c r="AN29" s="171">
        <f ca="1">IF(OR($D29&lt;&gt;"Serviço",AND(AUTOEVENTO="Manual",$M29=$A$15)),0,
         IF(OFFSET(CRONOPLE!$F$15,$M29-$A$15,AN$13)=0,10^12,OFFSET(CRONOPLE!$F$15,$M29-$A$15,AN$13)))</f>
        <v>0</v>
      </c>
      <c r="AO29" s="171">
        <f ca="1">IF(OR($D29&lt;&gt;"Serviço",AND(AUTOEVENTO="Manual",$M29=$A$15)),0,
         IF(OFFSET(CRONOPLE!$F$15,$M29-$A$15,AO$13)=0,10^12,OFFSET(CRONOPLE!$F$15,$M29-$A$15,AO$13)))</f>
        <v>0</v>
      </c>
      <c r="AP29" s="171">
        <f ca="1">IF(OR($D29&lt;&gt;"Serviço",AND(AUTOEVENTO="Manual",$M29=$A$15)),0,
         IF(OFFSET(CRONOPLE!$F$15,$M29-$A$15,AP$13)=0,10^12,OFFSET(CRONOPLE!$F$15,$M29-$A$15,AP$13)))</f>
        <v>0</v>
      </c>
      <c r="AQ29" s="171">
        <f ca="1">IF(OR($D29&lt;&gt;"Serviço",AND(AUTOEVENTO="Manual",$M29=$A$15)),0,
         IF(OFFSET(CRONOPLE!$F$15,$M29-$A$15,AQ$13)=0,10^12,OFFSET(CRONOPLE!$F$15,$M29-$A$15,AQ$13)))</f>
        <v>0</v>
      </c>
      <c r="AR29" s="171">
        <f ca="1">IF(OR($D29&lt;&gt;"Serviço",AND(AUTOEVENTO="Manual",$M29=$A$15)),0,
         IF(OFFSET(CRONOPLE!$F$15,$M29-$A$15,AR$13)=0,10^12,OFFSET(CRONOPLE!$F$15,$M29-$A$15,AR$13)))</f>
        <v>0</v>
      </c>
      <c r="AS29" s="171">
        <f ca="1">IF(OR($D29&lt;&gt;"Serviço",AND(AUTOEVENTO="Manual",$M29=$A$15)),0,
         IF(OFFSET(CRONOPLE!$F$15,$M29-$A$15,AS$13)=0,10^12,OFFSET(CRONOPLE!$F$15,$M29-$A$15,AS$13)))</f>
        <v>0</v>
      </c>
      <c r="AT29" s="171">
        <f ca="1">IF(OR($D29&lt;&gt;"Serviço",AND(AUTOEVENTO="Manual",$M29=$A$15)),0,
         IF(OFFSET(CRONOPLE!$F$15,$M29-$A$15,AT$13)=0,10^12,OFFSET(CRONOPLE!$F$15,$M29-$A$15,AT$13)))</f>
        <v>0</v>
      </c>
      <c r="AU29" s="171">
        <f ca="1">IF(OR($D29&lt;&gt;"Serviço",AND(AUTOEVENTO="Manual",$M29=$A$15)),0,
         IF(OFFSET(CRONOPLE!$F$15,$M29-$A$15,AU$13)=0,10^12,OFFSET(CRONOPLE!$F$15,$M29-$A$15,AU$13)))</f>
        <v>0</v>
      </c>
      <c r="AV29" s="171">
        <f ca="1">IF(OR($D29&lt;&gt;"Serviço",AND(AUTOEVENTO="Manual",$M29=$A$15)),0,
         IF(OFFSET(CRONOPLE!$F$15,$M29-$A$15,AV$13)=0,10^12,OFFSET(CRONOPLE!$F$15,$M29-$A$15,AV$13)))</f>
        <v>0</v>
      </c>
      <c r="AX29" s="172" cm="1">
        <f t="array" aca="1" ref="AX29" ca="1">IF(OR($D29&lt;&gt;"Serviço",AND(AUTOEVENTO="Manual",$M29=$A$15),$M29&gt;(ROW(PLE.lastrow)-ROW(PLE.firstrow))),0,
           IF(OFFSET(PLE!$G$15,$M29-$A$15,AX$13)="",10^12,OFFSET(PLE!$G$15,$M29-$A$15,AX$13)))</f>
        <v>0</v>
      </c>
      <c r="AY29" s="172" cm="1">
        <f t="array" aca="1" ref="AY29" ca="1">IF(OR($D29&lt;&gt;"Serviço",AND(AUTOEVENTO="Manual",$M29=$A$15),$M29&gt;(ROW(PLE.lastrow)-ROW(PLE.firstrow))),0,
           IF(OFFSET(PLE!$G$15,$M29-$A$15,AY$13)="",10^12,OFFSET(PLE!$G$15,$M29-$A$15,AY$13)))</f>
        <v>0</v>
      </c>
      <c r="AZ29" s="172" cm="1">
        <f t="array" aca="1" ref="AZ29" ca="1">IF(OR($D29&lt;&gt;"Serviço",AND(AUTOEVENTO="Manual",$M29=$A$15),$M29&gt;(ROW(PLE.lastrow)-ROW(PLE.firstrow))),0,
           IF(OFFSET(PLE!$G$15,$M29-$A$15,AZ$13)="",10^12,OFFSET(PLE!$G$15,$M29-$A$15,AZ$13)))</f>
        <v>0</v>
      </c>
      <c r="BA29" s="172" cm="1">
        <f t="array" aca="1" ref="BA29" ca="1">IF(OR($D29&lt;&gt;"Serviço",AND(AUTOEVENTO="Manual",$M29=$A$15),$M29&gt;(ROW(PLE.lastrow)-ROW(PLE.firstrow))),0,
           IF(OFFSET(PLE!$G$15,$M29-$A$15,BA$13)="",10^12,OFFSET(PLE!$G$15,$M29-$A$15,BA$13)))</f>
        <v>0</v>
      </c>
      <c r="BB29" s="172" cm="1">
        <f t="array" aca="1" ref="BB29" ca="1">IF(OR($D29&lt;&gt;"Serviço",AND(AUTOEVENTO="Manual",$M29=$A$15),$M29&gt;(ROW(PLE.lastrow)-ROW(PLE.firstrow))),0,
           IF(OFFSET(PLE!$G$15,$M29-$A$15,BB$13)="",10^12,OFFSET(PLE!$G$15,$M29-$A$15,BB$13)))</f>
        <v>0</v>
      </c>
      <c r="BC29" s="172" cm="1">
        <f t="array" aca="1" ref="BC29" ca="1">IF(OR($D29&lt;&gt;"Serviço",AND(AUTOEVENTO="Manual",$M29=$A$15),$M29&gt;(ROW(PLE.lastrow)-ROW(PLE.firstrow))),0,
           IF(OFFSET(PLE!$G$15,$M29-$A$15,BC$13)="",10^12,OFFSET(PLE!$G$15,$M29-$A$15,BC$13)))</f>
        <v>0</v>
      </c>
      <c r="BD29" s="172" cm="1">
        <f t="array" aca="1" ref="BD29" ca="1">IF(OR($D29&lt;&gt;"Serviço",AND(AUTOEVENTO="Manual",$M29=$A$15),$M29&gt;(ROW(PLE.lastrow)-ROW(PLE.firstrow))),0,
           IF(OFFSET(PLE!$G$15,$M29-$A$15,BD$13)="",10^12,OFFSET(PLE!$G$15,$M29-$A$15,BD$13)))</f>
        <v>0</v>
      </c>
      <c r="BE29" s="172" cm="1">
        <f t="array" aca="1" ref="BE29" ca="1">IF(OR($D29&lt;&gt;"Serviço",AND(AUTOEVENTO="Manual",$M29=$A$15),$M29&gt;(ROW(PLE.lastrow)-ROW(PLE.firstrow))),0,
           IF(OFFSET(PLE!$G$15,$M29-$A$15,BE$13)="",10^12,OFFSET(PLE!$G$15,$M29-$A$15,BE$13)))</f>
        <v>0</v>
      </c>
      <c r="BF29" s="172" cm="1">
        <f t="array" aca="1" ref="BF29" ca="1">IF(OR($D29&lt;&gt;"Serviço",AND(AUTOEVENTO="Manual",$M29=$A$15),$M29&gt;(ROW(PLE.lastrow)-ROW(PLE.firstrow))),0,
           IF(OFFSET(PLE!$G$15,$M29-$A$15,BF$13)="",10^12,OFFSET(PLE!$G$15,$M29-$A$15,BF$13)))</f>
        <v>0</v>
      </c>
      <c r="BG29" s="172" cm="1">
        <f t="array" aca="1" ref="BG29" ca="1">IF(OR($D29&lt;&gt;"Serviço",AND(AUTOEVENTO="Manual",$M29=$A$15),$M29&gt;(ROW(PLE.lastrow)-ROW(PLE.firstrow))),0,
           IF(OFFSET(PLE!$G$15,$M29-$A$15,BG$13)="",10^12,OFFSET(PLE!$G$15,$M29-$A$15,BG$13)))</f>
        <v>0</v>
      </c>
    </row>
    <row r="30" spans="1:59" ht="51" x14ac:dyDescent="0.2">
      <c r="A30" s="7" t="str">
        <f t="shared" ca="1" si="8"/>
        <v>14</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7.2</v>
      </c>
      <c r="I30" s="468" t="s">
        <v>1047</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f ca="1">IF($D30&lt;&gt;"Serviço","",
          IF(AUTOEVENTO="manual",$A30,
                IF(ISERROR(MATCH($A30,$A$15:OFFSET($A30,-1,0),0)),MAX($M$15:OFFSET(M30,-1,0))+1,
                      INDEX($M$15:OFFSET(M30,-1,0),MATCH($A30,$A$15:OFFSET($A30,-1,0),0)))))</f>
        <v>4</v>
      </c>
      <c r="N30" s="167" t="str">
        <f ca="1">IF($D30&lt;&gt;"Serviço","",
         IF(AUTOEVENTO="Manual",
                IF($A30=0,"&lt;-- defina o número do agrupador",
                       OFFSET(EVENTOS!$D$15,$A30-$A$15,0)),
                OFFSET($F$15,$A30,0)))</f>
        <v>RECUPERAÇÃO, REVESTIMENTO E PROTEÇÃO DA ESTRUTURA</v>
      </c>
      <c r="O30" s="168"/>
      <c r="Q30" s="168">
        <v>3.6</v>
      </c>
      <c r="R30" s="169">
        <v>3.6</v>
      </c>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3</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8"/>
        <v>14</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M2</v>
      </c>
      <c r="H31" s="122" cm="1">
        <f t="array" aca="1" ref="H31" ca="1">IF($D31&lt;&gt;"Serviço",0,IF(ACOMPANHAMENTO="BM",ROUND(OFFSET(ORÇAMENTO!AJ$15,$L31,0),15-13*ORÇAMENTO!$AF$7),IF(IFERROR(CÁLCULO.FrentesPreenchidas,0)=0,0,SUM(ROUND(OFFSET($P31,0,1,1,CÁLCULO.FrentesPreenchidas),15-13*ORÇAMENTO!$AF$7)))))</f>
        <v>480</v>
      </c>
      <c r="I31" s="468" t="s">
        <v>1046</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RECUPERAÇÃO, REVESTIMENTO E PROTEÇÃO DA ESTRUTURA</v>
      </c>
      <c r="O31" s="168"/>
      <c r="Q31" s="168"/>
      <c r="R31" s="169">
        <v>240</v>
      </c>
      <c r="S31" s="169">
        <v>240</v>
      </c>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3</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140.25" x14ac:dyDescent="0.2">
      <c r="A32" s="7" t="str">
        <f t="shared" ca="1" si="8"/>
        <v>14</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1450</v>
      </c>
      <c r="I32" s="468" t="s">
        <v>1045</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RECUPERAÇÃO, REVESTIMENTO E PROTEÇÃO DA ESTRUTURA</v>
      </c>
      <c r="O32" s="168"/>
      <c r="Q32" s="168"/>
      <c r="R32" s="169">
        <v>725</v>
      </c>
      <c r="S32" s="169">
        <v>725</v>
      </c>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2</v>
      </c>
      <c r="AO32" s="171">
        <f ca="1">IF(OR($D32&lt;&gt;"Serviço",AND(AUTOEVENTO="Manual",$M32=$A$15)),0,
         IF(OFFSET(CRONOPLE!$F$15,$M32-$A$15,AO$13)=0,10^12,OFFSET(CRONOPLE!$F$15,$M32-$A$15,AO$13)))</f>
        <v>3</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40.25" x14ac:dyDescent="0.2">
      <c r="A33" s="7" t="str">
        <f t="shared" ca="1" si="8"/>
        <v>14</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1450</v>
      </c>
      <c r="I33" s="468" t="s">
        <v>1045</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RECUPERAÇÃO, REVESTIMENTO E PROTEÇÃO DA ESTRUTURA</v>
      </c>
      <c r="O33" s="168"/>
      <c r="Q33" s="168"/>
      <c r="R33" s="169"/>
      <c r="S33" s="169">
        <v>1450</v>
      </c>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2</v>
      </c>
      <c r="AO33" s="171">
        <f ca="1">IF(OR($D33&lt;&gt;"Serviço",AND(AUTOEVENTO="Manual",$M33=$A$15)),0,
         IF(OFFSET(CRONOPLE!$F$15,$M33-$A$15,AO$13)=0,10^12,OFFSET(CRONOPLE!$F$15,$M33-$A$15,AO$13)))</f>
        <v>3</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12.75" x14ac:dyDescent="0.2">
      <c r="A34" s="7" t="str">
        <f t="shared" ca="1" si="8"/>
        <v>19.</v>
      </c>
      <c r="B34" s="7">
        <f ca="1">OFFSET(ORÇAMENTO!C$15,$L34,0)</f>
        <v>2</v>
      </c>
      <c r="C34" s="7" t="str">
        <f ca="1">OFFSET(ORÇAMENTO!L$15,$L34,0)</f>
        <v>F</v>
      </c>
      <c r="D34" s="116" t="str">
        <f ca="1">OFFSET(ORÇAMENTO!N$15,$L34,0)</f>
        <v>Nível 2</v>
      </c>
      <c r="E34" s="117" t="str">
        <f ca="1">OFFSET(ORÇAMENTO!O$15,$L34,0)</f>
        <v>1.5.</v>
      </c>
      <c r="F34" s="163" t="str">
        <f ca="1">OFFSET(ORÇAMENTO!R$15,$L34,0)</f>
        <v>SERVIÇOS FINAIS</v>
      </c>
      <c r="G34" s="164" t="str">
        <f ca="1">IF($D34&lt;&gt;"Serviço","",OFFSET(ORÇAMENTO!S$15,$L34,0))</f>
        <v/>
      </c>
      <c r="H34" s="122" cm="1">
        <f t="array" aca="1" ref="H34" ca="1">IF($D34&lt;&gt;"Serviço",0,IF(ACOMPANHAMENTO="BM",ROUND(OFFSET(ORÇAMENTO!AJ$15,$L34,0),15-13*ORÇAMENTO!$AF$7),IF(IFERROR(CÁLCULO.FrentesPreenchidas,0)=0,0,SUM(ROUND(OFFSET($P34,0,1,1,CÁLCULO.FrentesPreenchidas),15-13*ORÇAMENTO!$AF$7)))))</f>
        <v>0</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t="str">
        <f ca="1">IF($D34&lt;&gt;"Serviço","",
          IF(AUTOEVENTO="manual",$A34,
                IF(ISERROR(MATCH($A34,$A$15:OFFSET($A34,-1,0),0)),MAX($M$15:OFFSET(M34,-1,0))+1,
                      INDEX($M$15:OFFSET(M34,-1,0),MATCH($A34,$A$15:OFFSET($A34,-1,0),0)))))</f>
        <v/>
      </c>
      <c r="N34" s="167" t="str">
        <f ca="1">IF($D34&lt;&gt;"Serviço","",
         IF(AUTOEVENTO="Manual",
                IF($A34=0,"&lt;-- defina o número do agrupador",
                       OFFSET(EVENTOS!$D$15,$A34-$A$15,0)),
                OFFSET($F$15,$A34,0)))</f>
        <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0</v>
      </c>
      <c r="AN34" s="171">
        <f ca="1">IF(OR($D34&lt;&gt;"Serviço",AND(AUTOEVENTO="Manual",$M34=$A$15)),0,
         IF(OFFSET(CRONOPLE!$F$15,$M34-$A$15,AN$13)=0,10^12,OFFSET(CRONOPLE!$F$15,$M34-$A$15,AN$13)))</f>
        <v>0</v>
      </c>
      <c r="AO34" s="171">
        <f ca="1">IF(OR($D34&lt;&gt;"Serviço",AND(AUTOEVENTO="Manual",$M34=$A$15)),0,
         IF(OFFSET(CRONOPLE!$F$15,$M34-$A$15,AO$13)=0,10^12,OFFSET(CRONOPLE!$F$15,$M34-$A$15,AO$13)))</f>
        <v>0</v>
      </c>
      <c r="AP34" s="171">
        <f ca="1">IF(OR($D34&lt;&gt;"Serviço",AND(AUTOEVENTO="Manual",$M34=$A$15)),0,
         IF(OFFSET(CRONOPLE!$F$15,$M34-$A$15,AP$13)=0,10^12,OFFSET(CRONOPLE!$F$15,$M34-$A$15,AP$13)))</f>
        <v>0</v>
      </c>
      <c r="AQ34" s="171">
        <f ca="1">IF(OR($D34&lt;&gt;"Serviço",AND(AUTOEVENTO="Manual",$M34=$A$15)),0,
         IF(OFFSET(CRONOPLE!$F$15,$M34-$A$15,AQ$13)=0,10^12,OFFSET(CRONOPLE!$F$15,$M34-$A$15,AQ$13)))</f>
        <v>0</v>
      </c>
      <c r="AR34" s="171">
        <f ca="1">IF(OR($D34&lt;&gt;"Serviço",AND(AUTOEVENTO="Manual",$M34=$A$15)),0,
         IF(OFFSET(CRONOPLE!$F$15,$M34-$A$15,AR$13)=0,10^12,OFFSET(CRONOPLE!$F$15,$M34-$A$15,AR$13)))</f>
        <v>0</v>
      </c>
      <c r="AS34" s="171">
        <f ca="1">IF(OR($D34&lt;&gt;"Serviço",AND(AUTOEVENTO="Manual",$M34=$A$15)),0,
         IF(OFFSET(CRONOPLE!$F$15,$M34-$A$15,AS$13)=0,10^12,OFFSET(CRONOPLE!$F$15,$M34-$A$15,AS$13)))</f>
        <v>0</v>
      </c>
      <c r="AT34" s="171">
        <f ca="1">IF(OR($D34&lt;&gt;"Serviço",AND(AUTOEVENTO="Manual",$M34=$A$15)),0,
         IF(OFFSET(CRONOPLE!$F$15,$M34-$A$15,AT$13)=0,10^12,OFFSET(CRONOPLE!$F$15,$M34-$A$15,AT$13)))</f>
        <v>0</v>
      </c>
      <c r="AU34" s="171">
        <f ca="1">IF(OR($D34&lt;&gt;"Serviço",AND(AUTOEVENTO="Manual",$M34=$A$15)),0,
         IF(OFFSET(CRONOPLE!$F$15,$M34-$A$15,AU$13)=0,10^12,OFFSET(CRONOPLE!$F$15,$M34-$A$15,AU$13)))</f>
        <v>0</v>
      </c>
      <c r="AV34" s="171">
        <f ca="1">IF(OR($D34&lt;&gt;"Serviço",AND(AUTOEVENTO="Manual",$M34=$A$15)),0,
         IF(OFFSET(CRONOPLE!$F$15,$M34-$A$15,AV$13)=0,10^12,OFFSET(CRONOPLE!$F$15,$M34-$A$15,AV$13)))</f>
        <v>0</v>
      </c>
      <c r="AX34" s="172" cm="1">
        <f t="array" aca="1" ref="AX34" ca="1">IF(OR($D34&lt;&gt;"Serviço",AND(AUTOEVENTO="Manual",$M34=$A$15),$M34&gt;(ROW(PLE.lastrow)-ROW(PLE.firstrow))),0,
           IF(OFFSET(PLE!$G$15,$M34-$A$15,AX$13)="",10^12,OFFSET(PLE!$G$15,$M34-$A$15,AX$13)))</f>
        <v>0</v>
      </c>
      <c r="AY34" s="172" cm="1">
        <f t="array" aca="1" ref="AY34" ca="1">IF(OR($D34&lt;&gt;"Serviço",AND(AUTOEVENTO="Manual",$M34=$A$15),$M34&gt;(ROW(PLE.lastrow)-ROW(PLE.firstrow))),0,
           IF(OFFSET(PLE!$G$15,$M34-$A$15,AY$13)="",10^12,OFFSET(PLE!$G$15,$M34-$A$15,AY$13)))</f>
        <v>0</v>
      </c>
      <c r="AZ34" s="172" cm="1">
        <f t="array" aca="1" ref="AZ34" ca="1">IF(OR($D34&lt;&gt;"Serviço",AND(AUTOEVENTO="Manual",$M34=$A$15),$M34&gt;(ROW(PLE.lastrow)-ROW(PLE.firstrow))),0,
           IF(OFFSET(PLE!$G$15,$M34-$A$15,AZ$13)="",10^12,OFFSET(PLE!$G$15,$M34-$A$15,AZ$13)))</f>
        <v>0</v>
      </c>
      <c r="BA34" s="172" cm="1">
        <f t="array" aca="1" ref="BA34" ca="1">IF(OR($D34&lt;&gt;"Serviço",AND(AUTOEVENTO="Manual",$M34=$A$15),$M34&gt;(ROW(PLE.lastrow)-ROW(PLE.firstrow))),0,
           IF(OFFSET(PLE!$G$15,$M34-$A$15,BA$13)="",10^12,OFFSET(PLE!$G$15,$M34-$A$15,BA$13)))</f>
        <v>0</v>
      </c>
      <c r="BB34" s="172" cm="1">
        <f t="array" aca="1" ref="BB34" ca="1">IF(OR($D34&lt;&gt;"Serviço",AND(AUTOEVENTO="Manual",$M34=$A$15),$M34&gt;(ROW(PLE.lastrow)-ROW(PLE.firstrow))),0,
           IF(OFFSET(PLE!$G$15,$M34-$A$15,BB$13)="",10^12,OFFSET(PLE!$G$15,$M34-$A$15,BB$13)))</f>
        <v>0</v>
      </c>
      <c r="BC34" s="172" cm="1">
        <f t="array" aca="1" ref="BC34" ca="1">IF(OR($D34&lt;&gt;"Serviço",AND(AUTOEVENTO="Manual",$M34=$A$15),$M34&gt;(ROW(PLE.lastrow)-ROW(PLE.firstrow))),0,
           IF(OFFSET(PLE!$G$15,$M34-$A$15,BC$13)="",10^12,OFFSET(PLE!$G$15,$M34-$A$15,BC$13)))</f>
        <v>0</v>
      </c>
      <c r="BD34" s="172" cm="1">
        <f t="array" aca="1" ref="BD34" ca="1">IF(OR($D34&lt;&gt;"Serviço",AND(AUTOEVENTO="Manual",$M34=$A$15),$M34&gt;(ROW(PLE.lastrow)-ROW(PLE.firstrow))),0,
           IF(OFFSET(PLE!$G$15,$M34-$A$15,BD$13)="",10^12,OFFSET(PLE!$G$15,$M34-$A$15,BD$13)))</f>
        <v>0</v>
      </c>
      <c r="BE34" s="172" cm="1">
        <f t="array" aca="1" ref="BE34" ca="1">IF(OR($D34&lt;&gt;"Serviço",AND(AUTOEVENTO="Manual",$M34=$A$15),$M34&gt;(ROW(PLE.lastrow)-ROW(PLE.firstrow))),0,
           IF(OFFSET(PLE!$G$15,$M34-$A$15,BE$13)="",10^12,OFFSET(PLE!$G$15,$M34-$A$15,BE$13)))</f>
        <v>0</v>
      </c>
      <c r="BF34" s="172" cm="1">
        <f t="array" aca="1" ref="BF34" ca="1">IF(OR($D34&lt;&gt;"Serviço",AND(AUTOEVENTO="Manual",$M34=$A$15),$M34&gt;(ROW(PLE.lastrow)-ROW(PLE.firstrow))),0,
           IF(OFFSET(PLE!$G$15,$M34-$A$15,BF$13)="",10^12,OFFSET(PLE!$G$15,$M34-$A$15,BF$13)))</f>
        <v>0</v>
      </c>
      <c r="BG34" s="172" cm="1">
        <f t="array" aca="1" ref="BG34" ca="1">IF(OR($D34&lt;&gt;"Serviço",AND(AUTOEVENTO="Manual",$M34=$A$15),$M34&gt;(ROW(PLE.lastrow)-ROW(PLE.firstrow))),0,
           IF(OFFSET(PLE!$G$15,$M34-$A$15,BG$13)="",10^12,OFFSET(PLE!$G$15,$M34-$A$15,BG$13)))</f>
        <v>0</v>
      </c>
    </row>
    <row r="35" spans="1:59" ht="51" x14ac:dyDescent="0.2">
      <c r="A35" s="7" t="str">
        <f t="shared" ca="1" si="8"/>
        <v>19</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50</v>
      </c>
      <c r="I35" s="468" t="s">
        <v>1044</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5</v>
      </c>
      <c r="N35" s="167" t="str">
        <f ca="1">IF($D35&lt;&gt;"Serviço","",
         IF(AUTOEVENTO="Manual",
                IF($A35=0,"&lt;-- defina o número do agrupador",
                       OFFSET(EVENTOS!$D$15,$A35-$A$15,0)),
                OFFSET($F$15,$A35,0)))</f>
        <v>SERVIÇOS FINAIS</v>
      </c>
      <c r="O35" s="168"/>
      <c r="Q35" s="168"/>
      <c r="R35" s="169"/>
      <c r="S35" s="169">
        <v>50</v>
      </c>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3</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8.25" x14ac:dyDescent="0.2">
      <c r="A36" s="7" t="str">
        <f t="shared" ca="1" si="8"/>
        <v>19</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200</v>
      </c>
      <c r="I36" s="468" t="s">
        <v>1044</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SERVIÇOS FINAIS</v>
      </c>
      <c r="O36" s="168"/>
      <c r="Q36" s="168"/>
      <c r="R36" s="169"/>
      <c r="S36" s="169">
        <v>200</v>
      </c>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3</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t="shared" ca="1" si="8"/>
        <v>19</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3</v>
      </c>
      <c r="I37" s="468" t="s">
        <v>1048</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SERVIÇOS FINAIS</v>
      </c>
      <c r="O37" s="168"/>
      <c r="Q37" s="168"/>
      <c r="R37" s="169"/>
      <c r="S37" s="169">
        <v>3</v>
      </c>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3</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12.75" x14ac:dyDescent="0.2">
      <c r="A38" s="7" t="str">
        <f t="shared" ca="1" si="8"/>
        <v>19</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300</v>
      </c>
      <c r="I38" s="468" t="s">
        <v>1049</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5</v>
      </c>
      <c r="N38" s="167" t="str">
        <f ca="1">IF($D38&lt;&gt;"Serviço","",
         IF(AUTOEVENTO="Manual",
                IF($A38=0,"&lt;-- defina o número do agrupador",
                       OFFSET(EVENTOS!$D$15,$A38-$A$15,0)),
                OFFSET($F$15,$A38,0)))</f>
        <v>SERVIÇOS FINAIS</v>
      </c>
      <c r="O38" s="168"/>
      <c r="Q38" s="168"/>
      <c r="R38" s="169"/>
      <c r="S38" s="169">
        <v>300</v>
      </c>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3</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5.0999999999999996" customHeight="1" x14ac:dyDescent="0.2">
      <c r="B39" s="7">
        <f ca="1">OFFSET(ORÇAMENTO!C$15,ROW(B39)-ROW(B$15),0)</f>
        <v>-1</v>
      </c>
      <c r="C39" s="7" t="str">
        <f ca="1">OFFSET(ORÇAMENTO!L$15,ROW(C39)-ROW(C$15),0)</f>
        <v>F</v>
      </c>
      <c r="D39" s="634" t="s">
        <v>700</v>
      </c>
      <c r="E39" s="618"/>
      <c r="F39" s="619"/>
      <c r="G39" s="619"/>
      <c r="H39" s="619"/>
      <c r="I39" s="419"/>
      <c r="K39" s="569"/>
      <c r="L39" s="165">
        <f t="shared" ref="L39" ca="1" si="10">OFFSET(L39,-1,0)+1</f>
        <v>24</v>
      </c>
      <c r="M39" s="421"/>
      <c r="N39" s="420"/>
      <c r="O39" s="635"/>
      <c r="Q39" s="618"/>
      <c r="R39" s="619"/>
      <c r="S39" s="619"/>
      <c r="T39" s="619"/>
      <c r="U39" s="619"/>
      <c r="V39" s="619"/>
      <c r="W39" s="619"/>
      <c r="X39" s="619"/>
      <c r="Y39" s="619"/>
      <c r="Z39" s="419"/>
      <c r="AB39" s="636"/>
      <c r="AC39" s="637"/>
      <c r="AD39" s="637"/>
      <c r="AE39" s="637"/>
      <c r="AF39" s="637"/>
      <c r="AG39" s="637"/>
      <c r="AH39" s="637"/>
      <c r="AI39" s="637"/>
      <c r="AJ39" s="637"/>
      <c r="AK39" s="133"/>
      <c r="AM39" s="636"/>
      <c r="AN39" s="637"/>
      <c r="AO39" s="637"/>
      <c r="AP39" s="637"/>
      <c r="AQ39" s="637"/>
      <c r="AR39" s="637"/>
      <c r="AS39" s="637"/>
      <c r="AT39" s="637"/>
      <c r="AU39" s="637"/>
      <c r="AV39" s="133"/>
      <c r="AX39" s="636"/>
      <c r="AY39" s="637"/>
      <c r="AZ39" s="637"/>
      <c r="BA39" s="637"/>
      <c r="BB39" s="637"/>
      <c r="BC39" s="637"/>
      <c r="BD39" s="637"/>
      <c r="BE39" s="637"/>
      <c r="BF39" s="637"/>
      <c r="BG39" s="133"/>
    </row>
    <row r="40" spans="1:59" ht="12.75" customHeight="1" x14ac:dyDescent="0.2"/>
    <row r="41" spans="1:59" ht="12.75" customHeight="1" x14ac:dyDescent="0.2"/>
    <row r="42" spans="1:59" ht="12.75" customHeight="1" x14ac:dyDescent="0.2"/>
    <row r="43" spans="1:59" ht="15" customHeight="1" x14ac:dyDescent="0.2">
      <c r="F43" s="179" t="str">
        <f>Import.Município</f>
        <v>BENTO GONÇALVES/RS</v>
      </c>
      <c r="I43" s="460"/>
      <c r="J43" s="460"/>
      <c r="K43" s="460"/>
      <c r="L43" s="460"/>
      <c r="M43" s="461"/>
      <c r="N43" s="417"/>
      <c r="T43" s="139"/>
      <c r="U43" s="139"/>
      <c r="V43" s="180"/>
      <c r="W43" s="180"/>
      <c r="X43" s="180"/>
      <c r="Y43" s="180"/>
    </row>
    <row r="44" spans="1:59" ht="12.75" customHeight="1" x14ac:dyDescent="0.2">
      <c r="F44" s="9" t="s">
        <v>693</v>
      </c>
      <c r="I44" s="181" t="s">
        <v>696</v>
      </c>
      <c r="J44" s="181"/>
      <c r="K44" s="181"/>
      <c r="L44" s="181"/>
      <c r="T44" s="181" t="s">
        <v>696</v>
      </c>
      <c r="U44" s="181"/>
    </row>
    <row r="45" spans="1:59" ht="12.75" customHeight="1" x14ac:dyDescent="0.2">
      <c r="I45" s="398" t="str">
        <f t="array" aca="1" ref="I45:I47" ca="1">OFFSET(Import.RespOrçamento,0,-1) &amp; " " &amp; Import.RespOrçamento</f>
        <v>Nome: Nathália Cortes Tosi</v>
      </c>
      <c r="K45" s="79"/>
      <c r="L45" s="79"/>
      <c r="T45" s="398" t="str">
        <f t="array" aca="1" ref="T45:T47" ca="1">OFFSET(Import.RespOrçamento,0,-1) &amp; " " &amp; Import.RespOrçamento</f>
        <v>Nome: Nathália Cortes Tosi</v>
      </c>
      <c r="U45" s="78"/>
    </row>
    <row r="46" spans="1:59" ht="12.75" customHeight="1" x14ac:dyDescent="0.2">
      <c r="F46" s="459">
        <f>DADOS!$C$25</f>
        <v>46073</v>
      </c>
      <c r="I46" s="398" t="str">
        <f ca="1"/>
        <v>CREA/CAU: RS227774</v>
      </c>
      <c r="K46" s="79"/>
      <c r="L46" s="79"/>
      <c r="T46" s="398" t="str">
        <f ca="1"/>
        <v>CREA/CAU: RS227774</v>
      </c>
      <c r="U46" s="78"/>
    </row>
    <row r="47" spans="1:59" ht="12.75" customHeight="1" x14ac:dyDescent="0.2">
      <c r="F47" s="140" t="s">
        <v>694</v>
      </c>
      <c r="I47" s="398" t="str">
        <f ca="1"/>
        <v>ART/RRT: 14233645</v>
      </c>
      <c r="K47" s="79"/>
      <c r="L47" s="79"/>
      <c r="T47" s="398" t="str">
        <f ca="1"/>
        <v>ART/RRT: 14233645</v>
      </c>
      <c r="U47" s="78"/>
    </row>
    <row r="48" spans="1:59"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60951" spans="3:13" ht="12.75" customHeight="1" x14ac:dyDescent="0.2">
      <c r="C60951"/>
      <c r="M60951"/>
    </row>
    <row r="60967" spans="3:13" ht="12.75" customHeight="1" x14ac:dyDescent="0.2">
      <c r="C60967"/>
      <c r="M60967"/>
    </row>
    <row r="60983" spans="3:13" ht="12.75" customHeight="1" x14ac:dyDescent="0.2">
      <c r="C60983"/>
      <c r="M60983"/>
    </row>
    <row r="60999" spans="3:13" ht="12.75" customHeight="1" x14ac:dyDescent="0.2">
      <c r="C60999"/>
      <c r="M60999"/>
    </row>
    <row r="61012" spans="3:13" ht="12.75" customHeight="1" x14ac:dyDescent="0.2">
      <c r="C61012"/>
      <c r="M61012"/>
    </row>
    <row r="61013" spans="3:13" ht="12.75" customHeight="1" x14ac:dyDescent="0.2">
      <c r="C61013"/>
      <c r="M61013"/>
    </row>
    <row r="61015" spans="3:13" ht="12.75" customHeight="1" x14ac:dyDescent="0.2">
      <c r="C61015"/>
      <c r="M61015"/>
    </row>
    <row r="61026" spans="3:13" ht="12.75" customHeight="1" x14ac:dyDescent="0.2">
      <c r="C61026"/>
      <c r="M61026"/>
    </row>
    <row r="61027" spans="3:13" ht="12.75" customHeight="1" x14ac:dyDescent="0.2">
      <c r="C61027"/>
      <c r="M61027"/>
    </row>
    <row r="61028" spans="3:13" ht="12.75" customHeight="1" x14ac:dyDescent="0.2">
      <c r="C61028"/>
      <c r="M61028"/>
    </row>
    <row r="61029" spans="3:13" ht="12.75" customHeight="1" x14ac:dyDescent="0.2">
      <c r="C61029"/>
      <c r="M61029"/>
    </row>
    <row r="61031" spans="3:13" ht="12.75" customHeight="1" x14ac:dyDescent="0.2">
      <c r="C61031"/>
      <c r="M61031"/>
    </row>
    <row r="61042" spans="3:13" ht="12.75" customHeight="1" x14ac:dyDescent="0.2">
      <c r="C61042"/>
      <c r="M61042"/>
    </row>
    <row r="61043" spans="3:13" ht="12.75" customHeight="1" x14ac:dyDescent="0.2">
      <c r="C61043"/>
      <c r="M61043"/>
    </row>
    <row r="61044" spans="3:13" ht="12.75" customHeight="1" x14ac:dyDescent="0.2">
      <c r="C61044"/>
      <c r="M61044"/>
    </row>
    <row r="61045" spans="3:13" ht="12.75" customHeight="1" x14ac:dyDescent="0.2">
      <c r="C61045"/>
      <c r="M61045"/>
    </row>
    <row r="61047" spans="3:13" ht="12.75" customHeight="1" x14ac:dyDescent="0.2">
      <c r="C61047"/>
      <c r="M61047"/>
    </row>
    <row r="61058" spans="3:13" ht="12.75" customHeight="1" x14ac:dyDescent="0.2">
      <c r="C61058"/>
      <c r="M61058"/>
    </row>
    <row r="61059" spans="3:13" ht="12.75" customHeight="1" x14ac:dyDescent="0.2">
      <c r="C61059"/>
      <c r="M61059"/>
    </row>
    <row r="61060" spans="3:13" ht="12.75" customHeight="1" x14ac:dyDescent="0.2">
      <c r="C61060"/>
      <c r="M61060"/>
    </row>
    <row r="61061" spans="3:13" ht="12.75" customHeight="1" x14ac:dyDescent="0.2">
      <c r="C61061"/>
      <c r="M61061"/>
    </row>
    <row r="61063" spans="3:13" ht="12.75" customHeight="1" x14ac:dyDescent="0.2">
      <c r="C61063"/>
      <c r="M61063"/>
    </row>
    <row r="61074" spans="3:13" ht="12.75" customHeight="1" x14ac:dyDescent="0.2">
      <c r="C61074"/>
      <c r="M61074"/>
    </row>
    <row r="61075" spans="3:13" ht="12.75" customHeight="1" x14ac:dyDescent="0.2">
      <c r="C61075"/>
      <c r="M61075"/>
    </row>
    <row r="61076" spans="3:13" ht="12.75" customHeight="1" x14ac:dyDescent="0.2">
      <c r="C61076"/>
      <c r="M61076"/>
    </row>
    <row r="61077" spans="3:13" ht="12.75" customHeight="1" x14ac:dyDescent="0.2">
      <c r="C61077"/>
      <c r="M61077"/>
    </row>
    <row r="61079" spans="3:13" ht="12.75" customHeight="1" x14ac:dyDescent="0.2">
      <c r="C61079"/>
      <c r="M61079"/>
    </row>
    <row r="61090" spans="3:13" ht="12.75" customHeight="1" x14ac:dyDescent="0.2">
      <c r="C61090"/>
      <c r="M61090"/>
    </row>
    <row r="61091" spans="3:13" ht="12.75" customHeight="1" x14ac:dyDescent="0.2">
      <c r="C61091"/>
      <c r="M61091"/>
    </row>
    <row r="61092" spans="3:13" ht="12.75" customHeight="1" x14ac:dyDescent="0.2">
      <c r="C61092"/>
      <c r="M61092"/>
    </row>
    <row r="61093" spans="3:13" ht="12.75" customHeight="1" x14ac:dyDescent="0.2">
      <c r="C61093"/>
      <c r="M61093"/>
    </row>
    <row r="61095" spans="3:13" ht="12.75" customHeight="1" x14ac:dyDescent="0.2">
      <c r="C61095"/>
      <c r="M61095"/>
    </row>
    <row r="61106" spans="3:13" ht="12.75" customHeight="1" x14ac:dyDescent="0.2">
      <c r="C61106"/>
      <c r="M61106"/>
    </row>
    <row r="61107" spans="3:13" ht="12.75" customHeight="1" x14ac:dyDescent="0.2">
      <c r="C61107"/>
      <c r="M61107"/>
    </row>
    <row r="61108" spans="3:13" ht="12.75" customHeight="1" x14ac:dyDescent="0.2">
      <c r="C61108"/>
      <c r="M61108"/>
    </row>
    <row r="61109" spans="3:13" ht="12.75" customHeight="1" x14ac:dyDescent="0.2">
      <c r="C61109"/>
      <c r="M61109"/>
    </row>
    <row r="61111" spans="3:13" ht="12.75" customHeight="1" x14ac:dyDescent="0.2">
      <c r="C61111"/>
      <c r="M61111"/>
    </row>
    <row r="61122" spans="3:13" ht="12.75" customHeight="1" x14ac:dyDescent="0.2">
      <c r="C61122"/>
      <c r="M61122"/>
    </row>
    <row r="61123" spans="3:13" ht="12.75" customHeight="1" x14ac:dyDescent="0.2">
      <c r="C61123"/>
      <c r="M61123"/>
    </row>
    <row r="61124" spans="3:13" ht="12.75" customHeight="1" x14ac:dyDescent="0.2">
      <c r="C61124"/>
      <c r="M61124"/>
    </row>
    <row r="61125" spans="3:13" ht="12.75" customHeight="1" x14ac:dyDescent="0.2">
      <c r="C61125"/>
      <c r="M61125"/>
    </row>
    <row r="61127" spans="3:13" ht="12.75" customHeight="1" x14ac:dyDescent="0.2">
      <c r="C61127"/>
      <c r="M61127"/>
    </row>
    <row r="61138" spans="3:13" ht="12.75" customHeight="1" x14ac:dyDescent="0.2">
      <c r="C61138"/>
      <c r="M61138"/>
    </row>
    <row r="61139" spans="3:13" ht="12.75" customHeight="1" x14ac:dyDescent="0.2">
      <c r="C61139"/>
      <c r="M61139"/>
    </row>
    <row r="61140" spans="3:13" ht="12.75" customHeight="1" x14ac:dyDescent="0.2">
      <c r="C61140"/>
      <c r="M61140"/>
    </row>
    <row r="61141" spans="3:13" ht="12.75" customHeight="1" x14ac:dyDescent="0.2">
      <c r="C61141"/>
      <c r="M61141"/>
    </row>
    <row r="61143" spans="3:13" ht="12.75" customHeight="1" x14ac:dyDescent="0.2">
      <c r="C61143"/>
      <c r="M61143"/>
    </row>
    <row r="61151" spans="3:13" ht="12.75" customHeight="1" x14ac:dyDescent="0.2">
      <c r="C61151"/>
      <c r="M61151"/>
    </row>
    <row r="61154" spans="3:13" ht="12.75" customHeight="1" x14ac:dyDescent="0.2">
      <c r="C61154"/>
      <c r="M61154"/>
    </row>
    <row r="61155" spans="3:13" ht="12.75" customHeight="1" x14ac:dyDescent="0.2">
      <c r="C61155"/>
      <c r="M61155"/>
    </row>
    <row r="61156" spans="3:13" ht="12.75" customHeight="1" x14ac:dyDescent="0.2">
      <c r="C61156"/>
      <c r="M61156"/>
    </row>
    <row r="61157" spans="3:13" ht="12.75" customHeight="1" x14ac:dyDescent="0.2">
      <c r="C61157"/>
      <c r="M61157"/>
    </row>
    <row r="61159" spans="3:13" ht="12.75" customHeight="1" x14ac:dyDescent="0.2">
      <c r="C61159"/>
      <c r="M61159"/>
    </row>
    <row r="61167" spans="3:13" ht="12.75" customHeight="1" x14ac:dyDescent="0.2">
      <c r="C61167"/>
      <c r="M61167"/>
    </row>
    <row r="61170" spans="3:13" ht="12.75" customHeight="1" x14ac:dyDescent="0.2">
      <c r="C61170"/>
      <c r="M61170"/>
    </row>
    <row r="61171" spans="3:13" ht="12.75" customHeight="1" x14ac:dyDescent="0.2">
      <c r="C61171"/>
      <c r="M61171"/>
    </row>
    <row r="61172" spans="3:13" ht="12.75" customHeight="1" x14ac:dyDescent="0.2">
      <c r="C61172"/>
      <c r="M61172"/>
    </row>
    <row r="61173" spans="3:13" ht="12.75" customHeight="1" x14ac:dyDescent="0.2">
      <c r="C61173"/>
      <c r="M61173"/>
    </row>
    <row r="61175" spans="3:13" ht="12.75" customHeight="1" x14ac:dyDescent="0.2">
      <c r="C61175"/>
      <c r="M61175"/>
    </row>
    <row r="61183" spans="3:13" ht="12.75" customHeight="1" x14ac:dyDescent="0.2">
      <c r="C61183"/>
      <c r="M61183"/>
    </row>
    <row r="61184" spans="3:13" ht="12.75" customHeight="1" x14ac:dyDescent="0.2">
      <c r="C61184"/>
      <c r="M61184"/>
    </row>
    <row r="61186" spans="3:13" ht="12.75" customHeight="1" x14ac:dyDescent="0.2">
      <c r="C61186"/>
      <c r="M61186"/>
    </row>
    <row r="61187" spans="3:13" ht="12.75" customHeight="1" x14ac:dyDescent="0.2">
      <c r="C61187"/>
      <c r="M61187"/>
    </row>
    <row r="61188" spans="3:13" ht="12.75" customHeight="1" x14ac:dyDescent="0.2">
      <c r="C61188"/>
      <c r="M61188"/>
    </row>
    <row r="61189" spans="3:13" ht="12.75" customHeight="1" x14ac:dyDescent="0.2">
      <c r="C61189"/>
      <c r="M61189"/>
    </row>
    <row r="61191" spans="3:13" ht="12.75" customHeight="1" x14ac:dyDescent="0.2">
      <c r="C61191"/>
      <c r="M61191"/>
    </row>
    <row r="61199" spans="3:13" ht="12.75" customHeight="1" x14ac:dyDescent="0.2">
      <c r="C61199"/>
      <c r="M61199"/>
    </row>
    <row r="61200" spans="3:13" ht="12.75" customHeight="1" x14ac:dyDescent="0.2">
      <c r="C61200"/>
      <c r="M61200"/>
    </row>
    <row r="61201" spans="3:13" ht="12.75" customHeight="1" x14ac:dyDescent="0.2">
      <c r="C61201"/>
      <c r="M61201"/>
    </row>
    <row r="61202" spans="3:13" ht="12.75" customHeight="1" x14ac:dyDescent="0.2">
      <c r="C61202"/>
      <c r="M61202"/>
    </row>
    <row r="61203" spans="3:13" ht="12.75" customHeight="1" x14ac:dyDescent="0.2">
      <c r="C61203"/>
      <c r="M61203"/>
    </row>
    <row r="61204" spans="3:13" ht="12.75" customHeight="1" x14ac:dyDescent="0.2">
      <c r="C61204"/>
      <c r="M61204"/>
    </row>
    <row r="61205" spans="3:13" ht="12.75" customHeight="1" x14ac:dyDescent="0.2">
      <c r="C61205"/>
      <c r="M61205"/>
    </row>
    <row r="61207" spans="3:13" ht="12.75" customHeight="1" x14ac:dyDescent="0.2">
      <c r="C61207"/>
      <c r="M61207"/>
    </row>
    <row r="61215" spans="3:13" ht="12.75" customHeight="1" x14ac:dyDescent="0.2">
      <c r="C61215"/>
      <c r="M61215"/>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3" spans="3:13" ht="12.75" customHeight="1" x14ac:dyDescent="0.2">
      <c r="C61223"/>
      <c r="M61223"/>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sheetData>
  <sheetProtection algorithmName="SHA-512" hashValue="TwJ93U5+nHU06C2RAQ94ZV9fO1WevUrF5Krm2nzGqkkWT2vpB35ulq2339umRFFAxu+vhEjdrRVPXf8+GkEBlQ==" saltValue="mDgroc0VXOrM2/QqeXfErg==" spinCount="100000" sheet="1" objects="1" scenarios="1" autoFilter="0"/>
  <autoFilter ref="C15:C39"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37:I38 D35:H36 D16:I22">
    <cfRule type="expression" dxfId="226" priority="14653" stopIfTrue="1">
      <formula>$B14=1</formula>
    </cfRule>
    <cfRule type="expression" dxfId="225" priority="14654" stopIfTrue="1">
      <formula>OR($B14=0,$B14=2,$B14=3,$B14=4)</formula>
    </cfRule>
  </conditionalFormatting>
  <conditionalFormatting sqref="M25:N39 M12:N22">
    <cfRule type="expression" dxfId="224" priority="14655" stopIfTrue="1">
      <formula>ACOMPANHAMENTO="BM"</formula>
    </cfRule>
    <cfRule type="expression" dxfId="223" priority="14656" stopIfTrue="1">
      <formula>OR($B12=0,$B12=2,$B12=3,$B12=4)</formula>
    </cfRule>
    <cfRule type="expression" dxfId="222" priority="14657" stopIfTrue="1">
      <formula>$B12=1</formula>
    </cfRule>
  </conditionalFormatting>
  <conditionalFormatting sqref="K12:K39">
    <cfRule type="expression" dxfId="221" priority="14658" stopIfTrue="1">
      <formula>OR(ACOMPANHAMENTO="BM",$A$12&lt;&gt;"Manual")</formula>
    </cfRule>
    <cfRule type="expression" dxfId="220" priority="14659" stopIfTrue="1">
      <formula>$B12=1</formula>
    </cfRule>
    <cfRule type="expression" dxfId="219" priority="14660" stopIfTrue="1">
      <formula>OR($B12=2,$B12=3,$B12=4,$B12=0)</formula>
    </cfRule>
  </conditionalFormatting>
  <conditionalFormatting sqref="O12:AA39">
    <cfRule type="expression" dxfId="218" priority="8244" stopIfTrue="1">
      <formula>ACOMPANHAMENTO="BM"</formula>
    </cfRule>
    <cfRule type="expression" dxfId="217" priority="14662" stopIfTrue="1">
      <formula>AND(O$12&lt;&gt;".",OR($B12=0,$B12=2,$B12=3,$B12=4,AND(O$12="",$B12&lt;&gt;"Empty"),OFFSET(O$1,0,-1)=0))</formula>
    </cfRule>
    <cfRule type="expression" dxfId="216" priority="14663" stopIfTrue="1">
      <formula>AND($B12=1,O$1=1)</formula>
    </cfRule>
  </conditionalFormatting>
  <conditionalFormatting sqref="Q15:Z15">
    <cfRule type="expression" dxfId="215" priority="14661">
      <formula>Q$11="▼"</formula>
    </cfRule>
  </conditionalFormatting>
  <conditionalFormatting sqref="O15">
    <cfRule type="expression" dxfId="214" priority="8243">
      <formula>O$11="▼"</formula>
    </cfRule>
  </conditionalFormatting>
  <conditionalFormatting sqref="N14 N35:N38 N16:N22">
    <cfRule type="expression" dxfId="213" priority="5278">
      <formula>$J14="►"</formula>
    </cfRule>
  </conditionalFormatting>
  <conditionalFormatting sqref="N12">
    <cfRule type="cellIs" dxfId="212" priority="5276" operator="notEqual">
      <formula>"FRENTES DE OBRA:"</formula>
    </cfRule>
  </conditionalFormatting>
  <conditionalFormatting sqref="Q14:AA14 Q16:AA22">
    <cfRule type="expression" dxfId="211" priority="3061">
      <formula>Q14&lt;&gt;ROUND(Q14,2)</formula>
    </cfRule>
  </conditionalFormatting>
  <conditionalFormatting sqref="H14">
    <cfRule type="expression" dxfId="210" priority="2621" stopIfTrue="1">
      <formula>$B14=1</formula>
    </cfRule>
    <cfRule type="expression" dxfId="209" priority="2622" stopIfTrue="1">
      <formula>OR($B14=0,$B14=2,$B14=3,$B14=4)</formula>
    </cfRule>
  </conditionalFormatting>
  <conditionalFormatting sqref="H14 H35:H38 H16:H22">
    <cfRule type="expression" dxfId="208" priority="2620">
      <formula>$J14="►S"</formula>
    </cfRule>
  </conditionalFormatting>
  <conditionalFormatting sqref="I25 D25:G25">
    <cfRule type="expression" dxfId="207" priority="217" stopIfTrue="1">
      <formula>$B25=1</formula>
    </cfRule>
    <cfRule type="expression" dxfId="206" priority="218" stopIfTrue="1">
      <formula>OR($B25=0,$B25=2,$B25=3,$B25=4)</formula>
    </cfRule>
  </conditionalFormatting>
  <conditionalFormatting sqref="N25">
    <cfRule type="expression" dxfId="205" priority="216">
      <formula>$J25="►"</formula>
    </cfRule>
  </conditionalFormatting>
  <conditionalFormatting sqref="Q25:AA25">
    <cfRule type="expression" dxfId="204" priority="215">
      <formula>Q25&lt;&gt;ROUND(Q25,2)</formula>
    </cfRule>
  </conditionalFormatting>
  <conditionalFormatting sqref="H25">
    <cfRule type="expression" dxfId="203" priority="213" stopIfTrue="1">
      <formula>$B25=1</formula>
    </cfRule>
    <cfRule type="expression" dxfId="202" priority="214" stopIfTrue="1">
      <formula>OR($B25=0,$B25=2,$B25=3,$B25=4)</formula>
    </cfRule>
  </conditionalFormatting>
  <conditionalFormatting sqref="H25">
    <cfRule type="expression" dxfId="201" priority="212">
      <formula>$J25="►S"</formula>
    </cfRule>
  </conditionalFormatting>
  <conditionalFormatting sqref="D26:G34 I26:I34">
    <cfRule type="expression" dxfId="200" priority="210" stopIfTrue="1">
      <formula>$B26=1</formula>
    </cfRule>
    <cfRule type="expression" dxfId="199" priority="211" stopIfTrue="1">
      <formula>OR($B26=0,$B26=2,$B26=3,$B26=4)</formula>
    </cfRule>
  </conditionalFormatting>
  <conditionalFormatting sqref="N26:N34">
    <cfRule type="expression" dxfId="198" priority="209">
      <formula>$J26="►"</formula>
    </cfRule>
  </conditionalFormatting>
  <conditionalFormatting sqref="Q26:AA34">
    <cfRule type="expression" dxfId="197" priority="208">
      <formula>Q26&lt;&gt;ROUND(Q26,2)</formula>
    </cfRule>
  </conditionalFormatting>
  <conditionalFormatting sqref="H26:H34">
    <cfRule type="expression" dxfId="196" priority="206" stopIfTrue="1">
      <formula>$B26=1</formula>
    </cfRule>
    <cfRule type="expression" dxfId="195" priority="207" stopIfTrue="1">
      <formula>OR($B26=0,$B26=2,$B26=3,$B26=4)</formula>
    </cfRule>
  </conditionalFormatting>
  <conditionalFormatting sqref="H26:H34">
    <cfRule type="expression" dxfId="194" priority="205">
      <formula>$J26="►S"</formula>
    </cfRule>
  </conditionalFormatting>
  <conditionalFormatting sqref="Q35:AA38">
    <cfRule type="expression" dxfId="193" priority="201">
      <formula>Q35&lt;&gt;ROUND(Q35,2)</formula>
    </cfRule>
  </conditionalFormatting>
  <conditionalFormatting sqref="I36">
    <cfRule type="expression" dxfId="192" priority="17" stopIfTrue="1">
      <formula>$B36=1</formula>
    </cfRule>
    <cfRule type="expression" dxfId="191" priority="18" stopIfTrue="1">
      <formula>OR($B36=0,$B36=2,$B36=3,$B36=4)</formula>
    </cfRule>
  </conditionalFormatting>
  <conditionalFormatting sqref="I35">
    <cfRule type="expression" dxfId="190" priority="19" stopIfTrue="1">
      <formula>$B35=1</formula>
    </cfRule>
    <cfRule type="expression" dxfId="189" priority="20" stopIfTrue="1">
      <formula>OR($B35=0,$B35=2,$B35=3,$B35=4)</formula>
    </cfRule>
  </conditionalFormatting>
  <conditionalFormatting sqref="D23:G24 I23:I24">
    <cfRule type="expression" dxfId="188" priority="7" stopIfTrue="1">
      <formula>$B23=1</formula>
    </cfRule>
    <cfRule type="expression" dxfId="187" priority="8" stopIfTrue="1">
      <formula>OR($B23=0,$B23=2,$B23=3,$B23=4)</formula>
    </cfRule>
  </conditionalFormatting>
  <conditionalFormatting sqref="M23:N24">
    <cfRule type="expression" dxfId="186" priority="9" stopIfTrue="1">
      <formula>ACOMPANHAMENTO="BM"</formula>
    </cfRule>
    <cfRule type="expression" dxfId="185" priority="10" stopIfTrue="1">
      <formula>OR($B23=0,$B23=2,$B23=3,$B23=4)</formula>
    </cfRule>
    <cfRule type="expression" dxfId="184" priority="11" stopIfTrue="1">
      <formula>$B23=1</formula>
    </cfRule>
  </conditionalFormatting>
  <conditionalFormatting sqref="N23:N24">
    <cfRule type="expression" dxfId="183" priority="5">
      <formula>$J23="►"</formula>
    </cfRule>
  </conditionalFormatting>
  <conditionalFormatting sqref="Q23:AA24">
    <cfRule type="expression" dxfId="182" priority="4">
      <formula>Q23&lt;&gt;ROUND(Q23,2)</formula>
    </cfRule>
  </conditionalFormatting>
  <conditionalFormatting sqref="H23:H24">
    <cfRule type="expression" dxfId="181" priority="2" stopIfTrue="1">
      <formula>$B23=1</formula>
    </cfRule>
    <cfRule type="expression" dxfId="180" priority="3" stopIfTrue="1">
      <formula>OR($B23=0,$B23=2,$B23=3,$B23=4)</formula>
    </cfRule>
  </conditionalFormatting>
  <conditionalFormatting sqref="H23:H24">
    <cfRule type="expression" dxfId="179" priority="1">
      <formula>$J23="►S"</formula>
    </cfRule>
  </conditionalFormatting>
  <dataValidations disablePrompts="1" count="4">
    <dataValidation type="decimal" operator="greaterThan" allowBlank="1" showErrorMessage="1" error="Apenas números decimais maiores que zero." sqref="O14 Q14:Z14 Q16:Z38 O16:O38" xr:uid="{00000000-0002-0000-0600-000000000000}">
      <formula1>0</formula1>
      <formula2>0</formula2>
    </dataValidation>
    <dataValidation allowBlank="1" showInputMessage="1" showErrorMessage="1" prompt="A quantidade é digitada nas colunas Q em diante, após preencher o nome das frentes de obra na célula Q12 em diante" sqref="H14 H16:H38" xr:uid="{00000000-0002-0000-0600-000001000000}"/>
    <dataValidation allowBlank="1" showInputMessage="1" showErrorMessage="1" prompt="A frente de obra é uma porção física da obra. Exemplos: Única; Rua A; Rua B; Trecho 01; Trecho 02; 1º Andar; 2º Andar; Copa; Banheiro" sqref="Q12" xr:uid="{00000000-0002-0000-0600-000002000000}"/>
    <dataValidation type="list" allowBlank="1" showInputMessage="1" showErrorMessage="1" errorTitle="Erro:" error="Selecione um dos eventos da lista suspensa." prompt="Selecione um dos eventos da lista suspensa._x000a_" sqref="K14 K16:K38" xr:uid="{00000000-0002-0000-0600-000003000000}">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rowBreaks count="1" manualBreakCount="1">
    <brk id="31" min="4" max="26" man="1"/>
  </rowBreaks>
  <colBreaks count="3" manualBreakCount="3">
    <brk id="9" min="5" max="46" man="1"/>
    <brk id="19" min="5" max="46" man="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5"/>
  <sheetViews>
    <sheetView showGridLines="0" view="pageBreakPreview"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IF(AUTOEVENTO="Manual",IF(EVENTOS!$F1&gt;0,"F",""),IF(AND(B1&gt;0,B1&lt;=MAX(CÁLCULO!$M$15:$M$39)),"F",""))</f>
        <v>#REF!</v>
      </c>
      <c r="B1" s="247" t="e">
        <f ca="1">OFFSET(B1,-1,0)+1</f>
        <v>#REF!</v>
      </c>
      <c r="C1" s="514" t="e">
        <f ca="1">IF(AUTOEVENTO="Manual",IF($B1&gt;0,OFFSET(EVENTOS!$D$15,$B1-$B$15,0),0),IF(B1&lt;=MAX(CÁLCULO!$M$15:$M$39),VLOOKUP($B1,CÁLCULO!$M$15:$N$39,2,FALSE),0))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t="str">
        <f>Import.Proponente</f>
        <v>MUNICÍPIO DE BENTO GONÇALVES</v>
      </c>
      <c r="C5" s="703"/>
      <c r="D5" s="703"/>
      <c r="G5" s="716">
        <f>Import.CR</f>
        <v>0</v>
      </c>
      <c r="H5" s="716"/>
      <c r="I5" s="716"/>
      <c r="J5" s="716">
        <f>Import.SICONV</f>
        <v>0</v>
      </c>
      <c r="K5" s="716"/>
      <c r="L5" s="716"/>
      <c r="M5" s="725" t="str">
        <f>Import.Apelido</f>
        <v>REVITALIZAÇÃO DA PIPA PÓRTICO</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IF(MAX($B$14:$B$21)&lt;MAX(CÁLCULO!$M$15:$M$39),"ERRO: NÚMERO DE EVENTOS INSUFICIENTE, CLIQUE EM ATUALIZAR LINHAS",
  IF(ROUND(OFFSET(CRONO!$AG$42,0,-1),2)&lt;&gt;CRONO!$R$33,"ERRO: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2</v>
      </c>
      <c r="B8" s="732" t="s">
        <v>1054</v>
      </c>
      <c r="C8" s="733"/>
      <c r="D8" s="571" t="str">
        <f ca="1">IF($B$7="","",IF(AND($B$15=0,$B$8=""),"◄ Não foi indicado o Evento de Administração Local",IF(ISERROR(MATCH(Import.EventoAdmLocal,$F$15:$F$21,0)),"◄ Selecione um Título de Evento válido para a Administração Local","")))</f>
        <v/>
      </c>
    </row>
    <row r="9" spans="1:31" ht="3.95" customHeight="1" x14ac:dyDescent="0.2">
      <c r="A9" s="548"/>
    </row>
    <row r="10" spans="1:31" ht="15" customHeight="1" x14ac:dyDescent="0.2">
      <c r="A10" s="548">
        <f ca="1">MATCH(VALUE(A8),CÁLCULO!$M$15:$M$39,0)-2</f>
        <v>8</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MÊS 3</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IF(AUTOEVENTO="Manual",IF(EVENTOS!$F15&gt;0,"F",""),IF(AND(B15&gt;0,B15&lt;=MAX(CÁLCULO!$M$15:$M$39)),"F",""))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IF(AUTOEVENTO="Manual",IF(EVENTOS!$F16&gt;0,"F",""),IF(AND(B16&gt;0,B16&lt;=MAX(CÁLCULO!$M$15:$M$39)),"F",""))</f>
        <v>F</v>
      </c>
      <c r="B16" s="247">
        <f t="shared" ref="B16:B19" ca="1" si="1">OFFSET(B16,-1,0)+1</f>
        <v>1</v>
      </c>
      <c r="C16" s="514" t="str">
        <f ca="1">IF(AUTOEVENTO="Manual",IF($B16&gt;0,OFFSET(EVENTOS!$D$15,$B16-$B$15,0),0),IF(B16&lt;=MAX(CÁLCULO!$M$15:$M$39),VLOOKUP($B16,CÁLCULO!$M$15:$N$39,2,FALSE),0))</f>
        <v>SERVIÇOS INICIAIS</v>
      </c>
      <c r="D16" s="554"/>
      <c r="E16" s="248"/>
      <c r="F16" t="str">
        <f t="shared" ref="F16:F19" ca="1" si="2">IF($C16=0,"",CONCATENATE($B16,". ",$C16))</f>
        <v>1. SERVIÇOS INICIAIS</v>
      </c>
      <c r="G16" s="553">
        <v>1</v>
      </c>
      <c r="H16" s="553">
        <v>2</v>
      </c>
      <c r="I16" s="553">
        <v>3</v>
      </c>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IF(AUTOEVENTO="Manual",IF(EVENTOS!$F17&gt;0,"F",""),IF(AND(B17&gt;0,B17&lt;=MAX(CÁLCULO!$M$15:$M$39)),"F",""))</f>
        <v>F</v>
      </c>
      <c r="B17" s="247">
        <f t="shared" ca="1" si="1"/>
        <v>2</v>
      </c>
      <c r="C17" s="514" t="str">
        <f ca="1">IF(AUTOEVENTO="Manual",IF($B17&gt;0,OFFSET(EVENTOS!$D$15,$B17-$B$15,0),0),IF(B17&lt;=MAX(CÁLCULO!$M$15:$M$39),VLOOKUP($B17,CÁLCULO!$M$15:$N$39,2,FALSE),0))</f>
        <v>ADMINISTRAÇÃO LOCAL</v>
      </c>
      <c r="D17" s="554"/>
      <c r="E17" s="248"/>
      <c r="F17" t="str">
        <f t="shared" ca="1" si="2"/>
        <v>2. ADMINISTRAÇÃO LOCAL</v>
      </c>
      <c r="G17" s="553">
        <v>1</v>
      </c>
      <c r="H17" s="553">
        <v>2</v>
      </c>
      <c r="I17" s="553">
        <v>3</v>
      </c>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IF(AUTOEVENTO="Manual",IF(EVENTOS!$F18&gt;0,"F",""),IF(AND(B18&gt;0,B18&lt;=MAX(CÁLCULO!$M$15:$M$39)),"F",""))</f>
        <v>F</v>
      </c>
      <c r="B18" s="247">
        <f t="shared" ca="1" si="1"/>
        <v>3</v>
      </c>
      <c r="C18" s="514" t="str">
        <f ca="1">IF(AUTOEVENTO="Manual",IF($B18&gt;0,OFFSET(EVENTOS!$D$15,$B18-$B$15,0),0),IF(B18&lt;=MAX(CÁLCULO!$M$15:$M$39),VLOOKUP($B18,CÁLCULO!$M$15:$N$39,2,FALSE),0))</f>
        <v>LIMPEZA E PREPARO DA ESTRUTURA</v>
      </c>
      <c r="D18" s="554"/>
      <c r="E18" s="248"/>
      <c r="F18" t="str">
        <f t="shared" ca="1" si="2"/>
        <v>3. LIMPEZA E PREPARO DA ESTRUTURA</v>
      </c>
      <c r="G18" s="553">
        <v>1</v>
      </c>
      <c r="H18" s="553">
        <v>2</v>
      </c>
      <c r="I18" s="553">
        <v>3</v>
      </c>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IF(AUTOEVENTO="Manual",IF(EVENTOS!$F19&gt;0,"F",""),IF(AND(B19&gt;0,B19&lt;=MAX(CÁLCULO!$M$15:$M$39)),"F",""))</f>
        <v>F</v>
      </c>
      <c r="B19" s="247">
        <f t="shared" ca="1" si="1"/>
        <v>4</v>
      </c>
      <c r="C19" s="514" t="str">
        <f ca="1">IF(AUTOEVENTO="Manual",IF($B19&gt;0,OFFSET(EVENTOS!$D$15,$B19-$B$15,0),0),IF(B19&lt;=MAX(CÁLCULO!$M$15:$M$39),VLOOKUP($B19,CÁLCULO!$M$15:$N$39,2,FALSE),0))</f>
        <v>RECUPERAÇÃO, REVESTIMENTO E PROTEÇÃO DA ESTRUTURA</v>
      </c>
      <c r="D19" s="554"/>
      <c r="E19" s="248"/>
      <c r="F19" t="str">
        <f t="shared" ca="1" si="2"/>
        <v>4. RECUPERAÇÃO, REVESTIMENTO E PROTEÇÃO DA ESTRUTURA</v>
      </c>
      <c r="G19" s="553">
        <v>1</v>
      </c>
      <c r="H19" s="553">
        <v>2</v>
      </c>
      <c r="I19" s="553">
        <v>3</v>
      </c>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IF(AUTOEVENTO="Manual",IF(EVENTOS!$F20&gt;0,"F",""),IF(AND(B20&gt;0,B20&lt;=MAX(CÁLCULO!$M$15:$M$39)),"F",""))</f>
        <v>F</v>
      </c>
      <c r="B20" s="247">
        <f ca="1">OFFSET(B20,-1,0)+1</f>
        <v>5</v>
      </c>
      <c r="C20" s="514" t="str">
        <f ca="1">IF(AUTOEVENTO="Manual",IF($B20&gt;0,OFFSET(EVENTOS!$D$15,$B20-$B$15,0),0),IF(B20&lt;=MAX(CÁLCULO!$M$15:$M$39),VLOOKUP($B20,CÁLCULO!$M$15:$N$39,2,FALSE),0))</f>
        <v>SERVIÇOS FINAIS</v>
      </c>
      <c r="D20" s="554"/>
      <c r="E20" s="248"/>
      <c r="F20" t="str">
        <f ca="1">IF($C20=0,"",CONCATENATE($B20,". ",$C20))</f>
        <v>5. SERVIÇOS FINAIS</v>
      </c>
      <c r="G20" s="553"/>
      <c r="H20" s="553"/>
      <c r="I20" s="553">
        <v>3</v>
      </c>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ht="5.0999999999999996" customHeight="1" x14ac:dyDescent="0.2">
      <c r="A21" t="s">
        <v>536</v>
      </c>
      <c r="B21" s="638"/>
      <c r="C21" s="433"/>
      <c r="D21" s="555"/>
      <c r="E21" s="262"/>
      <c r="F21" s="262"/>
      <c r="G21" s="638"/>
      <c r="H21" s="639"/>
      <c r="I21" s="639"/>
      <c r="J21" s="639"/>
      <c r="K21" s="639"/>
      <c r="L21" s="639"/>
      <c r="M21" s="639"/>
      <c r="N21" s="639"/>
      <c r="O21" s="639"/>
      <c r="P21" s="639"/>
      <c r="Q21" s="639"/>
      <c r="R21" s="639"/>
      <c r="S21" s="639"/>
      <c r="T21" s="639"/>
      <c r="U21" s="639"/>
      <c r="V21" s="639"/>
      <c r="W21" s="639"/>
      <c r="X21" s="639"/>
      <c r="Y21" s="639"/>
      <c r="Z21" s="639"/>
      <c r="AA21" s="639"/>
      <c r="AB21" s="639"/>
      <c r="AC21" s="639"/>
      <c r="AD21" s="639"/>
      <c r="AE21" s="433"/>
    </row>
    <row r="22" spans="1:31" ht="6" customHeight="1" x14ac:dyDescent="0.2">
      <c r="A22" s="7" t="s">
        <v>536</v>
      </c>
    </row>
    <row r="23" spans="1:31" ht="15" x14ac:dyDescent="0.2">
      <c r="A23" s="7" t="s">
        <v>536</v>
      </c>
      <c r="C23" s="486" t="s">
        <v>779</v>
      </c>
      <c r="H23" s="755">
        <f>(ROW($G23)-ROW($G$23))/8*12+1</f>
        <v>1</v>
      </c>
      <c r="I23" s="755"/>
      <c r="J23" s="755">
        <f>H23+1</f>
        <v>2</v>
      </c>
      <c r="K23" s="755"/>
      <c r="L23" s="755">
        <f>J23+1</f>
        <v>3</v>
      </c>
      <c r="M23" s="755"/>
      <c r="N23" s="755">
        <f>L23+1</f>
        <v>4</v>
      </c>
      <c r="O23" s="755"/>
      <c r="P23" s="755">
        <f>N23+1</f>
        <v>5</v>
      </c>
      <c r="Q23" s="755"/>
      <c r="R23" s="755">
        <f>P23+1</f>
        <v>6</v>
      </c>
      <c r="S23" s="755"/>
      <c r="T23" s="755">
        <f>R23+1</f>
        <v>7</v>
      </c>
      <c r="U23" s="755"/>
      <c r="V23" s="755">
        <f>T23+1</f>
        <v>8</v>
      </c>
      <c r="W23" s="755"/>
      <c r="X23" s="755">
        <f>V23+1</f>
        <v>9</v>
      </c>
      <c r="Y23" s="755"/>
      <c r="Z23" s="755">
        <f>X23+1</f>
        <v>10</v>
      </c>
      <c r="AA23" s="755"/>
      <c r="AB23" s="755">
        <f>Z23+1</f>
        <v>11</v>
      </c>
      <c r="AC23" s="755"/>
      <c r="AD23" s="755">
        <f>AB23+1</f>
        <v>12</v>
      </c>
      <c r="AE23" s="755"/>
    </row>
    <row r="24" spans="1:31" ht="12.75" customHeight="1" x14ac:dyDescent="0.2">
      <c r="A24" s="7" t="s">
        <v>536</v>
      </c>
      <c r="C24" s="742" t="s">
        <v>780</v>
      </c>
      <c r="G24" s="551" t="s">
        <v>781</v>
      </c>
      <c r="H24" s="744" t="e">
        <f ca="1">OFFSET(CRONO!$T$33,0,CRONOPLE!H23)</f>
        <v>#DIV/0!</v>
      </c>
      <c r="I24" s="744"/>
      <c r="J24" s="744" t="e">
        <f ca="1">OFFSET(CRONO!$T$33,0,CRONOPLE!J23)</f>
        <v>#DIV/0!</v>
      </c>
      <c r="K24" s="744"/>
      <c r="L24" s="744" t="e">
        <f ca="1">OFFSET(CRONO!$T$33,0,CRONOPLE!L23)</f>
        <v>#DIV/0!</v>
      </c>
      <c r="M24" s="744"/>
      <c r="N24" s="744" t="e">
        <f ca="1">OFFSET(CRONO!$T$33,0,CRONOPLE!N23)</f>
        <v>#DIV/0!</v>
      </c>
      <c r="O24" s="744"/>
      <c r="P24" s="744" t="e">
        <f ca="1">OFFSET(CRONO!$T$33,0,CRONOPLE!P23)</f>
        <v>#DIV/0!</v>
      </c>
      <c r="Q24" s="744"/>
      <c r="R24" s="744" t="e">
        <f ca="1">OFFSET(CRONO!$T$33,0,CRONOPLE!R23)</f>
        <v>#DIV/0!</v>
      </c>
      <c r="S24" s="744"/>
      <c r="T24" s="744" t="e">
        <f ca="1">OFFSET(CRONO!$T$33,0,CRONOPLE!T23)</f>
        <v>#DIV/0!</v>
      </c>
      <c r="U24" s="744"/>
      <c r="V24" s="744" t="e">
        <f ca="1">OFFSET(CRONO!$T$33,0,CRONOPLE!V23)</f>
        <v>#DIV/0!</v>
      </c>
      <c r="W24" s="744"/>
      <c r="X24" s="744" t="e">
        <f ca="1">OFFSET(CRONO!$T$33,0,CRONOPLE!X23)</f>
        <v>#DIV/0!</v>
      </c>
      <c r="Y24" s="744"/>
      <c r="Z24" s="744" t="e">
        <f ca="1">OFFSET(CRONO!$T$33,0,CRONOPLE!Z23)</f>
        <v>#DIV/0!</v>
      </c>
      <c r="AA24" s="744"/>
      <c r="AB24" s="744" t="e">
        <f ca="1">OFFSET(CRONO!$T$33,0,CRONOPLE!AB23)</f>
        <v>#DIV/0!</v>
      </c>
      <c r="AC24" s="744"/>
      <c r="AD24" s="744" t="e">
        <f ca="1">OFFSET(CRONO!$T$33,0,CRONOPLE!AD23)</f>
        <v>#DIV/0!</v>
      </c>
      <c r="AE24" s="744"/>
    </row>
    <row r="25" spans="1:31" ht="12.75" customHeight="1" x14ac:dyDescent="0.2">
      <c r="A25" s="7" t="s">
        <v>536</v>
      </c>
      <c r="C25" s="757"/>
      <c r="G25" s="487" t="s">
        <v>782</v>
      </c>
      <c r="H25" s="758">
        <f ca="1">OFFSET(CRONO!$T$37,0,CRONOPLE!H23)</f>
        <v>0</v>
      </c>
      <c r="I25" s="758"/>
      <c r="J25" s="753">
        <f ca="1">OFFSET(CRONO!$T$37,0,CRONOPLE!J23)</f>
        <v>0</v>
      </c>
      <c r="K25" s="754"/>
      <c r="L25" s="753">
        <f ca="1">OFFSET(CRONO!$T$37,0,CRONOPLE!L23)</f>
        <v>0</v>
      </c>
      <c r="M25" s="754"/>
      <c r="N25" s="753">
        <f ca="1">OFFSET(CRONO!$T$37,0,CRONOPLE!N23)</f>
        <v>0</v>
      </c>
      <c r="O25" s="754"/>
      <c r="P25" s="753">
        <f ca="1">OFFSET(CRONO!$T$37,0,CRONOPLE!P23)</f>
        <v>0</v>
      </c>
      <c r="Q25" s="754"/>
      <c r="R25" s="753">
        <f ca="1">OFFSET(CRONO!$T$37,0,CRONOPLE!R23)</f>
        <v>0</v>
      </c>
      <c r="S25" s="754"/>
      <c r="T25" s="753">
        <f ca="1">OFFSET(CRONO!$T$37,0,CRONOPLE!T23)</f>
        <v>0</v>
      </c>
      <c r="U25" s="754"/>
      <c r="V25" s="753">
        <f ca="1">OFFSET(CRONO!$T$37,0,CRONOPLE!V23)</f>
        <v>0</v>
      </c>
      <c r="W25" s="754"/>
      <c r="X25" s="753">
        <f ca="1">OFFSET(CRONO!$T$37,0,CRONOPLE!X23)</f>
        <v>0</v>
      </c>
      <c r="Y25" s="754"/>
      <c r="Z25" s="753">
        <f ca="1">OFFSET(CRONO!$T$37,0,CRONOPLE!Z23)</f>
        <v>0</v>
      </c>
      <c r="AA25" s="754"/>
      <c r="AB25" s="753">
        <f ca="1">OFFSET(CRONO!$T$37,0,CRONOPLE!AB23)</f>
        <v>0</v>
      </c>
      <c r="AC25" s="754"/>
      <c r="AD25" s="753">
        <f ca="1">OFFSET(CRONO!$T$37,0,CRONOPLE!AD23)</f>
        <v>0</v>
      </c>
      <c r="AE25" s="754"/>
    </row>
    <row r="26" spans="1:31" ht="12.75" customHeight="1" x14ac:dyDescent="0.2">
      <c r="A26" s="7" t="s">
        <v>536</v>
      </c>
      <c r="C26" s="742" t="s">
        <v>783</v>
      </c>
      <c r="G26" s="551" t="s">
        <v>781</v>
      </c>
      <c r="H26" s="744" t="e">
        <f ca="1">OFFSET(CRONO!$T$38,0,CRONOPLE!H23)</f>
        <v>#DIV/0!</v>
      </c>
      <c r="I26" s="744"/>
      <c r="J26" s="747" t="e">
        <f ca="1">OFFSET(CRONO!$T$38,0,CRONOPLE!J23)</f>
        <v>#DIV/0!</v>
      </c>
      <c r="K26" s="748"/>
      <c r="L26" s="747" t="e">
        <f ca="1">OFFSET(CRONO!$T$38,0,CRONOPLE!L23)</f>
        <v>#DIV/0!</v>
      </c>
      <c r="M26" s="748"/>
      <c r="N26" s="747" t="e">
        <f ca="1">OFFSET(CRONO!$T$38,0,CRONOPLE!N23)</f>
        <v>#DIV/0!</v>
      </c>
      <c r="O26" s="748"/>
      <c r="P26" s="747" t="e">
        <f ca="1">OFFSET(CRONO!$T$38,0,CRONOPLE!P23)</f>
        <v>#DIV/0!</v>
      </c>
      <c r="Q26" s="748"/>
      <c r="R26" s="747" t="e">
        <f ca="1">OFFSET(CRONO!$T$38,0,CRONOPLE!R23)</f>
        <v>#DIV/0!</v>
      </c>
      <c r="S26" s="748"/>
      <c r="T26" s="747" t="e">
        <f ca="1">OFFSET(CRONO!$T$38,0,CRONOPLE!T23)</f>
        <v>#DIV/0!</v>
      </c>
      <c r="U26" s="748"/>
      <c r="V26" s="747" t="e">
        <f ca="1">OFFSET(CRONO!$T$38,0,CRONOPLE!V23)</f>
        <v>#DIV/0!</v>
      </c>
      <c r="W26" s="748"/>
      <c r="X26" s="747" t="e">
        <f ca="1">OFFSET(CRONO!$T$38,0,CRONOPLE!X23)</f>
        <v>#DIV/0!</v>
      </c>
      <c r="Y26" s="748"/>
      <c r="Z26" s="747" t="e">
        <f ca="1">OFFSET(CRONO!$T$38,0,CRONOPLE!Z23)</f>
        <v>#DIV/0!</v>
      </c>
      <c r="AA26" s="748"/>
      <c r="AB26" s="747" t="e">
        <f ca="1">OFFSET(CRONO!$T$38,0,CRONOPLE!AB23)</f>
        <v>#DIV/0!</v>
      </c>
      <c r="AC26" s="748"/>
      <c r="AD26" s="747" t="e">
        <f ca="1">OFFSET(CRONO!$T$38,0,CRONOPLE!AD23)</f>
        <v>#DIV/0!</v>
      </c>
      <c r="AE26" s="748"/>
    </row>
    <row r="27" spans="1:31" ht="12.75" customHeight="1" x14ac:dyDescent="0.2">
      <c r="A27" s="7" t="s">
        <v>536</v>
      </c>
      <c r="C27" s="743"/>
      <c r="G27" s="487" t="s">
        <v>782</v>
      </c>
      <c r="H27" s="752">
        <f ca="1">OFFSET(CRONO!$T$42,0,CRONOPLE!H23)</f>
        <v>0</v>
      </c>
      <c r="I27" s="752"/>
      <c r="J27" s="750">
        <f ca="1">OFFSET(CRONO!$T$42,0,CRONOPLE!J23)</f>
        <v>0</v>
      </c>
      <c r="K27" s="751"/>
      <c r="L27" s="750">
        <f ca="1">OFFSET(CRONO!$T$42,0,CRONOPLE!L23)</f>
        <v>0</v>
      </c>
      <c r="M27" s="751"/>
      <c r="N27" s="750">
        <f ca="1">OFFSET(CRONO!$T$42,0,CRONOPLE!N23)</f>
        <v>0</v>
      </c>
      <c r="O27" s="751"/>
      <c r="P27" s="750">
        <f ca="1">OFFSET(CRONO!$T$42,0,CRONOPLE!P23)</f>
        <v>0</v>
      </c>
      <c r="Q27" s="751"/>
      <c r="R27" s="750">
        <f ca="1">OFFSET(CRONO!$T$42,0,CRONOPLE!R23)</f>
        <v>0</v>
      </c>
      <c r="S27" s="751"/>
      <c r="T27" s="750">
        <f ca="1">OFFSET(CRONO!$T$42,0,CRONOPLE!T23)</f>
        <v>0</v>
      </c>
      <c r="U27" s="751"/>
      <c r="V27" s="750">
        <f ca="1">OFFSET(CRONO!$T$42,0,CRONOPLE!V23)</f>
        <v>0</v>
      </c>
      <c r="W27" s="751"/>
      <c r="X27" s="750">
        <f ca="1">OFFSET(CRONO!$T$42,0,CRONOPLE!X23)</f>
        <v>0</v>
      </c>
      <c r="Y27" s="751"/>
      <c r="Z27" s="750">
        <f ca="1">OFFSET(CRONO!$T$42,0,CRONOPLE!Z23)</f>
        <v>0</v>
      </c>
      <c r="AA27" s="751"/>
      <c r="AB27" s="750">
        <f ca="1">OFFSET(CRONO!$T$42,0,CRONOPLE!AB23)</f>
        <v>0</v>
      </c>
      <c r="AC27" s="751"/>
      <c r="AD27" s="750">
        <f ca="1">OFFSET(CRONO!$T$42,0,CRONOPLE!AD23)</f>
        <v>0</v>
      </c>
      <c r="AE27" s="751"/>
    </row>
    <row r="28" spans="1:31" ht="12.75" customHeight="1" x14ac:dyDescent="0.2">
      <c r="A28" s="7" t="s">
        <v>536</v>
      </c>
      <c r="C28" s="552" t="s">
        <v>784</v>
      </c>
      <c r="D28" s="550"/>
      <c r="G28" s="551" t="s">
        <v>781</v>
      </c>
      <c r="H28" s="744" t="e">
        <f ca="1">OFFSET(CRONO!$T$43,0,CRONOPLE!H23)</f>
        <v>#DIV/0!</v>
      </c>
      <c r="I28" s="744"/>
      <c r="J28" s="745" t="e">
        <f ca="1">OFFSET(CRONO!$T$43,0,CRONOPLE!J23)</f>
        <v>#DIV/0!</v>
      </c>
      <c r="K28" s="746"/>
      <c r="L28" s="745" t="e">
        <f ca="1">OFFSET(CRONO!$T$43,0,CRONOPLE!L23)</f>
        <v>#DIV/0!</v>
      </c>
      <c r="M28" s="746"/>
      <c r="N28" s="745" t="e">
        <f ca="1">OFFSET(CRONO!$T$43,0,CRONOPLE!N23)</f>
        <v>#DIV/0!</v>
      </c>
      <c r="O28" s="746"/>
      <c r="P28" s="745" t="e">
        <f ca="1">OFFSET(CRONO!$T$43,0,CRONOPLE!P23)</f>
        <v>#DIV/0!</v>
      </c>
      <c r="Q28" s="746"/>
      <c r="R28" s="745" t="e">
        <f ca="1">OFFSET(CRONO!$T$43,0,CRONOPLE!R23)</f>
        <v>#DIV/0!</v>
      </c>
      <c r="S28" s="746"/>
      <c r="T28" s="745" t="e">
        <f ca="1">OFFSET(CRONO!$T$43,0,CRONOPLE!T23)</f>
        <v>#DIV/0!</v>
      </c>
      <c r="U28" s="746"/>
      <c r="V28" s="745" t="e">
        <f ca="1">OFFSET(CRONO!$T$43,0,CRONOPLE!V23)</f>
        <v>#DIV/0!</v>
      </c>
      <c r="W28" s="746"/>
      <c r="X28" s="745" t="e">
        <f ca="1">OFFSET(CRONO!$T$43,0,CRONOPLE!X23)</f>
        <v>#DIV/0!</v>
      </c>
      <c r="Y28" s="746"/>
      <c r="Z28" s="745" t="e">
        <f ca="1">OFFSET(CRONO!$T$43,0,CRONOPLE!Z23)</f>
        <v>#DIV/0!</v>
      </c>
      <c r="AA28" s="746"/>
      <c r="AB28" s="745" t="e">
        <f ca="1">OFFSET(CRONO!$T$43,0,CRONOPLE!AB23)</f>
        <v>#DIV/0!</v>
      </c>
      <c r="AC28" s="746"/>
      <c r="AD28" s="745" t="e">
        <f ca="1">OFFSET(CRONO!$T$43,0,CRONOPLE!AD23)</f>
        <v>#DIV/0!</v>
      </c>
      <c r="AE28" s="746"/>
    </row>
    <row r="29" spans="1:31" ht="15" customHeight="1" x14ac:dyDescent="0.25">
      <c r="A29" s="7" t="s">
        <v>536</v>
      </c>
      <c r="C29" s="549"/>
      <c r="G29" s="583" t="str">
        <f ca="1">IF(COUNTIF(H29:AF29,"%Adm&gt;%Global")&gt;0,"Verificar proporcionalidade da Administração Local","")</f>
        <v/>
      </c>
      <c r="H29" s="535" t="e">
        <f ca="1">IF(H28="","",IF(ROUND(H28,4)&gt;ROUND(H26,4),"%Adm&gt;%Global",""))</f>
        <v>#DIV/0!</v>
      </c>
      <c r="J29" s="535" t="e">
        <f t="shared" ref="J29" ca="1" si="3">IF(J28="","",IF(ROUND(J28,4)&gt;ROUND(J26,4),"%Adm&gt;%Global",""))</f>
        <v>#DIV/0!</v>
      </c>
      <c r="L29" s="535" t="e">
        <f t="shared" ref="L29" ca="1" si="4">IF(L28="","",IF(ROUND(L28,4)&gt;ROUND(L26,4),"%Adm&gt;%Global",""))</f>
        <v>#DIV/0!</v>
      </c>
      <c r="N29" s="535" t="e">
        <f t="shared" ref="N29" ca="1" si="5">IF(N28="","",IF(ROUND(N28,4)&gt;ROUND(N26,4),"%Adm&gt;%Global",""))</f>
        <v>#DIV/0!</v>
      </c>
      <c r="P29" s="535" t="e">
        <f t="shared" ref="P29" ca="1" si="6">IF(P28="","",IF(ROUND(P28,4)&gt;ROUND(P26,4),"%Adm&gt;%Global",""))</f>
        <v>#DIV/0!</v>
      </c>
      <c r="R29" s="535" t="e">
        <f t="shared" ref="R29" ca="1" si="7">IF(R28="","",IF(ROUND(R28,4)&gt;ROUND(R26,4),"%Adm&gt;%Global",""))</f>
        <v>#DIV/0!</v>
      </c>
      <c r="T29" s="535" t="e">
        <f t="shared" ref="T29" ca="1" si="8">IF(T28="","",IF(ROUND(T28,4)&gt;ROUND(T26,4),"%Adm&gt;%Global",""))</f>
        <v>#DIV/0!</v>
      </c>
      <c r="V29" s="535" t="e">
        <f t="shared" ref="V29" ca="1" si="9">IF(V28="","",IF(ROUND(V28,4)&gt;ROUND(V26,4),"%Adm&gt;%Global",""))</f>
        <v>#DIV/0!</v>
      </c>
      <c r="X29" s="535" t="e">
        <f t="shared" ref="X29" ca="1" si="10">IF(X28="","",IF(ROUND(X28,4)&gt;ROUND(X26,4),"%Adm&gt;%Global",""))</f>
        <v>#DIV/0!</v>
      </c>
      <c r="Z29" s="535" t="e">
        <f t="shared" ref="Z29" ca="1" si="11">IF(Z28="","",IF(ROUND(Z28,4)&gt;ROUND(Z26,4),"%Adm&gt;%Global",""))</f>
        <v>#DIV/0!</v>
      </c>
      <c r="AB29" s="535" t="e">
        <f t="shared" ref="AB29" ca="1" si="12">IF(AB28="","",IF(ROUND(AB28,4)&gt;ROUND(AB26,4),"%Adm&gt;%Global",""))</f>
        <v>#DIV/0!</v>
      </c>
      <c r="AD29" s="535" t="e">
        <f t="shared" ref="AD29" ca="1" si="13">IF(AD28="","",IF(ROUND(AD28,4)&gt;ROUND(AD26,4),"%Adm&gt;%Global",""))</f>
        <v>#DIV/0!</v>
      </c>
    </row>
    <row r="30" spans="1:31" x14ac:dyDescent="0.2">
      <c r="A30" s="7" t="s">
        <v>536</v>
      </c>
    </row>
    <row r="31" spans="1:31" ht="15" x14ac:dyDescent="0.2">
      <c r="A31" s="7" t="s">
        <v>536</v>
      </c>
      <c r="B31" s="138" t="str">
        <f>Import.Município</f>
        <v>BENTO GONÇALVES/RS</v>
      </c>
      <c r="C31" s="138"/>
      <c r="E31" s="488"/>
      <c r="F31" s="488"/>
      <c r="G31" s="488"/>
      <c r="H31" s="488"/>
      <c r="I31" s="488"/>
      <c r="J31" s="488"/>
      <c r="K31" s="488"/>
      <c r="L31" s="488"/>
      <c r="V31" s="460"/>
      <c r="W31" s="417"/>
      <c r="X31" s="417"/>
      <c r="Y31" s="417"/>
      <c r="Z31" s="417"/>
      <c r="AA31" s="417"/>
      <c r="AB31" s="417"/>
      <c r="AC31" s="417"/>
      <c r="AD31" s="417"/>
      <c r="AE31" s="417"/>
    </row>
    <row r="32" spans="1:31" x14ac:dyDescent="0.2">
      <c r="A32" s="7" t="s">
        <v>536</v>
      </c>
      <c r="B32" s="9" t="s">
        <v>693</v>
      </c>
      <c r="F32" s="185"/>
      <c r="G32" s="185"/>
      <c r="H32" s="185"/>
      <c r="I32" s="185"/>
      <c r="J32" s="185"/>
      <c r="K32" s="185"/>
      <c r="L32" s="187"/>
      <c r="V32" s="181" t="s">
        <v>696</v>
      </c>
    </row>
    <row r="33" spans="1:22" x14ac:dyDescent="0.2">
      <c r="A33" s="7" t="s">
        <v>536</v>
      </c>
      <c r="F33" s="185"/>
      <c r="G33" s="185"/>
      <c r="H33" s="185"/>
      <c r="I33" s="185"/>
      <c r="J33" s="185"/>
      <c r="K33" s="185"/>
      <c r="L33" s="187"/>
      <c r="V33" s="398" t="str">
        <f t="array" aca="1" ref="V33:V35" ca="1">OFFSET(Import.RespOrçamento,0,-1) &amp; " " &amp; Import.RespOrçamento</f>
        <v>Nome: Nathália Cortes Tosi</v>
      </c>
    </row>
    <row r="34" spans="1:22" ht="16.5" x14ac:dyDescent="0.3">
      <c r="A34" s="7" t="s">
        <v>536</v>
      </c>
      <c r="B34" s="749">
        <f>DADOS!$C$25</f>
        <v>46073</v>
      </c>
      <c r="C34" s="749"/>
      <c r="F34" s="185"/>
      <c r="G34" s="185"/>
      <c r="H34" s="185"/>
      <c r="I34" s="185"/>
      <c r="J34" s="185"/>
      <c r="K34" s="185"/>
      <c r="L34" s="187"/>
      <c r="V34" s="398" t="str">
        <f ca="1"/>
        <v>CREA/CAU: RS227774</v>
      </c>
    </row>
    <row r="35" spans="1:22" x14ac:dyDescent="0.2">
      <c r="A35" s="7" t="s">
        <v>536</v>
      </c>
      <c r="B35" s="9" t="s">
        <v>694</v>
      </c>
      <c r="F35" s="185"/>
      <c r="G35" s="185"/>
      <c r="H35" s="185"/>
      <c r="I35" s="185"/>
      <c r="J35" s="185"/>
      <c r="K35" s="185"/>
      <c r="L35" s="187"/>
      <c r="V35" s="398" t="str">
        <f ca="1"/>
        <v>ART/RRT: 14233645</v>
      </c>
    </row>
  </sheetData>
  <sheetProtection algorithmName="SHA-512" hashValue="W5iEKb5EZs4uazD5BWIQ2zCtgJFgILawk01vk0IsNEIztIUv7ULu+YygczjQllUGeSAagdJX4SgyoYAw8Y9dtg==" saltValue="LAYCH6uheJgLLK9I4hZj5Q==" spinCount="100000" sheet="1" objects="1" scenarios="1" autoFilter="0"/>
  <autoFilter ref="A13:A35" xr:uid="{00000000-0009-0000-0000-000007000000}"/>
  <mergeCells count="86">
    <mergeCell ref="AB25:AC25"/>
    <mergeCell ref="AB24:AC24"/>
    <mergeCell ref="AD24:AE24"/>
    <mergeCell ref="AD25:AE25"/>
    <mergeCell ref="Z25:AA25"/>
    <mergeCell ref="AB28:AC28"/>
    <mergeCell ref="R25:S25"/>
    <mergeCell ref="X25:Y25"/>
    <mergeCell ref="P25:Q25"/>
    <mergeCell ref="AD26:AE26"/>
    <mergeCell ref="P28:Q28"/>
    <mergeCell ref="AD27:AE27"/>
    <mergeCell ref="AD28:AE28"/>
    <mergeCell ref="R28:S28"/>
    <mergeCell ref="T28:U28"/>
    <mergeCell ref="V28:W28"/>
    <mergeCell ref="X28:Y28"/>
    <mergeCell ref="Z28:AA28"/>
    <mergeCell ref="AB27:AC27"/>
    <mergeCell ref="Z26:AA26"/>
    <mergeCell ref="AB26:AC26"/>
    <mergeCell ref="AC2:AE2"/>
    <mergeCell ref="B4:D4"/>
    <mergeCell ref="G4:I4"/>
    <mergeCell ref="J4:L4"/>
    <mergeCell ref="B5:D5"/>
    <mergeCell ref="G5:I5"/>
    <mergeCell ref="J5:L5"/>
    <mergeCell ref="M5:AE5"/>
    <mergeCell ref="C24:C25"/>
    <mergeCell ref="H24:I24"/>
    <mergeCell ref="J24:K24"/>
    <mergeCell ref="H25:I25"/>
    <mergeCell ref="J25:K25"/>
    <mergeCell ref="AD23:AE23"/>
    <mergeCell ref="X24:Y24"/>
    <mergeCell ref="Z24:AA24"/>
    <mergeCell ref="V24:W24"/>
    <mergeCell ref="AB23:AC23"/>
    <mergeCell ref="X23:Y23"/>
    <mergeCell ref="Z23:AA23"/>
    <mergeCell ref="V23:W23"/>
    <mergeCell ref="H23:I23"/>
    <mergeCell ref="J23:K23"/>
    <mergeCell ref="L23:M23"/>
    <mergeCell ref="T23:U23"/>
    <mergeCell ref="B8:C8"/>
    <mergeCell ref="B12:B13"/>
    <mergeCell ref="C12:C13"/>
    <mergeCell ref="N23:O23"/>
    <mergeCell ref="P23:Q23"/>
    <mergeCell ref="R23:S23"/>
    <mergeCell ref="T25:U25"/>
    <mergeCell ref="V25:W25"/>
    <mergeCell ref="L24:M24"/>
    <mergeCell ref="N24:O24"/>
    <mergeCell ref="L25:M25"/>
    <mergeCell ref="N25:O25"/>
    <mergeCell ref="P24:Q24"/>
    <mergeCell ref="R24:S24"/>
    <mergeCell ref="T24:U24"/>
    <mergeCell ref="Z27:AA27"/>
    <mergeCell ref="H26:I26"/>
    <mergeCell ref="J26:K26"/>
    <mergeCell ref="L26:M26"/>
    <mergeCell ref="N26:O26"/>
    <mergeCell ref="H27:I27"/>
    <mergeCell ref="J27:K27"/>
    <mergeCell ref="N27:O27"/>
    <mergeCell ref="P27:Q27"/>
    <mergeCell ref="R27:S27"/>
    <mergeCell ref="T27:U27"/>
    <mergeCell ref="P26:Q26"/>
    <mergeCell ref="R26:S26"/>
    <mergeCell ref="V26:W26"/>
    <mergeCell ref="L27:M27"/>
    <mergeCell ref="T26:U26"/>
    <mergeCell ref="C26:C27"/>
    <mergeCell ref="H28:I28"/>
    <mergeCell ref="J28:K28"/>
    <mergeCell ref="X26:Y26"/>
    <mergeCell ref="B34:C34"/>
    <mergeCell ref="V27:W27"/>
    <mergeCell ref="X27:Y27"/>
    <mergeCell ref="L28:M28"/>
    <mergeCell ref="N28:O28"/>
  </mergeCells>
  <phoneticPr fontId="38" type="noConversion"/>
  <conditionalFormatting sqref="E1 G1:AE1">
    <cfRule type="expression" dxfId="178" priority="803" stopIfTrue="1">
      <formula>IF(OR(E$12&gt;CÁLCULO.NúmeroDeFrentes,ACOMPANHAMENTO="BM"),TRUE,CRONOPLE.ValorDoEvento=0)</formula>
    </cfRule>
  </conditionalFormatting>
  <conditionalFormatting sqref="U4:Y4">
    <cfRule type="expression" dxfId="177" priority="693" stopIfTrue="1">
      <formula>QCI.ExisteManual</formula>
    </cfRule>
  </conditionalFormatting>
  <conditionalFormatting sqref="J23:AE23">
    <cfRule type="expression" dxfId="176" priority="692" stopIfTrue="1">
      <formula>OFFSET(J23,3,-2)=1</formula>
    </cfRule>
  </conditionalFormatting>
  <conditionalFormatting sqref="J24:AE24">
    <cfRule type="expression" dxfId="175" priority="687" stopIfTrue="1">
      <formula>OFFSET(J24,2,-2)=1</formula>
    </cfRule>
  </conditionalFormatting>
  <conditionalFormatting sqref="J25:AE25">
    <cfRule type="expression" dxfId="174" priority="686" stopIfTrue="1">
      <formula>OFFSET(J25,1,-2)=1</formula>
    </cfRule>
  </conditionalFormatting>
  <conditionalFormatting sqref="J26:AE26">
    <cfRule type="expression" dxfId="173" priority="685" stopIfTrue="1">
      <formula>OFFSET(J26,0,-2)=1</formula>
    </cfRule>
  </conditionalFormatting>
  <conditionalFormatting sqref="J27:AE27">
    <cfRule type="expression" dxfId="172" priority="684" stopIfTrue="1">
      <formula>OFFSET(J27,-1,-2)=1</formula>
    </cfRule>
  </conditionalFormatting>
  <conditionalFormatting sqref="B15:C15 E15 G15:AF15">
    <cfRule type="expression" dxfId="171" priority="508">
      <formula>$B$15=0</formula>
    </cfRule>
  </conditionalFormatting>
  <conditionalFormatting sqref="B8:C8">
    <cfRule type="expression" dxfId="170" priority="507">
      <formula>$B$7=""</formula>
    </cfRule>
  </conditionalFormatting>
  <conditionalFormatting sqref="J28:AE28">
    <cfRule type="expression" dxfId="169" priority="506">
      <formula>OFFSET(J28,-2,-2)=1</formula>
    </cfRule>
  </conditionalFormatting>
  <conditionalFormatting sqref="H28:AE28">
    <cfRule type="expression" dxfId="168" priority="505">
      <formula>ROUND(H28,4)&gt;ROUND(H26,4)</formula>
    </cfRule>
  </conditionalFormatting>
  <conditionalFormatting sqref="E16:E19 G16:AE19">
    <cfRule type="expression" dxfId="167" priority="7" stopIfTrue="1">
      <formula>IF(OR(E$12&gt;CÁLCULO.NúmeroDeFrentes,ACOMPANHAMENTO="BM"),TRUE,CRONOPLE.ValorDoEvento=0)</formula>
    </cfRule>
  </conditionalFormatting>
  <conditionalFormatting sqref="E20 G20:AE20">
    <cfRule type="expression" dxfId="16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0 E16:E20" xr:uid="{00000000-0002-0000-0700-000000000000}">
      <formula1>0</formula1>
      <formula2>0</formula2>
    </dataValidation>
    <dataValidation type="list" allowBlank="1" showInputMessage="1" showErrorMessage="1" errorTitle="Atenção" error="Selecione uma opção da lista." prompt="Selecione uma opção da lista." sqref="B8:C8" xr:uid="{00000000-0002-0000-0700-000001000000}">
      <formula1>CRONOPLE.Lista.AdmLocal</formula1>
    </dataValidation>
  </dataValidations>
  <pageMargins left="0.78740157480314998" right="0.78740157480314998" top="0.78740157480314998" bottom="0.78740157480314998" header="0.59055118110236204" footer="0.59055118110236204"/>
  <pageSetup paperSize="9" scale="71"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G49"/>
  <sheetViews>
    <sheetView showGridLines="0" view="pageBreakPreview" zoomScale="9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IF($F2=-1,0,IF(N$13&lt;=$M1,IF(ISERROR(MATCH(N$13,OFFSET($M1,1,0,ROW($M$32)-ROW($M1)-1),0)),ROW($M$32)-ROW($M1)-1,MATCH(N$13,OFFSET($M1,1,0,ROW($M$32)-ROW($M1)-1),0)-1),0))</f>
        <v>#REF!</v>
      </c>
      <c r="O1" s="193" t="e">
        <f ca="1">IF($F2=-1,0,IF(O$13&lt;=$M1,IF(ISERROR(MATCH(O$13,OFFSET($M1,1,0,ROW($M$32)-ROW($M1)-1),0)),ROW($M$32)-ROW($M1)-1,MATCH(O$13,OFFSET($M1,1,0,ROW($M$32)-ROW($M1)-1),0)-1),0))</f>
        <v>#REF!</v>
      </c>
      <c r="P1" s="193" t="e">
        <f ca="1">IF($F2=-1,0,IF(P$13&lt;=$M1,IF(ISERROR(MATCH(P$13,OFFSET($M1,1,0,ROW($M$32)-ROW($M1)-1),0)),ROW($M$32)-ROW($M1)-1,MATCH(P$13,OFFSET($M1,1,0,ROW($M$32)-ROW($M1)-1),0)-1),0))</f>
        <v>#REF!</v>
      </c>
      <c r="Q1" s="193" t="e">
        <f ca="1">IF($F2=-1,0,IF(Q$13&lt;=$M1,IF(ISERROR(MATCH(Q$13,OFFSET($M1,1,0,ROW($M$32)-ROW($M1)-1),0)),ROW($M$32)-ROW($M1)-1,MATCH(Q$13,OFFSET($M1,1,0,ROW($M$32)-ROW($M1)-1),0)-1),0))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SUMIF(CÁLCULO!$AM$15:$AW$39,CRONO!E$12,CÁLCULO!$AB$15:$AL$39)/(ORÇAMENTO!$X$15-CÁLCULO.TotalAdmLocal)*CRONO!$F3,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SUMIF(CÁLCULO!$AM$15:$AW$39,CRONO!U$12,CÁLCULO!$AB$15:$AL$39)/(ORÇAMENTO!$X$15-CÁLCULO.TotalAdmLocal)*CRONO!$F3,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SUMIF(CÁLCULO!$AM$15:$AW$39,CRONO!V$12,CÁLCULO!$AB$15:$AL$39)/(ORÇAMENTO!$X$15-CÁLCULO.TotalAdmLocal)*CRONO!$F3,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SUMIF(CÁLCULO!$AM$15:$AW$39,CRONO!W$12,CÁLCULO!$AB$15:$AL$39)/(ORÇAMENTO!$X$15-CÁLCULO.TotalAdmLocal)*CRONO!$F3,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SUMIF(CÁLCULO!$AM$15:$AW$39,CRONO!X$12,CÁLCULO!$AB$15:$AL$39)/(ORÇAMENTO!$X$15-CÁLCULO.TotalAdmLocal)*CRONO!$F3,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SUMIF(CÁLCULO!$AM$15:$AW$39,CRONO!Y$12,CÁLCULO!$AB$15:$AL$39)/(ORÇAMENTO!$X$15-CÁLCULO.TotalAdmLocal)*CRONO!$F3,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SUMIF(CÁLCULO!$AM$15:$AW$39,CRONO!Z$12,CÁLCULO!$AB$15:$AL$39)/(ORÇAMENTO!$X$15-CÁLCULO.TotalAdmLocal)*CRONO!$F3,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SUMIF(CÁLCULO!$AM$15:$AW$39,CRONO!AA$12,CÁLCULO!$AB$15:$AL$39)/(ORÇAMENTO!$X$15-CÁLCULO.TotalAdmLocal)*CRONO!$F3,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SUMIF(CÁLCULO!$AM$15:$AW$39,CRONO!AB$12,CÁLCULO!$AB$15:$AL$39)/(ORÇAMENTO!$X$15-CÁLCULO.TotalAdmLocal)*CRONO!$F3,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SUMIF(CÁLCULO!$AM$15:$AW$39,CRONO!AC$12,CÁLCULO!$AB$15:$AL$39)/(ORÇAMENTO!$X$15-CÁLCULO.TotalAdmLocal)*CRONO!$F3,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SUMIF(CÁLCULO!$AM$15:$AW$39,CRONO!AD$12,CÁLCULO!$AB$15:$AL$39)/(ORÇAMENTO!$X$15-CÁLCULO.TotalAdmLocal)*CRONO!$F3,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SUMIF(CÁLCULO!$AM$15:$AW$39,CRONO!AE$12,CÁLCULO!$AB$15:$AL$39)/(ORÇAMENTO!$X$15-CÁLCULO.TotalAdmLocal)*CRONO!$F3,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SUMIF(CÁLCULO!$AM$15:$AW$39,CRONO!AF$12,CÁLCULO!$AB$15:$AL$39)/(ORÇAMENTO!$X$15-CÁLCULO.TotalAdmLocal)*CRONO!$F3,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 LICITADO</v>
      </c>
      <c r="AE4" s="704" t="s">
        <v>644</v>
      </c>
      <c r="AF4" s="704"/>
    </row>
    <row r="5" spans="1:33" ht="15" x14ac:dyDescent="0.2">
      <c r="S5" s="83" t="str">
        <f>import.recurso</f>
        <v>(SELECIONAR)</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NOME DA EMPRESA</v>
      </c>
      <c r="AF7" s="213" t="str" cm="1">
        <f t="array" ref="AF7">IF(TIPOORCAMENTO="Licitado","Nº CTEF","")</f>
        <v>Nº CTEF</v>
      </c>
    </row>
    <row r="8" spans="1:33" x14ac:dyDescent="0.2">
      <c r="A8" s="186" t="s">
        <v>974</v>
      </c>
      <c r="E8" s="185"/>
      <c r="F8" s="114"/>
      <c r="G8" s="693" t="s">
        <v>655</v>
      </c>
      <c r="H8" s="774"/>
      <c r="I8" s="765">
        <f>Import.CR</f>
        <v>0</v>
      </c>
      <c r="J8" s="765"/>
      <c r="K8" s="214">
        <f>Import.TransfereGOV</f>
        <v>0</v>
      </c>
      <c r="L8" s="764" t="str">
        <f>Import.Proponente</f>
        <v>MUNICÍPIO DE BENTO GONÇALVES</v>
      </c>
      <c r="M8" s="764"/>
      <c r="N8" s="764"/>
      <c r="O8" s="764"/>
      <c r="P8" s="764"/>
      <c r="Q8" s="764"/>
      <c r="R8" s="764"/>
      <c r="S8" s="764"/>
      <c r="T8" s="764"/>
      <c r="U8" s="765" t="str">
        <f>Import.Apelido</f>
        <v>REVITALIZAÇÃO DA PIPA PÓRTICO</v>
      </c>
      <c r="V8" s="765"/>
      <c r="W8" s="765"/>
      <c r="X8" s="765"/>
      <c r="Y8" s="765"/>
      <c r="Z8" s="775" cm="1">
        <f t="array" ref="Z8">IF(TIPOORCAMENTO="Licitado",Import.empresa,Import.DescLote)</f>
        <v>0</v>
      </c>
      <c r="AA8" s="775"/>
      <c r="AB8" s="775"/>
      <c r="AC8" s="775"/>
      <c r="AD8" s="775"/>
      <c r="AE8" s="775"/>
      <c r="AF8" s="203" cm="1">
        <f t="array" ref="AF8">IF(TIPOORCAMENTO="Licitado",Import.CTEF,"")</f>
        <v>0</v>
      </c>
    </row>
    <row r="9" spans="1:33" x14ac:dyDescent="0.2">
      <c r="A9" s="655">
        <v>2</v>
      </c>
      <c r="F9" s="114"/>
      <c r="G9" s="693"/>
      <c r="H9" s="774"/>
    </row>
    <row r="10" spans="1:33" x14ac:dyDescent="0.2">
      <c r="A10" s="656">
        <v>3</v>
      </c>
      <c r="F10" s="185" cm="1">
        <f t="array" aca="1" ref="F10" ca="1">CRONO.LinhasNecessarias</f>
        <v>6</v>
      </c>
      <c r="G10" s="693"/>
      <c r="H10" s="215">
        <v>2</v>
      </c>
      <c r="K10" s="766" t="str" cm="1">
        <f t="array" aca="1" ref="K10" ca="1">IF(MAX($B$13:$B$32)&lt;CRONO.LinhasNecessarias,"ERRO: NÚMERO DE LINHAS DO CRONOGRAMA INSUFICIENTE. CLIQUE EM ATUALIZAR LINHAS.",IF(AND(ACOMPANHAMENTO="PLE",ROUND(OFFSET($AG$42,0,-1),2)=0),"CRONOGRAMA DEVE SER PREENCHIDO POR EVENTOS",IF(ROUND(OFFSET($AG$42,0,-1),2)&lt;&gt;$R$33,"ERRO: CRONOGRAMA NÃO FECHA 100%","")))</f>
        <v>CRONOGRAMA DEVE SER PREENCHIDO POR EVENTOS</v>
      </c>
      <c r="L10" s="766"/>
      <c r="M10" s="766"/>
      <c r="N10" s="766"/>
      <c r="O10" s="766"/>
      <c r="P10" s="766"/>
      <c r="Q10" s="766"/>
      <c r="R10" s="766"/>
      <c r="S10" s="766"/>
      <c r="T10" s="766"/>
    </row>
    <row r="11" spans="1:33" ht="12.75" customHeight="1" x14ac:dyDescent="0.2">
      <c r="A11" s="657">
        <v>4</v>
      </c>
      <c r="F11" s="185" t="e" cm="1">
        <f t="array" aca="1" ref="F11" ca="1">CRONO.ParcelaFinal</f>
        <v>#N/A</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REVITALIZAÇÃO DO PÓRTICO PIPA</v>
      </c>
      <c r="K14" s="191"/>
      <c r="L14" s="191"/>
      <c r="M14" s="192">
        <f ca="1">IF($F15=0,OFFSET(ORÇAMENTO!C$15,$F14,0),1)</f>
        <v>1</v>
      </c>
      <c r="N14" s="193">
        <f ca="1">IF($F15=-1,0,IF(N$13&lt;=$M14,IF(ISERROR(MATCH(N$13,OFFSET($M14,1,0,ROW($M$32)-ROW($M14)-1),0)),ROW($M$32)-ROW($M14)-1,MATCH(N$13,OFFSET($M14,1,0,ROW($M$32)-ROW($M14)-1),0)-1),0))</f>
        <v>17</v>
      </c>
      <c r="O14" s="193">
        <f ca="1">IF($F15=-1,0,IF(O$13&lt;=$M14,IF(ISERROR(MATCH(O$13,OFFSET($M14,1,0,ROW($M$32)-ROW($M14)-1),0)),ROW($M$32)-ROW($M14)-1,MATCH(O$13,OFFSET($M14,1,0,ROW($M$32)-ROW($M14)-1),0)-1),0))</f>
        <v>0</v>
      </c>
      <c r="P14" s="193">
        <f ca="1">IF($F15=-1,0,IF(P$13&lt;=$M14,IF(ISERROR(MATCH(P$13,OFFSET($M14,1,0,ROW($M$32)-ROW($M14)-1),0)),ROW($M$32)-ROW($M14)-1,MATCH(P$13,OFFSET($M14,1,0,ROW($M$32)-ROW($M14)-1),0)-1),0))</f>
        <v>0</v>
      </c>
      <c r="Q14" s="193">
        <f ca="1">IF($F15=-1,0,IF(Q$13&lt;=$M14,IF(ISERROR(MATCH(Q$13,OFFSET($M14,1,0,ROW($M$32)-ROW($M14)-1),0)),ROW($M$32)-ROW($M14)-1,MATCH(Q$13,OFFSET($M14,1,0,ROW($M$32)-ROW($M14)-1),0)-1),0))</f>
        <v>0</v>
      </c>
      <c r="R14" s="193">
        <f t="shared" ref="R14" ca="1" si="5">MIN(OFFSET(M14,0,1,,M14))</f>
        <v>17</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SUMIF(CÁLCULO!$AM$15:$AW$39,CRONO!E$12,CÁLCULO!$AB$15:$AL$39)/(ORÇAMENTO!$X$15-CÁLCULO.TotalAdmLocal)*CRONO!$F16,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SUMIF(CÁLCULO!$AM$15:$AW$39,CRONO!U$12,CÁLCULO!$AB$15:$AL$39)/(ORÇAMENTO!$X$15-CÁLCULO.TotalAdmLocal)*CRONO!$F16,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SUMIF(CÁLCULO!$AM$15:$AW$39,CRONO!V$12,CÁLCULO!$AB$15:$AL$39)/(ORÇAMENTO!$X$15-CÁLCULO.TotalAdmLocal)*CRONO!$F16,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SUMIF(CÁLCULO!$AM$15:$AW$39,CRONO!W$12,CÁLCULO!$AB$15:$AL$39)/(ORÇAMENTO!$X$15-CÁLCULO.TotalAdmLocal)*CRONO!$F16,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SUMIF(CÁLCULO!$AM$15:$AW$39,CRONO!X$12,CÁLCULO!$AB$15:$AL$39)/(ORÇAMENTO!$X$15-CÁLCULO.TotalAdmLocal)*CRONO!$F16,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SUMIF(CÁLCULO!$AM$15:$AW$39,CRONO!Y$12,CÁLCULO!$AB$15:$AL$39)/(ORÇAMENTO!$X$15-CÁLCULO.TotalAdmLocal)*CRONO!$F16,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SUMIF(CÁLCULO!$AM$15:$AW$39,CRONO!Z$12,CÁLCULO!$AB$15:$AL$39)/(ORÇAMENTO!$X$15-CÁLCULO.TotalAdmLocal)*CRONO!$F16,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SUMIF(CÁLCULO!$AM$15:$AW$39,CRONO!AA$12,CÁLCULO!$AB$15:$AL$39)/(ORÇAMENTO!$X$15-CÁLCULO.TotalAdmLocal)*CRONO!$F16,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SUMIF(CÁLCULO!$AM$15:$AW$39,CRONO!AB$12,CÁLCULO!$AB$15:$AL$39)/(ORÇAMENTO!$X$15-CÁLCULO.TotalAdmLocal)*CRONO!$F16,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SUMIF(CÁLCULO!$AM$15:$AW$39,CRONO!AC$12,CÁLCULO!$AB$15:$AL$39)/(ORÇAMENTO!$X$15-CÁLCULO.TotalAdmLocal)*CRONO!$F16,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SUMIF(CÁLCULO!$AM$15:$AW$39,CRONO!AD$12,CÁLCULO!$AB$15:$AL$39)/(ORÇAMENTO!$X$15-CÁLCULO.TotalAdmLocal)*CRONO!$F16,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SUMIF(CÁLCULO!$AM$15:$AW$39,CRONO!AE$12,CÁLCULO!$AB$15:$AL$39)/(ORÇAMENTO!$X$15-CÁLCULO.TotalAdmLocal)*CRONO!$F16,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SUMIF(CÁLCULO!$AM$15:$AW$39,CRONO!AF$12,CÁLCULO!$AB$15:$AL$39)/(ORÇAMENTO!$X$15-CÁLCULO.TotalAdmLocal)*CRONO!$F16,
                        0),
                 AF15*$S14),
          SUMIF(OFFSET($S16,1,0,$R14-2),($M14+1)&amp;"$",OFFSET(AF16,1,0,$R14-2)))</f>
        <v>0</v>
      </c>
      <c r="AG16" s="534"/>
    </row>
    <row r="17" spans="1:33" x14ac:dyDescent="0.2">
      <c r="A17" s="186" t="str">
        <f t="shared" ref="A17" ca="1" si="8">IF($M17&gt;1,_xlfn.CONCAT($I17," ",$J17),"")</f>
        <v>1.1. SERVIÇOS INICIAIS</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t="e" cm="1">
        <f t="array" aca="1" ref="E17" ca="1">IF(AND($R17=2,ACOMPANHAMENTO="BM"),ROUND(E18,4),E19/$S17)</f>
        <v>#DIV/0!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IF($F18=-1,0,IF(N$13&lt;=$M17,IF(ISERROR(MATCH(N$13,OFFSET($M17,1,0,ROW($M$32)-ROW($M17)-1),0)),ROW($M$32)-ROW($M17)-1,MATCH(N$13,OFFSET($M17,1,0,ROW($M$32)-ROW($M17)-1),0)-1),0))</f>
        <v>14</v>
      </c>
      <c r="O17" s="193">
        <f ca="1">IF($F18=-1,0,IF(O$13&lt;=$M17,IF(ISERROR(MATCH(O$13,OFFSET($M17,1,0,ROW($M$32)-ROW($M17)-1),0)),ROW($M$32)-ROW($M17)-1,MATCH(O$13,OFFSET($M17,1,0,ROW($M$32)-ROW($M17)-1),0)-1),0))</f>
        <v>2</v>
      </c>
      <c r="P17" s="193">
        <f ca="1">IF($F18=-1,0,IF(P$13&lt;=$M17,IF(ISERROR(MATCH(P$13,OFFSET($M17,1,0,ROW($M$32)-ROW($M17)-1),0)),ROW($M$32)-ROW($M17)-1,MATCH(P$13,OFFSET($M17,1,0,ROW($M$32)-ROW($M17)-1),0)-1),0))</f>
        <v>0</v>
      </c>
      <c r="Q17" s="193">
        <f ca="1">IF($F18=-1,0,IF(Q$13&lt;=$M17,IF(ISERROR(MATCH(Q$13,OFFSET($M17,1,0,ROW($M$32)-ROW($M17)-1),0)),ROW($M$32)-ROW($M17)-1,MATCH(Q$13,OFFSET($M17,1,0,ROW($M$32)-ROW($M17)-1),0)-1),0))</f>
        <v>0</v>
      </c>
      <c r="R17" s="193">
        <f t="shared" ref="R17" ca="1" si="11">MIN(OFFSET(M17,0,1,,M17))</f>
        <v>2</v>
      </c>
      <c r="S17" s="194">
        <f ca="1">IF($F18=0,OFFSET(ORÇAMENTO!X$15,$F17,0),IF($F18&lt;&gt;-1,OFFSET(QCI!$O$13,$F18,0),""))</f>
        <v>0</v>
      </c>
      <c r="T17" s="195" t="s">
        <v>785</v>
      </c>
      <c r="U17" s="188" t="e" cm="1">
        <f t="array" aca="1" ref="U17" ca="1">IF(AND($R17=2,ACOMPANHAMENTO="BM"),ROUND(U18,4),U19/$S17)</f>
        <v>#DIV/0!</v>
      </c>
      <c r="V17" s="188" t="e" cm="1">
        <f t="array" aca="1" ref="V17" ca="1">IF(AND($R17=2,ACOMPANHAMENTO="BM"),ROUND(V18,4),V19/$S17)</f>
        <v>#DIV/0!</v>
      </c>
      <c r="W17" s="188" t="e" cm="1">
        <f t="array" aca="1" ref="W17" ca="1">IF(AND($R17=2,ACOMPANHAMENTO="BM"),ROUND(W18,4),W19/$S17)</f>
        <v>#DIV/0!</v>
      </c>
      <c r="X17" s="188" t="e" cm="1">
        <f t="array" aca="1" ref="X17" ca="1">IF(AND($R17=2,ACOMPANHAMENTO="BM"),ROUND(X18,4),X19/$S17)</f>
        <v>#DIV/0!</v>
      </c>
      <c r="Y17" s="188" t="e" cm="1">
        <f t="array" aca="1" ref="Y17" ca="1">IF(AND($R17=2,ACOMPANHAMENTO="BM"),ROUND(Y18,4),Y19/$S17)</f>
        <v>#DIV/0!</v>
      </c>
      <c r="Z17" s="188" t="e" cm="1">
        <f t="array" aca="1" ref="Z17" ca="1">IF(AND($R17=2,ACOMPANHAMENTO="BM"),ROUND(Z18,4),Z19/$S17)</f>
        <v>#DIV/0!</v>
      </c>
      <c r="AA17" s="188" t="e" cm="1">
        <f t="array" aca="1" ref="AA17" ca="1">IF(AND($R17=2,ACOMPANHAMENTO="BM"),ROUND(AA18,4),AA19/$S17)</f>
        <v>#DIV/0!</v>
      </c>
      <c r="AB17" s="188" t="e" cm="1">
        <f t="array" aca="1" ref="AB17" ca="1">IF(AND($R17=2,ACOMPANHAMENTO="BM"),ROUND(AB18,4),AB19/$S17)</f>
        <v>#DIV/0!</v>
      </c>
      <c r="AC17" s="188" t="e" cm="1">
        <f t="array" aca="1" ref="AC17" ca="1">IF(AND($R17=2,ACOMPANHAMENTO="BM"),ROUND(AC18,4),AC19/$S17)</f>
        <v>#DIV/0!</v>
      </c>
      <c r="AD17" s="188" t="e" cm="1">
        <f t="array" aca="1" ref="AD17" ca="1">IF(AND($R17=2,ACOMPANHAMENTO="BM"),ROUND(AD18,4),AD19/$S17)</f>
        <v>#DIV/0!</v>
      </c>
      <c r="AE17" s="188" t="e" cm="1">
        <f t="array" aca="1" ref="AE17" ca="1">IF(AND($R17=2,ACOMPANHAMENTO="BM"),ROUND(AE18,4),AE19/$S17)</f>
        <v>#DIV/0!</v>
      </c>
      <c r="AF17" s="188" t="e" cm="1">
        <f t="array" aca="1" ref="AF17" ca="1">IF(AND($R17=2,ACOMPANHAMENTO="BM"),ROUND(AF18,4),AF19/$S17)</f>
        <v>#DIV/0!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SUMIF(CÁLCULO!$AM$15:$AW$39,CRONO!E$12,CÁLCULO!$AB$15:$AL$39)/(ORÇAMENTO!$X$15-CÁLCULO.TotalAdmLocal)*CRONO!$F19,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SUMIF(CÁLCULO!$AM$15:$AW$39,CRONO!U$12,CÁLCULO!$AB$15:$AL$39)/(ORÇAMENTO!$X$15-CÁLCULO.TotalAdmLocal)*CRONO!$F19,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SUMIF(CÁLCULO!$AM$15:$AW$39,CRONO!V$12,CÁLCULO!$AB$15:$AL$39)/(ORÇAMENTO!$X$15-CÁLCULO.TotalAdmLocal)*CRONO!$F19,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SUMIF(CÁLCULO!$AM$15:$AW$39,CRONO!W$12,CÁLCULO!$AB$15:$AL$39)/(ORÇAMENTO!$X$15-CÁLCULO.TotalAdmLocal)*CRONO!$F19,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SUMIF(CÁLCULO!$AM$15:$AW$39,CRONO!X$12,CÁLCULO!$AB$15:$AL$39)/(ORÇAMENTO!$X$15-CÁLCULO.TotalAdmLocal)*CRONO!$F19,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SUMIF(CÁLCULO!$AM$15:$AW$39,CRONO!Y$12,CÁLCULO!$AB$15:$AL$39)/(ORÇAMENTO!$X$15-CÁLCULO.TotalAdmLocal)*CRONO!$F19,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SUMIF(CÁLCULO!$AM$15:$AW$39,CRONO!Z$12,CÁLCULO!$AB$15:$AL$39)/(ORÇAMENTO!$X$15-CÁLCULO.TotalAdmLocal)*CRONO!$F19,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SUMIF(CÁLCULO!$AM$15:$AW$39,CRONO!AA$12,CÁLCULO!$AB$15:$AL$39)/(ORÇAMENTO!$X$15-CÁLCULO.TotalAdmLocal)*CRONO!$F19,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SUMIF(CÁLCULO!$AM$15:$AW$39,CRONO!AB$12,CÁLCULO!$AB$15:$AL$39)/(ORÇAMENTO!$X$15-CÁLCULO.TotalAdmLocal)*CRONO!$F19,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SUMIF(CÁLCULO!$AM$15:$AW$39,CRONO!AC$12,CÁLCULO!$AB$15:$AL$39)/(ORÇAMENTO!$X$15-CÁLCULO.TotalAdmLocal)*CRONO!$F19,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SUMIF(CÁLCULO!$AM$15:$AW$39,CRONO!AD$12,CÁLCULO!$AB$15:$AL$39)/(ORÇAMENTO!$X$15-CÁLCULO.TotalAdmLocal)*CRONO!$F19,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SUMIF(CÁLCULO!$AM$15:$AW$39,CRONO!AE$12,CÁLCULO!$AB$15:$AL$39)/(ORÇAMENTO!$X$15-CÁLCULO.TotalAdmLocal)*CRONO!$F19,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SUMIF(CÁLCULO!$AM$15:$AW$39,CRONO!AF$12,CÁLCULO!$AB$15:$AL$39)/(ORÇAMENTO!$X$15-CÁLCULO.TotalAdmLocal)*CRONO!$F19,
                        0),
                 AF18*$S17),
          SUMIF(OFFSET($S19,1,0,$R17-2),($M17+1)&amp;"$",OFFSET(AF19,1,0,$R17-2)))</f>
        <v>0</v>
      </c>
      <c r="AG19" s="534"/>
    </row>
    <row r="20" spans="1:33" x14ac:dyDescent="0.2">
      <c r="A20" s="186" t="str">
        <f t="shared" ref="A20" ca="1" si="14">IF($M20&gt;1,_xlfn.CONCAT($I20," ",$J20),"")</f>
        <v>1.2. ADMINISTRAÇÃO LOCAL</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t="e" cm="1">
        <f t="array" aca="1" ref="E20" ca="1">IF(AND($R20=2,ACOMPANHAMENTO="BM"),ROUND(E21,4),E22/$S20)</f>
        <v>#DIV/0!</v>
      </c>
      <c r="F20" s="185" cm="1">
        <f t="array" aca="1" ref="F20" ca="1">IF(B20&lt;=ORÇAMENTO.MáximoListaCrono,MATCH(B20,ORÇAMENTO.ListaCrono,0),NA())</f>
        <v>8</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LOCAL</v>
      </c>
      <c r="K20" s="191"/>
      <c r="L20" s="191"/>
      <c r="M20" s="192">
        <f ca="1">IF($F21=0,OFFSET(ORÇAMENTO!C$15,$F20,0),1)</f>
        <v>2</v>
      </c>
      <c r="N20" s="193">
        <f ca="1">IF($F21=-1,0,IF(N$13&lt;=$M20,IF(ISERROR(MATCH(N$13,OFFSET($M20,1,0,ROW($M$32)-ROW($M20)-1),0)),ROW($M$32)-ROW($M20)-1,MATCH(N$13,OFFSET($M20,1,0,ROW($M$32)-ROW($M20)-1),0)-1),0))</f>
        <v>11</v>
      </c>
      <c r="O20" s="193">
        <f ca="1">IF($F21=-1,0,IF(O$13&lt;=$M20,IF(ISERROR(MATCH(O$13,OFFSET($M20,1,0,ROW($M$32)-ROW($M20)-1),0)),ROW($M$32)-ROW($M20)-1,MATCH(O$13,OFFSET($M20,1,0,ROW($M$32)-ROW($M20)-1),0)-1),0))</f>
        <v>2</v>
      </c>
      <c r="P20" s="193">
        <f ca="1">IF($F21=-1,0,IF(P$13&lt;=$M20,IF(ISERROR(MATCH(P$13,OFFSET($M20,1,0,ROW($M$32)-ROW($M20)-1),0)),ROW($M$32)-ROW($M20)-1,MATCH(P$13,OFFSET($M20,1,0,ROW($M$32)-ROW($M20)-1),0)-1),0))</f>
        <v>0</v>
      </c>
      <c r="Q20" s="193">
        <f ca="1">IF($F21=-1,0,IF(Q$13&lt;=$M20,IF(ISERROR(MATCH(Q$13,OFFSET($M20,1,0,ROW($M$32)-ROW($M20)-1),0)),ROW($M$32)-ROW($M20)-1,MATCH(Q$13,OFFSET($M20,1,0,ROW($M$32)-ROW($M20)-1),0)-1),0))</f>
        <v>0</v>
      </c>
      <c r="R20" s="193">
        <f t="shared" ref="R20" ca="1" si="17">MIN(OFFSET(M20,0,1,,M20))</f>
        <v>2</v>
      </c>
      <c r="S20" s="194">
        <f ca="1">IF($F21=0,OFFSET(ORÇAMENTO!X$15,$F20,0),IF($F21&lt;&gt;-1,OFFSET(QCI!$O$13,$F21,0),""))</f>
        <v>0</v>
      </c>
      <c r="T20" s="195" t="s">
        <v>785</v>
      </c>
      <c r="U20" s="188" t="e" cm="1">
        <f t="array" aca="1" ref="U20" ca="1">IF(AND($R20=2,ACOMPANHAMENTO="BM"),ROUND(U21,4),U22/$S20)</f>
        <v>#DIV/0!</v>
      </c>
      <c r="V20" s="188" t="e" cm="1">
        <f t="array" aca="1" ref="V20" ca="1">IF(AND($R20=2,ACOMPANHAMENTO="BM"),ROUND(V21,4),V22/$S20)</f>
        <v>#DIV/0!</v>
      </c>
      <c r="W20" s="188" t="e" cm="1">
        <f t="array" aca="1" ref="W20" ca="1">IF(AND($R20=2,ACOMPANHAMENTO="BM"),ROUND(W21,4),W22/$S20)</f>
        <v>#DIV/0!</v>
      </c>
      <c r="X20" s="188" t="e" cm="1">
        <f t="array" aca="1" ref="X20" ca="1">IF(AND($R20=2,ACOMPANHAMENTO="BM"),ROUND(X21,4),X22/$S20)</f>
        <v>#DIV/0!</v>
      </c>
      <c r="Y20" s="188" t="e" cm="1">
        <f t="array" aca="1" ref="Y20" ca="1">IF(AND($R20=2,ACOMPANHAMENTO="BM"),ROUND(Y21,4),Y22/$S20)</f>
        <v>#DIV/0!</v>
      </c>
      <c r="Z20" s="188" t="e" cm="1">
        <f t="array" aca="1" ref="Z20" ca="1">IF(AND($R20=2,ACOMPANHAMENTO="BM"),ROUND(Z21,4),Z22/$S20)</f>
        <v>#DIV/0!</v>
      </c>
      <c r="AA20" s="188" t="e" cm="1">
        <f t="array" aca="1" ref="AA20" ca="1">IF(AND($R20=2,ACOMPANHAMENTO="BM"),ROUND(AA21,4),AA22/$S20)</f>
        <v>#DIV/0!</v>
      </c>
      <c r="AB20" s="188" t="e" cm="1">
        <f t="array" aca="1" ref="AB20" ca="1">IF(AND($R20=2,ACOMPANHAMENTO="BM"),ROUND(AB21,4),AB22/$S20)</f>
        <v>#DIV/0!</v>
      </c>
      <c r="AC20" s="188" t="e" cm="1">
        <f t="array" aca="1" ref="AC20" ca="1">IF(AND($R20=2,ACOMPANHAMENTO="BM"),ROUND(AC21,4),AC22/$S20)</f>
        <v>#DIV/0!</v>
      </c>
      <c r="AD20" s="188" t="e" cm="1">
        <f t="array" aca="1" ref="AD20" ca="1">IF(AND($R20=2,ACOMPANHAMENTO="BM"),ROUND(AD21,4),AD22/$S20)</f>
        <v>#DIV/0!</v>
      </c>
      <c r="AE20" s="188" t="e" cm="1">
        <f t="array" aca="1" ref="AE20" ca="1">IF(AND($R20=2,ACOMPANHAMENTO="BM"),ROUND(AE21,4),AE22/$S20)</f>
        <v>#DIV/0!</v>
      </c>
      <c r="AF20" s="188" t="e" cm="1">
        <f t="array" aca="1" ref="AF20" ca="1">IF(AND($R20=2,ACOMPANHAMENTO="BM"),ROUND(AF21,4),AF22/$S20)</f>
        <v>#DIV/0!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SUMIF(CÁLCULO!$AM$15:$AW$39,CRONO!E$12,CÁLCULO!$AB$15:$AL$39)/(ORÇAMENTO!$X$15-CÁLCULO.TotalAdmLocal)*CRONO!$F22,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SUMIF(CÁLCULO!$AM$15:$AW$39,CRONO!U$12,CÁLCULO!$AB$15:$AL$39)/(ORÇAMENTO!$X$15-CÁLCULO.TotalAdmLocal)*CRONO!$F22,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SUMIF(CÁLCULO!$AM$15:$AW$39,CRONO!V$12,CÁLCULO!$AB$15:$AL$39)/(ORÇAMENTO!$X$15-CÁLCULO.TotalAdmLocal)*CRONO!$F22,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SUMIF(CÁLCULO!$AM$15:$AW$39,CRONO!W$12,CÁLCULO!$AB$15:$AL$39)/(ORÇAMENTO!$X$15-CÁLCULO.TotalAdmLocal)*CRONO!$F22,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SUMIF(CÁLCULO!$AM$15:$AW$39,CRONO!X$12,CÁLCULO!$AB$15:$AL$39)/(ORÇAMENTO!$X$15-CÁLCULO.TotalAdmLocal)*CRONO!$F22,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SUMIF(CÁLCULO!$AM$15:$AW$39,CRONO!Y$12,CÁLCULO!$AB$15:$AL$39)/(ORÇAMENTO!$X$15-CÁLCULO.TotalAdmLocal)*CRONO!$F22,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SUMIF(CÁLCULO!$AM$15:$AW$39,CRONO!Z$12,CÁLCULO!$AB$15:$AL$39)/(ORÇAMENTO!$X$15-CÁLCULO.TotalAdmLocal)*CRONO!$F22,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SUMIF(CÁLCULO!$AM$15:$AW$39,CRONO!AA$12,CÁLCULO!$AB$15:$AL$39)/(ORÇAMENTO!$X$15-CÁLCULO.TotalAdmLocal)*CRONO!$F22,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SUMIF(CÁLCULO!$AM$15:$AW$39,CRONO!AB$12,CÁLCULO!$AB$15:$AL$39)/(ORÇAMENTO!$X$15-CÁLCULO.TotalAdmLocal)*CRONO!$F22,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SUMIF(CÁLCULO!$AM$15:$AW$39,CRONO!AC$12,CÁLCULO!$AB$15:$AL$39)/(ORÇAMENTO!$X$15-CÁLCULO.TotalAdmLocal)*CRONO!$F22,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SUMIF(CÁLCULO!$AM$15:$AW$39,CRONO!AD$12,CÁLCULO!$AB$15:$AL$39)/(ORÇAMENTO!$X$15-CÁLCULO.TotalAdmLocal)*CRONO!$F22,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SUMIF(CÁLCULO!$AM$15:$AW$39,CRONO!AE$12,CÁLCULO!$AB$15:$AL$39)/(ORÇAMENTO!$X$15-CÁLCULO.TotalAdmLocal)*CRONO!$F22,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SUMIF(CÁLCULO!$AM$15:$AW$39,CRONO!AF$12,CÁLCULO!$AB$15:$AL$39)/(ORÇAMENTO!$X$15-CÁLCULO.TotalAdmLocal)*CRONO!$F22,
                        0),
                 AF21*$S20),
          SUMIF(OFFSET($S22,1,0,$R20-2),($M20+1)&amp;"$",OFFSET(AF22,1,0,$R20-2)))</f>
        <v>0</v>
      </c>
      <c r="AG22" s="534"/>
    </row>
    <row r="23" spans="1:33" x14ac:dyDescent="0.2">
      <c r="A23" s="186" t="str">
        <f t="shared" ref="A23" ca="1" si="20">IF($M23&gt;1,_xlfn.CONCAT($I23," ",$J23),"")</f>
        <v>1.3. LIMPEZA E PREPARO DA ESTRUTURA</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t="e" cm="1">
        <f t="array" aca="1" ref="E23" ca="1">IF(AND($R23=2,ACOMPANHAMENTO="BM"),ROUND(E24,4),E25/$S23)</f>
        <v>#DIV/0!</v>
      </c>
      <c r="F23" s="185" cm="1">
        <f t="array" aca="1" ref="F23" ca="1">IF(B23&lt;=ORÇAMENTO.MáximoListaCrono,MATCH(B23,ORÇAMENTO.ListaCrono,0),NA())</f>
        <v>10</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LIMPEZA E PREPARO DA ESTRUTURA</v>
      </c>
      <c r="K23" s="191"/>
      <c r="L23" s="191"/>
      <c r="M23" s="192">
        <f ca="1">IF($F24=0,OFFSET(ORÇAMENTO!C$15,$F23,0),1)</f>
        <v>2</v>
      </c>
      <c r="N23" s="193">
        <f ca="1">IF($F24=-1,0,IF(N$13&lt;=$M23,IF(ISERROR(MATCH(N$13,OFFSET($M23,1,0,ROW($M$32)-ROW($M23)-1),0)),ROW($M$32)-ROW($M23)-1,MATCH(N$13,OFFSET($M23,1,0,ROW($M$32)-ROW($M23)-1),0)-1),0))</f>
        <v>8</v>
      </c>
      <c r="O23" s="193">
        <f ca="1">IF($F24=-1,0,IF(O$13&lt;=$M23,IF(ISERROR(MATCH(O$13,OFFSET($M23,1,0,ROW($M$32)-ROW($M23)-1),0)),ROW($M$32)-ROW($M23)-1,MATCH(O$13,OFFSET($M23,1,0,ROW($M$32)-ROW($M23)-1),0)-1),0))</f>
        <v>2</v>
      </c>
      <c r="P23" s="193">
        <f ca="1">IF($F24=-1,0,IF(P$13&lt;=$M23,IF(ISERROR(MATCH(P$13,OFFSET($M23,1,0,ROW($M$32)-ROW($M23)-1),0)),ROW($M$32)-ROW($M23)-1,MATCH(P$13,OFFSET($M23,1,0,ROW($M$32)-ROW($M23)-1),0)-1),0))</f>
        <v>0</v>
      </c>
      <c r="Q23" s="193">
        <f ca="1">IF($F24=-1,0,IF(Q$13&lt;=$M23,IF(ISERROR(MATCH(Q$13,OFFSET($M23,1,0,ROW($M$32)-ROW($M23)-1),0)),ROW($M$32)-ROW($M23)-1,MATCH(Q$13,OFFSET($M23,1,0,ROW($M$32)-ROW($M23)-1),0)-1),0))</f>
        <v>0</v>
      </c>
      <c r="R23" s="193">
        <f t="shared" ref="R23" ca="1" si="23">MIN(OFFSET(M23,0,1,,M23))</f>
        <v>2</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SUMIF(CÁLCULO!$AM$15:$AW$39,CRONO!E$12,CÁLCULO!$AB$15:$AL$39)/(ORÇAMENTO!$X$15-CÁLCULO.TotalAdmLocal)*CRONO!$F25,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SUMIF(CÁLCULO!$AM$15:$AW$39,CRONO!U$12,CÁLCULO!$AB$15:$AL$39)/(ORÇAMENTO!$X$15-CÁLCULO.TotalAdmLocal)*CRONO!$F25,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SUMIF(CÁLCULO!$AM$15:$AW$39,CRONO!V$12,CÁLCULO!$AB$15:$AL$39)/(ORÇAMENTO!$X$15-CÁLCULO.TotalAdmLocal)*CRONO!$F25,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SUMIF(CÁLCULO!$AM$15:$AW$39,CRONO!W$12,CÁLCULO!$AB$15:$AL$39)/(ORÇAMENTO!$X$15-CÁLCULO.TotalAdmLocal)*CRONO!$F25,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SUMIF(CÁLCULO!$AM$15:$AW$39,CRONO!X$12,CÁLCULO!$AB$15:$AL$39)/(ORÇAMENTO!$X$15-CÁLCULO.TotalAdmLocal)*CRONO!$F25,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SUMIF(CÁLCULO!$AM$15:$AW$39,CRONO!Y$12,CÁLCULO!$AB$15:$AL$39)/(ORÇAMENTO!$X$15-CÁLCULO.TotalAdmLocal)*CRONO!$F25,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SUMIF(CÁLCULO!$AM$15:$AW$39,CRONO!Z$12,CÁLCULO!$AB$15:$AL$39)/(ORÇAMENTO!$X$15-CÁLCULO.TotalAdmLocal)*CRONO!$F25,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SUMIF(CÁLCULO!$AM$15:$AW$39,CRONO!AA$12,CÁLCULO!$AB$15:$AL$39)/(ORÇAMENTO!$X$15-CÁLCULO.TotalAdmLocal)*CRONO!$F25,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SUMIF(CÁLCULO!$AM$15:$AW$39,CRONO!AB$12,CÁLCULO!$AB$15:$AL$39)/(ORÇAMENTO!$X$15-CÁLCULO.TotalAdmLocal)*CRONO!$F25,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SUMIF(CÁLCULO!$AM$15:$AW$39,CRONO!AC$12,CÁLCULO!$AB$15:$AL$39)/(ORÇAMENTO!$X$15-CÁLCULO.TotalAdmLocal)*CRONO!$F25,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SUMIF(CÁLCULO!$AM$15:$AW$39,CRONO!AD$12,CÁLCULO!$AB$15:$AL$39)/(ORÇAMENTO!$X$15-CÁLCULO.TotalAdmLocal)*CRONO!$F25,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SUMIF(CÁLCULO!$AM$15:$AW$39,CRONO!AE$12,CÁLCULO!$AB$15:$AL$39)/(ORÇAMENTO!$X$15-CÁLCULO.TotalAdmLocal)*CRONO!$F25,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SUMIF(CÁLCULO!$AM$15:$AW$39,CRONO!AF$12,CÁLCULO!$AB$15:$AL$39)/(ORÇAMENTO!$X$15-CÁLCULO.TotalAdmLocal)*CRONO!$F25,
                        0),
                 AF24*$S23),
          SUMIF(OFFSET($S25,1,0,$R23-2),($M23+1)&amp;"$",OFFSET(AF25,1,0,$R23-2)))</f>
        <v>0</v>
      </c>
      <c r="AG25" s="534"/>
    </row>
    <row r="26" spans="1:33" x14ac:dyDescent="0.2">
      <c r="A26" s="186" t="str">
        <f t="shared" ref="A26" ca="1" si="26">IF($M26&gt;1,_xlfn.CONCAT($I26," ",$J26),"")</f>
        <v>1.4. RECUPERAÇÃO, REVESTIMENTO E PROTEÇÃO DA ESTRUTURA</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cm="1">
        <f t="array" aca="1" ref="F26" ca="1">IF(B26&lt;=ORÇAMENTO.MáximoListaCrono,MATCH(B26,ORÇAMENTO.ListaCrono,0),NA())</f>
        <v>14</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RECUPERAÇÃO, REVESTIMENTO E PROTEÇÃO DA ESTRUTURA</v>
      </c>
      <c r="K26" s="191"/>
      <c r="L26" s="191"/>
      <c r="M26" s="192">
        <f ca="1">IF($F27=0,OFFSET(ORÇAMENTO!C$15,$F26,0),1)</f>
        <v>2</v>
      </c>
      <c r="N26" s="193">
        <f ca="1">IF($F27=-1,0,IF(N$13&lt;=$M26,IF(ISERROR(MATCH(N$13,OFFSET($M26,1,0,ROW($M$32)-ROW($M26)-1),0)),ROW($M$32)-ROW($M26)-1,MATCH(N$13,OFFSET($M26,1,0,ROW($M$32)-ROW($M26)-1),0)-1),0))</f>
        <v>5</v>
      </c>
      <c r="O26" s="193">
        <f ca="1">IF($F27=-1,0,IF(O$13&lt;=$M26,IF(ISERROR(MATCH(O$13,OFFSET($M26,1,0,ROW($M$32)-ROW($M26)-1),0)),ROW($M$32)-ROW($M26)-1,MATCH(O$13,OFFSET($M26,1,0,ROW($M$32)-ROW($M26)-1),0)-1),0))</f>
        <v>2</v>
      </c>
      <c r="P26" s="193">
        <f ca="1">IF($F27=-1,0,IF(P$13&lt;=$M26,IF(ISERROR(MATCH(P$13,OFFSET($M26,1,0,ROW($M$32)-ROW($M26)-1),0)),ROW($M$32)-ROW($M26)-1,MATCH(P$13,OFFSET($M26,1,0,ROW($M$32)-ROW($M26)-1),0)-1),0))</f>
        <v>0</v>
      </c>
      <c r="Q26" s="193">
        <f ca="1">IF($F27=-1,0,IF(Q$13&lt;=$M26,IF(ISERROR(MATCH(Q$13,OFFSET($M26,1,0,ROW($M$32)-ROW($M26)-1),0)),ROW($M$32)-ROW($M26)-1,MATCH(Q$13,OFFSET($M26,1,0,ROW($M$32)-ROW($M26)-1),0)-1),0))</f>
        <v>0</v>
      </c>
      <c r="R26" s="193">
        <f t="shared" ref="R26" ca="1" si="29">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SUMIF(CÁLCULO!$AM$15:$AW$39,CRONO!E$12,CÁLCULO!$AB$15:$AL$39)/(ORÇAMENTO!$X$15-CÁLCULO.TotalAdmLocal)*CRONO!$F28,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SUMIF(CÁLCULO!$AM$15:$AW$39,CRONO!U$12,CÁLCULO!$AB$15:$AL$39)/(ORÇAMENTO!$X$15-CÁLCULO.TotalAdmLocal)*CRONO!$F28,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SUMIF(CÁLCULO!$AM$15:$AW$39,CRONO!V$12,CÁLCULO!$AB$15:$AL$39)/(ORÇAMENTO!$X$15-CÁLCULO.TotalAdmLocal)*CRONO!$F28,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SUMIF(CÁLCULO!$AM$15:$AW$39,CRONO!W$12,CÁLCULO!$AB$15:$AL$39)/(ORÇAMENTO!$X$15-CÁLCULO.TotalAdmLocal)*CRONO!$F28,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SUMIF(CÁLCULO!$AM$15:$AW$39,CRONO!X$12,CÁLCULO!$AB$15:$AL$39)/(ORÇAMENTO!$X$15-CÁLCULO.TotalAdmLocal)*CRONO!$F28,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SUMIF(CÁLCULO!$AM$15:$AW$39,CRONO!Y$12,CÁLCULO!$AB$15:$AL$39)/(ORÇAMENTO!$X$15-CÁLCULO.TotalAdmLocal)*CRONO!$F28,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SUMIF(CÁLCULO!$AM$15:$AW$39,CRONO!Z$12,CÁLCULO!$AB$15:$AL$39)/(ORÇAMENTO!$X$15-CÁLCULO.TotalAdmLocal)*CRONO!$F28,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SUMIF(CÁLCULO!$AM$15:$AW$39,CRONO!AA$12,CÁLCULO!$AB$15:$AL$39)/(ORÇAMENTO!$X$15-CÁLCULO.TotalAdmLocal)*CRONO!$F28,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SUMIF(CÁLCULO!$AM$15:$AW$39,CRONO!AB$12,CÁLCULO!$AB$15:$AL$39)/(ORÇAMENTO!$X$15-CÁLCULO.TotalAdmLocal)*CRONO!$F28,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SUMIF(CÁLCULO!$AM$15:$AW$39,CRONO!AC$12,CÁLCULO!$AB$15:$AL$39)/(ORÇAMENTO!$X$15-CÁLCULO.TotalAdmLocal)*CRONO!$F28,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SUMIF(CÁLCULO!$AM$15:$AW$39,CRONO!AD$12,CÁLCULO!$AB$15:$AL$39)/(ORÇAMENTO!$X$15-CÁLCULO.TotalAdmLocal)*CRONO!$F28,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SUMIF(CÁLCULO!$AM$15:$AW$39,CRONO!AE$12,CÁLCULO!$AB$15:$AL$39)/(ORÇAMENTO!$X$15-CÁLCULO.TotalAdmLocal)*CRONO!$F28,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SUMIF(CÁLCULO!$AM$15:$AW$39,CRONO!AF$12,CÁLCULO!$AB$15:$AL$39)/(ORÇAMENTO!$X$15-CÁLCULO.TotalAdmLocal)*CRONO!$F28,
                        0),
                 AF27*$S26),
          SUMIF(OFFSET($S28,1,0,$R26-2),($M26+1)&amp;"$",OFFSET(AF28,1,0,$R26-2)))</f>
        <v>0</v>
      </c>
      <c r="AG28" s="534"/>
    </row>
    <row r="29" spans="1:33" x14ac:dyDescent="0.2">
      <c r="A29" s="186" t="str">
        <f ca="1">IF($M29&gt;1,_xlfn.CONCAT($I29," ",$J29),"")</f>
        <v>1.5. SERVIÇOS FINAIS</v>
      </c>
      <c r="B29" s="185">
        <f ca="1">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cm="1">
        <f t="array" aca="1" ref="F29" ca="1">IF(B29&lt;=ORÇAMENTO.MáximoListaCrono,MATCH(B29,ORÇAMENTO.ListaCrono,0),NA())</f>
        <v>19</v>
      </c>
      <c r="G29" s="185" t="str">
        <f ca="1">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SERVIÇOS FINAIS</v>
      </c>
      <c r="K29" s="191"/>
      <c r="L29" s="191"/>
      <c r="M29" s="192">
        <f ca="1">IF($F30=0,OFFSET(ORÇAMENTO!C$15,$F29,0),1)</f>
        <v>2</v>
      </c>
      <c r="N29" s="193">
        <f ca="1">IF($F30=-1,0,IF(N$13&lt;=$M29,IF(ISERROR(MATCH(N$13,OFFSET($M29,1,0,ROW($M$32)-ROW($M29)-1),0)),ROW($M$32)-ROW($M29)-1,MATCH(N$13,OFFSET($M29,1,0,ROW($M$32)-ROW($M29)-1),0)-1),0))</f>
        <v>2</v>
      </c>
      <c r="O29" s="193">
        <f ca="1">IF($F30=-1,0,IF(O$13&lt;=$M29,IF(ISERROR(MATCH(O$13,OFFSET($M29,1,0,ROW($M$32)-ROW($M29)-1),0)),ROW($M$32)-ROW($M29)-1,MATCH(O$13,OFFSET($M29,1,0,ROW($M$32)-ROW($M29)-1),0)-1),0))</f>
        <v>2</v>
      </c>
      <c r="P29" s="193">
        <f ca="1">IF($F30=-1,0,IF(P$13&lt;=$M29,IF(ISERROR(MATCH(P$13,OFFSET($M29,1,0,ROW($M$32)-ROW($M29)-1),0)),ROW($M$32)-ROW($M29)-1,MATCH(P$13,OFFSET($M29,1,0,ROW($M$32)-ROW($M29)-1),0)-1),0))</f>
        <v>0</v>
      </c>
      <c r="Q29" s="193">
        <f ca="1">IF($F30=-1,0,IF(Q$13&lt;=$M29,IF(ISERROR(MATCH(Q$13,OFFSET($M29,1,0,ROW($M$32)-ROW($M29)-1),0)),ROW($M$32)-ROW($M29)-1,MATCH(Q$13,OFFSET($M29,1,0,ROW($M$32)-ROW($M29)-1),0)-1),0))</f>
        <v>0</v>
      </c>
      <c r="R29" s="193">
        <f ca="1">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ca="1">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SUMIF(CÁLCULO!$AM$15:$AW$39,CRONO!E$12,CÁLCULO!$AB$15:$AL$39)/(ORÇAMENTO!$X$15-CÁLCULO.TotalAdmLocal)*CRONO!$F31,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ca="1">M29&amp;"$"</f>
        <v>2$</v>
      </c>
      <c r="T31" s="205"/>
      <c r="U31" s="202" cm="1">
        <f t="array" aca="1" ref="U31" ca="1">IF($R29=2,
         IF(AND(ACOMPANHAMENTO="PLE",ISNUMBER($F29)),
                SUMIF((OFFSET(CÁLCULO!$AM$15:$AW$15,$F29,0,OFFSET(ORÇAMENTO!$D$15,CRONO!$F29,0))),CRONO!U$12,OFFSET(CÁLCULO!$AB$15:$AL$15,$F29,0,OFFSET(ORÇAMENTO!$D$15,CRONO!$F29,0)))
                +IF(AND($F31&lt;&gt;"",$F31&lt;&gt;0),
                        SUMIF(CÁLCULO!$AM$15:$AW$39,CRONO!U$12,CÁLCULO!$AB$15:$AL$39)/(ORÇAMENTO!$X$15-CÁLCULO.TotalAdmLocal)*CRONO!$F31,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SUMIF(CÁLCULO!$AM$15:$AW$39,CRONO!V$12,CÁLCULO!$AB$15:$AL$39)/(ORÇAMENTO!$X$15-CÁLCULO.TotalAdmLocal)*CRONO!$F31,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SUMIF(CÁLCULO!$AM$15:$AW$39,CRONO!W$12,CÁLCULO!$AB$15:$AL$39)/(ORÇAMENTO!$X$15-CÁLCULO.TotalAdmLocal)*CRONO!$F31,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SUMIF(CÁLCULO!$AM$15:$AW$39,CRONO!X$12,CÁLCULO!$AB$15:$AL$39)/(ORÇAMENTO!$X$15-CÁLCULO.TotalAdmLocal)*CRONO!$F31,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SUMIF(CÁLCULO!$AM$15:$AW$39,CRONO!Y$12,CÁLCULO!$AB$15:$AL$39)/(ORÇAMENTO!$X$15-CÁLCULO.TotalAdmLocal)*CRONO!$F31,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SUMIF(CÁLCULO!$AM$15:$AW$39,CRONO!Z$12,CÁLCULO!$AB$15:$AL$39)/(ORÇAMENTO!$X$15-CÁLCULO.TotalAdmLocal)*CRONO!$F31,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SUMIF(CÁLCULO!$AM$15:$AW$39,CRONO!AA$12,CÁLCULO!$AB$15:$AL$39)/(ORÇAMENTO!$X$15-CÁLCULO.TotalAdmLocal)*CRONO!$F31,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SUMIF(CÁLCULO!$AM$15:$AW$39,CRONO!AB$12,CÁLCULO!$AB$15:$AL$39)/(ORÇAMENTO!$X$15-CÁLCULO.TotalAdmLocal)*CRONO!$F31,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SUMIF(CÁLCULO!$AM$15:$AW$39,CRONO!AC$12,CÁLCULO!$AB$15:$AL$39)/(ORÇAMENTO!$X$15-CÁLCULO.TotalAdmLocal)*CRONO!$F31,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SUMIF(CÁLCULO!$AM$15:$AW$39,CRONO!AD$12,CÁLCULO!$AB$15:$AL$39)/(ORÇAMENTO!$X$15-CÁLCULO.TotalAdmLocal)*CRONO!$F31,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SUMIF(CÁLCULO!$AM$15:$AW$39,CRONO!AE$12,CÁLCULO!$AB$15:$AL$39)/(ORÇAMENTO!$X$15-CÁLCULO.TotalAdmLocal)*CRONO!$F31,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SUMIF(CÁLCULO!$AM$15:$AW$39,CRONO!AF$12,CÁLCULO!$AB$15:$AL$39)/(ORÇAMENTO!$X$15-CÁLCULO.TotalAdmLocal)*CRONO!$F31,
                        0),
                 AF30*$S29),
          SUMIF(OFFSET($S31,1,0,$R29-2),($M29+1)&amp;"$",OFFSET(AF31,1,0,$R29-2)))</f>
        <v>0</v>
      </c>
      <c r="AG31" s="534"/>
    </row>
    <row r="32" spans="1:33" ht="5.0999999999999996" customHeight="1" x14ac:dyDescent="0.2">
      <c r="E32" s="640"/>
      <c r="G32" s="185" t="s">
        <v>536</v>
      </c>
      <c r="H32" s="432"/>
      <c r="I32" s="641"/>
      <c r="J32" s="642"/>
      <c r="K32" s="642"/>
      <c r="L32" s="642"/>
      <c r="M32" s="643" t="s">
        <v>797</v>
      </c>
      <c r="N32" s="643"/>
      <c r="O32" s="643"/>
      <c r="P32" s="643"/>
      <c r="Q32" s="643"/>
      <c r="R32" s="643"/>
      <c r="S32" s="644"/>
      <c r="T32" s="644"/>
      <c r="U32" s="642"/>
      <c r="V32" s="642"/>
      <c r="W32" s="642"/>
      <c r="X32" s="642"/>
      <c r="Y32" s="642"/>
      <c r="Z32" s="642"/>
      <c r="AA32" s="642"/>
      <c r="AB32" s="642"/>
      <c r="AC32" s="642"/>
      <c r="AD32" s="642"/>
      <c r="AE32" s="642"/>
      <c r="AF32" s="642"/>
      <c r="AG32" s="534"/>
    </row>
    <row r="33" spans="4:33" ht="12.75" customHeight="1" x14ac:dyDescent="0.2">
      <c r="E33" s="528" t="e">
        <f ca="1">E37/$R$33</f>
        <v>#DIV/0!</v>
      </c>
      <c r="G33" s="185" t="s">
        <v>536</v>
      </c>
      <c r="I33" s="767" t="str">
        <f ca="1">"Total:    R$ "&amp;TEXT(R33,"#.##0,00")</f>
        <v>Total:    R$ .000</v>
      </c>
      <c r="J33" s="767"/>
      <c r="K33" s="767"/>
      <c r="L33" s="227"/>
      <c r="R33" s="228">
        <f ca="1">SUMIF(M12:M32,1,S12:S32)</f>
        <v>0</v>
      </c>
      <c r="S33" s="229"/>
      <c r="T33" s="230" t="s">
        <v>798</v>
      </c>
      <c r="U33" s="528" t="e">
        <f t="shared" ref="U33:AF33" ca="1" si="32">ROUND(U37,2)/$R$33</f>
        <v>#DIV/0!</v>
      </c>
      <c r="V33" s="528" t="e">
        <f t="shared" ca="1" si="32"/>
        <v>#DIV/0!</v>
      </c>
      <c r="W33" s="528" t="e">
        <f t="shared" ca="1" si="32"/>
        <v>#DIV/0!</v>
      </c>
      <c r="X33" s="528" t="e">
        <f t="shared" ca="1" si="32"/>
        <v>#DIV/0!</v>
      </c>
      <c r="Y33" s="528" t="e">
        <f t="shared" ca="1" si="32"/>
        <v>#DIV/0!</v>
      </c>
      <c r="Z33" s="528" t="e">
        <f t="shared" ca="1" si="32"/>
        <v>#DIV/0!</v>
      </c>
      <c r="AA33" s="528" t="e">
        <f t="shared" ca="1" si="32"/>
        <v>#DIV/0!</v>
      </c>
      <c r="AB33" s="528" t="e">
        <f t="shared" ca="1" si="32"/>
        <v>#DIV/0!</v>
      </c>
      <c r="AC33" s="528" t="e">
        <f t="shared" ca="1" si="32"/>
        <v>#DIV/0!</v>
      </c>
      <c r="AD33" s="528" t="e">
        <f t="shared" ca="1" si="32"/>
        <v>#DIV/0!</v>
      </c>
      <c r="AE33" s="528" t="e">
        <f t="shared" ca="1" si="32"/>
        <v>#DIV/0!</v>
      </c>
      <c r="AF33" s="539" t="e">
        <f t="shared" ca="1" si="32"/>
        <v>#DIV/0!</v>
      </c>
      <c r="AG33" s="534"/>
    </row>
    <row r="34" spans="4:33" ht="15" customHeight="1" x14ac:dyDescent="0.2">
      <c r="E34" s="231">
        <f ca="1">IF(E$12=1,ROUND(E39,2),ROUND(E39,2)-ROUND(D39,2))</f>
        <v>0</v>
      </c>
      <c r="G34" s="185" t="s">
        <v>536</v>
      </c>
      <c r="I34" s="767"/>
      <c r="J34" s="767"/>
      <c r="K34" s="767"/>
      <c r="L34" s="232"/>
      <c r="R34" s="228"/>
      <c r="S34" s="233"/>
      <c r="T34" s="234" t="str">
        <f>IF(import.recurso="FGTS","Financiamento:","Repasse:")</f>
        <v>Repasse:</v>
      </c>
      <c r="U34" s="231">
        <f t="shared" ref="U34:AF34" ca="1" si="33">IF(U$12=1,ROUND(U39,2),ROUND(U39,2)-ROUND(T39,2))</f>
        <v>0</v>
      </c>
      <c r="V34" s="231">
        <f t="shared" ca="1" si="33"/>
        <v>0</v>
      </c>
      <c r="W34" s="231">
        <f t="shared" ca="1" si="33"/>
        <v>0</v>
      </c>
      <c r="X34" s="231">
        <f t="shared" ca="1" si="33"/>
        <v>0</v>
      </c>
      <c r="Y34" s="231">
        <f t="shared" ca="1" si="33"/>
        <v>0</v>
      </c>
      <c r="Z34" s="231">
        <f t="shared" ca="1" si="33"/>
        <v>0</v>
      </c>
      <c r="AA34" s="231">
        <f t="shared" ca="1" si="33"/>
        <v>0</v>
      </c>
      <c r="AB34" s="231">
        <f t="shared" ca="1" si="33"/>
        <v>0</v>
      </c>
      <c r="AC34" s="231">
        <f t="shared" ca="1" si="33"/>
        <v>0</v>
      </c>
      <c r="AD34" s="231">
        <f t="shared" ca="1" si="33"/>
        <v>0</v>
      </c>
      <c r="AE34" s="231">
        <f t="shared" ca="1" si="33"/>
        <v>0</v>
      </c>
      <c r="AF34" s="231">
        <f t="shared" ca="1" si="33"/>
        <v>0</v>
      </c>
      <c r="AG34" s="534"/>
    </row>
    <row r="35" spans="4:33" ht="12.75" customHeight="1" x14ac:dyDescent="0.2">
      <c r="E35" s="529">
        <f ca="1">IF(E$12=1,ROUND(E40,2),ROUND(E40,2)-ROUND(D40,2))</f>
        <v>0</v>
      </c>
      <c r="G35" s="185" t="s">
        <v>536</v>
      </c>
      <c r="I35" s="235"/>
      <c r="L35" s="236" t="s">
        <v>799</v>
      </c>
      <c r="R35" s="228"/>
      <c r="S35" s="237"/>
      <c r="T35" s="238" t="s">
        <v>800</v>
      </c>
      <c r="U35" s="529">
        <f t="shared" ref="U35:AF35" ca="1" si="34">IF(U$12=1,ROUND(U40,2),ROUND(U40,2)-ROUND(T40,2))</f>
        <v>0</v>
      </c>
      <c r="V35" s="529">
        <f t="shared" ca="1" si="34"/>
        <v>0</v>
      </c>
      <c r="W35" s="529">
        <f t="shared" ca="1" si="34"/>
        <v>0</v>
      </c>
      <c r="X35" s="529">
        <f t="shared" ca="1" si="34"/>
        <v>0</v>
      </c>
      <c r="Y35" s="529">
        <f t="shared" ca="1" si="34"/>
        <v>0</v>
      </c>
      <c r="Z35" s="529">
        <f t="shared" ca="1" si="34"/>
        <v>0</v>
      </c>
      <c r="AA35" s="529">
        <f t="shared" ca="1" si="34"/>
        <v>0</v>
      </c>
      <c r="AB35" s="529">
        <f t="shared" ca="1" si="34"/>
        <v>0</v>
      </c>
      <c r="AC35" s="529">
        <f t="shared" ca="1" si="34"/>
        <v>0</v>
      </c>
      <c r="AD35" s="529">
        <f t="shared" ca="1" si="34"/>
        <v>0</v>
      </c>
      <c r="AE35" s="529">
        <f t="shared" ca="1" si="34"/>
        <v>0</v>
      </c>
      <c r="AF35" s="529">
        <f t="shared" ca="1" si="34"/>
        <v>0</v>
      </c>
      <c r="AG35" s="534"/>
    </row>
    <row r="36" spans="4:33" x14ac:dyDescent="0.2">
      <c r="E36" s="239">
        <f ca="1">IF(E$12=1,ROUND(E41,2),ROUND(E41,2)-ROUND(D41,2))</f>
        <v>0</v>
      </c>
      <c r="G36" s="185" t="s">
        <v>536</v>
      </c>
      <c r="I36" s="235"/>
      <c r="L36" s="236"/>
      <c r="R36" s="228"/>
      <c r="S36" s="240"/>
      <c r="T36" s="241" t="s">
        <v>801</v>
      </c>
      <c r="U36" s="239">
        <f t="shared" ref="U36:AF36" ca="1" si="35">IF(U$12=1,ROUND(U41,2),ROUND(U41,2)-ROUND(T41,2))</f>
        <v>0</v>
      </c>
      <c r="V36" s="239">
        <f t="shared" ca="1" si="35"/>
        <v>0</v>
      </c>
      <c r="W36" s="239">
        <f t="shared" ca="1" si="35"/>
        <v>0</v>
      </c>
      <c r="X36" s="239">
        <f t="shared" ca="1" si="35"/>
        <v>0</v>
      </c>
      <c r="Y36" s="239">
        <f t="shared" ca="1" si="35"/>
        <v>0</v>
      </c>
      <c r="Z36" s="239">
        <f t="shared" ca="1" si="35"/>
        <v>0</v>
      </c>
      <c r="AA36" s="239">
        <f t="shared" ca="1" si="35"/>
        <v>0</v>
      </c>
      <c r="AB36" s="239">
        <f t="shared" ca="1" si="35"/>
        <v>0</v>
      </c>
      <c r="AC36" s="239">
        <f t="shared" ca="1" si="35"/>
        <v>0</v>
      </c>
      <c r="AD36" s="239">
        <f t="shared" ca="1" si="35"/>
        <v>0</v>
      </c>
      <c r="AE36" s="239">
        <f t="shared" ca="1" si="35"/>
        <v>0</v>
      </c>
      <c r="AF36" s="239">
        <f t="shared" ca="1" si="35"/>
        <v>0</v>
      </c>
      <c r="AG36" s="534"/>
    </row>
    <row r="37" spans="4:33" x14ac:dyDescent="0.2">
      <c r="E37" s="530">
        <f ca="1">IF(E$12=1,ROUND(E42,2),ROUND(E42,2)-ROUND(D42,2))</f>
        <v>0</v>
      </c>
      <c r="G37" s="185" t="s">
        <v>536</v>
      </c>
      <c r="H37" s="536"/>
      <c r="L37" s="242"/>
      <c r="S37" s="243"/>
      <c r="T37" s="244" t="s">
        <v>802</v>
      </c>
      <c r="U37" s="530">
        <f t="shared" ref="U37:AF37" ca="1" si="36">IF(U$12=1,ROUND(U42,2),ROUND(U42,2)-ROUND(T42,2))</f>
        <v>0</v>
      </c>
      <c r="V37" s="530">
        <f t="shared" ca="1" si="36"/>
        <v>0</v>
      </c>
      <c r="W37" s="530">
        <f t="shared" ca="1" si="36"/>
        <v>0</v>
      </c>
      <c r="X37" s="530">
        <f t="shared" ca="1" si="36"/>
        <v>0</v>
      </c>
      <c r="Y37" s="530">
        <f t="shared" ca="1" si="36"/>
        <v>0</v>
      </c>
      <c r="Z37" s="530">
        <f t="shared" ca="1" si="36"/>
        <v>0</v>
      </c>
      <c r="AA37" s="530">
        <f t="shared" ca="1" si="36"/>
        <v>0</v>
      </c>
      <c r="AB37" s="530">
        <f t="shared" ca="1" si="36"/>
        <v>0</v>
      </c>
      <c r="AC37" s="530">
        <f t="shared" ca="1" si="36"/>
        <v>0</v>
      </c>
      <c r="AD37" s="530">
        <f t="shared" ca="1" si="36"/>
        <v>0</v>
      </c>
      <c r="AE37" s="530">
        <f t="shared" ca="1" si="36"/>
        <v>0</v>
      </c>
      <c r="AF37" s="530">
        <f t="shared" ca="1" si="36"/>
        <v>0</v>
      </c>
      <c r="AG37" s="534"/>
    </row>
    <row r="38" spans="4:33" x14ac:dyDescent="0.2">
      <c r="E38" s="528" t="e">
        <f ca="1">ROUND(ROUND(E42,2)/$R$33,4)</f>
        <v>#DIV/0!</v>
      </c>
      <c r="G38" s="185" t="s">
        <v>536</v>
      </c>
      <c r="L38" s="227"/>
      <c r="S38" s="229"/>
      <c r="T38" s="230" t="s">
        <v>798</v>
      </c>
      <c r="U38" s="528" t="e">
        <f t="shared" ref="U38:AF38" ca="1" si="37">ROUND(ROUND(U42,2)/$R$33,4)</f>
        <v>#DIV/0!</v>
      </c>
      <c r="V38" s="528" t="e">
        <f t="shared" ca="1" si="37"/>
        <v>#DIV/0!</v>
      </c>
      <c r="W38" s="528" t="e">
        <f t="shared" ca="1" si="37"/>
        <v>#DIV/0!</v>
      </c>
      <c r="X38" s="528" t="e">
        <f t="shared" ca="1" si="37"/>
        <v>#DIV/0!</v>
      </c>
      <c r="Y38" s="528" t="e">
        <f t="shared" ca="1" si="37"/>
        <v>#DIV/0!</v>
      </c>
      <c r="Z38" s="528" t="e">
        <f t="shared" ca="1" si="37"/>
        <v>#DIV/0!</v>
      </c>
      <c r="AA38" s="528" t="e">
        <f t="shared" ca="1" si="37"/>
        <v>#DIV/0!</v>
      </c>
      <c r="AB38" s="528" t="e">
        <f t="shared" ca="1" si="37"/>
        <v>#DIV/0!</v>
      </c>
      <c r="AC38" s="528" t="e">
        <f t="shared" ca="1" si="37"/>
        <v>#DIV/0!</v>
      </c>
      <c r="AD38" s="528" t="e">
        <f t="shared" ca="1" si="37"/>
        <v>#DIV/0!</v>
      </c>
      <c r="AE38" s="528" t="e">
        <f t="shared" ca="1" si="37"/>
        <v>#DIV/0!</v>
      </c>
      <c r="AF38" s="528" t="e">
        <f t="shared" ca="1" si="37"/>
        <v>#DIV/0!</v>
      </c>
      <c r="AG38" s="534"/>
    </row>
    <row r="39" spans="4:33" x14ac:dyDescent="0.2">
      <c r="E39" s="231">
        <f ca="1">ROUND(E42-E41-E40,2)</f>
        <v>0</v>
      </c>
      <c r="G39" s="185" t="s">
        <v>536</v>
      </c>
      <c r="L39" s="232"/>
      <c r="S39" s="233"/>
      <c r="T39" s="234" t="str">
        <f>IF(import.recurso="FGTS","Financiamento:","Repasse:")</f>
        <v>Repasse:</v>
      </c>
      <c r="U39" s="231">
        <f t="shared" ref="U39:AF39" ca="1" si="38">ROUND(U42-U41-U40,2)</f>
        <v>0</v>
      </c>
      <c r="V39" s="231">
        <f t="shared" ca="1" si="38"/>
        <v>0</v>
      </c>
      <c r="W39" s="231">
        <f t="shared" ca="1" si="38"/>
        <v>0</v>
      </c>
      <c r="X39" s="231">
        <f t="shared" ca="1" si="38"/>
        <v>0</v>
      </c>
      <c r="Y39" s="231">
        <f t="shared" ca="1" si="38"/>
        <v>0</v>
      </c>
      <c r="Z39" s="231">
        <f t="shared" ca="1" si="38"/>
        <v>0</v>
      </c>
      <c r="AA39" s="231">
        <f t="shared" ca="1" si="38"/>
        <v>0</v>
      </c>
      <c r="AB39" s="231">
        <f t="shared" ca="1" si="38"/>
        <v>0</v>
      </c>
      <c r="AC39" s="231">
        <f t="shared" ca="1" si="38"/>
        <v>0</v>
      </c>
      <c r="AD39" s="231">
        <f t="shared" ca="1" si="38"/>
        <v>0</v>
      </c>
      <c r="AE39" s="231">
        <f t="shared" ca="1" si="38"/>
        <v>0</v>
      </c>
      <c r="AF39" s="231">
        <f t="shared" ca="1" si="38"/>
        <v>0</v>
      </c>
      <c r="AG39" s="534"/>
    </row>
    <row r="40" spans="4:33" x14ac:dyDescent="0.2">
      <c r="E40" s="529" cm="1">
        <f t="array" aca="1" ref="E40" ca="1">IF(E$12=1,0,OFFSET(E40,0,-1))+SUM((OFFSET($C$13,1,0):OFFSET($C$32,-3,0))*IF(ISNUMBER(OFFSET(E$11,5,0):OFFSET(E$32,-1,0)),OFFSET(E$11,5,0):OFFSET(E$32,-1,0),0))</f>
        <v>0</v>
      </c>
      <c r="G40" s="185" t="s">
        <v>536</v>
      </c>
      <c r="L40" s="236" t="s">
        <v>803</v>
      </c>
      <c r="S40" s="237"/>
      <c r="T40" s="238" t="s">
        <v>800</v>
      </c>
      <c r="U40" s="529" cm="1">
        <f t="array" aca="1" ref="U40" ca="1">IF(U$12=1,0,OFFSET(U40,0,-1))+SUM((OFFSET($C$13,1,0):OFFSET($C$32,-3,0))*IF(ISNUMBER(OFFSET(U$11,5,0):OFFSET(U$32,-1,0)),OFFSET(U$11,5,0):OFFSET(U$32,-1,0),0))</f>
        <v>0</v>
      </c>
      <c r="V40" s="529" cm="1">
        <f t="array" aca="1" ref="V40" ca="1">IF(V$12=1,0,OFFSET(V40,0,-1))+SUM((OFFSET($C$13,1,0):OFFSET($C$32,-3,0))*IF(ISNUMBER(OFFSET(V$11,5,0):OFFSET(V$32,-1,0)),OFFSET(V$11,5,0):OFFSET(V$32,-1,0),0))</f>
        <v>0</v>
      </c>
      <c r="W40" s="529" cm="1">
        <f t="array" aca="1" ref="W40" ca="1">IF(W$12=1,0,OFFSET(W40,0,-1))+SUM((OFFSET($C$13,1,0):OFFSET($C$32,-3,0))*IF(ISNUMBER(OFFSET(W$11,5,0):OFFSET(W$32,-1,0)),OFFSET(W$11,5,0):OFFSET(W$32,-1,0),0))</f>
        <v>0</v>
      </c>
      <c r="X40" s="529" cm="1">
        <f t="array" aca="1" ref="X40" ca="1">IF(X$12=1,0,OFFSET(X40,0,-1))+SUM((OFFSET($C$13,1,0):OFFSET($C$32,-3,0))*IF(ISNUMBER(OFFSET(X$11,5,0):OFFSET(X$32,-1,0)),OFFSET(X$11,5,0):OFFSET(X$32,-1,0),0))</f>
        <v>0</v>
      </c>
      <c r="Y40" s="529" cm="1">
        <f t="array" aca="1" ref="Y40" ca="1">IF(Y$12=1,0,OFFSET(Y40,0,-1))+SUM((OFFSET($C$13,1,0):OFFSET($C$32,-3,0))*IF(ISNUMBER(OFFSET(Y$11,5,0):OFFSET(Y$32,-1,0)),OFFSET(Y$11,5,0):OFFSET(Y$32,-1,0),0))</f>
        <v>0</v>
      </c>
      <c r="Z40" s="529" cm="1">
        <f t="array" aca="1" ref="Z40" ca="1">IF(Z$12=1,0,OFFSET(Z40,0,-1))+SUM((OFFSET($C$13,1,0):OFFSET($C$32,-3,0))*IF(ISNUMBER(OFFSET(Z$11,5,0):OFFSET(Z$32,-1,0)),OFFSET(Z$11,5,0):OFFSET(Z$32,-1,0),0))</f>
        <v>0</v>
      </c>
      <c r="AA40" s="529" cm="1">
        <f t="array" aca="1" ref="AA40" ca="1">IF(AA$12=1,0,OFFSET(AA40,0,-1))+SUM((OFFSET($C$13,1,0):OFFSET($C$32,-3,0))*IF(ISNUMBER(OFFSET(AA$11,5,0):OFFSET(AA$32,-1,0)),OFFSET(AA$11,5,0):OFFSET(AA$32,-1,0),0))</f>
        <v>0</v>
      </c>
      <c r="AB40" s="529" cm="1">
        <f t="array" aca="1" ref="AB40" ca="1">IF(AB$12=1,0,OFFSET(AB40,0,-1))+SUM((OFFSET($C$13,1,0):OFFSET($C$32,-3,0))*IF(ISNUMBER(OFFSET(AB$11,5,0):OFFSET(AB$32,-1,0)),OFFSET(AB$11,5,0):OFFSET(AB$32,-1,0),0))</f>
        <v>0</v>
      </c>
      <c r="AC40" s="529" cm="1">
        <f t="array" aca="1" ref="AC40" ca="1">IF(AC$12=1,0,OFFSET(AC40,0,-1))+SUM((OFFSET($C$13,1,0):OFFSET($C$32,-3,0))*IF(ISNUMBER(OFFSET(AC$11,5,0):OFFSET(AC$32,-1,0)),OFFSET(AC$11,5,0):OFFSET(AC$32,-1,0),0))</f>
        <v>0</v>
      </c>
      <c r="AD40" s="529" cm="1">
        <f t="array" aca="1" ref="AD40" ca="1">IF(AD$12=1,0,OFFSET(AD40,0,-1))+SUM((OFFSET($C$13,1,0):OFFSET($C$32,-3,0))*IF(ISNUMBER(OFFSET(AD$11,5,0):OFFSET(AD$32,-1,0)),OFFSET(AD$11,5,0):OFFSET(AD$32,-1,0),0))</f>
        <v>0</v>
      </c>
      <c r="AE40" s="529" cm="1">
        <f t="array" aca="1" ref="AE40" ca="1">IF(AE$12=1,0,OFFSET(AE40,0,-1))+SUM((OFFSET($C$13,1,0):OFFSET($C$32,-3,0))*IF(ISNUMBER(OFFSET(AE$11,5,0):OFFSET(AE$32,-1,0)),OFFSET(AE$11,5,0):OFFSET(AE$32,-1,0),0))</f>
        <v>0</v>
      </c>
      <c r="AF40" s="529" cm="1">
        <f t="array" aca="1" ref="AF40" ca="1">IF(AF$12=1,0,OFFSET(AF40,0,-1))+SUM((OFFSET($C$13,1,0):OFFSET($C$32,-3,0))*IF(ISNUMBER(OFFSET(AF$11,5,0):OFFSET(AF$32,-1,0)),OFFSET(AF$11,5,0):OFFSET(AF$32,-1,0),0))</f>
        <v>0</v>
      </c>
      <c r="AG40" s="534"/>
    </row>
    <row r="41" spans="4:33" x14ac:dyDescent="0.2">
      <c r="E41" s="239" cm="1">
        <f t="array" aca="1" ref="E41" ca="1">IF(E$12=1,0,OFFSET(E41,0,-1))+SUM((OFFSET($D$13,1,0):OFFSET($D$32,-3,0))*IF(ISNUMBER(OFFSET(E$11,5,0):OFFSET(E$32,-1,0)),OFFSET(E$11,5,0):OFFSET(E$32,-1,0),0))</f>
        <v>0</v>
      </c>
      <c r="G41" s="185" t="s">
        <v>536</v>
      </c>
      <c r="L41" s="236"/>
      <c r="S41" s="240"/>
      <c r="T41" s="241" t="s">
        <v>801</v>
      </c>
      <c r="U41" s="239" cm="1">
        <f t="array" aca="1" ref="U41" ca="1">IF(U$12=1,0,OFFSET(U41,0,-1))+SUM((OFFSET($D$13,1,0):OFFSET($D$32,-3,0))*IF(ISNUMBER(OFFSET(U$11,5,0):OFFSET(U$32,-1,0)),OFFSET(U$11,5,0):OFFSET(U$32,-1,0),0))</f>
        <v>0</v>
      </c>
      <c r="V41" s="239" cm="1">
        <f t="array" aca="1" ref="V41" ca="1">IF(V$12=1,0,OFFSET(V41,0,-1))+SUM((OFFSET($D$13,1,0):OFFSET($D$32,-3,0))*IF(ISNUMBER(OFFSET(V$11,5,0):OFFSET(V$32,-1,0)),OFFSET(V$11,5,0):OFFSET(V$32,-1,0),0))</f>
        <v>0</v>
      </c>
      <c r="W41" s="239" cm="1">
        <f t="array" aca="1" ref="W41" ca="1">IF(W$12=1,0,OFFSET(W41,0,-1))+SUM((OFFSET($D$13,1,0):OFFSET($D$32,-3,0))*IF(ISNUMBER(OFFSET(W$11,5,0):OFFSET(W$32,-1,0)),OFFSET(W$11,5,0):OFFSET(W$32,-1,0),0))</f>
        <v>0</v>
      </c>
      <c r="X41" s="239" cm="1">
        <f t="array" aca="1" ref="X41" ca="1">IF(X$12=1,0,OFFSET(X41,0,-1))+SUM((OFFSET($D$13,1,0):OFFSET($D$32,-3,0))*IF(ISNUMBER(OFFSET(X$11,5,0):OFFSET(X$32,-1,0)),OFFSET(X$11,5,0):OFFSET(X$32,-1,0),0))</f>
        <v>0</v>
      </c>
      <c r="Y41" s="239" cm="1">
        <f t="array" aca="1" ref="Y41" ca="1">IF(Y$12=1,0,OFFSET(Y41,0,-1))+SUM((OFFSET($D$13,1,0):OFFSET($D$32,-3,0))*IF(ISNUMBER(OFFSET(Y$11,5,0):OFFSET(Y$32,-1,0)),OFFSET(Y$11,5,0):OFFSET(Y$32,-1,0),0))</f>
        <v>0</v>
      </c>
      <c r="Z41" s="239" cm="1">
        <f t="array" aca="1" ref="Z41" ca="1">IF(Z$12=1,0,OFFSET(Z41,0,-1))+SUM((OFFSET($D$13,1,0):OFFSET($D$32,-3,0))*IF(ISNUMBER(OFFSET(Z$11,5,0):OFFSET(Z$32,-1,0)),OFFSET(Z$11,5,0):OFFSET(Z$32,-1,0),0))</f>
        <v>0</v>
      </c>
      <c r="AA41" s="239" cm="1">
        <f t="array" aca="1" ref="AA41" ca="1">IF(AA$12=1,0,OFFSET(AA41,0,-1))+SUM((OFFSET($D$13,1,0):OFFSET($D$32,-3,0))*IF(ISNUMBER(OFFSET(AA$11,5,0):OFFSET(AA$32,-1,0)),OFFSET(AA$11,5,0):OFFSET(AA$32,-1,0),0))</f>
        <v>0</v>
      </c>
      <c r="AB41" s="239" cm="1">
        <f t="array" aca="1" ref="AB41" ca="1">IF(AB$12=1,0,OFFSET(AB41,0,-1))+SUM((OFFSET($D$13,1,0):OFFSET($D$32,-3,0))*IF(ISNUMBER(OFFSET(AB$11,5,0):OFFSET(AB$32,-1,0)),OFFSET(AB$11,5,0):OFFSET(AB$32,-1,0),0))</f>
        <v>0</v>
      </c>
      <c r="AC41" s="239" cm="1">
        <f t="array" aca="1" ref="AC41" ca="1">IF(AC$12=1,0,OFFSET(AC41,0,-1))+SUM((OFFSET($D$13,1,0):OFFSET($D$32,-3,0))*IF(ISNUMBER(OFFSET(AC$11,5,0):OFFSET(AC$32,-1,0)),OFFSET(AC$11,5,0):OFFSET(AC$32,-1,0),0))</f>
        <v>0</v>
      </c>
      <c r="AD41" s="239" cm="1">
        <f t="array" aca="1" ref="AD41" ca="1">IF(AD$12=1,0,OFFSET(AD41,0,-1))+SUM((OFFSET($D$13,1,0):OFFSET($D$32,-3,0))*IF(ISNUMBER(OFFSET(AD$11,5,0):OFFSET(AD$32,-1,0)),OFFSET(AD$11,5,0):OFFSET(AD$32,-1,0),0))</f>
        <v>0</v>
      </c>
      <c r="AE41" s="239" cm="1">
        <f t="array" aca="1" ref="AE41" ca="1">IF(AE$12=1,0,OFFSET(AE41,0,-1))+SUM((OFFSET($D$13,1,0):OFFSET($D$32,-3,0))*IF(ISNUMBER(OFFSET(AE$11,5,0):OFFSET(AE$32,-1,0)),OFFSET(AE$11,5,0):OFFSET(AE$32,-1,0),0))</f>
        <v>0</v>
      </c>
      <c r="AF41" s="239" cm="1">
        <f t="array" aca="1" ref="AF41" ca="1">IF(AF$12=1,0,OFFSET(AF41,0,-1))+SUM((OFFSET($D$13,1,0):OFFSET($D$32,-3,0))*IF(ISNUMBER(OFFSET(AF$11,5,0):OFFSET(AF$32,-1,0)),OFFSET(AF$11,5,0):OFFSET(AF$32,-1,0),0))</f>
        <v>0</v>
      </c>
      <c r="AG41" s="534"/>
    </row>
    <row r="42" spans="4:33" ht="13.5" thickBot="1" x14ac:dyDescent="0.25">
      <c r="D42" s="533"/>
      <c r="E42" s="531">
        <f ca="1">SUMIF($S$12:$S$32,"1$",E12:E32)+IF(E$12&gt;1,OFFSET(E42,0,-1),0)</f>
        <v>0</v>
      </c>
      <c r="G42" s="185" t="s">
        <v>536</v>
      </c>
      <c r="H42" s="522" t="str" cm="1">
        <f t="array" ref="H42">IF(ACOMPANHAMENTO="BM","Selecione o Macrosserviço da Administração Local:","")</f>
        <v/>
      </c>
      <c r="I42"/>
      <c r="L42" s="236"/>
      <c r="S42" s="237"/>
      <c r="T42" s="526" t="s">
        <v>802</v>
      </c>
      <c r="U42" s="531">
        <f t="shared" ref="U42:AF42" ca="1" si="39">SUMIF($S$12:$S$32,"1$",U12:U32)+IF(U$12&gt;1,OFFSET(U42,0,-1),0)</f>
        <v>0</v>
      </c>
      <c r="V42" s="531">
        <f t="shared" ca="1" si="39"/>
        <v>0</v>
      </c>
      <c r="W42" s="531">
        <f t="shared" ca="1" si="39"/>
        <v>0</v>
      </c>
      <c r="X42" s="531">
        <f t="shared" ca="1" si="39"/>
        <v>0</v>
      </c>
      <c r="Y42" s="531">
        <f t="shared" ca="1" si="39"/>
        <v>0</v>
      </c>
      <c r="Z42" s="531">
        <f t="shared" ca="1" si="39"/>
        <v>0</v>
      </c>
      <c r="AA42" s="531">
        <f t="shared" ca="1" si="39"/>
        <v>0</v>
      </c>
      <c r="AB42" s="531">
        <f t="shared" ca="1" si="39"/>
        <v>0</v>
      </c>
      <c r="AC42" s="531">
        <f t="shared" ca="1" si="39"/>
        <v>0</v>
      </c>
      <c r="AD42" s="531">
        <f t="shared" ca="1" si="39"/>
        <v>0</v>
      </c>
      <c r="AE42" s="531">
        <f t="shared" ca="1" si="39"/>
        <v>0</v>
      </c>
      <c r="AF42" s="540">
        <f t="shared" ca="1" si="39"/>
        <v>0</v>
      </c>
      <c r="AG42" s="534"/>
    </row>
    <row r="43" spans="4:33" ht="13.5" thickBot="1" x14ac:dyDescent="0.25">
      <c r="D43" s="533"/>
      <c r="E43" s="532" t="e">
        <f ca="1">IF($F$43="","",
  IF(ACOMPANHAMENTO="PLE",
     IF(AUTOEVENTO="Manual",
         IF(AdmLocal="Automática",
              E38,
              SUMIF(OFFSET(CRONOPLE!$F$14,CRONOPLE!$A$8+1,1,1,OFFSET(CRONOPLE!$AF$12,0,-1)),"&lt;="&amp;E$12,OFFSET(EVENTOS!$G$14,CRONOPLE!$A$8+1,1,1,OFFSET(CRONOPLE!$AF$12,0,-1)))/OFFSET(EVENTOS!$G$14,CRONOPLE!$A$8+1,-1)),
         SUMIFS(OFFSET(CÁLCULO!$AA$15,$F$43,1,OFFSET(ORÇAMENTO!$D$15,$F$43,0),CÁLCULO.FrentesPreenchidas),OFFSET(CÁLCULO!$AL$15,$F$43,1,OFFSET(ORÇAMENTO!$D$15,$F$43,0),CÁLCULO.FrentesPreenchidas),"&lt;="&amp;E$12)/OFFSET(ORÇAMENTO!$X$15,$F$43,0)),
     IF(ACOMPANHAMENTO="BM",SUM(OFFSET($T$13,$F$43+2,1,1,E$12))/OFFSET($S$13,$F$43,0),"")))</f>
        <v>#DIV/0!</v>
      </c>
      <c r="F43" s="185">
        <f ca="1">IF(ACOMPANHAMENTO="PLE",
    IF(AUTOEVENTO="Manual",
        IF(AdmLocal="Automática",1,IF(CRONOPLE!$D$8&lt;&gt;"","",MATCH(Import.EventoAdmLocal,EVENTOS!$B$15:$B$21,0))),
        IF(CRONOPLE!$D$8&lt;&gt;"","",CRONOPLE!$A$10)),
    IF($H$44&lt;&gt;"","",MATCH(Import.MacrosserviçoAdmLocal,$A$13:$A$32,0)-1))</f>
        <v>8</v>
      </c>
      <c r="G43" s="185" t="s">
        <v>536</v>
      </c>
      <c r="H43" s="732"/>
      <c r="I43" s="772"/>
      <c r="J43" s="733"/>
      <c r="L43" s="242"/>
      <c r="S43" s="525"/>
      <c r="T43" s="527" t="s">
        <v>804</v>
      </c>
      <c r="U43" s="532" t="e">
        <f ca="1">IF($F$43="","",
  IF(ACOMPANHAMENTO="PLE",
     IF(AUTOEVENTO="Manual",
         IF(AdmLocal="Automática",
              U38,
              SUMIF(OFFSET(CRONOPLE!$F$14,CRONOPLE!$A$8+1,1,1,OFFSET(CRONOPLE!$AF$12,0,-1)),"&lt;="&amp;U$12,OFFSET(EVENTOS!$G$14,CRONOPLE!$A$8+1,1,1,OFFSET(CRONOPLE!$AF$12,0,-1)))/OFFSET(EVENTOS!$G$14,CRONOPLE!$A$8+1,-1)),
         SUMIFS(OFFSET(CÁLCULO!$AA$15,$F$43,1,OFFSET(ORÇAMENTO!$D$15,$F$43,0),CÁLCULO.FrentesPreenchidas),OFFSET(CÁLCULO!$AL$15,$F$43,1,OFFSET(ORÇAMENTO!$D$15,$F$43,0),CÁLCULO.FrentesPreenchidas),"&lt;="&amp;U$12)/OFFSET(ORÇAMENTO!$X$15,$F$43,0)),
     IF(ACOMPANHAMENTO="BM",SUM(OFFSET($T$13,$F$43+2,1,1,U$12))/OFFSET($S$13,$F$43,0),"")))</f>
        <v>#DIV/0!</v>
      </c>
      <c r="V43" s="532" t="e">
        <f ca="1">IF($F$43="","",
  IF(ACOMPANHAMENTO="PLE",
     IF(AUTOEVENTO="Manual",
         IF(AdmLocal="Automática",
              V38,
              SUMIF(OFFSET(CRONOPLE!$F$14,CRONOPLE!$A$8+1,1,1,OFFSET(CRONOPLE!$AF$12,0,-1)),"&lt;="&amp;V$12,OFFSET(EVENTOS!$G$14,CRONOPLE!$A$8+1,1,1,OFFSET(CRONOPLE!$AF$12,0,-1)))/OFFSET(EVENTOS!$G$14,CRONOPLE!$A$8+1,-1)),
         SUMIFS(OFFSET(CÁLCULO!$AA$15,$F$43,1,OFFSET(ORÇAMENTO!$D$15,$F$43,0),CÁLCULO.FrentesPreenchidas),OFFSET(CÁLCULO!$AL$15,$F$43,1,OFFSET(ORÇAMENTO!$D$15,$F$43,0),CÁLCULO.FrentesPreenchidas),"&lt;="&amp;V$12)/OFFSET(ORÇAMENTO!$X$15,$F$43,0)),
     IF(ACOMPANHAMENTO="BM",SUM(OFFSET($T$13,$F$43+2,1,1,V$12))/OFFSET($S$13,$F$43,0),"")))</f>
        <v>#DIV/0!</v>
      </c>
      <c r="W43" s="532" t="e">
        <f ca="1">IF($F$43="","",
  IF(ACOMPANHAMENTO="PLE",
     IF(AUTOEVENTO="Manual",
         IF(AdmLocal="Automática",
              W38,
              SUMIF(OFFSET(CRONOPLE!$F$14,CRONOPLE!$A$8+1,1,1,OFFSET(CRONOPLE!$AF$12,0,-1)),"&lt;="&amp;W$12,OFFSET(EVENTOS!$G$14,CRONOPLE!$A$8+1,1,1,OFFSET(CRONOPLE!$AF$12,0,-1)))/OFFSET(EVENTOS!$G$14,CRONOPLE!$A$8+1,-1)),
         SUMIFS(OFFSET(CÁLCULO!$AA$15,$F$43,1,OFFSET(ORÇAMENTO!$D$15,$F$43,0),CÁLCULO.FrentesPreenchidas),OFFSET(CÁLCULO!$AL$15,$F$43,1,OFFSET(ORÇAMENTO!$D$15,$F$43,0),CÁLCULO.FrentesPreenchidas),"&lt;="&amp;W$12)/OFFSET(ORÇAMENTO!$X$15,$F$43,0)),
     IF(ACOMPANHAMENTO="BM",SUM(OFFSET($T$13,$F$43+2,1,1,W$12))/OFFSET($S$13,$F$43,0),"")))</f>
        <v>#DIV/0!</v>
      </c>
      <c r="X43" s="532" t="e">
        <f ca="1">IF($F$43="","",
  IF(ACOMPANHAMENTO="PLE",
     IF(AUTOEVENTO="Manual",
         IF(AdmLocal="Automática",
              X38,
              SUMIF(OFFSET(CRONOPLE!$F$14,CRONOPLE!$A$8+1,1,1,OFFSET(CRONOPLE!$AF$12,0,-1)),"&lt;="&amp;X$12,OFFSET(EVENTOS!$G$14,CRONOPLE!$A$8+1,1,1,OFFSET(CRONOPLE!$AF$12,0,-1)))/OFFSET(EVENTOS!$G$14,CRONOPLE!$A$8+1,-1)),
         SUMIFS(OFFSET(CÁLCULO!$AA$15,$F$43,1,OFFSET(ORÇAMENTO!$D$15,$F$43,0),CÁLCULO.FrentesPreenchidas),OFFSET(CÁLCULO!$AL$15,$F$43,1,OFFSET(ORÇAMENTO!$D$15,$F$43,0),CÁLCULO.FrentesPreenchidas),"&lt;="&amp;X$12)/OFFSET(ORÇAMENTO!$X$15,$F$43,0)),
     IF(ACOMPANHAMENTO="BM",SUM(OFFSET($T$13,$F$43+2,1,1,X$12))/OFFSET($S$13,$F$43,0),"")))</f>
        <v>#DIV/0!</v>
      </c>
      <c r="Y43" s="532" t="e">
        <f ca="1">IF($F$43="","",
  IF(ACOMPANHAMENTO="PLE",
     IF(AUTOEVENTO="Manual",
         IF(AdmLocal="Automática",
              Y38,
              SUMIF(OFFSET(CRONOPLE!$F$14,CRONOPLE!$A$8+1,1,1,OFFSET(CRONOPLE!$AF$12,0,-1)),"&lt;="&amp;Y$12,OFFSET(EVENTOS!$G$14,CRONOPLE!$A$8+1,1,1,OFFSET(CRONOPLE!$AF$12,0,-1)))/OFFSET(EVENTOS!$G$14,CRONOPLE!$A$8+1,-1)),
         SUMIFS(OFFSET(CÁLCULO!$AA$15,$F$43,1,OFFSET(ORÇAMENTO!$D$15,$F$43,0),CÁLCULO.FrentesPreenchidas),OFFSET(CÁLCULO!$AL$15,$F$43,1,OFFSET(ORÇAMENTO!$D$15,$F$43,0),CÁLCULO.FrentesPreenchidas),"&lt;="&amp;Y$12)/OFFSET(ORÇAMENTO!$X$15,$F$43,0)),
     IF(ACOMPANHAMENTO="BM",SUM(OFFSET($T$13,$F$43+2,1,1,Y$12))/OFFSET($S$13,$F$43,0),"")))</f>
        <v>#DIV/0!</v>
      </c>
      <c r="Z43" s="532" t="e">
        <f ca="1">IF($F$43="","",
  IF(ACOMPANHAMENTO="PLE",
     IF(AUTOEVENTO="Manual",
         IF(AdmLocal="Automática",
              Z38,
              SUMIF(OFFSET(CRONOPLE!$F$14,CRONOPLE!$A$8+1,1,1,OFFSET(CRONOPLE!$AF$12,0,-1)),"&lt;="&amp;Z$12,OFFSET(EVENTOS!$G$14,CRONOPLE!$A$8+1,1,1,OFFSET(CRONOPLE!$AF$12,0,-1)))/OFFSET(EVENTOS!$G$14,CRONOPLE!$A$8+1,-1)),
         SUMIFS(OFFSET(CÁLCULO!$AA$15,$F$43,1,OFFSET(ORÇAMENTO!$D$15,$F$43,0),CÁLCULO.FrentesPreenchidas),OFFSET(CÁLCULO!$AL$15,$F$43,1,OFFSET(ORÇAMENTO!$D$15,$F$43,0),CÁLCULO.FrentesPreenchidas),"&lt;="&amp;Z$12)/OFFSET(ORÇAMENTO!$X$15,$F$43,0)),
     IF(ACOMPANHAMENTO="BM",SUM(OFFSET($T$13,$F$43+2,1,1,Z$12))/OFFSET($S$13,$F$43,0),"")))</f>
        <v>#DIV/0!</v>
      </c>
      <c r="AA43" s="532" t="e">
        <f ca="1">IF($F$43="","",
  IF(ACOMPANHAMENTO="PLE",
     IF(AUTOEVENTO="Manual",
         IF(AdmLocal="Automática",
              AA38,
              SUMIF(OFFSET(CRONOPLE!$F$14,CRONOPLE!$A$8+1,1,1,OFFSET(CRONOPLE!$AF$12,0,-1)),"&lt;="&amp;AA$12,OFFSET(EVENTOS!$G$14,CRONOPLE!$A$8+1,1,1,OFFSET(CRONOPLE!$AF$12,0,-1)))/OFFSET(EVENTOS!$G$14,CRONOPLE!$A$8+1,-1)),
         SUMIFS(OFFSET(CÁLCULO!$AA$15,$F$43,1,OFFSET(ORÇAMENTO!$D$15,$F$43,0),CÁLCULO.FrentesPreenchidas),OFFSET(CÁLCULO!$AL$15,$F$43,1,OFFSET(ORÇAMENTO!$D$15,$F$43,0),CÁLCULO.FrentesPreenchidas),"&lt;="&amp;AA$12)/OFFSET(ORÇAMENTO!$X$15,$F$43,0)),
     IF(ACOMPANHAMENTO="BM",SUM(OFFSET($T$13,$F$43+2,1,1,AA$12))/OFFSET($S$13,$F$43,0),"")))</f>
        <v>#DIV/0!</v>
      </c>
      <c r="AB43" s="532" t="e">
        <f ca="1">IF($F$43="","",
  IF(ACOMPANHAMENTO="PLE",
     IF(AUTOEVENTO="Manual",
         IF(AdmLocal="Automática",
              AB38,
              SUMIF(OFFSET(CRONOPLE!$F$14,CRONOPLE!$A$8+1,1,1,OFFSET(CRONOPLE!$AF$12,0,-1)),"&lt;="&amp;AB$12,OFFSET(EVENTOS!$G$14,CRONOPLE!$A$8+1,1,1,OFFSET(CRONOPLE!$AF$12,0,-1)))/OFFSET(EVENTOS!$G$14,CRONOPLE!$A$8+1,-1)),
         SUMIFS(OFFSET(CÁLCULO!$AA$15,$F$43,1,OFFSET(ORÇAMENTO!$D$15,$F$43,0),CÁLCULO.FrentesPreenchidas),OFFSET(CÁLCULO!$AL$15,$F$43,1,OFFSET(ORÇAMENTO!$D$15,$F$43,0),CÁLCULO.FrentesPreenchidas),"&lt;="&amp;AB$12)/OFFSET(ORÇAMENTO!$X$15,$F$43,0)),
     IF(ACOMPANHAMENTO="BM",SUM(OFFSET($T$13,$F$43+2,1,1,AB$12))/OFFSET($S$13,$F$43,0),"")))</f>
        <v>#DIV/0!</v>
      </c>
      <c r="AC43" s="532" t="e">
        <f ca="1">IF($F$43="","",
  IF(ACOMPANHAMENTO="PLE",
     IF(AUTOEVENTO="Manual",
         IF(AdmLocal="Automática",
              AC38,
              SUMIF(OFFSET(CRONOPLE!$F$14,CRONOPLE!$A$8+1,1,1,OFFSET(CRONOPLE!$AF$12,0,-1)),"&lt;="&amp;AC$12,OFFSET(EVENTOS!$G$14,CRONOPLE!$A$8+1,1,1,OFFSET(CRONOPLE!$AF$12,0,-1)))/OFFSET(EVENTOS!$G$14,CRONOPLE!$A$8+1,-1)),
         SUMIFS(OFFSET(CÁLCULO!$AA$15,$F$43,1,OFFSET(ORÇAMENTO!$D$15,$F$43,0),CÁLCULO.FrentesPreenchidas),OFFSET(CÁLCULO!$AL$15,$F$43,1,OFFSET(ORÇAMENTO!$D$15,$F$43,0),CÁLCULO.FrentesPreenchidas),"&lt;="&amp;AC$12)/OFFSET(ORÇAMENTO!$X$15,$F$43,0)),
     IF(ACOMPANHAMENTO="BM",SUM(OFFSET($T$13,$F$43+2,1,1,AC$12))/OFFSET($S$13,$F$43,0),"")))</f>
        <v>#DIV/0!</v>
      </c>
      <c r="AD43" s="532" t="e">
        <f ca="1">IF($F$43="","",
  IF(ACOMPANHAMENTO="PLE",
     IF(AUTOEVENTO="Manual",
         IF(AdmLocal="Automática",
              AD38,
              SUMIF(OFFSET(CRONOPLE!$F$14,CRONOPLE!$A$8+1,1,1,OFFSET(CRONOPLE!$AF$12,0,-1)),"&lt;="&amp;AD$12,OFFSET(EVENTOS!$G$14,CRONOPLE!$A$8+1,1,1,OFFSET(CRONOPLE!$AF$12,0,-1)))/OFFSET(EVENTOS!$G$14,CRONOPLE!$A$8+1,-1)),
         SUMIFS(OFFSET(CÁLCULO!$AA$15,$F$43,1,OFFSET(ORÇAMENTO!$D$15,$F$43,0),CÁLCULO.FrentesPreenchidas),OFFSET(CÁLCULO!$AL$15,$F$43,1,OFFSET(ORÇAMENTO!$D$15,$F$43,0),CÁLCULO.FrentesPreenchidas),"&lt;="&amp;AD$12)/OFFSET(ORÇAMENTO!$X$15,$F$43,0)),
     IF(ACOMPANHAMENTO="BM",SUM(OFFSET($T$13,$F$43+2,1,1,AD$12))/OFFSET($S$13,$F$43,0),"")))</f>
        <v>#DIV/0!</v>
      </c>
      <c r="AE43" s="532" t="e">
        <f ca="1">IF($F$43="","",
  IF(ACOMPANHAMENTO="PLE",
     IF(AUTOEVENTO="Manual",
         IF(AdmLocal="Automática",
              AE38,
              SUMIF(OFFSET(CRONOPLE!$F$14,CRONOPLE!$A$8+1,1,1,OFFSET(CRONOPLE!$AF$12,0,-1)),"&lt;="&amp;AE$12,OFFSET(EVENTOS!$G$14,CRONOPLE!$A$8+1,1,1,OFFSET(CRONOPLE!$AF$12,0,-1)))/OFFSET(EVENTOS!$G$14,CRONOPLE!$A$8+1,-1)),
         SUMIFS(OFFSET(CÁLCULO!$AA$15,$F$43,1,OFFSET(ORÇAMENTO!$D$15,$F$43,0),CÁLCULO.FrentesPreenchidas),OFFSET(CÁLCULO!$AL$15,$F$43,1,OFFSET(ORÇAMENTO!$D$15,$F$43,0),CÁLCULO.FrentesPreenchidas),"&lt;="&amp;AE$12)/OFFSET(ORÇAMENTO!$X$15,$F$43,0)),
     IF(ACOMPANHAMENTO="BM",SUM(OFFSET($T$13,$F$43+2,1,1,AE$12))/OFFSET($S$13,$F$43,0),"")))</f>
        <v>#DIV/0!</v>
      </c>
      <c r="AF43" s="532" t="e">
        <f ca="1">IF($F$43="","",
  IF(ACOMPANHAMENTO="PLE",
     IF(AUTOEVENTO="Manual",
         IF(AdmLocal="Automática",
              AF38,
              SUMIF(OFFSET(CRONOPLE!$F$14,CRONOPLE!$A$8+1,1,1,OFFSET(CRONOPLE!$AF$12,0,-1)),"&lt;="&amp;AF$12,OFFSET(EVENTOS!$G$14,CRONOPLE!$A$8+1,1,1,OFFSET(CRONOPLE!$AF$12,0,-1)))/OFFSET(EVENTOS!$G$14,CRONOPLE!$A$8+1,-1)),
         SUMIFS(OFFSET(CÁLCULO!$AA$15,$F$43,1,OFFSET(ORÇAMENTO!$D$15,$F$43,0),CÁLCULO.FrentesPreenchidas),OFFSET(CÁLCULO!$AL$15,$F$43,1,OFFSET(ORÇAMENTO!$D$15,$F$43,0),CÁLCULO.FrentesPreenchidas),"&lt;="&amp;AF$12)/OFFSET(ORÇAMENTO!$X$15,$F$43,0)),
     IF(ACOMPANHAMENTO="BM",SUM(OFFSET($T$13,$F$43+2,1,1,AF$12))/OFFSET($S$13,$F$43,0),"")))</f>
        <v>#DIV/0!</v>
      </c>
      <c r="AG43" s="534"/>
    </row>
    <row r="44" spans="4:33" ht="17.100000000000001" customHeight="1" x14ac:dyDescent="0.25">
      <c r="G44" s="185" t="s">
        <v>536</v>
      </c>
      <c r="H44" s="571" t="str" cm="1">
        <f t="array" ref="H44">IF(AND(ACOMPANHAMENTO="BM",$H$43=""),"↑ Não foi indicado o Macrosserviço de Administração Local","")</f>
        <v/>
      </c>
      <c r="T44" s="583" t="str">
        <f ca="1">IF(COUNTIF(U44:AG44,"%Adm&gt;%Global")&gt;0,"Verificar proporcionalidade da Administração Local","")</f>
        <v/>
      </c>
      <c r="U44" s="535" t="e">
        <f ca="1">IF(U43="","",IF(ROUND(U43,4)&gt;ROUND(U38,4),"%Adm&gt;%Global",""))</f>
        <v>#DIV/0!</v>
      </c>
      <c r="V44" s="535" t="e">
        <f t="shared" ref="V44:AG44" ca="1" si="40">IF(V43="","",IF(ROUND(V43,4)&gt;ROUND(V38,4),"%Adm&gt;%Global",""))</f>
        <v>#DIV/0!</v>
      </c>
      <c r="W44" s="535" t="e">
        <f t="shared" ca="1" si="40"/>
        <v>#DIV/0!</v>
      </c>
      <c r="X44" s="535" t="e">
        <f t="shared" ca="1" si="40"/>
        <v>#DIV/0!</v>
      </c>
      <c r="Y44" s="535" t="e">
        <f t="shared" ca="1" si="40"/>
        <v>#DIV/0!</v>
      </c>
      <c r="Z44" s="535" t="e">
        <f t="shared" ca="1" si="40"/>
        <v>#DIV/0!</v>
      </c>
      <c r="AA44" s="535" t="e">
        <f t="shared" ca="1" si="40"/>
        <v>#DIV/0!</v>
      </c>
      <c r="AB44" s="535" t="e">
        <f t="shared" ca="1" si="40"/>
        <v>#DIV/0!</v>
      </c>
      <c r="AC44" s="535" t="e">
        <f t="shared" ca="1" si="40"/>
        <v>#DIV/0!</v>
      </c>
      <c r="AD44" s="535" t="e">
        <f t="shared" ca="1" si="40"/>
        <v>#DIV/0!</v>
      </c>
      <c r="AE44" s="535" t="e">
        <f t="shared" ca="1" si="40"/>
        <v>#DIV/0!</v>
      </c>
      <c r="AF44" s="535" t="e">
        <f t="shared" ca="1" si="40"/>
        <v>#DIV/0!</v>
      </c>
      <c r="AG44" s="535" t="str">
        <f t="shared" si="40"/>
        <v/>
      </c>
    </row>
    <row r="45" spans="4:33" ht="32.25" customHeight="1" x14ac:dyDescent="0.2">
      <c r="G45" s="185" t="s">
        <v>536</v>
      </c>
      <c r="I45" s="723" t="str">
        <f>Import.Município</f>
        <v>BENTO GONÇALVES/RS</v>
      </c>
      <c r="J45" s="723"/>
      <c r="K45" s="723"/>
      <c r="L45" s="723"/>
      <c r="M45" s="723"/>
      <c r="N45" s="723"/>
      <c r="O45" s="723"/>
      <c r="P45" s="723"/>
      <c r="Q45" s="723"/>
      <c r="R45" s="723"/>
      <c r="S45" s="723"/>
      <c r="AA45" s="460"/>
      <c r="AB45" s="460"/>
      <c r="AC45" s="460"/>
      <c r="AD45" s="460"/>
      <c r="AE45" s="462"/>
      <c r="AF45" s="462"/>
    </row>
    <row r="46" spans="4:33" x14ac:dyDescent="0.2">
      <c r="G46" s="185" t="s">
        <v>536</v>
      </c>
      <c r="I46" s="9" t="s">
        <v>693</v>
      </c>
      <c r="J46"/>
      <c r="K46"/>
      <c r="L46"/>
      <c r="AA46" s="181" t="s">
        <v>696</v>
      </c>
      <c r="AB46" s="181"/>
      <c r="AC46" s="181"/>
      <c r="AD46" s="181"/>
      <c r="AE46" s="185"/>
      <c r="AF46" s="185"/>
    </row>
    <row r="47" spans="4:33" x14ac:dyDescent="0.2">
      <c r="G47" s="185" t="s">
        <v>536</v>
      </c>
      <c r="I47"/>
      <c r="J47"/>
      <c r="K47"/>
      <c r="L47"/>
      <c r="AA47" s="398" t="str">
        <f t="array" aca="1" ref="AA47:AA49" ca="1">OFFSET(Import.RespOrçamento,0,-1) &amp; " " &amp; Import.RespOrçamento</f>
        <v>Nome: Nathália Cortes Tosi</v>
      </c>
      <c r="AC47"/>
      <c r="AD47" s="79"/>
      <c r="AE47" s="185"/>
      <c r="AF47" s="185"/>
    </row>
    <row r="48" spans="4:33" x14ac:dyDescent="0.2">
      <c r="G48" s="185" t="s">
        <v>536</v>
      </c>
      <c r="I48" s="771">
        <f>DADOS!$C$25</f>
        <v>46073</v>
      </c>
      <c r="J48" s="771"/>
      <c r="K48" s="771"/>
      <c r="L48" s="180"/>
      <c r="M48" s="245"/>
      <c r="N48" s="245"/>
      <c r="O48" s="245"/>
      <c r="P48" s="245"/>
      <c r="Q48" s="245"/>
      <c r="R48" s="245"/>
      <c r="S48" s="246"/>
      <c r="AA48" s="398" t="str">
        <f ca="1"/>
        <v>CREA/CAU: RS227774</v>
      </c>
      <c r="AC48" s="79"/>
      <c r="AD48" s="79"/>
      <c r="AE48" s="185"/>
      <c r="AF48" s="185"/>
    </row>
    <row r="49" spans="7:32" x14ac:dyDescent="0.2">
      <c r="G49" s="185" t="s">
        <v>536</v>
      </c>
      <c r="I49" s="9" t="s">
        <v>694</v>
      </c>
      <c r="J49"/>
      <c r="K49"/>
      <c r="L49"/>
      <c r="AA49" s="398" t="str">
        <f ca="1"/>
        <v>ART/RRT: 14233645</v>
      </c>
      <c r="AC49" s="79"/>
      <c r="AD49" s="79"/>
      <c r="AE49" s="185"/>
      <c r="AF49" s="185"/>
    </row>
  </sheetData>
  <sheetProtection algorithmName="SHA-512" hashValue="uBk/uzGHFfLmvr3vpR2o0DlVB8sPqfbFzbUsi9Xp7OqLonfuHLUGn0viETM41ojV7b/Nuizs4evMk5qxHQpGbQ==" saltValue="wbeMCGpP1WMZefOLudoPlw==" spinCount="100000" sheet="1" objects="1" scenarios="1" autoFilter="0"/>
  <autoFilter ref="G13:G49" xr:uid="{00000000-0009-0000-0000-000008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48:K48"/>
    <mergeCell ref="I45:S45"/>
    <mergeCell ref="H43:J43"/>
    <mergeCell ref="S12:S13"/>
    <mergeCell ref="T12:T13"/>
    <mergeCell ref="L8:T8"/>
    <mergeCell ref="U8:Y8"/>
    <mergeCell ref="K10:T11"/>
    <mergeCell ref="I33:K34"/>
  </mergeCells>
  <phoneticPr fontId="38" type="noConversion"/>
  <conditionalFormatting sqref="U12:U13">
    <cfRule type="expression" dxfId="165" priority="16586" stopIfTrue="1">
      <formula>NOT(ISNUMBER(T$12))</formula>
    </cfRule>
  </conditionalFormatting>
  <conditionalFormatting sqref="E2 U2:AF2">
    <cfRule type="expression" dxfId="164" priority="16587" stopIfTrue="1">
      <formula>AND(ISNUMBER($H1),$H1&lt;&gt;0)</formula>
    </cfRule>
  </conditionalFormatting>
  <conditionalFormatting sqref="I2:S2">
    <cfRule type="expression" dxfId="163" priority="16588" stopIfTrue="1">
      <formula>$M1=2</formula>
    </cfRule>
    <cfRule type="expression" dxfId="162" priority="16589" stopIfTrue="1">
      <formula>AND($M1=1,$S1&lt;&gt;"")</formula>
    </cfRule>
  </conditionalFormatting>
  <conditionalFormatting sqref="I1:S1">
    <cfRule type="expression" dxfId="161" priority="16590" stopIfTrue="1">
      <formula>$M1=2</formula>
    </cfRule>
    <cfRule type="expression" dxfId="160" priority="16591" stopIfTrue="1">
      <formula>AND($M1=1,$S1&lt;&gt;"")</formula>
    </cfRule>
  </conditionalFormatting>
  <conditionalFormatting sqref="E33 E35 E37:E38 E40 E42 U42:AF42 U33:AF33 U35:AF35 U37:AF38 U40:AF40">
    <cfRule type="expression" dxfId="159" priority="16592" stopIfTrue="1">
      <formula>D$38=1</formula>
    </cfRule>
  </conditionalFormatting>
  <conditionalFormatting sqref="E34 E36 E39 E41 E43 U34:AF34 U36:AF36 U39:AF39 U41:AF41 U43:AF43">
    <cfRule type="expression" dxfId="158" priority="16593" stopIfTrue="1">
      <formula>D$38=1</formula>
    </cfRule>
  </conditionalFormatting>
  <conditionalFormatting sqref="AF7:AF8">
    <cfRule type="expression" dxfId="157" priority="16597" stopIfTrue="1">
      <formula>OR(TIPOORCAMENTO&lt;&gt;"Licitado",QCI.ExisteManual)</formula>
    </cfRule>
  </conditionalFormatting>
  <conditionalFormatting sqref="Z7:AE8">
    <cfRule type="expression" dxfId="156" priority="16585" stopIfTrue="1">
      <formula>QCI.ExisteManual</formula>
    </cfRule>
  </conditionalFormatting>
  <conditionalFormatting sqref="H2">
    <cfRule type="expression" dxfId="155" priority="12731">
      <formula>AND(H1&lt;&gt;0,ISNUMBER(H1))</formula>
    </cfRule>
  </conditionalFormatting>
  <conditionalFormatting sqref="E43 U43:AF43">
    <cfRule type="expression" dxfId="154" priority="12722">
      <formula>ROUND(E43,4)&gt;ROUND(E38,4)</formula>
    </cfRule>
  </conditionalFormatting>
  <conditionalFormatting sqref="H1">
    <cfRule type="expression" dxfId="153" priority="12721">
      <formula>AND(H1&lt;&gt;0,ISNUMBER(H1))</formula>
    </cfRule>
  </conditionalFormatting>
  <conditionalFormatting sqref="H43:J43">
    <cfRule type="expression" dxfId="152" priority="12720">
      <formula>$H$42=""</formula>
    </cfRule>
  </conditionalFormatting>
  <conditionalFormatting sqref="E43">
    <cfRule type="expression" dxfId="151" priority="12713" stopIfTrue="1">
      <formula>D$38=1</formula>
    </cfRule>
  </conditionalFormatting>
  <conditionalFormatting sqref="E1">
    <cfRule type="expression" dxfId="150" priority="12710" stopIfTrue="1">
      <formula>E1&lt;&gt;0</formula>
    </cfRule>
  </conditionalFormatting>
  <conditionalFormatting sqref="E2">
    <cfRule type="expression" dxfId="149" priority="12709">
      <formula>AND(_xlfn.SINGLE(ACOMPANHAMENTO)="BM",E2&gt;ROUND(E2,4))</formula>
    </cfRule>
  </conditionalFormatting>
  <conditionalFormatting sqref="E43">
    <cfRule type="expression" dxfId="148" priority="12708" stopIfTrue="1">
      <formula>D$38=1</formula>
    </cfRule>
  </conditionalFormatting>
  <conditionalFormatting sqref="U1:AF1">
    <cfRule type="expression" dxfId="147" priority="2664" stopIfTrue="1">
      <formula>U1&lt;&gt;0</formula>
    </cfRule>
  </conditionalFormatting>
  <conditionalFormatting sqref="U2:AF2">
    <cfRule type="expression" dxfId="146" priority="2663">
      <formula>AND(_xlfn.SINGLE(ACOMPANHAMENTO)="BM",U2&gt;ROUND(U2,4))</formula>
    </cfRule>
  </conditionalFormatting>
  <conditionalFormatting sqref="E15 E18 E21 U15:AF15 U18:AF18 U21:AF21">
    <cfRule type="expression" dxfId="145" priority="194" stopIfTrue="1">
      <formula>AND(ISNUMBER($H14),$H14&lt;&gt;0)</formula>
    </cfRule>
  </conditionalFormatting>
  <conditionalFormatting sqref="I15:S15 I18:S18 I21:S21">
    <cfRule type="expression" dxfId="144" priority="195" stopIfTrue="1">
      <formula>$M14=2</formula>
    </cfRule>
    <cfRule type="expression" dxfId="143" priority="196" stopIfTrue="1">
      <formula>AND($M14=1,$S14&lt;&gt;"")</formula>
    </cfRule>
  </conditionalFormatting>
  <conditionalFormatting sqref="I14:S14 I17:S17 I20:S20">
    <cfRule type="expression" dxfId="142" priority="197" stopIfTrue="1">
      <formula>$M14=2</formula>
    </cfRule>
    <cfRule type="expression" dxfId="141" priority="198" stopIfTrue="1">
      <formula>AND($M14=1,$S14&lt;&gt;"")</formula>
    </cfRule>
  </conditionalFormatting>
  <conditionalFormatting sqref="H15 H18 H21">
    <cfRule type="expression" dxfId="140" priority="193">
      <formula>AND(H14&lt;&gt;0,ISNUMBER(H14))</formula>
    </cfRule>
  </conditionalFormatting>
  <conditionalFormatting sqref="H14 H17 H20">
    <cfRule type="expression" dxfId="139" priority="192">
      <formula>AND(H14&lt;&gt;0,ISNUMBER(H14))</formula>
    </cfRule>
  </conditionalFormatting>
  <conditionalFormatting sqref="E14 E17 E20">
    <cfRule type="expression" dxfId="138" priority="191" stopIfTrue="1">
      <formula>E14&lt;&gt;0</formula>
    </cfRule>
  </conditionalFormatting>
  <conditionalFormatting sqref="E15 E18 E21">
    <cfRule type="expression" dxfId="137" priority="190">
      <formula>AND(_xlfn.SINGLE(ACOMPANHAMENTO)="BM",E15&gt;ROUND(E15,4))</formula>
    </cfRule>
  </conditionalFormatting>
  <conditionalFormatting sqref="U14:AF14 U17:AF17 U20:AF20">
    <cfRule type="expression" dxfId="136" priority="189" stopIfTrue="1">
      <formula>U14&lt;&gt;0</formula>
    </cfRule>
  </conditionalFormatting>
  <conditionalFormatting sqref="U15:AF15 U18:AF18 U21:AF21">
    <cfRule type="expression" dxfId="135" priority="188">
      <formula>AND(_xlfn.SINGLE(ACOMPANHAMENTO)="BM",U15&gt;ROUND(U15,4))</formula>
    </cfRule>
  </conditionalFormatting>
  <conditionalFormatting sqref="E24 E27 U24:AF24 U27:AF27">
    <cfRule type="expression" dxfId="134" priority="183" stopIfTrue="1">
      <formula>AND(ISNUMBER($H23),$H23&lt;&gt;0)</formula>
    </cfRule>
  </conditionalFormatting>
  <conditionalFormatting sqref="I24:S24 I27:S27">
    <cfRule type="expression" dxfId="133" priority="184" stopIfTrue="1">
      <formula>$M23=2</formula>
    </cfRule>
    <cfRule type="expression" dxfId="132" priority="185" stopIfTrue="1">
      <formula>AND($M23=1,$S23&lt;&gt;"")</formula>
    </cfRule>
  </conditionalFormatting>
  <conditionalFormatting sqref="I23:S23 I26:S26">
    <cfRule type="expression" dxfId="131" priority="186" stopIfTrue="1">
      <formula>$M23=2</formula>
    </cfRule>
    <cfRule type="expression" dxfId="130" priority="187" stopIfTrue="1">
      <formula>AND($M23=1,$S23&lt;&gt;"")</formula>
    </cfRule>
  </conditionalFormatting>
  <conditionalFormatting sqref="H24 H27">
    <cfRule type="expression" dxfId="129" priority="182">
      <formula>AND(H23&lt;&gt;0,ISNUMBER(H23))</formula>
    </cfRule>
  </conditionalFormatting>
  <conditionalFormatting sqref="H23 H26">
    <cfRule type="expression" dxfId="128" priority="181">
      <formula>AND(H23&lt;&gt;0,ISNUMBER(H23))</formula>
    </cfRule>
  </conditionalFormatting>
  <conditionalFormatting sqref="E23 E26">
    <cfRule type="expression" dxfId="127" priority="180" stopIfTrue="1">
      <formula>E23&lt;&gt;0</formula>
    </cfRule>
  </conditionalFormatting>
  <conditionalFormatting sqref="E24 E27">
    <cfRule type="expression" dxfId="126" priority="179">
      <formula>AND(_xlfn.SINGLE(ACOMPANHAMENTO)="BM",E24&gt;ROUND(E24,4))</formula>
    </cfRule>
  </conditionalFormatting>
  <conditionalFormatting sqref="U23:AF23 U26:AF26">
    <cfRule type="expression" dxfId="125" priority="178" stopIfTrue="1">
      <formula>U23&lt;&gt;0</formula>
    </cfRule>
  </conditionalFormatting>
  <conditionalFormatting sqref="U24:AF24 U27:AF27">
    <cfRule type="expression" dxfId="124" priority="177">
      <formula>AND(_xlfn.SINGLE(ACOMPANHAMENTO)="BM",U24&gt;ROUND(U24,4))</formula>
    </cfRule>
  </conditionalFormatting>
  <conditionalFormatting sqref="E30 U30:AF30">
    <cfRule type="expression" dxfId="123" priority="7" stopIfTrue="1">
      <formula>AND(ISNUMBER($H29),$H29&lt;&gt;0)</formula>
    </cfRule>
  </conditionalFormatting>
  <conditionalFormatting sqref="I30:S30">
    <cfRule type="expression" dxfId="122" priority="8" stopIfTrue="1">
      <formula>$M29=2</formula>
    </cfRule>
    <cfRule type="expression" dxfId="121" priority="9" stopIfTrue="1">
      <formula>AND($M29=1,$S29&lt;&gt;"")</formula>
    </cfRule>
  </conditionalFormatting>
  <conditionalFormatting sqref="I29:S29">
    <cfRule type="expression" dxfId="120" priority="10" stopIfTrue="1">
      <formula>$M29=2</formula>
    </cfRule>
    <cfRule type="expression" dxfId="119" priority="11" stopIfTrue="1">
      <formula>AND($M29=1,$S29&lt;&gt;"")</formula>
    </cfRule>
  </conditionalFormatting>
  <conditionalFormatting sqref="H30">
    <cfRule type="expression" dxfId="118" priority="6">
      <formula>AND(H29&lt;&gt;0,ISNUMBER(H29))</formula>
    </cfRule>
  </conditionalFormatting>
  <conditionalFormatting sqref="H29">
    <cfRule type="expression" dxfId="117" priority="5">
      <formula>AND(H29&lt;&gt;0,ISNUMBER(H29))</formula>
    </cfRule>
  </conditionalFormatting>
  <conditionalFormatting sqref="E29">
    <cfRule type="expression" dxfId="116" priority="4" stopIfTrue="1">
      <formula>E29&lt;&gt;0</formula>
    </cfRule>
  </conditionalFormatting>
  <conditionalFormatting sqref="E30">
    <cfRule type="expression" dxfId="115" priority="3">
      <formula>AND(_xlfn.SINGLE(ACOMPANHAMENTO)="BM",E30&gt;ROUND(E30,4))</formula>
    </cfRule>
  </conditionalFormatting>
  <conditionalFormatting sqref="U29:AF29">
    <cfRule type="expression" dxfId="114" priority="2" stopIfTrue="1">
      <formula>U29&lt;&gt;0</formula>
    </cfRule>
  </conditionalFormatting>
  <conditionalFormatting sqref="U30:AF30">
    <cfRule type="expression" dxfId="113" priority="1">
      <formula>AND(_xlfn.SINGLE(ACOMPANHAMENTO)="BM",U30&gt;ROUND(U30,4))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8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U23:AF23 U26:AF26 E29 U29:AF29" xr:uid="{00000000-0002-0000-0800-000001000000}"/>
    <dataValidation type="whole" operator="greaterThan" allowBlank="1" showErrorMessage="1" sqref="U12" xr:uid="{00000000-0002-0000-0800-000002000000}">
      <formula1>0</formula1>
      <formula2>0</formula2>
    </dataValidation>
    <dataValidation type="decimal" allowBlank="1" showErrorMessage="1" error="Porcentagem Acumulada &gt; 100%." sqref="E2 U2:AG2 E15 E18 E21 U15:AG15 U18:AG18 U21:AG21 E24 E27 U24:AG24 U27:AG27 E30 U30:AG30" xr:uid="{00000000-0002-0000-0800-000003000000}">
      <formula1>0</formula1>
      <formula2>CRONO.MaxParc</formula2>
    </dataValidation>
    <dataValidation type="date" operator="greaterThan" allowBlank="1" showInputMessage="1" showErrorMessage="1" errorTitle="Erro" error="Digite somente datas." sqref="U13" xr:uid="{00000000-0002-0000-0800-000004000000}">
      <formula1>36526</formula1>
    </dataValidation>
    <dataValidation type="list" allowBlank="1" showErrorMessage="1" errorTitle="Atenção" error="Selecione uma opção da lista." sqref="H43:J43" xr:uid="{00000000-0002-0000-0800-000005000000}">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03">
        <f>Import.CR</f>
        <v>0</v>
      </c>
      <c r="E4" s="703"/>
      <c r="F4" s="56">
        <f>Import.TransfereGOV</f>
        <v>0</v>
      </c>
      <c r="G4" s="703" t="str">
        <f>Import.Proponente</f>
        <v>MUNICÍPIO DE BENTO GONÇALVES</v>
      </c>
      <c r="H4" s="703"/>
      <c r="I4" s="703"/>
      <c r="J4" s="783" t="str">
        <f>Import.Município</f>
        <v>BENTO GONÇALVES/RS</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REVITALIZAÇÃO DA PIPA PÓRTICO</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IF(OFFSET($A$24,-1,0)&lt;OFFSET(ORÇAMENTO!$E$39,-1,0),"ERRO: NÚMERO DE LINHAS DO QCI INSUFICIENTE. CLIQUE NO BOTÃO ADICIONAR LINHAS",
  "")))))))</f>
        <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0</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IF(NOT(ISBLANK(QCI.DescManual)),IF(QCI.Divisao="Calculado","Manual","SemiAuto"),IF(ISERROR(MATCH($A12,ORÇAMENTO!$E$15:$E$39,0)),"Branco","Automático"))</f>
        <v>Branco</v>
      </c>
      <c r="C12" t="str">
        <f ca="1">IF(O12&gt;0,"F","")</f>
        <v/>
      </c>
      <c r="D12" s="281">
        <f>ROW()-ROW($D$13)</f>
        <v>-1</v>
      </c>
      <c r="E12" s="118"/>
      <c r="F12" s="118"/>
      <c r="G12" s="163" t="str">
        <f ca="1">IF(OR($B12="Manual",$B12="SemiAuto"),QCI.DescManual,IF($B12="Automático",INDEX(ORÇAMENTO!$R$15:$R$39,MATCH($A12,ORÇAMENTO!$E$15:$E$39,0)),""))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IF($B12="Branco",0,IF(OR($B12="Manual",$B12="SemiAuto"),QCI.InvManual,INDEX(ORÇAMENTO!X$15:X$39,MATCH($A12,ORÇAMENTO!$E$15:$E$39,0))))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IF($B12="Branco",0,IF($B12="Manual",QCI.CPManual,IF($B12="SemiAuto",ROUND(QCI!$AA$3*QCI.InvManual,2),INDEX(ORÇAMENTO!$AA$15:$AA$39,MATCH($A12,ORÇAMENTO!$E$15:$E$39,0)))))</f>
        <v>0</v>
      </c>
      <c r="AB12" cm="1">
        <f t="array" aca="1" ref="AB12" ca="1">IF($B12="Branco",0,IF($B12="Manual",QCI.OutrosManual,IF($B12="SemiAuto",0,INDEX(ORÇAMENTO!$AB$15:$AB$39,MATCH($A12,ORÇAMENTO!$E$15:$E$39,0)))))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IF(NOT(ISBLANK(QCI.DescManual)),IF(QCI.Divisao="Calculado","Manual","SemiAuto"),IF(ISERROR(MATCH($A14,ORÇAMENTO!$E$15:$E$39,0)),"Branco","Automático"))</f>
        <v>Automático</v>
      </c>
      <c r="C14" t="str">
        <f t="shared" ref="C14:C22" ca="1" si="1">IF(O14&gt;0,"F","")</f>
        <v/>
      </c>
      <c r="D14" s="281">
        <f t="shared" ref="D14:D22" si="2">ROW()-ROW($D$13)</f>
        <v>1</v>
      </c>
      <c r="E14" s="118"/>
      <c r="F14" s="118"/>
      <c r="G14" s="163" t="str">
        <f ca="1">IF(OR($B14="Manual",$B14="SemiAuto"),QCI.DescManual,IF($B14="Automático",INDEX(ORÇAMENTO!$R$15:$R$39,MATCH($A14,ORÇAMENTO!$E$15:$E$39,0)),""))</f>
        <v>REVITALIZAÇÃO DO PÓRTICO PIPA</v>
      </c>
      <c r="H14" s="118"/>
      <c r="I14" s="464"/>
      <c r="J14" s="282" t="str">
        <f ca="1">IF(AND(ISBLANK(E14),ISBLANK(F14)),"",VLOOKUP($F14,OFFSET(DADOS!$A$2,1,MATCH(QCI!$E14,DADOS!$2:$2,0)-1,100,50),2,FALSE))</f>
        <v/>
      </c>
      <c r="K14" s="463" cm="1">
        <f t="array" aca="1" ref="K14" ca="1">IF(OR($B14="Manual",$B14="SemiAuto"),QCI.LoteManual,IF($B14="Automático",IF(TIPOORCAMENTO="Licitado",Import.CTEF,"LOTE 1"),""))</f>
        <v>0</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IF($B14="Branco",0,IF(OR($B14="Manual",$B14="SemiAuto"),QCI.InvManual,INDEX(ORÇAMENTO!X$15:X$39,MATCH($A14,ORÇAMENTO!$E$15:$E$39,0))))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IF($B14="Branco",0,IF($B14="Manual",QCI.CPManual,IF($B14="SemiAuto",ROUND(QCI!$AA$3*QCI.InvManual,2),INDEX(ORÇAMENTO!$AA$15:$AA$39,MATCH($A14,ORÇAMENTO!$E$15:$E$39,0)))))</f>
        <v>0</v>
      </c>
      <c r="AB14" cm="1">
        <f t="array" aca="1" ref="AB14" ca="1">IF($B14="Branco",0,IF($B14="Manual",QCI.OutrosManual,IF($B14="SemiAuto",0,INDEX(ORÇAMENTO!$AB$15:$AB$39,MATCH($A14,ORÇAMENTO!$E$15:$E$39,0)))))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IF(NOT(ISBLANK(QCI.DescManual)),IF(QCI.Divisao="Calculado","Manual","SemiAuto"),IF(ISERROR(MATCH($A15,ORÇAMENTO!$E$15:$E$39,0)),"Branco","Automático"))</f>
        <v>Branco</v>
      </c>
      <c r="C15" t="str">
        <f t="shared" ca="1" si="1"/>
        <v/>
      </c>
      <c r="D15" s="281">
        <f t="shared" si="2"/>
        <v>2</v>
      </c>
      <c r="E15" s="118"/>
      <c r="F15" s="118"/>
      <c r="G15" s="163" t="str">
        <f ca="1">IF(OR($B15="Manual",$B15="SemiAuto"),QCI.DescManual,IF($B15="Automático",INDEX(ORÇAMENTO!$R$15:$R$39,MATCH($A15,ORÇAMENTO!$E$15:$E$39,0)),""))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IF($B15="Branco",0,IF(OR($B15="Manual",$B15="SemiAuto"),QCI.InvManual,INDEX(ORÇAMENTO!X$15:X$39,MATCH($A15,ORÇAMENTO!$E$15:$E$39,0))))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IF($B15="Branco",0,IF($B15="Manual",QCI.CPManual,IF($B15="SemiAuto",ROUND(QCI!$AA$3*QCI.InvManual,2),INDEX(ORÇAMENTO!$AA$15:$AA$39,MATCH($A15,ORÇAMENTO!$E$15:$E$39,0)))))</f>
        <v>0</v>
      </c>
      <c r="AB15" cm="1">
        <f t="array" aca="1" ref="AB15" ca="1">IF($B15="Branco",0,IF($B15="Manual",QCI.OutrosManual,IF($B15="SemiAuto",0,INDEX(ORÇAMENTO!$AB$15:$AB$39,MATCH($A15,ORÇAMENTO!$E$15:$E$39,0)))))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IF(NOT(ISBLANK(QCI.DescManual)),IF(QCI.Divisao="Calculado","Manual","SemiAuto"),IF(ISERROR(MATCH($A16,ORÇAMENTO!$E$15:$E$39,0)),"Branco","Automático"))</f>
        <v>Branco</v>
      </c>
      <c r="C16" t="str">
        <f t="shared" ca="1" si="1"/>
        <v/>
      </c>
      <c r="D16" s="281">
        <f t="shared" si="2"/>
        <v>3</v>
      </c>
      <c r="E16" s="118"/>
      <c r="F16" s="118"/>
      <c r="G16" s="163" t="str">
        <f ca="1">IF(OR($B16="Manual",$B16="SemiAuto"),QCI.DescManual,IF($B16="Automático",INDEX(ORÇAMENTO!$R$15:$R$39,MATCH($A16,ORÇAMENTO!$E$15:$E$39,0)),""))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IF($B16="Branco",0,IF(OR($B16="Manual",$B16="SemiAuto"),QCI.InvManual,INDEX(ORÇAMENTO!X$15:X$39,MATCH($A16,ORÇAMENTO!$E$15:$E$39,0))))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IF($B16="Branco",0,IF($B16="Manual",QCI.CPManual,IF($B16="SemiAuto",ROUND(QCI!$AA$3*QCI.InvManual,2),INDEX(ORÇAMENTO!$AA$15:$AA$39,MATCH($A16,ORÇAMENTO!$E$15:$E$39,0)))))</f>
        <v>0</v>
      </c>
      <c r="AB16" cm="1">
        <f t="array" aca="1" ref="AB16" ca="1">IF($B16="Branco",0,IF($B16="Manual",QCI.OutrosManual,IF($B16="SemiAuto",0,INDEX(ORÇAMENTO!$AB$15:$AB$39,MATCH($A16,ORÇAMENTO!$E$15:$E$39,0)))))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IF(NOT(ISBLANK(QCI.DescManual)),IF(QCI.Divisao="Calculado","Manual","SemiAuto"),IF(ISERROR(MATCH($A17,ORÇAMENTO!$E$15:$E$39,0)),"Branco","Automático"))</f>
        <v>Branco</v>
      </c>
      <c r="C17" t="str">
        <f t="shared" ca="1" si="1"/>
        <v/>
      </c>
      <c r="D17" s="281">
        <f t="shared" si="2"/>
        <v>4</v>
      </c>
      <c r="E17" s="118"/>
      <c r="F17" s="118"/>
      <c r="G17" s="163" t="str">
        <f ca="1">IF(OR($B17="Manual",$B17="SemiAuto"),QCI.DescManual,IF($B17="Automático",INDEX(ORÇAMENTO!$R$15:$R$39,MATCH($A17,ORÇAMENTO!$E$15:$E$39,0)),""))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IF($B17="Branco",0,IF(OR($B17="Manual",$B17="SemiAuto"),QCI.InvManual,INDEX(ORÇAMENTO!X$15:X$39,MATCH($A17,ORÇAMENTO!$E$15:$E$39,0))))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IF($B17="Branco",0,IF($B17="Manual",QCI.CPManual,IF($B17="SemiAuto",ROUND(QCI!$AA$3*QCI.InvManual,2),INDEX(ORÇAMENTO!$AA$15:$AA$39,MATCH($A17,ORÇAMENTO!$E$15:$E$39,0)))))</f>
        <v>0</v>
      </c>
      <c r="AB17" cm="1">
        <f t="array" aca="1" ref="AB17" ca="1">IF($B17="Branco",0,IF($B17="Manual",QCI.OutrosManual,IF($B17="SemiAuto",0,INDEX(ORÇAMENTO!$AB$15:$AB$39,MATCH($A17,ORÇAMENTO!$E$15:$E$39,0)))))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IF(NOT(ISBLANK(QCI.DescManual)),IF(QCI.Divisao="Calculado","Manual","SemiAuto"),IF(ISERROR(MATCH($A18,ORÇAMENTO!$E$15:$E$39,0)),"Branco","Automático"))</f>
        <v>Branco</v>
      </c>
      <c r="C18" t="str">
        <f t="shared" ca="1" si="1"/>
        <v/>
      </c>
      <c r="D18" s="281">
        <f t="shared" si="2"/>
        <v>5</v>
      </c>
      <c r="E18" s="118"/>
      <c r="F18" s="118"/>
      <c r="G18" s="163" t="str">
        <f ca="1">IF(OR($B18="Manual",$B18="SemiAuto"),QCI.DescManual,IF($B18="Automático",INDEX(ORÇAMENTO!$R$15:$R$39,MATCH($A18,ORÇAMENTO!$E$15:$E$39,0)),""))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IF($B18="Branco",0,IF(OR($B18="Manual",$B18="SemiAuto"),QCI.InvManual,INDEX(ORÇAMENTO!X$15:X$39,MATCH($A18,ORÇAMENTO!$E$15:$E$39,0))))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IF($B18="Branco",0,IF($B18="Manual",QCI.CPManual,IF($B18="SemiAuto",ROUND(QCI!$AA$3*QCI.InvManual,2),INDEX(ORÇAMENTO!$AA$15:$AA$39,MATCH($A18,ORÇAMENTO!$E$15:$E$39,0)))))</f>
        <v>0</v>
      </c>
      <c r="AB18" cm="1">
        <f t="array" aca="1" ref="AB18" ca="1">IF($B18="Branco",0,IF($B18="Manual",QCI.OutrosManual,IF($B18="SemiAuto",0,INDEX(ORÇAMENTO!$AB$15:$AB$39,MATCH($A18,ORÇAMENTO!$E$15:$E$39,0)))))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IF(NOT(ISBLANK(QCI.DescManual)),IF(QCI.Divisao="Calculado","Manual","SemiAuto"),IF(ISERROR(MATCH($A19,ORÇAMENTO!$E$15:$E$39,0)),"Branco","Automático"))</f>
        <v>Branco</v>
      </c>
      <c r="C19" t="str">
        <f t="shared" ca="1" si="1"/>
        <v/>
      </c>
      <c r="D19" s="281">
        <f t="shared" si="2"/>
        <v>6</v>
      </c>
      <c r="E19" s="118"/>
      <c r="F19" s="118"/>
      <c r="G19" s="163" t="str">
        <f ca="1">IF(OR($B19="Manual",$B19="SemiAuto"),QCI.DescManual,IF($B19="Automático",INDEX(ORÇAMENTO!$R$15:$R$39,MATCH($A19,ORÇAMENTO!$E$15:$E$39,0)),""))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IF($B19="Branco",0,IF(OR($B19="Manual",$B19="SemiAuto"),QCI.InvManual,INDEX(ORÇAMENTO!X$15:X$39,MATCH($A19,ORÇAMENTO!$E$15:$E$39,0))))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IF($B19="Branco",0,IF($B19="Manual",QCI.CPManual,IF($B19="SemiAuto",ROUND(QCI!$AA$3*QCI.InvManual,2),INDEX(ORÇAMENTO!$AA$15:$AA$39,MATCH($A19,ORÇAMENTO!$E$15:$E$39,0)))))</f>
        <v>0</v>
      </c>
      <c r="AB19" cm="1">
        <f t="array" aca="1" ref="AB19" ca="1">IF($B19="Branco",0,IF($B19="Manual",QCI.OutrosManual,IF($B19="SemiAuto",0,INDEX(ORÇAMENTO!$AB$15:$AB$39,MATCH($A19,ORÇAMENTO!$E$15:$E$39,0)))))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IF(NOT(ISBLANK(QCI.DescManual)),IF(QCI.Divisao="Calculado","Manual","SemiAuto"),IF(ISERROR(MATCH($A20,ORÇAMENTO!$E$15:$E$39,0)),"Branco","Automático"))</f>
        <v>Branco</v>
      </c>
      <c r="C20" t="str">
        <f t="shared" ca="1" si="1"/>
        <v/>
      </c>
      <c r="D20" s="281">
        <f t="shared" si="2"/>
        <v>7</v>
      </c>
      <c r="E20" s="118"/>
      <c r="F20" s="118"/>
      <c r="G20" s="163" t="str">
        <f ca="1">IF(OR($B20="Manual",$B20="SemiAuto"),QCI.DescManual,IF($B20="Automático",INDEX(ORÇAMENTO!$R$15:$R$39,MATCH($A20,ORÇAMENTO!$E$15:$E$39,0)),""))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IF($B20="Branco",0,IF(OR($B20="Manual",$B20="SemiAuto"),QCI.InvManual,INDEX(ORÇAMENTO!X$15:X$39,MATCH($A20,ORÇAMENTO!$E$15:$E$39,0))))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IF($B20="Branco",0,IF($B20="Manual",QCI.CPManual,IF($B20="SemiAuto",ROUND(QCI!$AA$3*QCI.InvManual,2),INDEX(ORÇAMENTO!$AA$15:$AA$39,MATCH($A20,ORÇAMENTO!$E$15:$E$39,0)))))</f>
        <v>0</v>
      </c>
      <c r="AB20" cm="1">
        <f t="array" aca="1" ref="AB20" ca="1">IF($B20="Branco",0,IF($B20="Manual",QCI.OutrosManual,IF($B20="SemiAuto",0,INDEX(ORÇAMENTO!$AB$15:$AB$39,MATCH($A20,ORÇAMENTO!$E$15:$E$39,0)))))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IF(NOT(ISBLANK(QCI.DescManual)),IF(QCI.Divisao="Calculado","Manual","SemiAuto"),IF(ISERROR(MATCH($A21,ORÇAMENTO!$E$15:$E$39,0)),"Branco","Automático"))</f>
        <v>Branco</v>
      </c>
      <c r="C21" t="str">
        <f t="shared" ca="1" si="1"/>
        <v/>
      </c>
      <c r="D21" s="281">
        <f t="shared" si="2"/>
        <v>8</v>
      </c>
      <c r="E21" s="118"/>
      <c r="F21" s="118"/>
      <c r="G21" s="163" t="str">
        <f ca="1">IF(OR($B21="Manual",$B21="SemiAuto"),QCI.DescManual,IF($B21="Automático",INDEX(ORÇAMENTO!$R$15:$R$39,MATCH($A21,ORÇAMENTO!$E$15:$E$39,0)),""))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IF($B21="Branco",0,IF(OR($B21="Manual",$B21="SemiAuto"),QCI.InvManual,INDEX(ORÇAMENTO!X$15:X$39,MATCH($A21,ORÇAMENTO!$E$15:$E$39,0))))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IF($B21="Branco",0,IF($B21="Manual",QCI.CPManual,IF($B21="SemiAuto",ROUND(QCI!$AA$3*QCI.InvManual,2),INDEX(ORÇAMENTO!$AA$15:$AA$39,MATCH($A21,ORÇAMENTO!$E$15:$E$39,0)))))</f>
        <v>0</v>
      </c>
      <c r="AB21" cm="1">
        <f t="array" aca="1" ref="AB21" ca="1">IF($B21="Branco",0,IF($B21="Manual",QCI.OutrosManual,IF($B21="SemiAuto",0,INDEX(ORÇAMENTO!$AB$15:$AB$39,MATCH($A21,ORÇAMENTO!$E$15:$E$39,0)))))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IF(NOT(ISBLANK(QCI.DescManual)),IF(QCI.Divisao="Calculado","Manual","SemiAuto"),IF(ISERROR(MATCH($A22,ORÇAMENTO!$E$15:$E$39,0)),"Branco","Automático"))</f>
        <v>Branco</v>
      </c>
      <c r="C22" t="str">
        <f t="shared" ca="1" si="1"/>
        <v/>
      </c>
      <c r="D22" s="281">
        <f t="shared" si="2"/>
        <v>9</v>
      </c>
      <c r="E22" s="118"/>
      <c r="F22" s="118"/>
      <c r="G22" s="163" t="str">
        <f ca="1">IF(OR($B22="Manual",$B22="SemiAuto"),QCI.DescManual,IF($B22="Automático",INDEX(ORÇAMENTO!$R$15:$R$39,MATCH($A22,ORÇAMENTO!$E$15:$E$39,0)),""))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IF($B22="Branco",0,IF(OR($B22="Manual",$B22="SemiAuto"),QCI.InvManual,INDEX(ORÇAMENTO!X$15:X$39,MATCH($A22,ORÇAMENTO!$E$15:$E$39,0))))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IF($B22="Branco",0,IF($B22="Manual",QCI.CPManual,IF($B22="SemiAuto",ROUND(QCI!$AA$3*QCI.InvManual,2),INDEX(ORÇAMENTO!$AA$15:$AA$39,MATCH($A22,ORÇAMENTO!$E$15:$E$39,0)))))</f>
        <v>0</v>
      </c>
      <c r="AB22" cm="1">
        <f t="array" aca="1" ref="AB22" ca="1">IF($B22="Branco",0,IF($B22="Manual",QCI.OutrosManual,IF($B22="SemiAuto",0,INDEX(ORÇAMENTO!$AB$15:$AB$39,MATCH($A22,ORÇAMENTO!$E$15:$E$39,0)))))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IF(NOT(ISBLANK(QCI.DescManual)),IF(QCI.Divisao="Calculado","Manual","SemiAuto"),IF(ISERROR(MATCH($A23,ORÇAMENTO!$E$15:$E$39,0)),"Branco","Automático"))</f>
        <v>Branco</v>
      </c>
      <c r="C23" t="str">
        <f ca="1">IF(O23&gt;0,"F","")</f>
        <v/>
      </c>
      <c r="D23" s="281">
        <f>ROW()-ROW($D$13)</f>
        <v>10</v>
      </c>
      <c r="E23" s="118"/>
      <c r="F23" s="118"/>
      <c r="G23" s="163" t="str">
        <f ca="1">IF(OR($B23="Manual",$B23="SemiAuto"),QCI.DescManual,IF($B23="Automático",INDEX(ORÇAMENTO!$R$15:$R$39,MATCH($A23,ORÇAMENTO!$E$15:$E$39,0)),""))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IF($B23="Branco",0,IF(OR($B23="Manual",$B23="SemiAuto"),QCI.InvManual,INDEX(ORÇAMENTO!X$15:X$39,MATCH($A23,ORÇAMENTO!$E$15:$E$39,0))))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IF($B23="Branco",0,IF($B23="Manual",QCI.CPManual,IF($B23="SemiAuto",ROUND(QCI!$AA$3*QCI.InvManual,2),INDEX(ORÇAMENTO!$AA$15:$AA$39,MATCH($A23,ORÇAMENTO!$E$15:$E$39,0)))))</f>
        <v>0</v>
      </c>
      <c r="AB23" cm="1">
        <f t="array" aca="1" ref="AB23" ca="1">IF($B23="Branco",0,IF($B23="Manual",QCI.OutrosManual,IF($B23="SemiAuto",0,INDEX(ORÇAMENTO!$AB$15:$AB$39,MATCH($A23,ORÇAMENTO!$E$15:$E$39,0)))))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BENTO GONÇALVES/RS</v>
      </c>
      <c r="E33" s="723"/>
      <c r="F33" s="723"/>
      <c r="I33" s="139"/>
      <c r="J33" s="139"/>
      <c r="K33" s="180"/>
      <c r="L33" s="180"/>
    </row>
    <row r="34" spans="4:12" x14ac:dyDescent="0.2">
      <c r="D34" s="9" t="s">
        <v>693</v>
      </c>
      <c r="I34" s="181" t="s">
        <v>832</v>
      </c>
      <c r="J34" s="181"/>
    </row>
    <row r="35" spans="4:12" x14ac:dyDescent="0.2">
      <c r="I35" s="77" t="str">
        <f>"Nome:" &amp;  " " &amp; DADOS!C28</f>
        <v>Nome: Diogo Segabinazzi Siqueira</v>
      </c>
    </row>
    <row r="36" spans="4:12" x14ac:dyDescent="0.2">
      <c r="D36" s="717">
        <f>DADOS!$C$25</f>
        <v>46073</v>
      </c>
      <c r="E36" s="717"/>
      <c r="F36" s="717"/>
      <c r="I36" s="77" t="str">
        <f>"Cargo:"  &amp; " " &amp; DADOS!C29</f>
        <v>Cargo: Prefeito</v>
      </c>
    </row>
    <row r="37" spans="4:12" x14ac:dyDescent="0.2">
      <c r="D37" s="140" t="s">
        <v>694</v>
      </c>
      <c r="E37" s="1"/>
      <c r="F37" s="1"/>
      <c r="K37" s="77"/>
      <c r="L37" s="78"/>
    </row>
  </sheetData>
  <sheetProtection algorithmName="SHA-512" hashValue="P5YH3n/4Dty2Hl5ZA9X26S/V/jRIXujevUN7FBjRil5ply5FSVpdqaN+6by3kEAzsxkK+bZvYBwjb7CoxZ+MZA==" saltValue="zVwG4prYL0OFM8kg15xSZA==" spinCount="100000" sheet="1" objects="1" scenarios="1" autoFilter="0"/>
  <autoFilter ref="C13:C25" xr:uid="{00000000-0009-0000-0000-000009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12" priority="961" stopIfTrue="1">
      <formula>OR($B12="Automático",$B12="Branco")</formula>
    </cfRule>
  </conditionalFormatting>
  <conditionalFormatting sqref="L12">
    <cfRule type="expression" dxfId="111"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0" priority="963" stopIfTrue="1">
      <formula>OR($B12="Automático",$B12="Branco",$V12&lt;&gt;"Calculado")</formula>
    </cfRule>
  </conditionalFormatting>
  <conditionalFormatting sqref="M25">
    <cfRule type="expression" dxfId="109" priority="965" stopIfTrue="1">
      <formula>AND($G$9&lt;&gt;"",OR($M$25&lt;Import.CPMinPerc,$M$25&gt;Import.CPMaxPerc))</formula>
    </cfRule>
  </conditionalFormatting>
  <conditionalFormatting sqref="M24">
    <cfRule type="expression" dxfId="108" priority="966" stopIfTrue="1">
      <formula>AND($G$9&lt;&gt;"",$M$24&lt;Import.CPMinAbsoluta)</formula>
    </cfRule>
  </conditionalFormatting>
  <conditionalFormatting sqref="L10:M10">
    <cfRule type="cellIs" dxfId="107" priority="967" stopIfTrue="1" operator="lessThan">
      <formula>0</formula>
    </cfRule>
  </conditionalFormatting>
  <conditionalFormatting sqref="G12">
    <cfRule type="cellIs" dxfId="106" priority="968" stopIfTrue="1" operator="equal">
      <formula>"(digite a descrição aqui)"</formula>
    </cfRule>
  </conditionalFormatting>
  <conditionalFormatting sqref="T14:V22">
    <cfRule type="expression" dxfId="105" priority="5" stopIfTrue="1">
      <formula>OR($B14="Automático",$B14="Branco")</formula>
    </cfRule>
  </conditionalFormatting>
  <conditionalFormatting sqref="L14:L22">
    <cfRule type="expression" dxfId="10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3" priority="7" stopIfTrue="1">
      <formula>OR($B14="Automático",$B14="Branco",$V14&lt;&gt;"Calculado")</formula>
    </cfRule>
  </conditionalFormatting>
  <conditionalFormatting sqref="G14:G22">
    <cfRule type="cellIs" dxfId="102" priority="8" stopIfTrue="1" operator="equal">
      <formula>"(digite a descrição aqui)"</formula>
    </cfRule>
  </conditionalFormatting>
  <conditionalFormatting sqref="T23:V23">
    <cfRule type="expression" dxfId="101" priority="1" stopIfTrue="1">
      <formula>OR($B23="Automático",$B23="Branco")</formula>
    </cfRule>
  </conditionalFormatting>
  <conditionalFormatting sqref="L23">
    <cfRule type="expression" dxfId="10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99" priority="3" stopIfTrue="1">
      <formula>OR($B23="Automático",$B23="Branco",$V23&lt;&gt;"Calculado")</formula>
    </cfRule>
  </conditionalFormatting>
  <conditionalFormatting sqref="G23">
    <cfRule type="cellIs" dxfId="9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decimal" operator="greaterThan" allowBlank="1" showErrorMessage="1" errorTitle="Erro" error="Digite valores maiores do que 0." sqref="I12 I14:I23" xr:uid="{00000000-0002-0000-0900-000001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2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3000000}">
      <formula1>0</formula1>
      <formula2>QCI.MaxOUManual</formula2>
    </dataValidation>
    <dataValidation allowBlank="1" showInputMessage="1" showErrorMessage="1" prompt="Preencha somente se a meta não fizer parte do Orçamento desta Plan. Mult." sqref="R12 R14:R23" xr:uid="{00000000-0002-0000-0900-000004000000}"/>
    <dataValidation type="list" allowBlank="1" showInputMessage="1" showErrorMessage="1" errorTitle="Erro:" error="Selecione uma opção da lista." prompt="Selecione uma opção da lista." sqref="H12 H14:H23" xr:uid="{00000000-0002-0000-0900-000005000000}">
      <formula1>QCI.Lista.Situação</formula1>
    </dataValidation>
    <dataValidation type="list" allowBlank="1" showInputMessage="1" showErrorMessage="1" errorTitle="Erro:" error="Selecione uma opção da lista." prompt="Selecione uma opção da lista." sqref="F12 F14:F23" xr:uid="{00000000-0002-0000-0900-000006000000}">
      <formula1>QCI.SubItemInvestimento</formula1>
    </dataValidation>
    <dataValidation type="list" allowBlank="1" showInputMessage="1" showErrorMessage="1" errorTitle="Erro:" error="Selecione uma opção da lista." prompt="Selecione uma opção da lista." sqref="E12 E14:E23" xr:uid="{00000000-0002-0000-0900-000007000000}">
      <formula1>QCI.ItemInvestimento</formula1>
    </dataValidation>
    <dataValidation type="list" allowBlank="1" showInputMessage="1" showErrorMessage="1" errorTitle="Erro:" error="Selecione uma opção da lista." prompt="Selecione uma opção da lista." sqref="V12 V14:V23" xr:uid="{00000000-0002-0000-0900-000008000000}">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38"/>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IF(AUTOEVENTO="Manual",OFFSET(EVENTOS!$D$15,$B1-$B$15,0),IF(B1&lt;=MAX(CÁLCULO!$M$15:$M$39),VLOOKUP($B1,CÁLCULO!$M$15:$N$39,2,FALSE),0))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(SELECIONAR)</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NOME DA EMPRESA</v>
      </c>
      <c r="W6" s="186"/>
      <c r="X6" s="186"/>
      <c r="Y6" s="186"/>
      <c r="AD6" s="4"/>
      <c r="AE6" s="796" t="str" cm="1">
        <f t="array" ref="AE6">IF(TIPOORCAMENTO="Licitado","Nº CTEF","")</f>
        <v>Nº CTEF</v>
      </c>
      <c r="AF6" s="796"/>
    </row>
    <row r="7" spans="1:33" x14ac:dyDescent="0.2">
      <c r="B7" s="765">
        <f>Import.CR</f>
        <v>0</v>
      </c>
      <c r="C7" s="765"/>
      <c r="D7" s="214">
        <f>Import.TransfereGOV</f>
        <v>0</v>
      </c>
      <c r="E7" s="42"/>
      <c r="H7" s="764" t="str">
        <f>Import.Proponente</f>
        <v>MUNICÍPIO DE BENTO GONÇALVES</v>
      </c>
      <c r="I7" s="764"/>
      <c r="J7" s="764"/>
      <c r="K7" s="764"/>
      <c r="L7" s="764"/>
      <c r="M7" s="764"/>
      <c r="N7" s="764"/>
      <c r="O7" s="765" t="str">
        <f>Import.Apelido</f>
        <v>REVITALIZAÇÃO DA PIPA PÓRTICO</v>
      </c>
      <c r="P7" s="765"/>
      <c r="Q7" s="765"/>
      <c r="R7" s="765"/>
      <c r="S7" s="765"/>
      <c r="T7" s="765"/>
      <c r="U7" s="765"/>
      <c r="V7" s="765" cm="1">
        <f t="array" ref="V7">IF(TIPOORCAMENTO="Licitado",Import.empresa,Import.DescLote)</f>
        <v>0</v>
      </c>
      <c r="W7" s="765"/>
      <c r="X7" s="765"/>
      <c r="Y7" s="765"/>
      <c r="Z7" s="765"/>
      <c r="AA7" s="765"/>
      <c r="AB7" s="765"/>
      <c r="AC7" s="765"/>
      <c r="AD7" s="765"/>
      <c r="AE7" s="797" cm="1">
        <f t="array" ref="AE7">IF(TIPOORCAMENTO="Licitado",Import.CTEF,"")</f>
        <v>0</v>
      </c>
      <c r="AF7" s="797"/>
      <c r="AG7" s="265"/>
    </row>
    <row r="9" spans="1:33" ht="15.75" x14ac:dyDescent="0.25">
      <c r="A9" s="165">
        <v>0</v>
      </c>
      <c r="B9" s="266"/>
      <c r="C9" s="266"/>
      <c r="I9" s="267" t="s">
        <v>834</v>
      </c>
      <c r="J9" s="799">
        <v>1</v>
      </c>
      <c r="K9" s="799"/>
      <c r="M9" s="267" t="s">
        <v>799</v>
      </c>
      <c r="N9" s="800" t="str">
        <f ca="1">TEXT(IF(PLE.Medicao=1,Import.DataInicioObra,OFFSET($H$24,0,1+(PLE.Medicao-$I$25)*2-2)+1),"dd/mm/aaaa")&amp;" a "&amp;TEXT(OFFSET($H$24,0,1+(PLE.Medicao-$I$25)*2),"dd/mm/aaaa")</f>
        <v>00/01/Saturday a 00/01/Saturday</v>
      </c>
      <c r="O9" s="800"/>
      <c r="P9" s="800"/>
      <c r="Q9" s="800"/>
      <c r="R9" s="800"/>
      <c r="S9" s="800"/>
      <c r="T9" s="800"/>
      <c r="U9" s="268"/>
      <c r="X9" s="267" t="s">
        <v>835</v>
      </c>
      <c r="Y9" s="798" t="e">
        <f ca="1">OFFSET($I$25,1+8*(ROUNDUP(($J$9-0)/((COLUMN($AG$14)-COLUMN($G$14)-1)/25*12),0)-1),ROUNDDOWN((($J$9-0)-OFFSET($I$25,8*(ROUNDUP(($J$9-0)/((COLUMN($AG$14)-COLUMN($G$14)-1)/25*12),0)-1),0))*(2+1/12),0))</f>
        <v>#DIV/0!</v>
      </c>
      <c r="Z9" s="798"/>
      <c r="AD9" s="267" t="s">
        <v>836</v>
      </c>
      <c r="AE9" s="798" t="e">
        <f ca="1">OFFSET($I$25,3+8*(ROUNDUP(($J$9-0)/((COLUMN($AG$14)-COLUMN($G$14)-1)/25*12),0)-1),ROUNDDOWN((($J$9-0)-OFFSET($I$25,8*(ROUNDUP(($J$9-0)/((COLUMN($AG$14)-COLUMN($G$14)-1)/25*12),0)-1),0))*(2+1/12),0))</f>
        <v>#DIV/0!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IF($H$24&lt;&gt;"",UPPER($H$24),
 IF($S$33&lt;&gt;"",UPPER($S$33),""))))))</f>
        <v>PREENCHER A DATA DE INÍCIO DA OBRA, NA ABA DADOS</v>
      </c>
      <c r="D11" s="792"/>
      <c r="F11" s="252" t="str" cm="1">
        <f t="array" aca="1" ref="F11" ca="1">IF(F$12&gt;CÁLCULO.NúmeroDeFrentes,"",OFFSET(CÁLCULO!$P$12,0,F$12))</f>
        <v>MÊS 1</v>
      </c>
      <c r="H11" s="252" t="str" cm="1">
        <f t="array" aca="1" ref="H11" ca="1">IF(H$12&gt;CÁLCULO.NúmeroDeFrentes,"",OFFSET(CÁLCULO!$P$12,0,H$12))</f>
        <v>MÊS 1</v>
      </c>
      <c r="I11" s="252" t="str" cm="1">
        <f t="array" aca="1" ref="I11" ca="1">IF(I$12&gt;CÁLCULO.NúmeroDeFrentes,"",OFFSET(CÁLCULO!$P$12,0,I$12))</f>
        <v>MÊS 2</v>
      </c>
      <c r="J11" s="252" t="str" cm="1">
        <f t="array" aca="1" ref="J11" ca="1">IF(J$12&gt;CÁLCULO.NúmeroDeFrentes,"",OFFSET(CÁLCULO!$P$12,0,J$12))</f>
        <v>MÊS 3</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19" ca="1" si="1">IF(C16=0,"","F")</f>
        <v>F</v>
      </c>
      <c r="B16" s="247">
        <f t="shared" ref="B16:B19" ca="1" si="2">OFFSET(B16,-1,0)+1</f>
        <v>1</v>
      </c>
      <c r="C16" s="791" t="str">
        <f ca="1">IF(AUTOEVENTO="Manual",OFFSET(EVENTOS!$D$15,$B16-$B$15,0),IF(B16&lt;=MAX(CÁLCULO!$M$15:$M$39),VLOOKUP($B16,CÁLCULO!$M$15:$N$39,2,FALSE),0))</f>
        <v>SERVIÇOS INICIAIS</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IF(AUTOEVENTO="Manual",OFFSET(EVENTOS!$D$15,$B17-$B$15,0),IF(B17&lt;=MAX(CÁLCULO!$M$15:$M$39),VLOOKUP($B17,CÁLCULO!$M$15:$N$39,2,FALSE),0))</f>
        <v>ADMINISTRAÇÃO LOCAL</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IF(AUTOEVENTO="Manual",OFFSET(EVENTOS!$D$15,$B18-$B$15,0),IF(B18&lt;=MAX(CÁLCULO!$M$15:$M$39),VLOOKUP($B18,CÁLCULO!$M$15:$N$39,2,FALSE),0))</f>
        <v>LIMPEZA E PREPARO DA ESTRUTURA</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IF(AUTOEVENTO="Manual",OFFSET(EVENTOS!$D$15,$B19-$B$15,0),IF(B19&lt;=MAX(CÁLCULO!$M$15:$M$39),VLOOKUP($B19,CÁLCULO!$M$15:$N$39,2,FALSE),0))</f>
        <v>RECUPERAÇÃO, REVESTIMENTO E PROTEÇÃO DA ESTRUTURA</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ca="1">IF(C20=0,"","F")</f>
        <v>F</v>
      </c>
      <c r="B20" s="247">
        <f ca="1">OFFSET(B20,-1,0)+1</f>
        <v>5</v>
      </c>
      <c r="C20" s="791" t="str">
        <f ca="1">IF(AUTOEVENTO="Manual",OFFSET(EVENTOS!$D$15,$B20-$B$15,0),IF(B20&lt;=MAX(CÁLCULO!$M$15:$M$39),VLOOKUP($B20,CÁLCULO!$M$15:$N$39,2,FALSE),0))</f>
        <v>SERVIÇOS FINAIS</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4.5" customHeight="1" x14ac:dyDescent="0.2">
      <c r="A21" s="7" t="s">
        <v>536</v>
      </c>
      <c r="B21" s="618"/>
      <c r="C21" s="619"/>
      <c r="D21" s="419"/>
      <c r="F21" s="636"/>
      <c r="H21" s="618"/>
      <c r="I21" s="619"/>
      <c r="J21" s="619"/>
      <c r="K21" s="619"/>
      <c r="L21" s="619"/>
      <c r="M21" s="619"/>
      <c r="N21" s="619"/>
      <c r="O21" s="619"/>
      <c r="P21" s="619"/>
      <c r="Q21" s="619"/>
      <c r="R21" s="619"/>
      <c r="S21" s="619"/>
      <c r="T21" s="619"/>
      <c r="U21" s="619"/>
      <c r="V21" s="619"/>
      <c r="W21" s="619"/>
      <c r="X21" s="619"/>
      <c r="Y21" s="619"/>
      <c r="Z21" s="619"/>
      <c r="AA21" s="619"/>
      <c r="AB21" s="619"/>
      <c r="AC21" s="619"/>
      <c r="AD21" s="619"/>
      <c r="AE21" s="619"/>
      <c r="AF21" s="419"/>
    </row>
    <row r="22" spans="1:32" x14ac:dyDescent="0.2">
      <c r="A22" s="7" t="s">
        <v>536</v>
      </c>
    </row>
    <row r="23" spans="1:32" x14ac:dyDescent="0.2">
      <c r="A23" s="7" t="s">
        <v>536</v>
      </c>
      <c r="I23" s="803" t="s">
        <v>839</v>
      </c>
      <c r="J23" s="803"/>
      <c r="K23" s="803"/>
      <c r="L23" s="803"/>
      <c r="M23" s="803"/>
      <c r="N23" s="803"/>
      <c r="O23" s="803"/>
      <c r="P23" s="803"/>
      <c r="Q23" s="803"/>
      <c r="R23" s="803"/>
      <c r="S23" s="803"/>
      <c r="T23" s="803"/>
      <c r="U23" s="803"/>
      <c r="V23" s="803"/>
      <c r="W23" s="803"/>
      <c r="X23" s="803"/>
      <c r="Y23" s="803"/>
      <c r="Z23" s="803"/>
      <c r="AA23" s="803"/>
      <c r="AB23" s="803"/>
      <c r="AC23" s="803"/>
      <c r="AD23" s="803"/>
      <c r="AE23" s="803"/>
      <c r="AF23" s="803"/>
    </row>
    <row r="24" spans="1:32" x14ac:dyDescent="0.2">
      <c r="A24" s="7" t="s">
        <v>536</v>
      </c>
      <c r="H24" s="583" t="str">
        <f>IF(INDEX($I$24:$AG$24,MATCH(PLE.Medicao,$I$25:$AG$25,0))="","Preencher a data da medição "&amp;PLE.Medicao,"")</f>
        <v>Preencher a data da medição 1</v>
      </c>
      <c r="I24" s="794"/>
      <c r="J24" s="790"/>
      <c r="K24" s="790"/>
      <c r="L24" s="790"/>
      <c r="M24" s="790"/>
      <c r="N24" s="790"/>
      <c r="O24" s="790"/>
      <c r="P24" s="790"/>
      <c r="Q24" s="790"/>
      <c r="R24" s="790"/>
      <c r="S24" s="790"/>
      <c r="T24" s="790"/>
      <c r="U24" s="790"/>
      <c r="V24" s="790"/>
      <c r="W24" s="790"/>
      <c r="X24" s="790"/>
      <c r="Y24" s="790"/>
      <c r="Z24" s="790"/>
      <c r="AA24" s="790"/>
      <c r="AB24" s="790"/>
      <c r="AC24" s="790"/>
      <c r="AD24" s="790"/>
      <c r="AE24" s="790"/>
      <c r="AF24" s="804"/>
    </row>
    <row r="25" spans="1:32" x14ac:dyDescent="0.2">
      <c r="A25" s="7" t="s">
        <v>536</v>
      </c>
      <c r="D25" s="269" t="s">
        <v>840</v>
      </c>
      <c r="I25" s="793">
        <f>IF(PLE.Medicao&lt;=12,1,TRUNC((PLE.Medicao - 2)/11,0) * 11 + 1)</f>
        <v>1</v>
      </c>
      <c r="J25" s="793"/>
      <c r="K25" s="793">
        <f>I25+1</f>
        <v>2</v>
      </c>
      <c r="L25" s="793"/>
      <c r="M25" s="793">
        <f>K25+1</f>
        <v>3</v>
      </c>
      <c r="N25" s="793"/>
      <c r="O25" s="793">
        <f>M25+1</f>
        <v>4</v>
      </c>
      <c r="P25" s="793"/>
      <c r="Q25" s="793">
        <f>O25+1</f>
        <v>5</v>
      </c>
      <c r="R25" s="793"/>
      <c r="S25" s="793">
        <f>Q25+1</f>
        <v>6</v>
      </c>
      <c r="T25" s="793"/>
      <c r="U25" s="793">
        <f>S25+1</f>
        <v>7</v>
      </c>
      <c r="V25" s="793"/>
      <c r="W25" s="793">
        <f>U25+1</f>
        <v>8</v>
      </c>
      <c r="X25" s="793"/>
      <c r="Y25" s="793">
        <f>W25+1</f>
        <v>9</v>
      </c>
      <c r="Z25" s="793"/>
      <c r="AA25" s="793">
        <f>Y25+1</f>
        <v>10</v>
      </c>
      <c r="AB25" s="793"/>
      <c r="AC25" s="793">
        <f>AA25+1</f>
        <v>11</v>
      </c>
      <c r="AD25" s="793"/>
      <c r="AE25" s="793">
        <f>AC25+1</f>
        <v>12</v>
      </c>
      <c r="AF25" s="793"/>
    </row>
    <row r="26" spans="1:32" x14ac:dyDescent="0.2">
      <c r="A26" s="7" t="s">
        <v>536</v>
      </c>
      <c r="D26" s="784" t="s">
        <v>799</v>
      </c>
      <c r="H26" s="270" t="s">
        <v>781</v>
      </c>
      <c r="I26" s="795" t="e">
        <f ca="1">ROUND(I27,2)/ORÇAMENTO!$X$15</f>
        <v>#DIV/0!</v>
      </c>
      <c r="J26" s="795"/>
      <c r="K26" s="801" t="e">
        <f ca="1">ROUND(K27,2)/ORÇAMENTO!$X$15</f>
        <v>#DIV/0!</v>
      </c>
      <c r="L26" s="801"/>
      <c r="M26" s="801" t="e">
        <f ca="1">ROUND(M27,2)/ORÇAMENTO!$X$15</f>
        <v>#DIV/0!</v>
      </c>
      <c r="N26" s="801"/>
      <c r="O26" s="801" t="e">
        <f ca="1">ROUND(O27,2)/ORÇAMENTO!$X$15</f>
        <v>#DIV/0!</v>
      </c>
      <c r="P26" s="801"/>
      <c r="Q26" s="801" t="e">
        <f ca="1">ROUND(Q27,2)/ORÇAMENTO!$X$15</f>
        <v>#DIV/0!</v>
      </c>
      <c r="R26" s="801"/>
      <c r="S26" s="801" t="e">
        <f ca="1">ROUND(S27,2)/ORÇAMENTO!$X$15</f>
        <v>#DIV/0!</v>
      </c>
      <c r="T26" s="801"/>
      <c r="U26" s="801" t="e">
        <f ca="1">ROUND(U27,2)/ORÇAMENTO!$X$15</f>
        <v>#DIV/0!</v>
      </c>
      <c r="V26" s="801"/>
      <c r="W26" s="801" t="e">
        <f ca="1">ROUND(W27,2)/ORÇAMENTO!$X$15</f>
        <v>#DIV/0!</v>
      </c>
      <c r="X26" s="801"/>
      <c r="Y26" s="801" t="e">
        <f ca="1">ROUND(Y27,2)/ORÇAMENTO!$X$15</f>
        <v>#DIV/0!</v>
      </c>
      <c r="Z26" s="801"/>
      <c r="AA26" s="801" t="e">
        <f ca="1">ROUND(AA27,2)/ORÇAMENTO!$X$15</f>
        <v>#DIV/0!</v>
      </c>
      <c r="AB26" s="801"/>
      <c r="AC26" s="801" t="e">
        <f ca="1">ROUND(AC27,2)/ORÇAMENTO!$X$15</f>
        <v>#DIV/0!</v>
      </c>
      <c r="AD26" s="801"/>
      <c r="AE26" s="801" t="e">
        <f ca="1">ROUND(AE27,2)/ORÇAMENTO!$X$15</f>
        <v>#DIV/0!</v>
      </c>
      <c r="AF26" s="801"/>
    </row>
    <row r="27" spans="1:32" x14ac:dyDescent="0.2">
      <c r="A27" s="7" t="s">
        <v>536</v>
      </c>
      <c r="D27" s="784"/>
      <c r="H27" s="11" t="s">
        <v>782</v>
      </c>
      <c r="I27" s="786" cm="1">
        <f t="array" aca="1" ref="I27" ca="1">IF(I25=1,I29,ROUND(I29,2)-ROUND(SUMIF(CÁLCULO!$AX$15:$BH$39,"&lt;="&amp;PLE!I25-1,CÁLCULO!$AB$15:$AL$39)*IF(AdmLocal="Automática",(1+CÁLCULO.TotalAdmLocal/(ORÇAMENTO!$X$15-CÁLCULO.TotalAdmLocal)),1),2))</f>
        <v>0</v>
      </c>
      <c r="J27" s="786"/>
      <c r="K27" s="786">
        <f ca="1">ROUND(K29,2)-ROUND(I29,2)</f>
        <v>0</v>
      </c>
      <c r="L27" s="786"/>
      <c r="M27" s="786">
        <f t="shared" ref="M27" ca="1" si="3">ROUND(M29,2)-ROUND(K29,2)</f>
        <v>0</v>
      </c>
      <c r="N27" s="786"/>
      <c r="O27" s="786">
        <f t="shared" ref="O27" ca="1" si="4">ROUND(O29,2)-ROUND(M29,2)</f>
        <v>0</v>
      </c>
      <c r="P27" s="786"/>
      <c r="Q27" s="786">
        <f t="shared" ref="Q27" ca="1" si="5">ROUND(Q29,2)-ROUND(O29,2)</f>
        <v>0</v>
      </c>
      <c r="R27" s="786"/>
      <c r="S27" s="786">
        <f t="shared" ref="S27" ca="1" si="6">ROUND(S29,2)-ROUND(Q29,2)</f>
        <v>0</v>
      </c>
      <c r="T27" s="786"/>
      <c r="U27" s="786">
        <f t="shared" ref="U27" ca="1" si="7">ROUND(U29,2)-ROUND(S29,2)</f>
        <v>0</v>
      </c>
      <c r="V27" s="786"/>
      <c r="W27" s="786">
        <f t="shared" ref="W27" ca="1" si="8">ROUND(W29,2)-ROUND(U29,2)</f>
        <v>0</v>
      </c>
      <c r="X27" s="786"/>
      <c r="Y27" s="786">
        <f t="shared" ref="Y27" ca="1" si="9">ROUND(Y29,2)-ROUND(W29,2)</f>
        <v>0</v>
      </c>
      <c r="Z27" s="786"/>
      <c r="AA27" s="786">
        <f t="shared" ref="AA27" ca="1" si="10">ROUND(AA29,2)-ROUND(Y29,2)</f>
        <v>0</v>
      </c>
      <c r="AB27" s="786"/>
      <c r="AC27" s="786">
        <f t="shared" ref="AC27" ca="1" si="11">ROUND(AC29,2)-ROUND(AA29,2)</f>
        <v>0</v>
      </c>
      <c r="AD27" s="786"/>
      <c r="AE27" s="786">
        <f t="shared" ref="AE27" ca="1" si="12">ROUND(AE29,2)-ROUND(AC29,2)</f>
        <v>0</v>
      </c>
      <c r="AF27" s="786"/>
    </row>
    <row r="28" spans="1:32" x14ac:dyDescent="0.2">
      <c r="A28" s="7" t="s">
        <v>536</v>
      </c>
      <c r="D28" s="784" t="s">
        <v>803</v>
      </c>
      <c r="H28" s="270" t="s">
        <v>781</v>
      </c>
      <c r="I28" s="788" t="e">
        <f ca="1">ROUND(I29,2)/ORÇAMENTO!$X$15</f>
        <v>#DIV/0!</v>
      </c>
      <c r="J28" s="788"/>
      <c r="K28" s="785" t="e">
        <f ca="1">ROUND(K29,2)/ORÇAMENTO!$X$15</f>
        <v>#DIV/0!</v>
      </c>
      <c r="L28" s="785"/>
      <c r="M28" s="785" t="e">
        <f ca="1">ROUND(M29,2)/ORÇAMENTO!$X$15</f>
        <v>#DIV/0!</v>
      </c>
      <c r="N28" s="785"/>
      <c r="O28" s="785" t="e">
        <f ca="1">ROUND(O29,2)/ORÇAMENTO!$X$15</f>
        <v>#DIV/0!</v>
      </c>
      <c r="P28" s="785"/>
      <c r="Q28" s="785" t="e">
        <f ca="1">ROUND(Q29,2)/ORÇAMENTO!$X$15</f>
        <v>#DIV/0!</v>
      </c>
      <c r="R28" s="785"/>
      <c r="S28" s="785" t="e">
        <f ca="1">ROUND(S29,2)/ORÇAMENTO!$X$15</f>
        <v>#DIV/0!</v>
      </c>
      <c r="T28" s="785"/>
      <c r="U28" s="785" t="e">
        <f ca="1">ROUND(U29,2)/ORÇAMENTO!$X$15</f>
        <v>#DIV/0!</v>
      </c>
      <c r="V28" s="785"/>
      <c r="W28" s="785" t="e">
        <f ca="1">ROUND(W29,2)/ORÇAMENTO!$X$15</f>
        <v>#DIV/0!</v>
      </c>
      <c r="X28" s="785"/>
      <c r="Y28" s="785" t="e">
        <f ca="1">ROUND(Y29,2)/ORÇAMENTO!$X$15</f>
        <v>#DIV/0!</v>
      </c>
      <c r="Z28" s="785"/>
      <c r="AA28" s="785" t="e">
        <f ca="1">ROUND(AA29,2)/ORÇAMENTO!$X$15</f>
        <v>#DIV/0!</v>
      </c>
      <c r="AB28" s="785"/>
      <c r="AC28" s="785" t="e">
        <f ca="1">ROUND(AC29,2)/ORÇAMENTO!$X$15</f>
        <v>#DIV/0!</v>
      </c>
      <c r="AD28" s="785"/>
      <c r="AE28" s="785" t="e">
        <f ca="1">ROUND(AE29,2)/ORÇAMENTO!$X$15</f>
        <v>#DIV/0!</v>
      </c>
      <c r="AF28" s="785"/>
    </row>
    <row r="29" spans="1:32" x14ac:dyDescent="0.2">
      <c r="A29" s="7" t="s">
        <v>536</v>
      </c>
      <c r="D29" s="784"/>
      <c r="H29" s="11" t="s">
        <v>782</v>
      </c>
      <c r="I29" s="787" cm="1">
        <f t="array" aca="1" ref="I29" ca="1">SUMIF(CÁLCULO!$AX$15:$BH$39,"&lt;="&amp;PLE!I25,CÁLCULO!$AB$15:$AL$39)*IF(AdmLocal="Automática",(1+CÁLCULO.TotalAdmLocal/(ORÇAMENTO!$X$15-CÁLCULO.TotalAdmLocal)),1)</f>
        <v>0</v>
      </c>
      <c r="J29" s="787"/>
      <c r="K29" s="786" cm="1">
        <f t="array" aca="1" ref="K29" ca="1">SUMIF(CÁLCULO!$AX$15:$BH$39,"&lt;="&amp;PLE!K25,CÁLCULO!$AB$15:$AL$39)*IF(AdmLocal="Automática",(1+CÁLCULO.TotalAdmLocal/(ORÇAMENTO!$X$15-CÁLCULO.TotalAdmLocal)),1)</f>
        <v>0</v>
      </c>
      <c r="L29" s="786"/>
      <c r="M29" s="786" cm="1">
        <f t="array" aca="1" ref="M29" ca="1">SUMIF(CÁLCULO!$AX$15:$BH$39,"&lt;="&amp;PLE!M25,CÁLCULO!$AB$15:$AL$39)*IF(AdmLocal="Automática",(1+CÁLCULO.TotalAdmLocal/(ORÇAMENTO!$X$15-CÁLCULO.TotalAdmLocal)),1)</f>
        <v>0</v>
      </c>
      <c r="N29" s="786"/>
      <c r="O29" s="786" cm="1">
        <f t="array" aca="1" ref="O29" ca="1">SUMIF(CÁLCULO!$AX$15:$BH$39,"&lt;="&amp;PLE!O25,CÁLCULO!$AB$15:$AL$39)*IF(AdmLocal="Automática",(1+CÁLCULO.TotalAdmLocal/(ORÇAMENTO!$X$15-CÁLCULO.TotalAdmLocal)),1)</f>
        <v>0</v>
      </c>
      <c r="P29" s="786"/>
      <c r="Q29" s="786" cm="1">
        <f t="array" aca="1" ref="Q29" ca="1">SUMIF(CÁLCULO!$AX$15:$BH$39,"&lt;="&amp;PLE!Q25,CÁLCULO!$AB$15:$AL$39)*IF(AdmLocal="Automática",(1+CÁLCULO.TotalAdmLocal/(ORÇAMENTO!$X$15-CÁLCULO.TotalAdmLocal)),1)</f>
        <v>0</v>
      </c>
      <c r="R29" s="786"/>
      <c r="S29" s="786" cm="1">
        <f t="array" aca="1" ref="S29" ca="1">SUMIF(CÁLCULO!$AX$15:$BH$39,"&lt;="&amp;PLE!S25,CÁLCULO!$AB$15:$AL$39)*IF(AdmLocal="Automática",(1+CÁLCULO.TotalAdmLocal/(ORÇAMENTO!$X$15-CÁLCULO.TotalAdmLocal)),1)</f>
        <v>0</v>
      </c>
      <c r="T29" s="786"/>
      <c r="U29" s="786" cm="1">
        <f t="array" aca="1" ref="U29" ca="1">SUMIF(CÁLCULO!$AX$15:$BH$39,"&lt;="&amp;PLE!U25,CÁLCULO!$AB$15:$AL$39)*IF(AdmLocal="Automática",(1+CÁLCULO.TotalAdmLocal/(ORÇAMENTO!$X$15-CÁLCULO.TotalAdmLocal)),1)</f>
        <v>0</v>
      </c>
      <c r="V29" s="786"/>
      <c r="W29" s="786" cm="1">
        <f t="array" aca="1" ref="W29" ca="1">SUMIF(CÁLCULO!$AX$15:$BH$39,"&lt;="&amp;PLE!W25,CÁLCULO!$AB$15:$AL$39)*IF(AdmLocal="Automática",(1+CÁLCULO.TotalAdmLocal/(ORÇAMENTO!$X$15-CÁLCULO.TotalAdmLocal)),1)</f>
        <v>0</v>
      </c>
      <c r="X29" s="786"/>
      <c r="Y29" s="786" cm="1">
        <f t="array" aca="1" ref="Y29" ca="1">SUMIF(CÁLCULO!$AX$15:$BH$39,"&lt;="&amp;PLE!Y25,CÁLCULO!$AB$15:$AL$39)*IF(AdmLocal="Automática",(1+CÁLCULO.TotalAdmLocal/(ORÇAMENTO!$X$15-CÁLCULO.TotalAdmLocal)),1)</f>
        <v>0</v>
      </c>
      <c r="Z29" s="786"/>
      <c r="AA29" s="786" cm="1">
        <f t="array" aca="1" ref="AA29" ca="1">SUMIF(CÁLCULO!$AX$15:$BH$39,"&lt;="&amp;PLE!AA25,CÁLCULO!$AB$15:$AL$39)*IF(AdmLocal="Automática",(1+CÁLCULO.TotalAdmLocal/(ORÇAMENTO!$X$15-CÁLCULO.TotalAdmLocal)),1)</f>
        <v>0</v>
      </c>
      <c r="AB29" s="786"/>
      <c r="AC29" s="786" cm="1">
        <f t="array" aca="1" ref="AC29" ca="1">SUMIF(CÁLCULO!$AX$15:$BH$39,"&lt;="&amp;PLE!AC25,CÁLCULO!$AB$15:$AL$39)*IF(AdmLocal="Automática",(1+CÁLCULO.TotalAdmLocal/(ORÇAMENTO!$X$15-CÁLCULO.TotalAdmLocal)),1)</f>
        <v>0</v>
      </c>
      <c r="AD29" s="786"/>
      <c r="AE29" s="786" cm="1">
        <f t="array" aca="1" ref="AE29" ca="1">SUMIF(CÁLCULO!$AX$15:$BH$39,"&lt;="&amp;PLE!AE25,CÁLCULO!$AB$15:$AL$39)*IF(AdmLocal="Automática",(1+CÁLCULO.TotalAdmLocal/(ORÇAMENTO!$X$15-CÁLCULO.TotalAdmLocal)),1)</f>
        <v>0</v>
      </c>
      <c r="AF29" s="786"/>
    </row>
    <row r="30" spans="1:32" ht="12.75" customHeight="1" x14ac:dyDescent="0.2">
      <c r="A30" s="7"/>
      <c r="D30" s="552" t="s">
        <v>784</v>
      </c>
      <c r="H30" s="551" t="s">
        <v>781</v>
      </c>
      <c r="I30" s="744" t="e">
        <f ca="1">IF(OR(ACOMPANHAMENTO&lt;&gt;"PLE",I25&gt;PLE.Medicao),0,
   IF(AUTOEVENTO="Manual",
      IF(AdmLocal="Automática",I28,
         IF(Import.EventoAdmLocal="","",SUMIF(OFFSET($G$14,CRONOPLE!$A$8+1,1,1,OFFSET($AG$12,0,-1)),"&lt;="&amp;I25,OFFSET(EVENTOS!$G$14,CRONOPLE!$A$8+1,1,1,OFFSET($AG$12,0,-1)))/OFFSET(EVENTOS!$G$14,CRONOPLE!$A$8+1,-1))),
      IF(Import.EventoAdmLocal="","",SUMIF(OFFSET(CÁLCULO!$AW$15,CRONOPLE!$A$10,1,OFFSET(ORÇAMENTO!$D$15,CRONOPLE!$A$10,0),COLUMN(CÁLCULO!$BH$15)-COLUMN(CÁLCULO!$AW$15)-1),"&lt;="&amp;I25,OFFSET(CÁLCULO!$AA$15,CRONOPLE!$A$10,1,OFFSET(ORÇAMENTO!$D$15,CRONOPLE!$A$10,0),COLUMN(CÁLCULO!$AL$15)-COLUMN(CÁLCULO!$AA$15)-1))/OFFSET(ORÇAMENTO!$X$15,CRONOPLE!$A$10,0))))</f>
        <v>#DIV/0!</v>
      </c>
      <c r="J30" s="744"/>
      <c r="K30" s="744">
        <f ca="1">IF(OR(ACOMPANHAMENTO&lt;&gt;"PLE",K25&gt;PLE.Medicao),0,
   IF(AUTOEVENTO="Manual",
      IF(AdmLocal="Automática",K28,
         IF(Import.EventoAdmLocal="","",SUMIF(OFFSET($G$14,CRONOPLE!$A$8+1,1,1,OFFSET($AG$12,0,-1)),"&lt;="&amp;K25,OFFSET(EVENTOS!$G$14,CRONOPLE!$A$8+1,1,1,OFFSET($AG$12,0,-1)))/OFFSET(EVENTOS!$G$14,CRONOPLE!$A$8+1,-1))),
      IF(Import.EventoAdmLocal="","",SUMIF(OFFSET(CÁLCULO!$AW$15,CRONOPLE!$A$10,1,OFFSET(ORÇAMENTO!$D$15,CRONOPLE!$A$10,0),COLUMN(CÁLCULO!$BH$15)-COLUMN(CÁLCULO!$AW$15)-1),"&lt;="&amp;K25,OFFSET(CÁLCULO!$AA$15,CRONOPLE!$A$10,1,OFFSET(ORÇAMENTO!$D$15,CRONOPLE!$A$10,0),COLUMN(CÁLCULO!$AL$15)-COLUMN(CÁLCULO!$AA$15)-1))/OFFSET(ORÇAMENTO!$X$15,CRONOPLE!$A$10,0))))</f>
        <v>0</v>
      </c>
      <c r="L30" s="744"/>
      <c r="M30" s="744">
        <f ca="1">IF(OR(ACOMPANHAMENTO&lt;&gt;"PLE",M25&gt;PLE.Medicao),0,
   IF(AUTOEVENTO="Manual",
      IF(AdmLocal="Automática",M28,
         IF(Import.EventoAdmLocal="","",SUMIF(OFFSET($G$14,CRONOPLE!$A$8+1,1,1,OFFSET($AG$12,0,-1)),"&lt;="&amp;M25,OFFSET(EVENTOS!$G$14,CRONOPLE!$A$8+1,1,1,OFFSET($AG$12,0,-1)))/OFFSET(EVENTOS!$G$14,CRONOPLE!$A$8+1,-1))),
      IF(Import.EventoAdmLocal="","",SUMIF(OFFSET(CÁLCULO!$AW$15,CRONOPLE!$A$10,1,OFFSET(ORÇAMENTO!$D$15,CRONOPLE!$A$10,0),COLUMN(CÁLCULO!$BH$15)-COLUMN(CÁLCULO!$AW$15)-1),"&lt;="&amp;M25,OFFSET(CÁLCULO!$AA$15,CRONOPLE!$A$10,1,OFFSET(ORÇAMENTO!$D$15,CRONOPLE!$A$10,0),COLUMN(CÁLCULO!$AL$15)-COLUMN(CÁLCULO!$AA$15)-1))/OFFSET(ORÇAMENTO!$X$15,CRONOPLE!$A$10,0))))</f>
        <v>0</v>
      </c>
      <c r="N30" s="744"/>
      <c r="O30" s="744">
        <f ca="1">IF(OR(ACOMPANHAMENTO&lt;&gt;"PLE",O25&gt;PLE.Medicao),0,
   IF(AUTOEVENTO="Manual",
      IF(AdmLocal="Automática",O28,
         IF(Import.EventoAdmLocal="","",SUMIF(OFFSET($G$14,CRONOPLE!$A$8+1,1,1,OFFSET($AG$12,0,-1)),"&lt;="&amp;O25,OFFSET(EVENTOS!$G$14,CRONOPLE!$A$8+1,1,1,OFFSET($AG$12,0,-1)))/OFFSET(EVENTOS!$G$14,CRONOPLE!$A$8+1,-1))),
      IF(Import.EventoAdmLocal="","",SUMIF(OFFSET(CÁLCULO!$AW$15,CRONOPLE!$A$10,1,OFFSET(ORÇAMENTO!$D$15,CRONOPLE!$A$10,0),COLUMN(CÁLCULO!$BH$15)-COLUMN(CÁLCULO!$AW$15)-1),"&lt;="&amp;O25,OFFSET(CÁLCULO!$AA$15,CRONOPLE!$A$10,1,OFFSET(ORÇAMENTO!$D$15,CRONOPLE!$A$10,0),COLUMN(CÁLCULO!$AL$15)-COLUMN(CÁLCULO!$AA$15)-1))/OFFSET(ORÇAMENTO!$X$15,CRONOPLE!$A$10,0))))</f>
        <v>0</v>
      </c>
      <c r="P30" s="744"/>
      <c r="Q30" s="744">
        <f ca="1">IF(OR(ACOMPANHAMENTO&lt;&gt;"PLE",Q25&gt;PLE.Medicao),0,
   IF(AUTOEVENTO="Manual",
      IF(AdmLocal="Automática",Q28,
         IF(Import.EventoAdmLocal="","",SUMIF(OFFSET($G$14,CRONOPLE!$A$8+1,1,1,OFFSET($AG$12,0,-1)),"&lt;="&amp;Q25,OFFSET(EVENTOS!$G$14,CRONOPLE!$A$8+1,1,1,OFFSET($AG$12,0,-1)))/OFFSET(EVENTOS!$G$14,CRONOPLE!$A$8+1,-1))),
      IF(Import.EventoAdmLocal="","",SUMIF(OFFSET(CÁLCULO!$AW$15,CRONOPLE!$A$10,1,OFFSET(ORÇAMENTO!$D$15,CRONOPLE!$A$10,0),COLUMN(CÁLCULO!$BH$15)-COLUMN(CÁLCULO!$AW$15)-1),"&lt;="&amp;Q25,OFFSET(CÁLCULO!$AA$15,CRONOPLE!$A$10,1,OFFSET(ORÇAMENTO!$D$15,CRONOPLE!$A$10,0),COLUMN(CÁLCULO!$AL$15)-COLUMN(CÁLCULO!$AA$15)-1))/OFFSET(ORÇAMENTO!$X$15,CRONOPLE!$A$10,0))))</f>
        <v>0</v>
      </c>
      <c r="R30" s="744"/>
      <c r="S30" s="744">
        <f ca="1">IF(OR(ACOMPANHAMENTO&lt;&gt;"PLE",S25&gt;PLE.Medicao),0,
   IF(AUTOEVENTO="Manual",
      IF(AdmLocal="Automática",S28,
         IF(Import.EventoAdmLocal="","",SUMIF(OFFSET($G$14,CRONOPLE!$A$8+1,1,1,OFFSET($AG$12,0,-1)),"&lt;="&amp;S25,OFFSET(EVENTOS!$G$14,CRONOPLE!$A$8+1,1,1,OFFSET($AG$12,0,-1)))/OFFSET(EVENTOS!$G$14,CRONOPLE!$A$8+1,-1))),
      IF(Import.EventoAdmLocal="","",SUMIF(OFFSET(CÁLCULO!$AW$15,CRONOPLE!$A$10,1,OFFSET(ORÇAMENTO!$D$15,CRONOPLE!$A$10,0),COLUMN(CÁLCULO!$BH$15)-COLUMN(CÁLCULO!$AW$15)-1),"&lt;="&amp;S25,OFFSET(CÁLCULO!$AA$15,CRONOPLE!$A$10,1,OFFSET(ORÇAMENTO!$D$15,CRONOPLE!$A$10,0),COLUMN(CÁLCULO!$AL$15)-COLUMN(CÁLCULO!$AA$15)-1))/OFFSET(ORÇAMENTO!$X$15,CRONOPLE!$A$10,0))))</f>
        <v>0</v>
      </c>
      <c r="T30" s="744"/>
      <c r="U30" s="744">
        <f ca="1">IF(OR(ACOMPANHAMENTO&lt;&gt;"PLE",U25&gt;PLE.Medicao),0,
   IF(AUTOEVENTO="Manual",
      IF(AdmLocal="Automática",U28,
         IF(Import.EventoAdmLocal="","",SUMIF(OFFSET($G$14,CRONOPLE!$A$8+1,1,1,OFFSET($AG$12,0,-1)),"&lt;="&amp;U25,OFFSET(EVENTOS!$G$14,CRONOPLE!$A$8+1,1,1,OFFSET($AG$12,0,-1)))/OFFSET(EVENTOS!$G$14,CRONOPLE!$A$8+1,-1))),
      IF(Import.EventoAdmLocal="","",SUMIF(OFFSET(CÁLCULO!$AW$15,CRONOPLE!$A$10,1,OFFSET(ORÇAMENTO!$D$15,CRONOPLE!$A$10,0),COLUMN(CÁLCULO!$BH$15)-COLUMN(CÁLCULO!$AW$15)-1),"&lt;="&amp;U25,OFFSET(CÁLCULO!$AA$15,CRONOPLE!$A$10,1,OFFSET(ORÇAMENTO!$D$15,CRONOPLE!$A$10,0),COLUMN(CÁLCULO!$AL$15)-COLUMN(CÁLCULO!$AA$15)-1))/OFFSET(ORÇAMENTO!$X$15,CRONOPLE!$A$10,0))))</f>
        <v>0</v>
      </c>
      <c r="V30" s="744"/>
      <c r="W30" s="744">
        <f ca="1">IF(OR(ACOMPANHAMENTO&lt;&gt;"PLE",W25&gt;PLE.Medicao),0,
   IF(AUTOEVENTO="Manual",
      IF(AdmLocal="Automática",W28,
         IF(Import.EventoAdmLocal="","",SUMIF(OFFSET($G$14,CRONOPLE!$A$8+1,1,1,OFFSET($AG$12,0,-1)),"&lt;="&amp;W25,OFFSET(EVENTOS!$G$14,CRONOPLE!$A$8+1,1,1,OFFSET($AG$12,0,-1)))/OFFSET(EVENTOS!$G$14,CRONOPLE!$A$8+1,-1))),
      IF(Import.EventoAdmLocal="","",SUMIF(OFFSET(CÁLCULO!$AW$15,CRONOPLE!$A$10,1,OFFSET(ORÇAMENTO!$D$15,CRONOPLE!$A$10,0),COLUMN(CÁLCULO!$BH$15)-COLUMN(CÁLCULO!$AW$15)-1),"&lt;="&amp;W25,OFFSET(CÁLCULO!$AA$15,CRONOPLE!$A$10,1,OFFSET(ORÇAMENTO!$D$15,CRONOPLE!$A$10,0),COLUMN(CÁLCULO!$AL$15)-COLUMN(CÁLCULO!$AA$15)-1))/OFFSET(ORÇAMENTO!$X$15,CRONOPLE!$A$10,0))))</f>
        <v>0</v>
      </c>
      <c r="X30" s="744"/>
      <c r="Y30" s="744">
        <f ca="1">IF(OR(ACOMPANHAMENTO&lt;&gt;"PLE",Y25&gt;PLE.Medicao),0,
   IF(AUTOEVENTO="Manual",
      IF(AdmLocal="Automática",Y28,
         IF(Import.EventoAdmLocal="","",SUMIF(OFFSET($G$14,CRONOPLE!$A$8+1,1,1,OFFSET($AG$12,0,-1)),"&lt;="&amp;Y25,OFFSET(EVENTOS!$G$14,CRONOPLE!$A$8+1,1,1,OFFSET($AG$12,0,-1)))/OFFSET(EVENTOS!$G$14,CRONOPLE!$A$8+1,-1))),
      IF(Import.EventoAdmLocal="","",SUMIF(OFFSET(CÁLCULO!$AW$15,CRONOPLE!$A$10,1,OFFSET(ORÇAMENTO!$D$15,CRONOPLE!$A$10,0),COLUMN(CÁLCULO!$BH$15)-COLUMN(CÁLCULO!$AW$15)-1),"&lt;="&amp;Y25,OFFSET(CÁLCULO!$AA$15,CRONOPLE!$A$10,1,OFFSET(ORÇAMENTO!$D$15,CRONOPLE!$A$10,0),COLUMN(CÁLCULO!$AL$15)-COLUMN(CÁLCULO!$AA$15)-1))/OFFSET(ORÇAMENTO!$X$15,CRONOPLE!$A$10,0))))</f>
        <v>0</v>
      </c>
      <c r="Z30" s="744"/>
      <c r="AA30" s="744">
        <f ca="1">IF(OR(ACOMPANHAMENTO&lt;&gt;"PLE",AA25&gt;PLE.Medicao),0,
   IF(AUTOEVENTO="Manual",
      IF(AdmLocal="Automática",AA28,
         IF(Import.EventoAdmLocal="","",SUMIF(OFFSET($G$14,CRONOPLE!$A$8+1,1,1,OFFSET($AG$12,0,-1)),"&lt;="&amp;AA25,OFFSET(EVENTOS!$G$14,CRONOPLE!$A$8+1,1,1,OFFSET($AG$12,0,-1)))/OFFSET(EVENTOS!$G$14,CRONOPLE!$A$8+1,-1))),
      IF(Import.EventoAdmLocal="","",SUMIF(OFFSET(CÁLCULO!$AW$15,CRONOPLE!$A$10,1,OFFSET(ORÇAMENTO!$D$15,CRONOPLE!$A$10,0),COLUMN(CÁLCULO!$BH$15)-COLUMN(CÁLCULO!$AW$15)-1),"&lt;="&amp;AA25,OFFSET(CÁLCULO!$AA$15,CRONOPLE!$A$10,1,OFFSET(ORÇAMENTO!$D$15,CRONOPLE!$A$10,0),COLUMN(CÁLCULO!$AL$15)-COLUMN(CÁLCULO!$AA$15)-1))/OFFSET(ORÇAMENTO!$X$15,CRONOPLE!$A$10,0))))</f>
        <v>0</v>
      </c>
      <c r="AB30" s="744"/>
      <c r="AC30" s="744">
        <f ca="1">IF(OR(ACOMPANHAMENTO&lt;&gt;"PLE",AC25&gt;PLE.Medicao),0,
   IF(AUTOEVENTO="Manual",
      IF(AdmLocal="Automática",AC28,
         IF(Import.EventoAdmLocal="","",SUMIF(OFFSET($G$14,CRONOPLE!$A$8+1,1,1,OFFSET($AG$12,0,-1)),"&lt;="&amp;AC25,OFFSET(EVENTOS!$G$14,CRONOPLE!$A$8+1,1,1,OFFSET($AG$12,0,-1)))/OFFSET(EVENTOS!$G$14,CRONOPLE!$A$8+1,-1))),
      IF(Import.EventoAdmLocal="","",SUMIF(OFFSET(CÁLCULO!$AW$15,CRONOPLE!$A$10,1,OFFSET(ORÇAMENTO!$D$15,CRONOPLE!$A$10,0),COLUMN(CÁLCULO!$BH$15)-COLUMN(CÁLCULO!$AW$15)-1),"&lt;="&amp;AC25,OFFSET(CÁLCULO!$AA$15,CRONOPLE!$A$10,1,OFFSET(ORÇAMENTO!$D$15,CRONOPLE!$A$10,0),COLUMN(CÁLCULO!$AL$15)-COLUMN(CÁLCULO!$AA$15)-1))/OFFSET(ORÇAMENTO!$X$15,CRONOPLE!$A$10,0))))</f>
        <v>0</v>
      </c>
      <c r="AD30" s="744"/>
      <c r="AE30" s="744">
        <f ca="1">IF(OR(ACOMPANHAMENTO&lt;&gt;"PLE",AE25&gt;PLE.Medicao),0,
   IF(AUTOEVENTO="Manual",
      IF(AdmLocal="Automática",AE28,
         IF(Import.EventoAdmLocal="","",SUMIF(OFFSET($G$14,CRONOPLE!$A$8+1,1,1,OFFSET($AG$12,0,-1)),"&lt;="&amp;AE25,OFFSET(EVENTOS!$G$14,CRONOPLE!$A$8+1,1,1,OFFSET($AG$12,0,-1)))/OFFSET(EVENTOS!$G$14,CRONOPLE!$A$8+1,-1))),
      IF(Import.EventoAdmLocal="","",SUMIF(OFFSET(CÁLCULO!$AW$15,CRONOPLE!$A$10,1,OFFSET(ORÇAMENTO!$D$15,CRONOPLE!$A$10,0),COLUMN(CÁLCULO!$BH$15)-COLUMN(CÁLCULO!$AW$15)-1),"&lt;="&amp;AE25,OFFSET(CÁLCULO!$AA$15,CRONOPLE!$A$10,1,OFFSET(ORÇAMENTO!$D$15,CRONOPLE!$A$10,0),COLUMN(CÁLCULO!$AL$15)-COLUMN(CÁLCULO!$AA$15)-1))/OFFSET(ORÇAMENTO!$X$15,CRONOPLE!$A$10,0))))</f>
        <v>0</v>
      </c>
      <c r="AF30" s="744"/>
    </row>
    <row r="31" spans="1:32" ht="13.5" x14ac:dyDescent="0.25">
      <c r="A31" s="7" t="s">
        <v>536</v>
      </c>
      <c r="D31" s="523"/>
      <c r="H31" s="583" t="str">
        <f ca="1">IF(COUNTIF(I31:AG31,"%Adm&gt;%Global")&gt;0,"Verificar proporcionalidade da Administração Local","")</f>
        <v/>
      </c>
      <c r="I31" s="535" t="e">
        <f ca="1">IF(I30="","",IF(ROUND(I30,4)&gt;ROUND(I28,4),"%Adm&gt;%Global",""))</f>
        <v>#DIV/0!</v>
      </c>
      <c r="J31" s="524"/>
      <c r="K31" s="535" t="e">
        <f t="shared" ref="K31" ca="1" si="13">IF(K30="","",IF(ROUND(K30,4)&gt;ROUND(K28,4),"%Adm&gt;%Global",""))</f>
        <v>#DIV/0!</v>
      </c>
      <c r="L31" s="524"/>
      <c r="M31" s="535" t="e">
        <f t="shared" ref="M31" ca="1" si="14">IF(M30="","",IF(ROUND(M30,4)&gt;ROUND(M28,4),"%Adm&gt;%Global",""))</f>
        <v>#DIV/0!</v>
      </c>
      <c r="N31" s="524"/>
      <c r="O31" s="535" t="e">
        <f t="shared" ref="O31" ca="1" si="15">IF(O30="","",IF(ROUND(O30,4)&gt;ROUND(O28,4),"%Adm&gt;%Global",""))</f>
        <v>#DIV/0!</v>
      </c>
      <c r="P31" s="524"/>
      <c r="Q31" s="535" t="e">
        <f t="shared" ref="Q31" ca="1" si="16">IF(Q30="","",IF(ROUND(Q30,4)&gt;ROUND(Q28,4),"%Adm&gt;%Global",""))</f>
        <v>#DIV/0!</v>
      </c>
      <c r="R31" s="524"/>
      <c r="S31" s="535" t="e">
        <f t="shared" ref="S31" ca="1" si="17">IF(S30="","",IF(ROUND(S30,4)&gt;ROUND(S28,4),"%Adm&gt;%Global",""))</f>
        <v>#DIV/0!</v>
      </c>
      <c r="T31" s="524"/>
      <c r="U31" s="535" t="e">
        <f t="shared" ref="U31" ca="1" si="18">IF(U30="","",IF(ROUND(U30,4)&gt;ROUND(U28,4),"%Adm&gt;%Global",""))</f>
        <v>#DIV/0!</v>
      </c>
      <c r="V31" s="524"/>
      <c r="W31" s="535" t="e">
        <f t="shared" ref="W31" ca="1" si="19">IF(W30="","",IF(ROUND(W30,4)&gt;ROUND(W28,4),"%Adm&gt;%Global",""))</f>
        <v>#DIV/0!</v>
      </c>
      <c r="X31" s="524"/>
      <c r="Y31" s="535" t="e">
        <f t="shared" ref="Y31" ca="1" si="20">IF(Y30="","",IF(ROUND(Y30,4)&gt;ROUND(Y28,4),"%Adm&gt;%Global",""))</f>
        <v>#DIV/0!</v>
      </c>
      <c r="Z31" s="524"/>
      <c r="AA31" s="535" t="e">
        <f t="shared" ref="AA31" ca="1" si="21">IF(AA30="","",IF(ROUND(AA30,4)&gt;ROUND(AA28,4),"%Adm&gt;%Global",""))</f>
        <v>#DIV/0!</v>
      </c>
      <c r="AB31" s="524"/>
      <c r="AC31" s="535" t="e">
        <f t="shared" ref="AC31" ca="1" si="22">IF(AC30="","",IF(ROUND(AC30,4)&gt;ROUND(AC28,4),"%Adm&gt;%Global",""))</f>
        <v>#DIV/0!</v>
      </c>
      <c r="AD31" s="524"/>
      <c r="AE31" s="535" t="e">
        <f t="shared" ref="AE31" ca="1" si="23">IF(AE30="","",IF(ROUND(AE30,4)&gt;ROUND(AE28,4),"%Adm&gt;%Global",""))</f>
        <v>#DIV/0!</v>
      </c>
      <c r="AF31" s="524"/>
    </row>
    <row r="32" spans="1:32" ht="20.25" customHeight="1" x14ac:dyDescent="0.2">
      <c r="A32" s="7" t="s">
        <v>536</v>
      </c>
      <c r="I32" s="789"/>
      <c r="J32" s="789"/>
    </row>
    <row r="33" spans="1:30" ht="15" x14ac:dyDescent="0.25">
      <c r="A33" s="7" t="s">
        <v>536</v>
      </c>
      <c r="B33" s="723" t="str">
        <f>Import.Município</f>
        <v>BENTO GONÇALVES/RS</v>
      </c>
      <c r="C33" s="723"/>
      <c r="D33" s="723"/>
      <c r="S33" s="562" t="str">
        <f ca="1">IF(DADOS!$D$50&lt;&gt;"","Preencher os Dados do Responsável pela Fiscalização, na aba DADOS.","")</f>
        <v/>
      </c>
      <c r="U33" s="139"/>
      <c r="V33" s="139"/>
      <c r="W33" s="139"/>
      <c r="X33" s="139"/>
      <c r="Y33" s="180"/>
      <c r="Z33" s="180"/>
      <c r="AA33" s="180"/>
      <c r="AB33" s="180"/>
      <c r="AC33" s="180"/>
      <c r="AD33" s="180"/>
    </row>
    <row r="34" spans="1:30" x14ac:dyDescent="0.2">
      <c r="A34" s="7" t="s">
        <v>536</v>
      </c>
      <c r="B34" s="9" t="s">
        <v>693</v>
      </c>
      <c r="U34" s="181" t="s">
        <v>841</v>
      </c>
    </row>
    <row r="35" spans="1:30" x14ac:dyDescent="0.2">
      <c r="A35" s="7" t="s">
        <v>536</v>
      </c>
      <c r="I35" s="79"/>
      <c r="U35" s="77" t="s">
        <v>240</v>
      </c>
      <c r="W35" s="271">
        <f t="array" ref="W35:W38">Import.RespFiscalização</f>
        <v>0</v>
      </c>
    </row>
    <row r="36" spans="1:30" x14ac:dyDescent="0.2">
      <c r="A36" s="7" t="s">
        <v>536</v>
      </c>
      <c r="B36" s="717">
        <f>DADOS!$C$48</f>
        <v>0</v>
      </c>
      <c r="C36" s="717"/>
      <c r="D36" s="717"/>
      <c r="I36" s="79"/>
      <c r="U36" s="77" t="s">
        <v>319</v>
      </c>
      <c r="W36" s="271">
        <v>0</v>
      </c>
    </row>
    <row r="37" spans="1:30" x14ac:dyDescent="0.2">
      <c r="A37" s="7" t="s">
        <v>536</v>
      </c>
      <c r="B37" s="140" t="s">
        <v>694</v>
      </c>
      <c r="C37" s="1"/>
      <c r="D37" s="1"/>
      <c r="I37" s="79"/>
      <c r="U37" s="77" t="s">
        <v>243</v>
      </c>
      <c r="W37" s="271">
        <v>0</v>
      </c>
    </row>
    <row r="38" spans="1:30" x14ac:dyDescent="0.2">
      <c r="U38" s="77" t="s">
        <v>246</v>
      </c>
      <c r="W38" s="12">
        <v>0</v>
      </c>
    </row>
  </sheetData>
  <sheetProtection algorithmName="SHA-512" hashValue="Ski5xzATTQlyhoczKlsRm1Q1nEXJ4rMPcIJDixSeP043q3N1AO++KiYbZbHkIFDnlDtXnKGXYbxCHYZ/VkZkuA==" saltValue="5o2P5W0kFicB9md7Uobvlg==" spinCount="100000" sheet="1" objects="1" scenarios="1" autoFilter="0"/>
  <autoFilter ref="A13:A37" xr:uid="{00000000-0009-0000-0000-00000A000000}"/>
  <mergeCells count="112">
    <mergeCell ref="AC30:AD30"/>
    <mergeCell ref="AE30:AF30"/>
    <mergeCell ref="S30:T30"/>
    <mergeCell ref="U30:V30"/>
    <mergeCell ref="W30:X30"/>
    <mergeCell ref="Y30:Z30"/>
    <mergeCell ref="AA30:AB30"/>
    <mergeCell ref="W28:X28"/>
    <mergeCell ref="S28:T28"/>
    <mergeCell ref="AC29:AD29"/>
    <mergeCell ref="AA28:AB28"/>
    <mergeCell ref="AE29:AF29"/>
    <mergeCell ref="AE28:AF28"/>
    <mergeCell ref="Y29:Z29"/>
    <mergeCell ref="AA29:AB29"/>
    <mergeCell ref="S29:T29"/>
    <mergeCell ref="W29:X29"/>
    <mergeCell ref="B7:C7"/>
    <mergeCell ref="C15:D15"/>
    <mergeCell ref="W24:X24"/>
    <mergeCell ref="AC24:AD24"/>
    <mergeCell ref="Y25:Z25"/>
    <mergeCell ref="AA26:AB26"/>
    <mergeCell ref="Y27:Z27"/>
    <mergeCell ref="U27:V27"/>
    <mergeCell ref="Q29:R29"/>
    <mergeCell ref="M24:N24"/>
    <mergeCell ref="O27:P27"/>
    <mergeCell ref="M27:N27"/>
    <mergeCell ref="K27:L27"/>
    <mergeCell ref="I27:J27"/>
    <mergeCell ref="O26:P26"/>
    <mergeCell ref="M26:N26"/>
    <mergeCell ref="K26:L26"/>
    <mergeCell ref="I23:AF23"/>
    <mergeCell ref="O24:P24"/>
    <mergeCell ref="AE24:AF24"/>
    <mergeCell ref="Y24:Z24"/>
    <mergeCell ref="Q26:R26"/>
    <mergeCell ref="AC25:AD25"/>
    <mergeCell ref="AA25:AB25"/>
    <mergeCell ref="AE27:AF27"/>
    <mergeCell ref="O25:P25"/>
    <mergeCell ref="W26:X26"/>
    <mergeCell ref="U26:V26"/>
    <mergeCell ref="AC26:AD26"/>
    <mergeCell ref="AE25:AF25"/>
    <mergeCell ref="U28:V28"/>
    <mergeCell ref="Y28:Z28"/>
    <mergeCell ref="B12:B13"/>
    <mergeCell ref="C20:D20"/>
    <mergeCell ref="S27:T27"/>
    <mergeCell ref="Q27:R27"/>
    <mergeCell ref="W25:X25"/>
    <mergeCell ref="AC27:AD27"/>
    <mergeCell ref="AC28:AD28"/>
    <mergeCell ref="AA27:AB27"/>
    <mergeCell ref="Y26:Z26"/>
    <mergeCell ref="S24:T24"/>
    <mergeCell ref="U24:V24"/>
    <mergeCell ref="Q24:R24"/>
    <mergeCell ref="S26:T26"/>
    <mergeCell ref="U25:V25"/>
    <mergeCell ref="AE26:AF26"/>
    <mergeCell ref="AD3:AF3"/>
    <mergeCell ref="AD4:AF4"/>
    <mergeCell ref="AE6:AF6"/>
    <mergeCell ref="H7:N7"/>
    <mergeCell ref="O7:U7"/>
    <mergeCell ref="AE7:AF7"/>
    <mergeCell ref="V7:AD7"/>
    <mergeCell ref="Y9:Z9"/>
    <mergeCell ref="AE9:AF9"/>
    <mergeCell ref="J9:K9"/>
    <mergeCell ref="N9:T9"/>
    <mergeCell ref="O30:P30"/>
    <mergeCell ref="Q30:R30"/>
    <mergeCell ref="O29:P29"/>
    <mergeCell ref="O28:P28"/>
    <mergeCell ref="Q28:R28"/>
    <mergeCell ref="AA24:AB24"/>
    <mergeCell ref="C1:D1"/>
    <mergeCell ref="C11:D11"/>
    <mergeCell ref="C12:D13"/>
    <mergeCell ref="U29:V29"/>
    <mergeCell ref="C17:D17"/>
    <mergeCell ref="D26:D27"/>
    <mergeCell ref="C16:D16"/>
    <mergeCell ref="C18:D18"/>
    <mergeCell ref="W27:X27"/>
    <mergeCell ref="S25:T25"/>
    <mergeCell ref="Q25:R25"/>
    <mergeCell ref="K25:L25"/>
    <mergeCell ref="K24:L24"/>
    <mergeCell ref="I24:J24"/>
    <mergeCell ref="I25:J25"/>
    <mergeCell ref="I26:J26"/>
    <mergeCell ref="M25:N25"/>
    <mergeCell ref="C19:D19"/>
    <mergeCell ref="B36:D36"/>
    <mergeCell ref="B33:D33"/>
    <mergeCell ref="D28:D29"/>
    <mergeCell ref="M28:N28"/>
    <mergeCell ref="M29:N29"/>
    <mergeCell ref="I29:J29"/>
    <mergeCell ref="K29:L29"/>
    <mergeCell ref="K28:L28"/>
    <mergeCell ref="I28:J28"/>
    <mergeCell ref="I32:J32"/>
    <mergeCell ref="I30:J30"/>
    <mergeCell ref="K30:L30"/>
    <mergeCell ref="M30:N30"/>
  </mergeCells>
  <phoneticPr fontId="38" type="noConversion"/>
  <conditionalFormatting sqref="F1:F2">
    <cfRule type="expression" dxfId="97" priority="2725" stopIfTrue="1">
      <formula>IF(OR(ACOMPANHAMENTO="BM",F$12&gt;CÁLCULO.NúmeroDeFrentes),TRUE,PLE.ValorDoEvento=0)</formula>
    </cfRule>
    <cfRule type="cellIs" dxfId="96" priority="2726" stopIfTrue="1" operator="equal">
      <formula>$J$9</formula>
    </cfRule>
  </conditionalFormatting>
  <conditionalFormatting sqref="I26:AF26">
    <cfRule type="expression" dxfId="95" priority="2727" stopIfTrue="1">
      <formula>I25=$J$9</formula>
    </cfRule>
  </conditionalFormatting>
  <conditionalFormatting sqref="I27:AF27">
    <cfRule type="expression" dxfId="94" priority="2728" stopIfTrue="1">
      <formula>I25=$J$9</formula>
    </cfRule>
  </conditionalFormatting>
  <conditionalFormatting sqref="I28:AF28">
    <cfRule type="expression" dxfId="93" priority="2729" stopIfTrue="1">
      <formula>I25=$J$9</formula>
    </cfRule>
  </conditionalFormatting>
  <conditionalFormatting sqref="I29:AF29">
    <cfRule type="expression" dxfId="92" priority="2730" stopIfTrue="1">
      <formula>I25=$J$9</formula>
    </cfRule>
  </conditionalFormatting>
  <conditionalFormatting sqref="I25:J25">
    <cfRule type="cellIs" dxfId="91" priority="2724" stopIfTrue="1" operator="notEqual">
      <formula>1</formula>
    </cfRule>
  </conditionalFormatting>
  <conditionalFormatting sqref="H1:AF1">
    <cfRule type="expression" dxfId="90" priority="2742" stopIfTrue="1">
      <formula>IF(OR(ACOMPANHAMENTO="BM",TIPOORCAMENTO="Proposto",H$12&gt;CÁLCULO.NúmeroDeFrentes),TRUE,PLE.ValorDoEvento=0)</formula>
    </cfRule>
    <cfRule type="cellIs" dxfId="89" priority="2743" stopIfTrue="1" operator="equal">
      <formula>$J$9</formula>
    </cfRule>
  </conditionalFormatting>
  <conditionalFormatting sqref="AE6:AE7">
    <cfRule type="expression" dxfId="88" priority="2731" stopIfTrue="1">
      <formula>TIPOORCAMENTO&lt;&gt;"Licitado"</formula>
    </cfRule>
  </conditionalFormatting>
  <conditionalFormatting sqref="N9:T9">
    <cfRule type="expression" dxfId="87" priority="2732" stopIfTrue="1">
      <formula>COLUMN(N9)&gt;COLUMN($AF$12)</formula>
    </cfRule>
    <cfRule type="expression" dxfId="86" priority="2733" stopIfTrue="1">
      <formula>$N$9="DIGITE A DATA DA MEDIÇÃO"</formula>
    </cfRule>
  </conditionalFormatting>
  <conditionalFormatting sqref="I9:M9 U9:AF9">
    <cfRule type="expression" dxfId="85" priority="2734" stopIfTrue="1">
      <formula>COLUMN(I9)&gt;COLUMN($AF$12)</formula>
    </cfRule>
  </conditionalFormatting>
  <conditionalFormatting sqref="K26:AF29">
    <cfRule type="expression" dxfId="84" priority="1740" stopIfTrue="1">
      <formula>I$28=100%</formula>
    </cfRule>
  </conditionalFormatting>
  <conditionalFormatting sqref="J31 L31 N31 P31 R31 T31 V31 X31 Z31 AB31 AD31 AF31">
    <cfRule type="expression" dxfId="83" priority="14451" stopIfTrue="1">
      <formula>J26=$J$9</formula>
    </cfRule>
  </conditionalFormatting>
  <conditionalFormatting sqref="K30:AF30">
    <cfRule type="expression" dxfId="82" priority="1739">
      <formula>OFFSET(K30,-2,-2)=1</formula>
    </cfRule>
  </conditionalFormatting>
  <conditionalFormatting sqref="I30:AF30">
    <cfRule type="expression" dxfId="81" priority="1738">
      <formula>ROUND(I30,4)&gt;ROUND(I28,4)</formula>
    </cfRule>
  </conditionalFormatting>
  <conditionalFormatting sqref="N13">
    <cfRule type="expression" dxfId="80" priority="1737">
      <formula>$Y$9=0</formula>
    </cfRule>
  </conditionalFormatting>
  <conditionalFormatting sqref="F16:F19">
    <cfRule type="expression" dxfId="79" priority="25" stopIfTrue="1">
      <formula>IF(OR(ACOMPANHAMENTO="BM",F$12&gt;CÁLCULO.NúmeroDeFrentes),TRUE,PLE.ValorDoEvento=0)</formula>
    </cfRule>
    <cfRule type="cellIs" dxfId="78" priority="26" stopIfTrue="1" operator="equal">
      <formula>$J$9</formula>
    </cfRule>
  </conditionalFormatting>
  <conditionalFormatting sqref="H16:AF19">
    <cfRule type="expression" dxfId="77" priority="27" stopIfTrue="1">
      <formula>IF(OR(ACOMPANHAMENTO="BM",TIPOORCAMENTO="Proposto",H$12&gt;CÁLCULO.NúmeroDeFrentes),TRUE,PLE.ValorDoEvento=0)</formula>
    </cfRule>
    <cfRule type="cellIs" dxfId="76" priority="28" stopIfTrue="1" operator="equal">
      <formula>$J$9</formula>
    </cfRule>
  </conditionalFormatting>
  <conditionalFormatting sqref="F20">
    <cfRule type="expression" dxfId="75" priority="1" stopIfTrue="1">
      <formula>IF(OR(ACOMPANHAMENTO="BM",F$12&gt;CÁLCULO.NúmeroDeFrentes),TRUE,PLE.ValorDoEvento=0)</formula>
    </cfRule>
    <cfRule type="cellIs" dxfId="74" priority="2" stopIfTrue="1" operator="equal">
      <formula>$J$9</formula>
    </cfRule>
  </conditionalFormatting>
  <conditionalFormatting sqref="H20:AF20">
    <cfRule type="expression" dxfId="73" priority="3" stopIfTrue="1">
      <formula>IF(OR(ACOMPANHAMENTO="BM",TIPOORCAMENTO="Proposto",H$12&gt;CÁLCULO.NúmeroDeFrentes),TRUE,PLE.ValorDoEvento=0)</formula>
    </cfRule>
    <cfRule type="cellIs" dxfId="72" priority="4" stopIfTrue="1" operator="equal">
      <formula>$J$9</formula>
    </cfRule>
  </conditionalFormatting>
  <dataValidations count="3">
    <dataValidation type="whole" operator="greaterThan" allowBlank="1" showErrorMessage="1" sqref="I3:AC4 J9:K9 F1:F4 F16:F20"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0"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4"/>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GLOBAL - (SELECIONAR)</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t="str">
        <f>Import.Proponente</f>
        <v>MUNICÍPIO DE BENTO GONÇALVES</v>
      </c>
      <c r="E5" s="703"/>
      <c r="F5" s="716">
        <f>Import.CR</f>
        <v>0</v>
      </c>
      <c r="G5" s="716"/>
      <c r="H5" s="716"/>
      <c r="I5" s="322">
        <f>Import.TransfereGOV</f>
        <v>0</v>
      </c>
      <c r="J5" s="703" t="str">
        <f>Import.Apelido</f>
        <v>REVITALIZAÇÃO DA PIPA PÓRTICO</v>
      </c>
      <c r="K5" s="703"/>
      <c r="L5" s="703"/>
      <c r="M5" s="703"/>
      <c r="N5" s="70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700" t="s">
        <v>848</v>
      </c>
      <c r="G7" s="700"/>
      <c r="H7" s="700"/>
      <c r="I7" s="700" t="str" cm="1">
        <f t="array" ref="I7">IF(TIPOORCAMENTO="Licitado","REGIME DE EXECUÇÃO","MUNICÍPIO / UF")</f>
        <v>REGIME DE EXECUÇÃO</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aca="1" ref="I8" ca="1">IF(TIPOORCAMENTO="Licitado",Import.RegimeExecução,Import.Município)</f>
        <v>EMPREITADA POR PREÇO GLOBAL</v>
      </c>
      <c r="J8" s="703"/>
      <c r="K8" s="703"/>
      <c r="L8" s="703"/>
      <c r="M8" s="703" t="str" cm="1">
        <f t="array" aca="1" ref="M8" ca="1">TEXT(IF(BM.medicao=1,Import.DataInicioObra,OFFSET($AB$12,0,BM.medicao-1-$AB$13)+1),"dd/mm/aaaa")&amp;" a "&amp;TEXT(OFFSET($AB$12,0,BM.medicao-$AB$13),"dd/mm/aaaa")</f>
        <v>00/01/Saturday a 00/01/Saturday</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IF($J$49&lt;&gt;"",UPPER($J$49),
 "")))))))</f>
        <v>Foi selecionado na aba 'MENU' o acompanhamento por PLE.</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OFFSET(CRONO!$F$13,CRONO!$F$43,0)</f>
        <v>0</v>
      </c>
      <c r="B11" s="418"/>
      <c r="C11" s="693"/>
      <c r="E11" s="556"/>
      <c r="F11" s="815"/>
      <c r="G11" s="815"/>
      <c r="H11" s="815"/>
      <c r="I11" s="815"/>
      <c r="N11" s="557"/>
      <c r="O11" s="558" t="str">
        <f ca="1">IF(ISERROR(P11),"","Administração Local Acumulada: "&amp;TEXT(P11,"0,00%"))</f>
        <v/>
      </c>
      <c r="P11" s="561" t="e">
        <f ca="1">OFFSET($O$15,$A$11,0)/OFFSET($I$15,$A$11,0)</f>
        <v>#DIV/0!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v>
      </c>
      <c r="K12" s="705"/>
      <c r="L12" s="705"/>
      <c r="M12" s="705" t="s">
        <v>856</v>
      </c>
      <c r="N12" s="705"/>
      <c r="O12" s="705"/>
      <c r="Q12" s="705" t="str" cm="1">
        <f t="array" aca="1" ref="Q12" ca="1">"Aferido (CAIXA) "&amp;CHOOSE(MATCH(RegimeExecucao,{"Unitário","Global"},0),"(Qtde.)","(%)")</f>
        <v>Aferido (CAIXA) (%)</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REVITALIZAÇÃO DO PÓRTICO PIPA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IF(OR(ACOMPANHAMENTO="PLE",TIPOORCAMENTO="Proposto"),0,SUMIF(OFFSET($A15,1,0):$A$39,"S",OFFSET(M15,1,0):M$39))</f>
        <v>0</v>
      </c>
      <c r="N15" s="341">
        <f ca="1">O15-M15</f>
        <v>0</v>
      </c>
      <c r="O15" s="341" cm="1">
        <f t="array" aca="1" ref="O15" ca="1">IF(OR(ACOMPANHAMENTO="PLE",TIPOORCAMENTO="Proposto"),0,SUMIF(OFFSET($A15,1,0):$A$39,"S",OFFSET(O15,1,0):O$39))</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PORCENTAGEM executada no PERÍODO</v>
      </c>
      <c r="AC15" s="809"/>
      <c r="AD15" s="809"/>
      <c r="AE15" s="809"/>
      <c r="AF15" s="809"/>
      <c r="AG15" s="809"/>
      <c r="AH15" s="809"/>
      <c r="AI15" s="809"/>
      <c r="AJ15" s="809"/>
      <c r="AK15" s="809"/>
      <c r="AL15" s="809"/>
      <c r="AM15" s="809"/>
    </row>
    <row r="16" spans="1:41" x14ac:dyDescent="0.2">
      <c r="A16">
        <f ca="1">ORÇAMENTO!C16</f>
        <v>1</v>
      </c>
      <c r="B16">
        <f ca="1">ORÇAMENTO!D16</f>
        <v>23</v>
      </c>
      <c r="C16" s="114" t="str">
        <f t="shared" ref="C16:C38" ca="1" si="1">IF(OR($I16&gt;0,$A16=1,$A16=2,$A16=3,$A16=4),"F","")</f>
        <v>F</v>
      </c>
      <c r="D16" s="117" t="str">
        <f ca="1">ORÇAMENTO!O16</f>
        <v>1.</v>
      </c>
      <c r="E16" s="163" t="str">
        <f t="shared" ref="E16:E38" si="2">ORÇAMENTO.Descricao</f>
        <v>REVITALIZAÇÃO DO PÓRTICO PIPA</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0</v>
      </c>
      <c r="J16" s="333" cm="1">
        <f t="array" aca="1" ref="J16" ca="1">IF($A16="S",IF(CAIXA.Modo,BM.AFAnterior,BM.MEDAnterior),IF(AND(RegimeExecucao="Global",$I16&gt;0,COUNTIF($AB$13:$AM$13,BM.medicao-1)&gt;0),M16/$I16*100,0))</f>
        <v>0</v>
      </c>
      <c r="K16" s="122">
        <f t="shared" ref="K16:K38"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38" ca="1" si="4">O16-M16</f>
        <v>0</v>
      </c>
      <c r="O16" s="125" cm="1">
        <f t="array" aca="1" ref="O16" ca="1">IF($A16="S",VTOTALBM,IF($A16=0,0,ROUND(SomaAgrupBM,15-13*ORÇAMENTO!$AF$11)))</f>
        <v>0</v>
      </c>
      <c r="Q16" s="337"/>
      <c r="R16" s="338"/>
      <c r="T16" s="117" t="str">
        <f t="shared" ref="T16:T38" ca="1" si="5">IF($W16&gt;0,$D16,"")</f>
        <v/>
      </c>
      <c r="U16" s="163" t="str">
        <f t="shared" ref="U16:U38"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38"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6</v>
      </c>
      <c r="C17" s="114" t="str">
        <f t="shared" ca="1" si="1"/>
        <v>F</v>
      </c>
      <c r="D17" s="117" t="str">
        <f ca="1">ORÇAMENTO!O17</f>
        <v>1.1.</v>
      </c>
      <c r="E17" s="163" t="str">
        <f t="shared" si="2"/>
        <v>SERVIÇOS INICIAIS</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2</v>
      </c>
      <c r="B23">
        <f ca="1">ORÇAMENTO!D23</f>
        <v>2</v>
      </c>
      <c r="C23" s="114" t="str">
        <f t="shared" ca="1" si="1"/>
        <v>F</v>
      </c>
      <c r="D23" s="117" t="str">
        <f ca="1">ORÇAMENTO!O23</f>
        <v>1.2.</v>
      </c>
      <c r="E23" s="163" t="str">
        <f t="shared" si="2"/>
        <v>ADMINISTRAÇÃO LOCAL</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4" t="str">
        <f t="shared" ca="1" si="1"/>
        <v/>
      </c>
      <c r="D24" s="117" t="str">
        <f ca="1">ORÇAMENTO!O24</f>
        <v>-</v>
      </c>
      <c r="E24" s="163" t="str">
        <f t="shared" ca="1" si="2"/>
        <v>(Código não identificado nas referências)</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4</v>
      </c>
      <c r="C25" s="114" t="str">
        <f t="shared" ca="1" si="1"/>
        <v>F</v>
      </c>
      <c r="D25" s="117" t="str">
        <f ca="1">ORÇAMENTO!O25</f>
        <v>1.3.</v>
      </c>
      <c r="E25" s="163" t="str">
        <f t="shared" si="2"/>
        <v>LIMPEZA E PREPARO DA ESTRUTURA</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5</v>
      </c>
      <c r="C29" s="114" t="str">
        <f t="shared" ca="1" si="1"/>
        <v>F</v>
      </c>
      <c r="D29" s="117" t="str">
        <f ca="1">ORÇAMENTO!O29</f>
        <v>1.4.</v>
      </c>
      <c r="E29" s="163" t="str">
        <f t="shared" si="2"/>
        <v>RECUPERAÇÃO, REVESTIMENTO E PROTEÇÃO DA ESTRUTURA</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51"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2</v>
      </c>
      <c r="B34">
        <f ca="1">ORÇAMENTO!D34</f>
        <v>5</v>
      </c>
      <c r="C34" s="114" t="str">
        <f t="shared" ca="1" si="1"/>
        <v>F</v>
      </c>
      <c r="D34" s="117" t="str">
        <f ca="1">ORÇAMENTO!O34</f>
        <v>1.5.</v>
      </c>
      <c r="E34" s="163" t="str">
        <f t="shared" si="2"/>
        <v>SERVIÇOS FINAIS</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5.0999999999999996" customHeight="1" x14ac:dyDescent="0.2">
      <c r="C39" s="114" t="s">
        <v>536</v>
      </c>
      <c r="D39" s="618"/>
      <c r="E39" s="619"/>
      <c r="F39" s="619"/>
      <c r="G39" s="619"/>
      <c r="H39" s="619"/>
      <c r="I39" s="419"/>
      <c r="J39" s="618"/>
      <c r="K39" s="619"/>
      <c r="L39" s="419"/>
      <c r="M39" s="434"/>
      <c r="N39" s="435"/>
      <c r="O39" s="436"/>
      <c r="Q39" s="618"/>
      <c r="R39" s="419"/>
      <c r="T39" s="618"/>
      <c r="U39" s="619"/>
      <c r="V39" s="619"/>
      <c r="W39" s="619"/>
      <c r="X39" s="619"/>
      <c r="Y39" s="619"/>
      <c r="Z39" s="419"/>
      <c r="AB39" s="618"/>
      <c r="AC39" s="619"/>
      <c r="AD39" s="619"/>
      <c r="AE39" s="619"/>
      <c r="AF39" s="619"/>
      <c r="AG39" s="619"/>
      <c r="AH39" s="619"/>
      <c r="AI39" s="619"/>
      <c r="AJ39" s="619"/>
      <c r="AK39" s="619"/>
      <c r="AL39" s="619"/>
      <c r="AM39" s="419"/>
    </row>
    <row r="41" spans="1:41" ht="14.25" x14ac:dyDescent="0.2">
      <c r="D41" s="810" t="s">
        <v>689</v>
      </c>
      <c r="E41" s="810"/>
      <c r="F41" s="810"/>
      <c r="G41" s="810"/>
      <c r="H41" s="810"/>
      <c r="I41" s="810"/>
      <c r="J41" s="810"/>
      <c r="K41" s="810"/>
      <c r="L41" s="810"/>
      <c r="M41" s="810"/>
      <c r="N41" s="810"/>
      <c r="O41" s="810"/>
      <c r="T41" s="811" t="s">
        <v>865</v>
      </c>
      <c r="U41" s="811"/>
      <c r="V41" s="811"/>
      <c r="W41" s="811"/>
      <c r="X41" s="811"/>
      <c r="Y41" s="811"/>
      <c r="Z41" s="811"/>
    </row>
    <row r="42" spans="1:41" ht="12.75" customHeight="1" x14ac:dyDescent="0.2">
      <c r="D42" s="721"/>
      <c r="E42" s="721"/>
      <c r="F42" s="721"/>
      <c r="G42" s="721"/>
      <c r="H42" s="721"/>
      <c r="I42" s="721"/>
      <c r="J42" s="721"/>
      <c r="K42" s="721"/>
      <c r="L42" s="721"/>
      <c r="M42" s="721"/>
      <c r="N42" s="721"/>
      <c r="O42" s="721"/>
      <c r="T42" s="812"/>
      <c r="U42" s="812"/>
      <c r="V42" s="812"/>
      <c r="W42" s="812"/>
      <c r="X42" s="812"/>
      <c r="Y42" s="812"/>
      <c r="Z42" s="812"/>
    </row>
    <row r="43" spans="1:41" ht="12.75" customHeight="1" x14ac:dyDescent="0.2">
      <c r="D43" s="721"/>
      <c r="E43" s="721"/>
      <c r="F43" s="721"/>
      <c r="G43" s="721"/>
      <c r="H43" s="721"/>
      <c r="I43" s="721"/>
      <c r="J43" s="721"/>
      <c r="K43" s="721"/>
      <c r="L43" s="721"/>
      <c r="M43" s="721"/>
      <c r="N43" s="721"/>
      <c r="O43" s="721"/>
      <c r="T43" s="812"/>
      <c r="U43" s="812"/>
      <c r="V43" s="812"/>
      <c r="W43" s="812"/>
      <c r="X43" s="812"/>
      <c r="Y43" s="812"/>
      <c r="Z43" s="812"/>
    </row>
    <row r="44" spans="1:41" ht="12.75" customHeight="1" x14ac:dyDescent="0.2">
      <c r="D44" s="721"/>
      <c r="E44" s="721"/>
      <c r="F44" s="721"/>
      <c r="G44" s="721"/>
      <c r="H44" s="721"/>
      <c r="I44" s="721"/>
      <c r="J44" s="721"/>
      <c r="K44" s="721"/>
      <c r="L44" s="721"/>
      <c r="M44" s="721"/>
      <c r="N44" s="721"/>
      <c r="O44" s="721"/>
      <c r="T44" s="812"/>
      <c r="U44" s="812"/>
      <c r="V44" s="812"/>
      <c r="W44" s="812"/>
      <c r="X44" s="812"/>
      <c r="Y44" s="812"/>
      <c r="Z44" s="812"/>
    </row>
    <row r="45" spans="1:41" ht="14.25" x14ac:dyDescent="0.2">
      <c r="D45" s="443"/>
      <c r="E45" s="443"/>
      <c r="F45" s="443"/>
      <c r="G45" s="443"/>
      <c r="H45" s="443"/>
      <c r="I45" s="443"/>
      <c r="J45" s="443"/>
      <c r="K45" s="443"/>
      <c r="L45" s="443"/>
      <c r="M45" s="443"/>
      <c r="N45" s="443"/>
      <c r="O45" s="443"/>
    </row>
    <row r="46" spans="1:41" ht="15" customHeight="1" x14ac:dyDescent="0.25">
      <c r="D46" s="722" t="str" cm="1">
        <f t="array" aca="1" ref="D46"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46" s="722"/>
      <c r="F46" s="722"/>
      <c r="G46" s="722"/>
      <c r="H46" s="722"/>
      <c r="I46" s="722"/>
      <c r="J46" s="722"/>
      <c r="K46" s="722"/>
      <c r="L46" s="722"/>
    </row>
    <row r="47" spans="1:41" x14ac:dyDescent="0.2">
      <c r="D47" s="808"/>
      <c r="E47" s="808"/>
      <c r="F47" s="808"/>
      <c r="G47" s="808"/>
      <c r="H47" s="808"/>
      <c r="I47" s="808"/>
    </row>
    <row r="48" spans="1:41" x14ac:dyDescent="0.2">
      <c r="D48"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8" s="806"/>
      <c r="F48" s="806"/>
      <c r="G48" s="806"/>
      <c r="H48" s="806"/>
      <c r="I48" s="806"/>
      <c r="J48" s="806"/>
      <c r="K48" s="806"/>
      <c r="L48" s="806"/>
      <c r="M48" s="806"/>
      <c r="N48" s="806"/>
      <c r="O48" s="806"/>
    </row>
    <row r="49" spans="5:26" ht="39.950000000000003" customHeight="1" x14ac:dyDescent="0.25">
      <c r="E49" s="138" t="str">
        <f>Import.Município</f>
        <v>BENTO GONÇALVES/RS</v>
      </c>
      <c r="J49" s="585" t="str">
        <f ca="1">IF(DADOS!$D$50&lt;&gt;"","Preencher os Dados do Responsável pela Fiscalização, na aba DADOS.","")</f>
        <v/>
      </c>
      <c r="K49" s="585"/>
      <c r="L49" s="585"/>
      <c r="M49" s="585"/>
      <c r="W49" s="807"/>
      <c r="X49" s="807"/>
      <c r="Y49" s="807"/>
      <c r="Z49" s="807"/>
    </row>
    <row r="50" spans="5:26" x14ac:dyDescent="0.2">
      <c r="E50" s="9" t="s">
        <v>693</v>
      </c>
      <c r="J50" s="181" t="s">
        <v>841</v>
      </c>
      <c r="W50" s="181" t="s">
        <v>866</v>
      </c>
    </row>
    <row r="51" spans="5:26" x14ac:dyDescent="0.2">
      <c r="J51" s="77" t="s">
        <v>240</v>
      </c>
      <c r="K51" s="271">
        <f t="array" ref="K51:K54">Import.RespFiscalização</f>
        <v>0</v>
      </c>
      <c r="L51" s="78"/>
      <c r="W51" s="77" t="s">
        <v>240</v>
      </c>
      <c r="X51" s="805"/>
      <c r="Y51" s="805"/>
      <c r="Z51" s="805"/>
    </row>
    <row r="52" spans="5:26" x14ac:dyDescent="0.2">
      <c r="E52" s="459">
        <f>DADOS!$C$48</f>
        <v>0</v>
      </c>
      <c r="J52" s="77" t="s">
        <v>319</v>
      </c>
      <c r="K52" s="271">
        <v>0</v>
      </c>
      <c r="L52" s="78"/>
      <c r="W52" s="77" t="s">
        <v>867</v>
      </c>
      <c r="X52" s="805"/>
      <c r="Y52" s="805"/>
      <c r="Z52" s="805"/>
    </row>
    <row r="53" spans="5:26" x14ac:dyDescent="0.2">
      <c r="E53" s="140" t="s">
        <v>694</v>
      </c>
      <c r="J53" s="77" t="s">
        <v>243</v>
      </c>
      <c r="K53" s="271">
        <v>0</v>
      </c>
      <c r="L53" s="78"/>
      <c r="W53" s="77" t="s">
        <v>243</v>
      </c>
      <c r="X53" s="805"/>
      <c r="Y53" s="805"/>
      <c r="Z53" s="805"/>
    </row>
    <row r="54" spans="5:26" x14ac:dyDescent="0.2">
      <c r="J54" s="77" t="s">
        <v>246</v>
      </c>
      <c r="K54" s="12">
        <v>0</v>
      </c>
      <c r="W54" s="77"/>
      <c r="X54" s="12"/>
    </row>
  </sheetData>
  <sheetProtection algorithmName="SHA-512" hashValue="baKayVjcewlp/SNGJDkxbQ3HsZC4BeZVAypbW69aM+Vn67sDb3YdS7+SkNHWwwlKuECdCKhg0yiZ+tQb88MjtQ==" saltValue="zcJCV4aUKEUqhYbXMCSt7Q==" spinCount="100000" sheet="1" objects="1" scenarios="1" autoFilter="0"/>
  <autoFilter ref="C15:C39" xr:uid="{00000000-0009-0000-0000-00000B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46:L46"/>
    <mergeCell ref="D47:I47"/>
    <mergeCell ref="AB15:AM15"/>
    <mergeCell ref="D41:O41"/>
    <mergeCell ref="T41:Z41"/>
    <mergeCell ref="D42:O44"/>
    <mergeCell ref="T42:Z44"/>
    <mergeCell ref="D15:E15"/>
    <mergeCell ref="X53:Z53"/>
    <mergeCell ref="D48:O48"/>
    <mergeCell ref="W49:Z49"/>
    <mergeCell ref="X51:Z51"/>
    <mergeCell ref="X52:Z52"/>
  </mergeCells>
  <phoneticPr fontId="38" type="noConversion"/>
  <conditionalFormatting sqref="D14:O14 T14:Z14 D35:O38 T35:Z38 D16:O22 T16:Z22">
    <cfRule type="expression" dxfId="71" priority="18587" stopIfTrue="1">
      <formula>OR(ACOMPANHAMENTO="PLE",TIPOORCAMENTO="Proposto",$L14&lt;0,AND($L14&gt;100,RegimeExecucao="Global"),$O14&gt;$I14,$O14&lt;0)</formula>
    </cfRule>
    <cfRule type="expression" dxfId="70" priority="18588" stopIfTrue="1">
      <formula>$A14=1</formula>
    </cfRule>
    <cfRule type="expression" dxfId="69" priority="18589" stopIfTrue="1">
      <formula>$A14&lt;&gt;"S"</formula>
    </cfRule>
  </conditionalFormatting>
  <conditionalFormatting sqref="Q14:R14 AB14:AM14 Q35:R38 AB35:AM38 Q16:R22 AB16:AM22">
    <cfRule type="expression" dxfId="68" priority="18590" stopIfTrue="1">
      <formula>$A14=1</formula>
    </cfRule>
    <cfRule type="expression" dxfId="67" priority="18591" stopIfTrue="1">
      <formula>$A14&lt;&gt;"S"</formula>
    </cfRule>
  </conditionalFormatting>
  <conditionalFormatting sqref="E2">
    <cfRule type="expression" dxfId="66" priority="18592" stopIfTrue="1">
      <formula>Import.RegimeExecução="(SELECIONAR)"</formula>
    </cfRule>
  </conditionalFormatting>
  <conditionalFormatting sqref="F13:H13">
    <cfRule type="expression" dxfId="65" priority="18593" stopIfTrue="1">
      <formula>RegimeExecucao="Global"</formula>
    </cfRule>
  </conditionalFormatting>
  <conditionalFormatting sqref="D15:O15">
    <cfRule type="expression" dxfId="64" priority="18594" stopIfTrue="1">
      <formula>OR(ACOMPANHAMENTO="PLE",TIPOORCAMENTO="Proposto")</formula>
    </cfRule>
  </conditionalFormatting>
  <conditionalFormatting sqref="AB13">
    <cfRule type="cellIs" dxfId="63" priority="18595" stopIfTrue="1" operator="notEqual">
      <formula>1</formula>
    </cfRule>
  </conditionalFormatting>
  <conditionalFormatting sqref="O11">
    <cfRule type="expression" dxfId="62" priority="13454">
      <formula>ROUND($P$11,4)&gt;ROUND($P$10,4)</formula>
    </cfRule>
  </conditionalFormatting>
  <conditionalFormatting sqref="T25:Z25 D25:O25">
    <cfRule type="expression" dxfId="61" priority="141" stopIfTrue="1">
      <formula>OR(ACOMPANHAMENTO="PLE",TIPOORCAMENTO="Proposto",$L25&lt;0,AND($L25&gt;100,RegimeExecucao="Global"),$O25&gt;$I25,$O25&lt;0)</formula>
    </cfRule>
    <cfRule type="expression" dxfId="60" priority="142" stopIfTrue="1">
      <formula>$A25=1</formula>
    </cfRule>
    <cfRule type="expression" dxfId="59" priority="143" stopIfTrue="1">
      <formula>$A25&lt;&gt;"S"</formula>
    </cfRule>
  </conditionalFormatting>
  <conditionalFormatting sqref="AB25:AM25 Q25:R25">
    <cfRule type="expression" dxfId="58" priority="144" stopIfTrue="1">
      <formula>$A25=1</formula>
    </cfRule>
    <cfRule type="expression" dxfId="57" priority="145" stopIfTrue="1">
      <formula>$A25&lt;&gt;"S"</formula>
    </cfRule>
  </conditionalFormatting>
  <conditionalFormatting sqref="D26:O34 T26:Z34">
    <cfRule type="expression" dxfId="56" priority="136" stopIfTrue="1">
      <formula>OR(ACOMPANHAMENTO="PLE",TIPOORCAMENTO="Proposto",$L26&lt;0,AND($L26&gt;100,RegimeExecucao="Global"),$O26&gt;$I26,$O26&lt;0)</formula>
    </cfRule>
    <cfRule type="expression" dxfId="55" priority="137" stopIfTrue="1">
      <formula>$A26=1</formula>
    </cfRule>
    <cfRule type="expression" dxfId="54" priority="138" stopIfTrue="1">
      <formula>$A26&lt;&gt;"S"</formula>
    </cfRule>
  </conditionalFormatting>
  <conditionalFormatting sqref="Q26:R34 AB26:AM34">
    <cfRule type="expression" dxfId="53" priority="139" stopIfTrue="1">
      <formula>$A26=1</formula>
    </cfRule>
    <cfRule type="expression" dxfId="52" priority="140" stopIfTrue="1">
      <formula>$A26&lt;&gt;"S"</formula>
    </cfRule>
  </conditionalFormatting>
  <conditionalFormatting sqref="D23:O24 T23:Z24">
    <cfRule type="expression" dxfId="51" priority="1" stopIfTrue="1">
      <formula>OR(ACOMPANHAMENTO="PLE",TIPOORCAMENTO="Proposto",$L23&lt;0,AND($L23&gt;100,RegimeExecucao="Global"),$O23&gt;$I23,$O23&lt;0)</formula>
    </cfRule>
    <cfRule type="expression" dxfId="50" priority="2" stopIfTrue="1">
      <formula>$A23=1</formula>
    </cfRule>
    <cfRule type="expression" dxfId="49" priority="3" stopIfTrue="1">
      <formula>$A23&lt;&gt;"S"</formula>
    </cfRule>
  </conditionalFormatting>
  <conditionalFormatting sqref="Q23:R24 AB23:AM24">
    <cfRule type="expression" dxfId="48" priority="4" stopIfTrue="1">
      <formula>$A23=1</formula>
    </cfRule>
    <cfRule type="expression" dxfId="47" priority="5" stopIfTrue="1">
      <formula>$A23&lt;&gt;"S"</formula>
    </cfRule>
  </conditionalFormatting>
  <dataValidations count="4">
    <dataValidation type="list" allowBlank="1" showErrorMessage="1" sqref="Z14 Z16:Z38"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8"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8"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t="str">
        <f>Import.Proponente</f>
        <v>MUNICÍPIO DE BENTO GONÇALVES</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REVITALIZAÇÃO DA PIPA PÓRTICO</v>
      </c>
      <c r="F7" s="703"/>
      <c r="G7" s="703"/>
      <c r="H7" s="703"/>
      <c r="I7" s="841" t="str">
        <f>Import.Município</f>
        <v>BENTO GONÇALVES/RS</v>
      </c>
      <c r="J7" s="841"/>
      <c r="K7" s="841"/>
      <c r="L7" s="841"/>
      <c r="M7" s="353">
        <f>Import.Repasse</f>
        <v>0</v>
      </c>
      <c r="N7" s="354">
        <f>Import.Contrapartida</f>
        <v>0</v>
      </c>
      <c r="O7" s="353">
        <f>M7+N7</f>
        <v>0</v>
      </c>
      <c r="P7" s="423">
        <f>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Normal</v>
      </c>
      <c r="H10" s="705"/>
      <c r="I10" s="358">
        <f>DATE(YEAR($L$35),MONTH($L$35),1)</f>
        <v>1</v>
      </c>
      <c r="J10" s="359">
        <f ca="1">IF($I$10&lt;DATE(YEAR(CRONO!$U$13),MONTH(CRONO!$U$13),1),0,IF($I$10&gt;OFFSET(CRONO!$AG$13,0,-1),1,INDEX(CRONO!$T$38:$AH$38,MATCH(RRE!$I$10,CRONO!$T$13:$AG$13,0))))</f>
        <v>0</v>
      </c>
      <c r="K10" s="355"/>
      <c r="L10" s="843"/>
      <c r="M10" s="360">
        <f ca="1">QCI!L10</f>
        <v>0</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MATCH(E12,ORÇAMENTO!$E$15:$E$39,0)-1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MATCH(E14,ORÇAMENTO!$E$15:$E$39,0)-1</f>
        <v>1</v>
      </c>
      <c r="B14">
        <f ca="1">IF(ISERROR($A14),NA(),OFFSET(ORÇAMENTO!$D$15,$A14,0))</f>
        <v>23</v>
      </c>
      <c r="C14" t="str">
        <f ca="1">QCI!B14</f>
        <v>Automático</v>
      </c>
      <c r="D14" t="str">
        <f t="shared" ref="D14:D22" ca="1" si="0">IF(L14&gt;0,"F","")</f>
        <v/>
      </c>
      <c r="E14" s="281">
        <f>QCI!D14</f>
        <v>1</v>
      </c>
      <c r="F14" s="362" t="str">
        <f ca="1">QCI!G14</f>
        <v>REVITALIZAÇÃO DO PÓRTICO PIPA</v>
      </c>
      <c r="G14" s="363">
        <f>QCI!H14</f>
        <v>0</v>
      </c>
      <c r="H14" s="282">
        <f>QCI!I14</f>
        <v>0</v>
      </c>
      <c r="I14" s="282" t="str">
        <f ca="1">QCI!J14</f>
        <v/>
      </c>
      <c r="J14" s="364">
        <f ca="1">QCI!K14</f>
        <v>0</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MATCH(E15,ORÇAMENTO!$E$15:$E$39,0)-1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MATCH(E16,ORÇAMENTO!$E$15:$E$39,0)-1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MATCH(E17,ORÇAMENTO!$E$15:$E$39,0)-1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MATCH(E18,ORÇAMENTO!$E$15:$E$39,0)-1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MATCH(E19,ORÇAMENTO!$E$15:$E$39,0)-1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MATCH(E20,ORÇAMENTO!$E$15:$E$39,0)-1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MATCH(E21,ORÇAMENTO!$E$15:$E$39,0)-1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MATCH(E22,ORÇAMENTO!$E$15:$E$39,0)-1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MATCH(E23,ORÇAMENTO!$E$15:$E$39,0)-1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26" t="s">
        <v>889</v>
      </c>
      <c r="K24" s="827"/>
      <c r="L24" s="369">
        <f ca="1">IF(ISERROR(L28/$L28),0,ROUND(L28/$L28,4))</f>
        <v>0</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0</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0</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3" t="str">
        <f>Import.Município</f>
        <v>BENTO GONÇALVES/RS</v>
      </c>
      <c r="F35" s="723"/>
      <c r="G35" s="723"/>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Diogo Segabinazzi Siqueira</v>
      </c>
      <c r="L40" s="77" t="s">
        <v>240</v>
      </c>
      <c r="M40" s="806">
        <f>IF(CAIXA.Modo,BM!X51,DADOS!C51)</f>
        <v>0</v>
      </c>
      <c r="N40" s="806"/>
      <c r="O40" s="806"/>
    </row>
    <row r="41" spans="5:16" x14ac:dyDescent="0.2">
      <c r="E41" s="77" t="str">
        <f>IF(CAIXA.Modo,"Função:","Cargo:")</f>
        <v>Cargo:</v>
      </c>
      <c r="F41" s="271" t="str">
        <f>IF(CAIXA.Modo,DADOS!C61,DADOS!C29)</f>
        <v>Prefeito</v>
      </c>
      <c r="L41" s="77" t="str">
        <f>IF(CAIXA.Modo,"Matrícula:","Profissão:")</f>
        <v>Profissão:</v>
      </c>
      <c r="M41" s="806">
        <f>IF(CAIXA.Modo,BM!X52,DADOS!C52)</f>
        <v>0</v>
      </c>
      <c r="N41" s="806"/>
      <c r="O41" s="806"/>
    </row>
    <row r="42" spans="5:16" x14ac:dyDescent="0.2">
      <c r="L42" s="77" t="s">
        <v>243</v>
      </c>
      <c r="M42" s="806">
        <f>IF(CAIXA.Modo,BM!X53,DADOS!C53)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VM1ubeT4VkQEFvJHaAKNDTAZfxxXgw+Lm+MX74Mj7u3XHH7qz2XTWTIam5tXQhHmvAX0rdnzz3iD5+oAsHGBww==" saltValue="sDxWg3FNm5BOSUpz6v8XR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BENTO GONÇALVES/RS, 00 de January de Saturday</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REVITALIZAÇÃO DO PÓRTICO PIPA</v>
      </c>
      <c r="D18" s="857"/>
      <c r="E18" s="857"/>
      <c r="F18" s="857"/>
      <c r="G18" s="857"/>
    </row>
    <row r="19" spans="2:7" ht="12.75" customHeight="1" x14ac:dyDescent="0.2">
      <c r="B19" s="853" t="s">
        <v>903</v>
      </c>
      <c r="C19" s="854" t="str">
        <f>Import.Proponente</f>
        <v>MUNICÍPIO DE BENTO GONÇALVES</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0</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0</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Diogo Segabinazzi Siqueira</v>
      </c>
      <c r="C54" s="845"/>
      <c r="D54" s="845"/>
      <c r="E54" s="845"/>
      <c r="F54" s="845"/>
      <c r="G54" s="845"/>
    </row>
    <row r="55" spans="2:7" x14ac:dyDescent="0.2">
      <c r="B55" s="845" t="str">
        <f>DADOS!$C$29</f>
        <v>Prefeito</v>
      </c>
      <c r="C55" s="845"/>
      <c r="D55" s="845"/>
      <c r="E55" s="845"/>
      <c r="F55" s="845"/>
      <c r="G55" s="845"/>
    </row>
    <row r="56" spans="2:7" x14ac:dyDescent="0.2">
      <c r="B56" s="846"/>
      <c r="C56" s="846"/>
      <c r="D56" s="846"/>
      <c r="E56" s="846"/>
      <c r="F56" s="846"/>
      <c r="G56" s="846"/>
    </row>
  </sheetData>
  <sheetProtection algorithmName="SHA-512" hashValue="YrCzKJ7vxdDYIyh8wGksT/xGAD+IBP+QWglQDK33LhLaT1GgFTsn26gzfoTFQAqGlpRgLfDDrvbaLUF+RWmQPA==" saltValue="1WcdrB+nCMh4E2fjVl/Ss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20</vt:i4>
      </vt:variant>
    </vt:vector>
  </HeadingPairs>
  <TitlesOfParts>
    <vt:vector size="3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CRONOPLE!Print_Area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app</cp:lastModifiedBy>
  <cp:revision>5</cp:revision>
  <cp:lastPrinted>2026-02-20T17:52:38Z</cp:lastPrinted>
  <dcterms:created xsi:type="dcterms:W3CDTF">1997-01-10T22:22:50Z</dcterms:created>
  <dcterms:modified xsi:type="dcterms:W3CDTF">2026-04-22T21:00:02Z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