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EB34BF91-B3DE-4673-9D4E-07D1314F958C}" xr6:coauthVersionLast="47" xr6:coauthVersionMax="47" xr10:uidLastSave="{00000000-0000-0000-0000-000000000000}"/>
  <workbookProtection workbookAlgorithmName="SHA-512" workbookHashValue="V44+W0NarjPQAwJB8An8F+1PMww3sk10LxvB4dn0DvBWcX24mPVaMFqpW6Qm6Jqc0Wq0RlEtL190We9Kdk8K+Q==" workbookSaltValue="hW/6CGjvu1oPXXY7bhNHWw==" workbookSpinCount="100000" lockStructure="1"/>
  <bookViews>
    <workbookView xWindow="1950" yWindow="1950" windowWidth="14400" windowHeight="8145" tabRatio="801" firstSheet="2" activeTab="7"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s>
  <definedNames>
    <definedName name="_xlnm._FilterDatabase" localSheetId="3" hidden="1">BDI!$I$11:$I$132</definedName>
    <definedName name="_xlnm._FilterDatabase" localSheetId="11" hidden="1">BM!$C$15:$C$36</definedName>
    <definedName name="_xlnm._FilterDatabase" localSheetId="6" hidden="1">CÁLCULO!$C$15:$C$36</definedName>
    <definedName name="_xlnm._FilterDatabase" localSheetId="8" hidden="1">CRONO!$F$13:$F$33</definedName>
    <definedName name="_xlnm._FilterDatabase" localSheetId="7" hidden="1">CRONOPLE!$A$13:$A$30</definedName>
    <definedName name="_xlnm._FilterDatabase" localSheetId="5" hidden="1">EVENTOS!$A$13:$A$24</definedName>
    <definedName name="_xlnm._FilterDatabase" localSheetId="4" hidden="1">ORÇAMENTO!$L$15:$L$36</definedName>
    <definedName name="_xlnm._FilterDatabase" localSheetId="10" hidden="1">PLE!$A$13:$A$31</definedName>
    <definedName name="_xlnm._FilterDatabase" localSheetId="9" hidden="1">QCI!$C$13:$C$25</definedName>
    <definedName name="_xlnm._FilterDatabase" localSheetId="12" hidden="1">RRE!$D$13:$D$30</definedName>
    <definedName name="ACOMPANHAMENTO" hidden="1">IF(VALUE(MENU!$O$4)=2,"BM","PLE")</definedName>
    <definedName name="AUTOEVENTO" hidden="1">CÁLCULO!$A$12</definedName>
    <definedName name="BDI.ColAux" hidden="1">BDI!$A:$G</definedName>
    <definedName name="BDI.Filtro" hidden="1">BDI!$I$11:$I$132</definedName>
    <definedName name="BDI.Opcao" hidden="1">DADOS!$F$18</definedName>
    <definedName name="BDI.TipoObra" hidden="1">BDI!$A$138:$A$146</definedName>
    <definedName name="BM.AFAcumulado" hidden="1">BM!$R1</definedName>
    <definedName name="BM.AFAnterior" hidden="1">BM!$Q1</definedName>
    <definedName name="BM.CaixaColunas" hidden="1">BM!$Q:$AA</definedName>
    <definedName name="BM.Filtro" hidden="1">BM!$C$15:$C$36</definedName>
    <definedName name="BM.firstrow" hidden="1">BM!$15:$15</definedName>
    <definedName name="BM.FormulaMed" hidden="1">BM!$AO$7</definedName>
    <definedName name="BM.lastrow" hidden="1">BM!$36:$36</definedName>
    <definedName name="BM.LinhaPadrão" hidden="1">BM!$14:$14</definedName>
    <definedName name="BM.MaxMed" hidden="1">IF(RegimeExecucao="Global",1,BM!$G1)</definedName>
    <definedName name="BM.MCAIXA.Filter" hidden="1">BM!$C$15:$Z$36</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Filtro" hidden="1">CÁLCULO!$C$15:$C$36</definedName>
    <definedName name="CÁLCULO.firstcol" hidden="1">CÁLCULO!$P:$P</definedName>
    <definedName name="CÁLCULO.firstrow" hidden="1">CÁLCULO!$15:$15</definedName>
    <definedName name="CÁLCULO.Frenterow" hidden="1">CÁLCULO!$12:$12</definedName>
    <definedName name="CÁLCULO.lastcol" hidden="1">CÁLCULO!$AI:$AI</definedName>
    <definedName name="CÁLCULO.lastrow" hidden="1">CÁLCULO!$36:$36</definedName>
    <definedName name="CÁLCULO.LinhaPadrão" hidden="1">CÁLCULO!$14:$14</definedName>
    <definedName name="CÁLCULO.margemrow" hidden="1">CÁLCULO!$44:$44</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CÁLCULO!$36:$36</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CÁLCULO!$36:$36</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CÁLCULO!$36:$36</definedName>
    <definedName name="CÁLCULO.nEvento" hidden="1">CÁLCULO!$M$12</definedName>
    <definedName name="CÁLCULO.NúmeroDeEventos" hidden="1">IF(AUTOEVENTO&lt;&gt;"manual",MAX(CÁLCULO!$M$15:$M$36),MAX(OFFSET(EVENTOS!$C$1:$C$17,1,0)))</definedName>
    <definedName name="CÁLCULO.NúmeroDeFrentes" hidden="1">COLUMN(CÁLCULO!$AI$15)-COLUMN(CÁLCULO!$Q$15)</definedName>
    <definedName name="CÁLCULO.Título" hidden="1">CÁLCULO!$F$6</definedName>
    <definedName name="CÁLCULO.TotalAdmLocal" hidden="1">IF(AUTOEVENTO="manual",SUMIF(CÁLCULO!$M$15:$M$36,1,ORÇAMENTO!$X$15:$X$36),0)</definedName>
    <definedName name="CRONO.ColAux" hidden="1">CRONO!$L:$Q</definedName>
    <definedName name="CRONO.ColunaPadrão" hidden="1">CRONO!$D:$D</definedName>
    <definedName name="CRONO.Filtro" hidden="1">CRONO!$F$13:$F$33</definedName>
    <definedName name="CRONO.FirstCol" hidden="1">CRONO!$S:$S</definedName>
    <definedName name="CRONO.firstrow" hidden="1">CRONO!$13:$13</definedName>
    <definedName name="CRONO.Frenterow" hidden="1">CRONO!$12:$12</definedName>
    <definedName name="CRONO.LastCol" hidden="1">CRONO!$AF:$AF</definedName>
    <definedName name="CRONO.lastrow" hidden="1">CRONO!$28:$28</definedName>
    <definedName name="CRONO.LinhaPadrão" hidden="1">CRONO!$1:$3</definedName>
    <definedName name="CRONO.LinhasNecessarias" hidden="1">COUNTIF(QCI!$B$13:$B$24,"Manual")+COUNTIF(QCI!$B$13:$B$24,"SemiAuto")+COUNT(ORÇAMENTO.ListaCrono)</definedName>
    <definedName name="CRONO.margemrow" hidden="1">CRONO!$33:$33</definedName>
    <definedName name="CRONO.MaxParc" hidden="1">CRONO!$G1048576+CRONO!A1</definedName>
    <definedName name="CRONO.NivelExibicao" hidden="1">CRONO!$G$10</definedName>
    <definedName name="CRONO.Parcela1" hidden="1">CRONO!$T$12:$T$13</definedName>
    <definedName name="CRONO.Título" hidden="1">CRONO!$R$4</definedName>
    <definedName name="CRONOPLE.ColunaPadrão" hidden="1">CRONOPLE!$E:$E</definedName>
    <definedName name="CRONOPLE.Filtro" hidden="1">CRONOPLE!$A$13:$A$30</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CRONOPLE!$17:$17</definedName>
    <definedName name="CRONOPLE.lastrow2" hidden="1">CRONOPLE!$25:$25</definedName>
    <definedName name="CRONOPLE.LinhaPadrão" hidden="1">CRONOPLE!$1:$1</definedName>
    <definedName name="CRONOPLE.margemrow" hidden="1">CRONOPLE!$32:$32</definedName>
    <definedName name="CRONOPLE.Título" hidden="1">CRONOPLE!$G$4</definedName>
    <definedName name="CRONOPLE.ValorDoEvento" hidden="1">SUMIF(CÁLCULO!$M$15:$M$36,CRONOPLE!$B1,OFFSET(CÁLCULO!$AI$15:$AI$36,0,CRONOPLE!A$12))</definedName>
    <definedName name="DADOS.ColAux" hidden="1">DADOS!$J:$AS</definedName>
    <definedName name="DESONERACAO" hidden="1">IF(OR(Import.Desoneracao="DESONERADO",Import.Desoneracao="SIM"),"SIM","NÃO")</definedName>
    <definedName name="EVENTOS.ColunaPadrão" hidden="1">EVENTOS!$E:$E</definedName>
    <definedName name="EVENTOS.Filtro" hidden="1">EVENTOS!$A$13:$A$24</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EVENTOS!$17:$17</definedName>
    <definedName name="EVENTOS.LinhaPadrão" hidden="1">EVENTOS!$1:$1</definedName>
    <definedName name="EVENTOS.Lista" hidden="1">EVENTOS!$C$15:OFFSET(EVENTOS!$C$17,-1,0)</definedName>
    <definedName name="EVENTOS.ListaValidacao" hidden="1">EVENTOS!$B$15:OFFSET(EVENTOS!$B$17,-1,0)</definedName>
    <definedName name="EVENTOS.MargemRow" hidden="1">EVENTOS!$24:$24</definedName>
    <definedName name="EVENTOS.Título" hidden="1">EVENTOS!$F$2</definedName>
    <definedName name="Excel_BuiltIn_Database" hidden="1">TEXT(Import.DataBase,"mm-aaaa")</definedName>
    <definedName name="Import.Apelido" hidden="1">DADOS!$F$16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BM!$D$39</definedName>
    <definedName name="Import.BMAFAcumulado" hidden="1">OFFSET(BM!$R$15,1,0):OFFSET(BM!$R$36,-1,0)</definedName>
    <definedName name="Import.BMArred" hidden="1">BM!$A$9</definedName>
    <definedName name="Import.CNPJ" hidden="1">DADOS!$F$39</definedName>
    <definedName name="Import.Código" hidden="1">OFFSET(ORÇAMENTO!$Q$15,1,0):OFFSET(ORÇAMENTO!$Q$36,-1,0)</definedName>
    <definedName name="Import.Contrapartida" hidden="1">DADOS!$F$10</definedName>
    <definedName name="Import.CPMaxPerc" hidden="1">DADOS!$F$13</definedName>
    <definedName name="Import.CPMinAbsoluta" hidden="1">DADOS!$F$12</definedName>
    <definedName name="Import.CPMinPerc" hidden="1">DADOS!$F$11</definedName>
    <definedName name="Import.CR" hidden="1">DADOS!$F$7</definedName>
    <definedName name="Import.CRONOPLE" hidden="1">OFFSET(CRONOPLE!$F$15,1,1):OFFSET(CRONOPLE!$AF$17,-1,-1)</definedName>
    <definedName name="Import.CTEF" hidden="1">DADOS!$F$37</definedName>
    <definedName name="Import.CustoUnitário" hidden="1">OFFSET(ORÇAMENTO!$U$15,1,0):OFFSET(ORÇAMENTO!$U$36,-1,0)</definedName>
    <definedName name="Import.DataBase" hidden="1">OFFSET(DADOS!$G$19,0,-1)</definedName>
    <definedName name="Import.DataBaseLicit" hidden="1">OFFSET(DADOS!$G$41,0,-1)</definedName>
    <definedName name="Import.DataEmissaoLicit" hidden="1">DADOS!$F$36</definedName>
    <definedName name="Import.DataInicioObra" hidden="1">DADOS!$F$47</definedName>
    <definedName name="Import.DataPreenchimento" hidden="1">OFFSET(DADOS!$G$25,0,-1)</definedName>
    <definedName name="Import.DescLote" hidden="1">DADOS!$F$17</definedName>
    <definedName name="Import.Descrição" hidden="1">OFFSET(ORÇAMENTO!$R$15,1,0):OFFSET(ORÇAMENTO!$R$36,-1,0)</definedName>
    <definedName name="Import.Desoneracao" hidden="1">OFFSET(DADOS!$G$18,0,-1)</definedName>
    <definedName name="Import.empresa" hidden="1">DADOS!$F$38</definedName>
    <definedName name="Import.Eventos.Nível" hidden="1">EVENTOS!$C$8</definedName>
    <definedName name="Import.Eventos.Nomes" hidden="1">OFFSET(EVENTOS!$D$15,1,0):OFFSET(EVENTOS!$D$17,-1,0)</definedName>
    <definedName name="Import.Fonte" hidden="1">OFFSET(ORÇAMENTO!$P$15,1,0):OFFSET(ORÇAMENTO!$P$36,-1,0)</definedName>
    <definedName name="Import.FrenteDeObra" hidden="1">CÁLCULO!$Q$12:OFFSET(CÁLCULO!$AI$12,0,-1)</definedName>
    <definedName name="Import.Município" hidden="1">DADOS!$F$6</definedName>
    <definedName name="Import.Nível" hidden="1">OFFSET(ORÇAMENTO!$M$15,1,0):OFFSET(ORÇAMENTO!$M$36,-1,0)</definedName>
    <definedName name="Import.Ofício.Dest" hidden="1">OFÍCIO!$B$11</definedName>
    <definedName name="Import.Ofício.GIGOV" hidden="1">OFÍCIO!$C$11</definedName>
    <definedName name="Import.Ofício.Num" hidden="1">OFÍCIO!$C$6</definedName>
    <definedName name="Import.OpcaoBDI" hidden="1">OFFSET(ORÇAMENTO!$V$15,1,0):OFFSET(ORÇAMENTO!$V$36,-1,0)</definedName>
    <definedName name="Import.ORÇAMENTO.DivRecurso" hidden="1">OFFSET(ORÇAMENTO!$Y$15,1,0):OFFSET(ORÇAMENTO!$Y$36,-1,0)</definedName>
    <definedName name="Import.ORÇAMENTO.Obs" hidden="1">ORÇAMENTO!$O$42</definedName>
    <definedName name="Import.PLE" hidden="1">OFFSET(PLE!$G$15,1,1):OFFSET(PLE!$AG$17,-1,-1)</definedName>
    <definedName name="Import.PLE.Datas" hidden="1">PLE!$I$20:$AF$20</definedName>
    <definedName name="Import.PLQ" hidden="1">OFFSET(CÁLCULO!$P$15,1,1):OFFSET(CÁLCULO!$AI$36,-1,-1)</definedName>
    <definedName name="Import.PLQ.MemCalc" hidden="1">OFFSET(CÁLCULO!$I$15,1,0):OFFSET(CÁLCULO!$I$36,-1,0)</definedName>
    <definedName name="Import.PLQ.nAgrupEvent" hidden="1">OFFSET(CÁLCULO!$K$15,1,0):OFFSET(CÁLCULO!$K$36,-1,0)</definedName>
    <definedName name="Import.POArred" hidden="1">ORÇAMENTO!$AF$7:$AF$11</definedName>
    <definedName name="IMport.Prefeito" hidden="1">DADOS!$F$28:$F$29</definedName>
    <definedName name="Import.Proponente" hidden="1">DADOS!$F$5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OFFSET(ORÇAMENTO!$AJ$15,1,0):OFFSET(ORÇAMENTO!$AJ$36,-1,0)</definedName>
    <definedName name="import.recurso" hidden="1">DADOS!$F$4</definedName>
    <definedName name="Import.RegimeExecução" hidden="1">OFFSET(DADOS!$G$40,0,-1)</definedName>
    <definedName name="Import.Repasse" hidden="1">DADOS!$F$9</definedName>
    <definedName name="Import.RespFiscalização" hidden="1">DADOS!$F$51:$F$54</definedName>
    <definedName name="Import.RespOrçamento" hidden="1">DADOS!$F$22:$F$24</definedName>
    <definedName name="Import.RRE.Financeiro" hidden="1">RRE!$M$47:$O$49</definedName>
    <definedName name="Import.RRE.Obs" hidden="1">RRE!$E$31</definedName>
    <definedName name="Import.RRE.Social" hidden="1">RRE!$F$47:$G$49</definedName>
    <definedName name="Import.SICONV" hidden="1">DADOS!$F$8</definedName>
    <definedName name="Import.TipoArredondamento" hidden="1">DADOS!$F$31</definedName>
    <definedName name="Import.TransfereGOV" hidden="1">DADOS!$F$8</definedName>
    <definedName name="Import.Unidade" hidden="1">OFFSET(ORÇAMENTO!$S$15,1,0):OFFSET(ORÇAMENTO!$S$36,-1,0)</definedName>
    <definedName name="Import.UnitarioLicitado" hidden="1">OFFSET(ORÇAMENTO!$AL$15,1,0):OFFSET(ORÇAMENTO!$AL$36,-1,0)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OFFSET(CRONO!$T$11,1,0)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hidden="1">COUNT(OFFSET(Eventos,0,0,,1))</definedName>
    <definedName name="Objeto" hidden="1">MENU!$J$1</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Filtro" hidden="1">ORÇAMENTO!$L$15:$L$36</definedName>
    <definedName name="ORÇAMENTO.firstrow" hidden="1">ORÇAMENTO!$15:$15</definedName>
    <definedName name="ORÇAMENTO.Fonte" hidden="1">ORÇAMENTO!$P1</definedName>
    <definedName name="ORÇAMENTO.lastrow" hidden="1">ORÇAMENTO!$36:$36</definedName>
    <definedName name="ORÇAMENTO.LinhaPadrão" hidden="1">ORÇAMENTO!$14:$14</definedName>
    <definedName name="ORÇAMENTO.ListaCrono" hidden="1">OFFSET(ORÇAMENTO!$AD$15,1,0):OFFSET(ORÇAMENTO!$AD$36,-1,0)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OFFSET(ORÇAMENTO!$P$15,1,0):OFFSET(ORÇAMENTO!$S$36,-1,0)</definedName>
    <definedName name="ORÇAMENTO.PasteFormat2" hidden="1">OFFSET(ORÇAMENTO!$U$15,1,0):OFFSET(ORÇAMENTO!$V$36,-1,0)</definedName>
    <definedName name="ORÇAMENTO.PrecoUnitarioLicitado" hidden="1">ORÇAMENTO!$AL1</definedName>
    <definedName name="ORÇAMENTO.QuantBM" hidden="1">ORÇAMENTO!$AJ1</definedName>
    <definedName name="ORÇAMENTO.RangeQuant" hidden="1">OFFSET(ORÇAMENTO!$T$15,1,0):OFFSET(ORÇAMENTO!$T$36,-1,0)</definedName>
    <definedName name="ORÇAMENTO.SumCPMANUAL" hidden="1">SUMIF(ORÇAMENTO!$Z$15:$Z$36,"CP",ORÇAMENTO!$AA$15:$AA$36)</definedName>
    <definedName name="ORÇAMENTO.SumINVMANUAL" hidden="1">SUMIF(ORÇAMENTO!$Z$15:$Z$36,"RP",ORÇAMENTO!$X$15:$X$36)+SUMIF(ORÇAMENTO!$Z$15:$Z$36,"CP",ORÇAMENTO!$X$15:$X$36)+SUMIF(ORÇAMENTO!$Z$15:$Z$36,"OU",ORÇAMENTO!$X$15:$X$36)</definedName>
    <definedName name="ORÇAMENTO.SumOUTROSMANUAL" hidden="1">SUMIF(ORÇAMENTO!$Z$15:$Z$36,"OU",ORÇAMENTO!$AB$15:$AB$36)</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Filtro" hidden="1">PLE!$A$13:$A$31</definedName>
    <definedName name="PLE.FirstCol" hidden="1">PLE!$G:$G</definedName>
    <definedName name="PLE.firstrow" hidden="1">PLE!$15:$15</definedName>
    <definedName name="PLE.FrenteRow" hidden="1">PLE!$11:$11</definedName>
    <definedName name="PLE.LastCol" hidden="1">PLE!$AG:$AG</definedName>
    <definedName name="PLE.lastrow" hidden="1">PLE!$17:$17</definedName>
    <definedName name="PLE.LinhaPadrão" hidden="1">PLE!$1:$1</definedName>
    <definedName name="PLE.margemrow" hidden="1">PLE!$32:$32</definedName>
    <definedName name="PLE.Medicao" hidden="1">PLE!$J$9</definedName>
    <definedName name="PLE.MEDIÇÕES.firstrow" hidden="1">PLE!$18:$18</definedName>
    <definedName name="PLE.MEDIÇÕES.lastrow" hidden="1">PLE!$26:$26</definedName>
    <definedName name="PLE.MEDIÇÕES.LinhaPadrão" hidden="1">PLE!$18:$25</definedName>
    <definedName name="PLE.Título" hidden="1">PLE!$H$3</definedName>
    <definedName name="PLE.ValorDoEvento" hidden="1">SUMIF(CÁLCULO!$M$15:$M$36,PLE!$B1,OFFSET(CÁLCULO!$AI$15:$AI$36,0,PLE!A$12))</definedName>
    <definedName name="PO.ValoresBDI" hidden="1">OFFSET(ORÇAMENTO!$AH$15,1,0):OFFSET(ORÇAMENTO!$AH$36,-1,0)</definedName>
    <definedName name="_xlnm.Print_Area" localSheetId="3">BDI!$J$1:$S$132</definedName>
    <definedName name="_xlnm.Print_Area" localSheetId="11">BM!$D$1:$O$51</definedName>
    <definedName name="_xlnm.Print_Area" localSheetId="6">CÁLCULO!$E$6:$AI$44</definedName>
    <definedName name="_xlnm.Print_Area" localSheetId="8">CRONO!$H$1:$AF$33</definedName>
    <definedName name="_xlnm.Print_Area" localSheetId="5">EVENTOS!$C$2:$Z$24</definedName>
    <definedName name="_xlnm.Print_Area" localSheetId="1">MENU!$A$1:$I$25</definedName>
    <definedName name="_xlnm.Print_Area" localSheetId="13">OFÍCIO!$A$1:$G$56</definedName>
    <definedName name="_xlnm.Print_Area" localSheetId="4">ORÇAMENTO!$O$1:$Y$53</definedName>
    <definedName name="_xlnm.Print_Area" localSheetId="10">PLE!$B$3:$AG$32</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CRONO!$H:$S,CRONO!$1:$13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OFFSET(DADOS!$J$2,1,0,COUNTA(DADOS!$J:$J)-1,1)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M15" i="6" l="1"/>
  <c r="CL15" i="6"/>
  <c r="CK15" i="6"/>
  <c r="CJ15" i="6"/>
  <c r="CI15" i="6"/>
  <c r="CH15" i="6"/>
  <c r="CG15" i="6"/>
  <c r="CF15" i="6"/>
  <c r="BT15" i="6"/>
  <c r="BS15" i="6"/>
  <c r="BR15" i="6"/>
  <c r="BQ15" i="6"/>
  <c r="BP15" i="6"/>
  <c r="BO15" i="6"/>
  <c r="BN15" i="6"/>
  <c r="BM15" i="6"/>
  <c r="AB42" i="6" a="1"/>
  <c r="AB44" i="6" s="1"/>
  <c r="AC10" i="6"/>
  <c r="AA10" i="6"/>
  <c r="Q19" i="6"/>
  <c r="Q35" i="6"/>
  <c r="Q34" i="6"/>
  <c r="Q33" i="6"/>
  <c r="Q32" i="6"/>
  <c r="Q31" i="6"/>
  <c r="Q30" i="6"/>
  <c r="Q29" i="6"/>
  <c r="Q28" i="6"/>
  <c r="Q27" i="6"/>
  <c r="Q26" i="6"/>
  <c r="Q25" i="6"/>
  <c r="Q24" i="6"/>
  <c r="Q20" i="6"/>
  <c r="AB42" i="6" l="1"/>
  <c r="AB43" i="6"/>
  <c r="C70" i="3"/>
  <c r="H23" i="13"/>
  <c r="G23" i="13"/>
  <c r="H22" i="13"/>
  <c r="G22" i="13"/>
  <c r="H21" i="13"/>
  <c r="G21" i="13"/>
  <c r="E21" i="13"/>
  <c r="H20" i="13"/>
  <c r="G20" i="13"/>
  <c r="E20" i="13"/>
  <c r="H19" i="13"/>
  <c r="G19" i="13"/>
  <c r="H18" i="13"/>
  <c r="G18" i="13"/>
  <c r="H17" i="13"/>
  <c r="G17" i="13"/>
  <c r="E17" i="13"/>
  <c r="H16" i="13"/>
  <c r="G16" i="13"/>
  <c r="H15" i="13"/>
  <c r="G15" i="13"/>
  <c r="H14" i="13"/>
  <c r="G14" i="13"/>
  <c r="J23" i="11"/>
  <c r="I23" i="13" s="1"/>
  <c r="D23" i="11"/>
  <c r="J22" i="11"/>
  <c r="I22" i="13" s="1"/>
  <c r="D22" i="11"/>
  <c r="E22" i="13" s="1"/>
  <c r="A22" i="11"/>
  <c r="J21" i="11"/>
  <c r="I21" i="13" s="1"/>
  <c r="D21" i="11"/>
  <c r="A21" i="11"/>
  <c r="J20" i="11"/>
  <c r="I20" i="13" s="1"/>
  <c r="D20" i="11"/>
  <c r="A20" i="11" s="1"/>
  <c r="J19" i="11"/>
  <c r="I19" i="13" s="1"/>
  <c r="D19" i="11"/>
  <c r="E19" i="13" s="1"/>
  <c r="A19" i="11"/>
  <c r="J18" i="11"/>
  <c r="I18" i="13" s="1"/>
  <c r="D18" i="11"/>
  <c r="J17" i="11"/>
  <c r="I17" i="13" s="1"/>
  <c r="D17" i="11"/>
  <c r="A17" i="11" s="1"/>
  <c r="J16" i="11"/>
  <c r="I16" i="13" s="1"/>
  <c r="D16" i="11"/>
  <c r="A16" i="11" s="1"/>
  <c r="J15" i="11"/>
  <c r="I15" i="13" s="1"/>
  <c r="D15" i="11"/>
  <c r="J14" i="11"/>
  <c r="I14" i="13" s="1"/>
  <c r="D14" i="11"/>
  <c r="E14" i="13" s="1"/>
  <c r="A14" i="11"/>
  <c r="A14" i="8"/>
  <c r="B16" i="10"/>
  <c r="B16" i="9"/>
  <c r="C16" i="7"/>
  <c r="A16" i="7"/>
  <c r="A35" i="5"/>
  <c r="A34" i="5"/>
  <c r="A33" i="5"/>
  <c r="A32" i="5"/>
  <c r="A31" i="5"/>
  <c r="A30" i="5"/>
  <c r="A29" i="5"/>
  <c r="A28" i="5"/>
  <c r="A27" i="5"/>
  <c r="A26" i="5"/>
  <c r="A25" i="5"/>
  <c r="A24" i="5"/>
  <c r="A23" i="5"/>
  <c r="A22" i="5"/>
  <c r="A21" i="5"/>
  <c r="A20" i="5"/>
  <c r="A19" i="5"/>
  <c r="A18" i="5"/>
  <c r="A17" i="5"/>
  <c r="C16" i="5"/>
  <c r="A16" i="5"/>
  <c r="P7" i="13"/>
  <c r="L35" i="13"/>
  <c r="C84" i="3"/>
  <c r="B16" i="7" l="1"/>
  <c r="A16" i="12"/>
  <c r="B16" i="6"/>
  <c r="B16" i="5"/>
  <c r="AE16" i="5"/>
  <c r="N16" i="5"/>
  <c r="I16" i="5"/>
  <c r="H16" i="5"/>
  <c r="G16" i="5"/>
  <c r="W16" i="5"/>
  <c r="H16" i="12" s="1"/>
  <c r="F16" i="5"/>
  <c r="E18" i="13"/>
  <c r="A18" i="11"/>
  <c r="E23" i="13"/>
  <c r="A23" i="11"/>
  <c r="E16" i="13"/>
  <c r="A15" i="11"/>
  <c r="E15" i="13"/>
  <c r="C56" i="3"/>
  <c r="C11" i="7"/>
  <c r="AD16" i="5" l="1"/>
  <c r="E16" i="5"/>
  <c r="F16" i="6"/>
  <c r="E16" i="12"/>
  <c r="D16" i="6"/>
  <c r="Q13" i="6"/>
  <c r="R13" i="6" s="1"/>
  <c r="C1" i="7"/>
  <c r="B1" i="7" s="1"/>
  <c r="A1" i="7"/>
  <c r="H13" i="7"/>
  <c r="E13" i="7"/>
  <c r="V22" i="7" a="1"/>
  <c r="V22" i="7" s="1"/>
  <c r="Y5" i="7"/>
  <c r="X5" i="7"/>
  <c r="P5" i="7"/>
  <c r="C60" i="3"/>
  <c r="R4" i="8"/>
  <c r="F5" i="7"/>
  <c r="CM16" i="6" l="1"/>
  <c r="BT16" i="6"/>
  <c r="CL16" i="6"/>
  <c r="BS16" i="6"/>
  <c r="CK16" i="6"/>
  <c r="BR16" i="6"/>
  <c r="CJ16" i="6"/>
  <c r="BQ16" i="6"/>
  <c r="CG16" i="6"/>
  <c r="CI16" i="6"/>
  <c r="BP16" i="6"/>
  <c r="BN16" i="6"/>
  <c r="CH16" i="6"/>
  <c r="BO16" i="6"/>
  <c r="CF16" i="6"/>
  <c r="BM16" i="6"/>
  <c r="A14" i="13"/>
  <c r="B14" i="11"/>
  <c r="BL16" i="6"/>
  <c r="CE16" i="6"/>
  <c r="BJ16" i="6"/>
  <c r="BW16" i="6"/>
  <c r="BV16" i="6"/>
  <c r="BK16" i="6"/>
  <c r="BI16" i="6"/>
  <c r="BZ16" i="6"/>
  <c r="BC16" i="6"/>
  <c r="G16" i="6"/>
  <c r="BG16" i="6"/>
  <c r="BF16" i="6"/>
  <c r="BE16" i="6"/>
  <c r="BD16" i="6"/>
  <c r="BY16" i="6"/>
  <c r="M16" i="6"/>
  <c r="N16" i="6"/>
  <c r="H16" i="6"/>
  <c r="T16" i="5" s="1"/>
  <c r="G16" i="12" s="1"/>
  <c r="CD16" i="6"/>
  <c r="BH16" i="6"/>
  <c r="CC16" i="6"/>
  <c r="BX16" i="6"/>
  <c r="CB16" i="6"/>
  <c r="CA16" i="6"/>
  <c r="C17" i="5"/>
  <c r="S13" i="6"/>
  <c r="V23" i="7"/>
  <c r="V24" i="7"/>
  <c r="N5" i="7"/>
  <c r="O5" i="7"/>
  <c r="K14" i="11" l="1"/>
  <c r="J14" i="13" s="1"/>
  <c r="C14" i="13"/>
  <c r="G14" i="11"/>
  <c r="F14" i="13" s="1"/>
  <c r="A17" i="12"/>
  <c r="B17" i="6"/>
  <c r="H17" i="5"/>
  <c r="G17" i="5"/>
  <c r="B17" i="5"/>
  <c r="C18" i="5"/>
  <c r="N17" i="5"/>
  <c r="AD17" i="5"/>
  <c r="E17" i="5"/>
  <c r="AE17" i="5"/>
  <c r="F17" i="5"/>
  <c r="T13" i="6"/>
  <c r="E10" i="7"/>
  <c r="C57" i="3"/>
  <c r="C82" i="3"/>
  <c r="C77" i="3"/>
  <c r="B29" i="9"/>
  <c r="D23" i="7"/>
  <c r="A15" i="7"/>
  <c r="V28" i="9" a="1"/>
  <c r="V30" i="9" s="1"/>
  <c r="B26" i="9"/>
  <c r="H19" i="9"/>
  <c r="J19" i="9" s="1"/>
  <c r="L19" i="9" s="1"/>
  <c r="N19" i="9" s="1"/>
  <c r="P19" i="9" s="1"/>
  <c r="R19" i="9" s="1"/>
  <c r="T19" i="9" s="1"/>
  <c r="V19" i="9" s="1"/>
  <c r="X19" i="9" s="1"/>
  <c r="Z19" i="9" s="1"/>
  <c r="AB19" i="9" s="1"/>
  <c r="AD19" i="9" s="1"/>
  <c r="M7" i="9"/>
  <c r="J7" i="9"/>
  <c r="G7" i="9"/>
  <c r="B7" i="9"/>
  <c r="K14" i="13" l="1"/>
  <c r="D17" i="6"/>
  <c r="A18" i="12"/>
  <c r="B18" i="6"/>
  <c r="E18" i="5"/>
  <c r="B18" i="5"/>
  <c r="AE18" i="5"/>
  <c r="N18" i="5"/>
  <c r="H18" i="5"/>
  <c r="F18" i="5"/>
  <c r="D18" i="5"/>
  <c r="B18" i="12" s="1"/>
  <c r="J18" i="5"/>
  <c r="K18" i="5"/>
  <c r="C19" i="5"/>
  <c r="G18" i="5"/>
  <c r="AD18" i="5"/>
  <c r="U13" i="6"/>
  <c r="V28" i="9"/>
  <c r="V29" i="9"/>
  <c r="L22" i="7" a="1"/>
  <c r="L24" i="7" s="1"/>
  <c r="D20" i="7"/>
  <c r="C5" i="7"/>
  <c r="CM17" i="6" l="1"/>
  <c r="BT17" i="6"/>
  <c r="CL17" i="6"/>
  <c r="BS17" i="6"/>
  <c r="CK17" i="6"/>
  <c r="BR17" i="6"/>
  <c r="CG17" i="6"/>
  <c r="CJ17" i="6"/>
  <c r="BQ17" i="6"/>
  <c r="BN17" i="6"/>
  <c r="CI17" i="6"/>
  <c r="BP17" i="6"/>
  <c r="CH17" i="6"/>
  <c r="BO17" i="6"/>
  <c r="CF17" i="6"/>
  <c r="BM17" i="6"/>
  <c r="D18" i="6"/>
  <c r="H17" i="6"/>
  <c r="T17" i="5" s="1"/>
  <c r="A19" i="12"/>
  <c r="B19" i="6"/>
  <c r="K19" i="5"/>
  <c r="H19" i="5"/>
  <c r="G19" i="5"/>
  <c r="B19" i="5"/>
  <c r="J19" i="5"/>
  <c r="AE19" i="5"/>
  <c r="F19" i="5"/>
  <c r="AD19" i="5"/>
  <c r="E19" i="5"/>
  <c r="D19" i="5"/>
  <c r="B19" i="12" s="1"/>
  <c r="C20" i="5"/>
  <c r="N19" i="5"/>
  <c r="V13" i="6"/>
  <c r="L22" i="7"/>
  <c r="L23"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G17" i="12" l="1"/>
  <c r="D19" i="6"/>
  <c r="H18" i="6"/>
  <c r="T18" i="5" s="1"/>
  <c r="A20" i="12"/>
  <c r="B20" i="6"/>
  <c r="E20" i="5"/>
  <c r="B20" i="5"/>
  <c r="AE20" i="5"/>
  <c r="N20" i="5"/>
  <c r="H20" i="5"/>
  <c r="C21" i="5"/>
  <c r="K20" i="5"/>
  <c r="J20" i="5"/>
  <c r="G20" i="5"/>
  <c r="AD20" i="5"/>
  <c r="F20" i="5"/>
  <c r="D20" i="5"/>
  <c r="B20" i="12" s="1"/>
  <c r="W13" i="6"/>
  <c r="X28" i="4"/>
  <c r="Z108" i="4"/>
  <c r="Y108" i="4"/>
  <c r="Z68" i="4"/>
  <c r="Y68" i="4"/>
  <c r="Z28" i="4"/>
  <c r="E28" i="14"/>
  <c r="C15" i="14"/>
  <c r="L4" i="13"/>
  <c r="I5" i="12"/>
  <c r="F4" i="11"/>
  <c r="D7" i="10"/>
  <c r="J8" i="8"/>
  <c r="L5" i="4"/>
  <c r="C14" i="15"/>
  <c r="C52" i="3"/>
  <c r="G10" i="6" a="1"/>
  <c r="G10" i="6" s="1"/>
  <c r="Q5" i="5" a="1"/>
  <c r="Q5" i="5" s="1"/>
  <c r="F9" i="5"/>
  <c r="F8" i="5"/>
  <c r="P85" i="4"/>
  <c r="C51" i="3"/>
  <c r="C47" i="3"/>
  <c r="C43" i="3"/>
  <c r="C41" i="3"/>
  <c r="C39" i="3"/>
  <c r="E2" i="15"/>
  <c r="C34" i="3"/>
  <c r="C32" i="3"/>
  <c r="A12" i="6"/>
  <c r="BV13" i="6"/>
  <c r="BW13" i="6" s="1"/>
  <c r="BX13" i="6" s="1"/>
  <c r="AJ13" i="6"/>
  <c r="AJ12" i="6" s="1"/>
  <c r="BC13" i="6"/>
  <c r="BC12" i="6" s="1"/>
  <c r="H12" i="10"/>
  <c r="H11" i="10" s="1"/>
  <c r="S27" i="4"/>
  <c r="S29" i="4" s="1"/>
  <c r="CE15" i="6"/>
  <c r="CD15" i="6"/>
  <c r="CC15" i="6"/>
  <c r="CB15" i="6"/>
  <c r="CA15" i="6"/>
  <c r="BZ15" i="6"/>
  <c r="BY15" i="6"/>
  <c r="BX15" i="6"/>
  <c r="BW15" i="6"/>
  <c r="BV15" i="6"/>
  <c r="I21" i="10"/>
  <c r="N9" i="10" s="1"/>
  <c r="G12" i="9"/>
  <c r="G11" i="9" s="1"/>
  <c r="C20" i="3"/>
  <c r="C22" i="3"/>
  <c r="C24" i="3"/>
  <c r="C26" i="3"/>
  <c r="C28" i="3"/>
  <c r="C19" i="3"/>
  <c r="C15" i="3"/>
  <c r="C14" i="3"/>
  <c r="C12" i="3"/>
  <c r="I36" i="11"/>
  <c r="I35" i="11"/>
  <c r="Z31" i="8" a="1"/>
  <c r="T42" i="6" a="1"/>
  <c r="T44" i="6" s="1"/>
  <c r="I42" i="6" a="1"/>
  <c r="I43" i="6" s="1"/>
  <c r="AB13" i="12"/>
  <c r="C2" i="4"/>
  <c r="Z7" i="11"/>
  <c r="U12" i="8"/>
  <c r="D12" i="8"/>
  <c r="C11" i="10"/>
  <c r="A14" i="5"/>
  <c r="C14" i="5" s="1"/>
  <c r="B14" i="6" s="1"/>
  <c r="BL15" i="6"/>
  <c r="BK15" i="6"/>
  <c r="BJ15" i="6"/>
  <c r="BI15" i="6"/>
  <c r="BH15" i="6"/>
  <c r="BG15" i="6"/>
  <c r="BF15" i="6"/>
  <c r="BE15" i="6"/>
  <c r="BD15" i="6"/>
  <c r="BC15" i="6"/>
  <c r="D12" i="11"/>
  <c r="A12" i="11" s="1"/>
  <c r="L39" i="13"/>
  <c r="S107" i="4"/>
  <c r="S109" i="4" s="1"/>
  <c r="I95" i="4" s="1"/>
  <c r="S67" i="4"/>
  <c r="S69" i="4" s="1"/>
  <c r="I92" i="4" s="1"/>
  <c r="C8" i="4"/>
  <c r="C9" i="4"/>
  <c r="C10" i="4"/>
  <c r="C11" i="4"/>
  <c r="C12" i="4"/>
  <c r="C13" i="4"/>
  <c r="L46" i="13"/>
  <c r="A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2" i="12"/>
  <c r="E1" i="12"/>
  <c r="D5" i="12"/>
  <c r="F5" i="12"/>
  <c r="J5" i="12"/>
  <c r="O5" i="12"/>
  <c r="A7" i="12"/>
  <c r="I7" i="12"/>
  <c r="D8" i="12"/>
  <c r="E8" i="12"/>
  <c r="F8" i="12"/>
  <c r="I8" i="12"/>
  <c r="E10" i="12"/>
  <c r="J12" i="12"/>
  <c r="Q12" i="12"/>
  <c r="V13" i="12"/>
  <c r="W13" i="12"/>
  <c r="X13" i="12"/>
  <c r="D15" i="12"/>
  <c r="AB15" i="12"/>
  <c r="D45" i="12"/>
  <c r="E46" i="12"/>
  <c r="K48" i="12" a="1"/>
  <c r="K50" i="12" s="1"/>
  <c r="F6" i="6"/>
  <c r="F7" i="6"/>
  <c r="E10" i="6"/>
  <c r="I10" i="6"/>
  <c r="K10" i="6"/>
  <c r="S10" i="6"/>
  <c r="U10" i="6"/>
  <c r="O13" i="6"/>
  <c r="O15" i="6" s="1"/>
  <c r="B15" i="6"/>
  <c r="C15" i="6"/>
  <c r="D15" i="6"/>
  <c r="E15" i="6"/>
  <c r="B36" i="6"/>
  <c r="C36" i="6"/>
  <c r="F40" i="6"/>
  <c r="R5" i="8"/>
  <c r="Y7" i="8"/>
  <c r="AE7" i="8"/>
  <c r="H8" i="8"/>
  <c r="K8" i="8"/>
  <c r="T8" i="8"/>
  <c r="Y8" i="8"/>
  <c r="AE8" i="8"/>
  <c r="D13" i="8"/>
  <c r="U13" i="8"/>
  <c r="V13" i="8" s="1"/>
  <c r="W13" i="8" s="1"/>
  <c r="X13" i="8" s="1"/>
  <c r="Y13" i="8" s="1"/>
  <c r="Z13" i="8" s="1"/>
  <c r="AA13" i="8" s="1"/>
  <c r="AB13" i="8" s="1"/>
  <c r="AC13" i="8" s="1"/>
  <c r="AD13" i="8" s="1"/>
  <c r="AE13" i="8" s="1"/>
  <c r="S19" i="8"/>
  <c r="S24" i="8"/>
  <c r="H29" i="8"/>
  <c r="B1" i="9"/>
  <c r="E12" i="9"/>
  <c r="E11" i="9" s="1"/>
  <c r="L2" i="2"/>
  <c r="N2" i="2"/>
  <c r="P2" i="2"/>
  <c r="R2" i="2"/>
  <c r="T2" i="2"/>
  <c r="V2" i="2"/>
  <c r="X2" i="2"/>
  <c r="Z2" i="2"/>
  <c r="AB2" i="2"/>
  <c r="AD2" i="2"/>
  <c r="AF2" i="2"/>
  <c r="AH2" i="2"/>
  <c r="AJ2" i="2"/>
  <c r="AL2" i="2"/>
  <c r="AN2" i="2"/>
  <c r="AP2" i="2"/>
  <c r="AR2" i="2"/>
  <c r="E9" i="2"/>
  <c r="B15" i="7"/>
  <c r="C8" i="3"/>
  <c r="C9" i="3"/>
  <c r="C18" i="14"/>
  <c r="C19" i="14"/>
  <c r="B22" i="14"/>
  <c r="B24" i="14"/>
  <c r="B30" i="14"/>
  <c r="B54" i="14"/>
  <c r="B55" i="14"/>
  <c r="R2" i="5"/>
  <c r="O5" i="5"/>
  <c r="R5" i="5"/>
  <c r="S5" i="5"/>
  <c r="O46" i="5"/>
  <c r="R7" i="5"/>
  <c r="S7" i="5"/>
  <c r="V7" i="5"/>
  <c r="W7" i="5"/>
  <c r="X7" i="5"/>
  <c r="R8" i="5"/>
  <c r="S8" i="5"/>
  <c r="U13" i="5"/>
  <c r="V13" i="5"/>
  <c r="AH13" i="5"/>
  <c r="M15" i="5"/>
  <c r="N15" i="5"/>
  <c r="O15" i="5"/>
  <c r="O49" i="5"/>
  <c r="T51" i="5" a="1"/>
  <c r="T51" i="5" s="1"/>
  <c r="B1" i="10"/>
  <c r="H4" i="10"/>
  <c r="V6" i="10"/>
  <c r="AE6" i="10"/>
  <c r="B7" i="10"/>
  <c r="H7" i="10"/>
  <c r="O7" i="10"/>
  <c r="V7" i="10"/>
  <c r="AE7" i="10"/>
  <c r="F12" i="10"/>
  <c r="F11" i="10" s="1"/>
  <c r="B27" i="10"/>
  <c r="W29" i="10" a="1"/>
  <c r="W3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43" i="12"/>
  <c r="K50" i="4"/>
  <c r="K130" i="4"/>
  <c r="C33" i="4"/>
  <c r="C45" i="4"/>
  <c r="A46" i="4"/>
  <c r="A47" i="4" s="1"/>
  <c r="A48" i="4" s="1"/>
  <c r="A49" i="4" s="1"/>
  <c r="C49" i="4" s="1"/>
  <c r="C34" i="4"/>
  <c r="A16" i="6" l="1"/>
  <c r="D20" i="6"/>
  <c r="A21" i="12"/>
  <c r="B21" i="6"/>
  <c r="K21" i="5"/>
  <c r="H21" i="5"/>
  <c r="G21" i="5"/>
  <c r="B21" i="5"/>
  <c r="D21" i="5"/>
  <c r="B21" i="12" s="1"/>
  <c r="C22" i="5"/>
  <c r="E21" i="5"/>
  <c r="AE21" i="5"/>
  <c r="AD21" i="5"/>
  <c r="N21" i="5"/>
  <c r="F21" i="5"/>
  <c r="J21" i="5"/>
  <c r="G18" i="12"/>
  <c r="H19" i="6"/>
  <c r="T19" i="5" s="1"/>
  <c r="AJ16" i="6"/>
  <c r="C48" i="4"/>
  <c r="C27" i="4"/>
  <c r="A16" i="4"/>
  <c r="V12" i="8"/>
  <c r="X13" i="6"/>
  <c r="O7" i="11"/>
  <c r="AC13" i="12"/>
  <c r="K21" i="10"/>
  <c r="M21" i="10" s="1"/>
  <c r="O21" i="10" s="1"/>
  <c r="Q21" i="10" s="1"/>
  <c r="S21" i="10" s="1"/>
  <c r="U21" i="10" s="1"/>
  <c r="W21" i="10" s="1"/>
  <c r="Y21" i="10" s="1"/>
  <c r="AA21" i="10" s="1"/>
  <c r="AC21" i="10" s="1"/>
  <c r="AE21" i="10" s="1"/>
  <c r="W32" i="10"/>
  <c r="E12" i="13"/>
  <c r="C47" i="4"/>
  <c r="C23" i="4"/>
  <c r="A30" i="4"/>
  <c r="A31" i="4" s="1"/>
  <c r="C31" i="4" s="1"/>
  <c r="C46" i="4"/>
  <c r="C28" i="4"/>
  <c r="K51" i="12"/>
  <c r="C21" i="4"/>
  <c r="C22" i="4"/>
  <c r="K132" i="4"/>
  <c r="B39" i="14"/>
  <c r="W31" i="10"/>
  <c r="K48" i="12"/>
  <c r="T53" i="5"/>
  <c r="B37" i="14"/>
  <c r="C14" i="14"/>
  <c r="O7" i="13"/>
  <c r="T43" i="6"/>
  <c r="P125" i="4"/>
  <c r="H32" i="8"/>
  <c r="I44" i="6"/>
  <c r="I42" i="6"/>
  <c r="BV12" i="6"/>
  <c r="AK13" i="6"/>
  <c r="BD13" i="6"/>
  <c r="B14" i="5"/>
  <c r="F14" i="5"/>
  <c r="I80" i="4"/>
  <c r="G15" i="9"/>
  <c r="M15" i="6"/>
  <c r="H15" i="10"/>
  <c r="I86" i="4"/>
  <c r="I88" i="4"/>
  <c r="I83" i="4"/>
  <c r="S110" i="4"/>
  <c r="H5" i="5" s="1"/>
  <c r="X8" i="5" s="1"/>
  <c r="I55" i="4"/>
  <c r="I69" i="4"/>
  <c r="I12" i="10"/>
  <c r="H12" i="9"/>
  <c r="I12" i="9" s="1"/>
  <c r="I70" i="4"/>
  <c r="I63" i="4"/>
  <c r="I82" i="4"/>
  <c r="I56" i="4"/>
  <c r="I58" i="4"/>
  <c r="I67" i="4"/>
  <c r="I72" i="4"/>
  <c r="I60" i="4"/>
  <c r="I78" i="4"/>
  <c r="I71" i="4"/>
  <c r="I66" i="4"/>
  <c r="I116" i="4"/>
  <c r="I79" i="4"/>
  <c r="I130" i="4"/>
  <c r="I76" i="4"/>
  <c r="I122" i="4"/>
  <c r="I104" i="4"/>
  <c r="I119" i="4"/>
  <c r="S30" i="4"/>
  <c r="F5" i="5" s="1"/>
  <c r="A36" i="4"/>
  <c r="C35" i="4"/>
  <c r="BX12" i="6"/>
  <c r="BY13" i="6"/>
  <c r="I112" i="4"/>
  <c r="I117" i="4"/>
  <c r="I126" i="4"/>
  <c r="I121" i="4"/>
  <c r="I96" i="4"/>
  <c r="I109" i="4"/>
  <c r="I105" i="4"/>
  <c r="I115" i="4"/>
  <c r="I98" i="4"/>
  <c r="I125" i="4"/>
  <c r="I113" i="4"/>
  <c r="I111" i="4"/>
  <c r="I101" i="4"/>
  <c r="I132" i="4"/>
  <c r="I108" i="4"/>
  <c r="I103" i="4"/>
  <c r="I129" i="4"/>
  <c r="I100" i="4"/>
  <c r="I127" i="4"/>
  <c r="I124" i="4"/>
  <c r="I107" i="4"/>
  <c r="I106" i="4"/>
  <c r="I94" i="4"/>
  <c r="I118" i="4"/>
  <c r="I131" i="4"/>
  <c r="I128" i="4"/>
  <c r="I114" i="4"/>
  <c r="I102" i="4"/>
  <c r="I120" i="4"/>
  <c r="I97" i="4"/>
  <c r="I123" i="4"/>
  <c r="C24" i="4"/>
  <c r="I110" i="4"/>
  <c r="I99" i="4"/>
  <c r="Z32" i="8"/>
  <c r="Z33" i="8"/>
  <c r="Z31" i="8"/>
  <c r="P45" i="4"/>
  <c r="K14" i="5"/>
  <c r="J14" i="5"/>
  <c r="H14" i="5"/>
  <c r="A14" i="12"/>
  <c r="D14" i="5"/>
  <c r="B14" i="12" s="1"/>
  <c r="AD14" i="5"/>
  <c r="E14" i="5"/>
  <c r="G14" i="5"/>
  <c r="AE14" i="5"/>
  <c r="N14" i="5"/>
  <c r="I62" i="4"/>
  <c r="I74" i="4"/>
  <c r="I68" i="4"/>
  <c r="I61" i="4"/>
  <c r="I64" i="4"/>
  <c r="I87" i="4"/>
  <c r="I89" i="4"/>
  <c r="I57" i="4"/>
  <c r="I73" i="4"/>
  <c r="I93" i="4"/>
  <c r="I85" i="4"/>
  <c r="I84" i="4"/>
  <c r="I77" i="4"/>
  <c r="I65" i="4"/>
  <c r="I54" i="4"/>
  <c r="I59" i="4"/>
  <c r="I90" i="4"/>
  <c r="I81" i="4"/>
  <c r="I75" i="4"/>
  <c r="I91" i="4"/>
  <c r="E49" i="12"/>
  <c r="B30" i="10"/>
  <c r="F43" i="6"/>
  <c r="O52" i="5"/>
  <c r="D36" i="11"/>
  <c r="M8" i="12"/>
  <c r="BW12" i="6"/>
  <c r="W29" i="10"/>
  <c r="A4" i="4"/>
  <c r="K51" i="4"/>
  <c r="K49" i="12"/>
  <c r="S70" i="4"/>
  <c r="G5" i="5" s="1"/>
  <c r="W8" i="5" s="1"/>
  <c r="K91" i="4"/>
  <c r="T42" i="6"/>
  <c r="K90" i="4"/>
  <c r="T52" i="5"/>
  <c r="O8" i="5"/>
  <c r="A17" i="6" l="1"/>
  <c r="A18" i="6" s="1"/>
  <c r="M17" i="6"/>
  <c r="A22" i="12"/>
  <c r="B22" i="6"/>
  <c r="E22" i="5"/>
  <c r="B22" i="5"/>
  <c r="AE22" i="5"/>
  <c r="N22" i="5"/>
  <c r="H22" i="5"/>
  <c r="AD22" i="5"/>
  <c r="G22" i="5"/>
  <c r="F22" i="5"/>
  <c r="D22" i="5"/>
  <c r="B22" i="12" s="1"/>
  <c r="K22" i="5"/>
  <c r="J22" i="5"/>
  <c r="C23" i="5"/>
  <c r="H20" i="6"/>
  <c r="T20" i="5" s="1"/>
  <c r="G19" i="12"/>
  <c r="D21" i="6"/>
  <c r="AH29" i="5"/>
  <c r="AH19" i="5"/>
  <c r="AH16" i="5"/>
  <c r="AN16" i="5" s="1"/>
  <c r="AH26" i="5"/>
  <c r="AH33" i="5"/>
  <c r="AH27" i="5"/>
  <c r="AH30" i="5"/>
  <c r="AH23" i="5"/>
  <c r="AH34" i="5"/>
  <c r="AH20" i="5"/>
  <c r="AH35" i="5"/>
  <c r="AH18" i="5"/>
  <c r="AH28" i="5"/>
  <c r="AH31" i="5"/>
  <c r="AH24" i="5"/>
  <c r="AH32" i="5"/>
  <c r="AH22" i="5"/>
  <c r="AH25" i="5"/>
  <c r="AH17" i="5"/>
  <c r="AH21" i="5"/>
  <c r="C30" i="4"/>
  <c r="C16" i="4"/>
  <c r="A17" i="4"/>
  <c r="W12" i="8"/>
  <c r="AD13" i="12"/>
  <c r="Y13" i="6"/>
  <c r="B42" i="14"/>
  <c r="AK12" i="6"/>
  <c r="AL13" i="6"/>
  <c r="H11" i="9"/>
  <c r="BE13" i="6"/>
  <c r="BD12" i="6"/>
  <c r="B8" i="14"/>
  <c r="I10" i="13"/>
  <c r="I11" i="9"/>
  <c r="J12" i="9"/>
  <c r="I11" i="10"/>
  <c r="J12" i="10"/>
  <c r="AH14" i="5"/>
  <c r="V8" i="5"/>
  <c r="D14" i="6"/>
  <c r="BZ13" i="6"/>
  <c r="C4" i="4"/>
  <c r="A5" i="4"/>
  <c r="C36" i="4"/>
  <c r="A37" i="4"/>
  <c r="C37" i="4" s="1"/>
  <c r="AK16" i="6" l="1"/>
  <c r="AK17" i="6"/>
  <c r="N17" i="6"/>
  <c r="G20" i="12"/>
  <c r="A23" i="12"/>
  <c r="B23" i="6"/>
  <c r="K23" i="5"/>
  <c r="H23" i="5"/>
  <c r="G23" i="5"/>
  <c r="B23" i="5"/>
  <c r="N23" i="5"/>
  <c r="F23" i="5"/>
  <c r="J23" i="5"/>
  <c r="AE23" i="5"/>
  <c r="C24" i="5"/>
  <c r="E23" i="5"/>
  <c r="D23" i="5"/>
  <c r="B23" i="12" s="1"/>
  <c r="AD23" i="5"/>
  <c r="BW17" i="6"/>
  <c r="BX17" i="6"/>
  <c r="BY17" i="6"/>
  <c r="BC17" i="6"/>
  <c r="BD17" i="6"/>
  <c r="AJ17" i="6"/>
  <c r="BE17" i="6"/>
  <c r="BZ17" i="6"/>
  <c r="BV17" i="6"/>
  <c r="AN17" i="5"/>
  <c r="W17" i="5"/>
  <c r="D22" i="6"/>
  <c r="E17" i="12"/>
  <c r="F17" i="6"/>
  <c r="N18" i="6" s="1"/>
  <c r="H21" i="6"/>
  <c r="T21" i="5" s="1"/>
  <c r="M18" i="6"/>
  <c r="A19" i="6"/>
  <c r="G17" i="6"/>
  <c r="A18" i="4"/>
  <c r="C17" i="4"/>
  <c r="X12" i="8"/>
  <c r="AE13" i="12"/>
  <c r="Z13" i="6"/>
  <c r="AA13" i="6" s="1"/>
  <c r="AM13" i="6"/>
  <c r="AN13" i="6" s="1"/>
  <c r="AL12" i="6"/>
  <c r="BE12" i="6"/>
  <c r="BF13" i="6"/>
  <c r="K12" i="10"/>
  <c r="J11" i="10"/>
  <c r="K12" i="9"/>
  <c r="W14" i="5"/>
  <c r="H14" i="12" s="1"/>
  <c r="AN14" i="5"/>
  <c r="CA13" i="6"/>
  <c r="BZ12" i="6"/>
  <c r="A14" i="6"/>
  <c r="N14" i="6" s="1"/>
  <c r="C5" i="4"/>
  <c r="A6" i="4"/>
  <c r="AK8" i="6"/>
  <c r="AB13" i="6" l="1"/>
  <c r="CA17" i="6"/>
  <c r="AL16" i="6"/>
  <c r="AL17" i="6"/>
  <c r="BZ18" i="6"/>
  <c r="BV18" i="6"/>
  <c r="BD18" i="6"/>
  <c r="CA18" i="6"/>
  <c r="BX18" i="6"/>
  <c r="BF18" i="6"/>
  <c r="BE18" i="6"/>
  <c r="BW18" i="6"/>
  <c r="BY18" i="6"/>
  <c r="BC18" i="6"/>
  <c r="H17" i="12"/>
  <c r="BF17" i="6"/>
  <c r="G21" i="12"/>
  <c r="D23" i="6"/>
  <c r="A20" i="6"/>
  <c r="N19" i="6"/>
  <c r="M19" i="6"/>
  <c r="A24" i="12"/>
  <c r="B24" i="6"/>
  <c r="E24" i="5"/>
  <c r="B24" i="5"/>
  <c r="AE24" i="5"/>
  <c r="N24" i="5"/>
  <c r="H24" i="5"/>
  <c r="C25" i="5"/>
  <c r="K24" i="5"/>
  <c r="F24" i="5"/>
  <c r="AD24" i="5"/>
  <c r="G24" i="5"/>
  <c r="J24" i="5"/>
  <c r="D24" i="5"/>
  <c r="B24" i="12" s="1"/>
  <c r="H22" i="6"/>
  <c r="T22" i="5" s="1"/>
  <c r="A19" i="4"/>
  <c r="C19" i="4" s="1"/>
  <c r="C18" i="4"/>
  <c r="Y12" i="8"/>
  <c r="AF13" i="12"/>
  <c r="AL8" i="6"/>
  <c r="AJ8" i="6"/>
  <c r="BG13" i="6"/>
  <c r="L12" i="9"/>
  <c r="K11" i="9"/>
  <c r="M14" i="6"/>
  <c r="L12" i="10"/>
  <c r="AN12" i="6"/>
  <c r="AO13" i="6"/>
  <c r="A7" i="4"/>
  <c r="C7" i="4" s="1"/>
  <c r="C6" i="4"/>
  <c r="CA12" i="6"/>
  <c r="CB13" i="6"/>
  <c r="CB18" i="6" s="1"/>
  <c r="AC13" i="6" l="1"/>
  <c r="BG17" i="6"/>
  <c r="BG18" i="6"/>
  <c r="CB17" i="6"/>
  <c r="D24" i="6"/>
  <c r="H23" i="6"/>
  <c r="T23" i="5" s="1"/>
  <c r="A21" i="6"/>
  <c r="N20" i="6"/>
  <c r="M20" i="6"/>
  <c r="I17" i="5"/>
  <c r="A25" i="12"/>
  <c r="B25" i="6"/>
  <c r="K25" i="5"/>
  <c r="H25" i="5"/>
  <c r="G25" i="5"/>
  <c r="B25" i="5"/>
  <c r="AE25" i="5"/>
  <c r="F25" i="5"/>
  <c r="AD25" i="5"/>
  <c r="E25" i="5"/>
  <c r="D25" i="5"/>
  <c r="B25" i="12" s="1"/>
  <c r="C26" i="5"/>
  <c r="N25" i="5"/>
  <c r="J25" i="5"/>
  <c r="G22" i="12"/>
  <c r="BX19" i="6"/>
  <c r="CA19" i="6"/>
  <c r="BY19" i="6"/>
  <c r="BG19" i="6"/>
  <c r="BD19" i="6"/>
  <c r="BF19" i="6"/>
  <c r="BC19" i="6"/>
  <c r="CB19" i="6"/>
  <c r="BZ19" i="6"/>
  <c r="BW19" i="6"/>
  <c r="BE19" i="6"/>
  <c r="BV19" i="6"/>
  <c r="AN16" i="6"/>
  <c r="AN17" i="6"/>
  <c r="Z12" i="8"/>
  <c r="AG13" i="12"/>
  <c r="BV14" i="6"/>
  <c r="BE14" i="6"/>
  <c r="CB14" i="6"/>
  <c r="BG12" i="6"/>
  <c r="BH13" i="6"/>
  <c r="BX14" i="6"/>
  <c r="CA14" i="6"/>
  <c r="BY14" i="6"/>
  <c r="BF14" i="6"/>
  <c r="BG14" i="6"/>
  <c r="BD14" i="6"/>
  <c r="BC14" i="6"/>
  <c r="BW14" i="6"/>
  <c r="L11" i="9"/>
  <c r="M12" i="9"/>
  <c r="BZ14" i="6"/>
  <c r="L11" i="10"/>
  <c r="M12" i="10"/>
  <c r="AP13" i="6"/>
  <c r="AO12" i="6"/>
  <c r="CB12" i="6"/>
  <c r="CC13" i="6"/>
  <c r="CC19" i="6" s="1"/>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D13" i="6" l="1"/>
  <c r="A22" i="6"/>
  <c r="M21" i="6"/>
  <c r="N21" i="6"/>
  <c r="H24" i="6"/>
  <c r="T24" i="5" s="1"/>
  <c r="A26" i="12"/>
  <c r="B26" i="6"/>
  <c r="E26" i="5"/>
  <c r="B26" i="5"/>
  <c r="AE26" i="5"/>
  <c r="N26" i="5"/>
  <c r="H26" i="5"/>
  <c r="K26" i="5"/>
  <c r="J26" i="5"/>
  <c r="AD26" i="5"/>
  <c r="G26" i="5"/>
  <c r="F26" i="5"/>
  <c r="D26" i="5"/>
  <c r="B26" i="12" s="1"/>
  <c r="C27" i="5"/>
  <c r="G23" i="12"/>
  <c r="BH17" i="6"/>
  <c r="BH18" i="6"/>
  <c r="AO16" i="6"/>
  <c r="AO17" i="6"/>
  <c r="D25" i="6"/>
  <c r="BH19" i="6"/>
  <c r="BY20" i="6"/>
  <c r="BD20" i="6"/>
  <c r="BX20" i="6"/>
  <c r="BH20" i="6"/>
  <c r="BC20" i="6"/>
  <c r="BF20" i="6"/>
  <c r="BE20" i="6"/>
  <c r="CC20" i="6"/>
  <c r="BG20" i="6"/>
  <c r="CA20" i="6"/>
  <c r="BW20" i="6"/>
  <c r="BZ20" i="6"/>
  <c r="BV20" i="6"/>
  <c r="CB20" i="6"/>
  <c r="CC17" i="6"/>
  <c r="CC18" i="6"/>
  <c r="AA12" i="8"/>
  <c r="AH13" i="12"/>
  <c r="U69" i="4"/>
  <c r="J72" i="4" s="1"/>
  <c r="CC14" i="6"/>
  <c r="BH14" i="6"/>
  <c r="U109" i="4"/>
  <c r="K112" i="4" s="1"/>
  <c r="BI13" i="6"/>
  <c r="BI20" i="6" s="1"/>
  <c r="BH12" i="6"/>
  <c r="M11" i="10"/>
  <c r="N12" i="10"/>
  <c r="M11" i="9"/>
  <c r="N12" i="9"/>
  <c r="AP12" i="6"/>
  <c r="AQ13" i="6"/>
  <c r="U29" i="4"/>
  <c r="CD13" i="6"/>
  <c r="CD20" i="6" s="1"/>
  <c r="CC12" i="6"/>
  <c r="AE13" i="6" l="1"/>
  <c r="D26" i="6"/>
  <c r="CD17" i="6"/>
  <c r="CD18" i="6"/>
  <c r="CD19" i="6"/>
  <c r="G24" i="12"/>
  <c r="M22" i="6"/>
  <c r="N22" i="6"/>
  <c r="A23" i="6"/>
  <c r="AP16" i="6"/>
  <c r="AP17" i="6"/>
  <c r="H25" i="6"/>
  <c r="T25" i="5" s="1"/>
  <c r="BI17" i="6"/>
  <c r="BI18" i="6"/>
  <c r="BI19" i="6"/>
  <c r="A27" i="12"/>
  <c r="B27" i="6"/>
  <c r="K27" i="5"/>
  <c r="H27" i="5"/>
  <c r="G27" i="5"/>
  <c r="B27" i="5"/>
  <c r="C28" i="5"/>
  <c r="J27" i="5"/>
  <c r="N27" i="5"/>
  <c r="D27" i="5"/>
  <c r="B27" i="12" s="1"/>
  <c r="AD27" i="5"/>
  <c r="F27" i="5"/>
  <c r="E27" i="5"/>
  <c r="AE27" i="5"/>
  <c r="CD21" i="6"/>
  <c r="BW21" i="6"/>
  <c r="BE21" i="6"/>
  <c r="BG21" i="6"/>
  <c r="BY21" i="6"/>
  <c r="BX21" i="6"/>
  <c r="CC21" i="6"/>
  <c r="CB21" i="6"/>
  <c r="BZ21" i="6"/>
  <c r="BH21" i="6"/>
  <c r="BD21" i="6"/>
  <c r="BI21" i="6"/>
  <c r="CA21" i="6"/>
  <c r="BF21" i="6"/>
  <c r="BC21" i="6"/>
  <c r="BV21" i="6"/>
  <c r="AB12" i="8"/>
  <c r="AI13" i="12"/>
  <c r="K72" i="4"/>
  <c r="CD14" i="6"/>
  <c r="J112" i="4"/>
  <c r="BI14" i="6"/>
  <c r="BJ13" i="6"/>
  <c r="BJ21" i="6" s="1"/>
  <c r="BI12" i="6"/>
  <c r="O12" i="9"/>
  <c r="N11" i="9"/>
  <c r="O12" i="10"/>
  <c r="N11" i="10"/>
  <c r="AQ12" i="6"/>
  <c r="AR13" i="6"/>
  <c r="K32" i="4"/>
  <c r="J32" i="4"/>
  <c r="CE13" i="6"/>
  <c r="CD12" i="6"/>
  <c r="CE21" i="6" l="1"/>
  <c r="CF13" i="6"/>
  <c r="AF13" i="6"/>
  <c r="A24" i="6"/>
  <c r="M23" i="6"/>
  <c r="N23" i="6"/>
  <c r="A28" i="12"/>
  <c r="B28" i="6"/>
  <c r="E28" i="5"/>
  <c r="B28" i="5"/>
  <c r="AE28" i="5"/>
  <c r="N28" i="5"/>
  <c r="H28" i="5"/>
  <c r="D28" i="5"/>
  <c r="B28" i="12" s="1"/>
  <c r="C29" i="5"/>
  <c r="J28" i="5"/>
  <c r="F28" i="5"/>
  <c r="AD28" i="5"/>
  <c r="G28" i="5"/>
  <c r="K28" i="5"/>
  <c r="H26" i="6"/>
  <c r="T26" i="5" s="1"/>
  <c r="CE17" i="6"/>
  <c r="CE18" i="6"/>
  <c r="CE19" i="6"/>
  <c r="CE20" i="6"/>
  <c r="BV22" i="6"/>
  <c r="BW22" i="6"/>
  <c r="BJ22" i="6"/>
  <c r="BH22" i="6"/>
  <c r="BF22" i="6"/>
  <c r="BI22" i="6"/>
  <c r="BE22" i="6"/>
  <c r="CC22" i="6"/>
  <c r="BY22" i="6"/>
  <c r="CA22" i="6"/>
  <c r="BC22" i="6"/>
  <c r="CB22" i="6"/>
  <c r="CE22" i="6"/>
  <c r="BZ22" i="6"/>
  <c r="BG22" i="6"/>
  <c r="BD22" i="6"/>
  <c r="CD22" i="6"/>
  <c r="BX22" i="6"/>
  <c r="AQ16" i="6"/>
  <c r="AQ17" i="6"/>
  <c r="D27" i="6"/>
  <c r="G25" i="12"/>
  <c r="BJ17" i="6"/>
  <c r="BJ18" i="6"/>
  <c r="BJ19" i="6"/>
  <c r="BJ20" i="6"/>
  <c r="AC12" i="8"/>
  <c r="AJ13" i="12"/>
  <c r="CE14" i="6"/>
  <c r="BJ12" i="6"/>
  <c r="BK13" i="6"/>
  <c r="BK22" i="6" s="1"/>
  <c r="BJ14" i="6"/>
  <c r="P12" i="10"/>
  <c r="O11" i="10"/>
  <c r="O11" i="9"/>
  <c r="P12" i="9"/>
  <c r="AR12" i="6"/>
  <c r="AS13" i="6"/>
  <c r="AT13" i="6" s="1"/>
  <c r="CE12" i="6"/>
  <c r="CF22" i="6" l="1"/>
  <c r="CF14" i="6"/>
  <c r="CF23" i="6"/>
  <c r="AG13" i="6"/>
  <c r="AT8" i="6"/>
  <c r="AU8" i="6" s="1"/>
  <c r="AT12" i="6"/>
  <c r="AU13" i="6"/>
  <c r="CG13" i="6"/>
  <c r="CG14" i="6" s="1"/>
  <c r="CF12" i="6"/>
  <c r="CF18" i="6"/>
  <c r="CF19" i="6"/>
  <c r="CF20" i="6"/>
  <c r="CF21" i="6"/>
  <c r="A29" i="12"/>
  <c r="B29" i="6"/>
  <c r="K29" i="5"/>
  <c r="H29" i="5"/>
  <c r="G29" i="5"/>
  <c r="B29" i="5"/>
  <c r="J29" i="5"/>
  <c r="AE29" i="5"/>
  <c r="F29" i="5"/>
  <c r="AD29" i="5"/>
  <c r="E29" i="5"/>
  <c r="D29" i="5"/>
  <c r="B29" i="12" s="1"/>
  <c r="C30" i="5"/>
  <c r="N29" i="5"/>
  <c r="BK17" i="6"/>
  <c r="BK18" i="6"/>
  <c r="BK19" i="6"/>
  <c r="BK20" i="6"/>
  <c r="BK21" i="6"/>
  <c r="D28" i="6"/>
  <c r="H27" i="6"/>
  <c r="T27" i="5" s="1"/>
  <c r="BY23" i="6"/>
  <c r="BX23" i="6"/>
  <c r="BZ23" i="6"/>
  <c r="CC23" i="6"/>
  <c r="BI23" i="6"/>
  <c r="CE23" i="6"/>
  <c r="BC23" i="6"/>
  <c r="BH23" i="6"/>
  <c r="BJ23" i="6"/>
  <c r="BG23" i="6"/>
  <c r="CB23" i="6"/>
  <c r="BF23" i="6"/>
  <c r="BW23" i="6"/>
  <c r="BE23" i="6"/>
  <c r="CA23" i="6"/>
  <c r="CD23" i="6"/>
  <c r="BV23" i="6"/>
  <c r="BD23" i="6"/>
  <c r="BK23" i="6"/>
  <c r="G26" i="12"/>
  <c r="A25" i="6"/>
  <c r="N24" i="6"/>
  <c r="M24" i="6"/>
  <c r="AR16" i="6"/>
  <c r="AR17" i="6"/>
  <c r="AD12" i="8"/>
  <c r="AK13" i="12"/>
  <c r="AS12" i="6"/>
  <c r="BK12" i="6"/>
  <c r="BL13" i="6"/>
  <c r="BK14" i="6"/>
  <c r="Q12" i="9"/>
  <c r="P11" i="9"/>
  <c r="Q12" i="10"/>
  <c r="P11" i="10"/>
  <c r="CG24" i="6" l="1"/>
  <c r="CF24" i="6"/>
  <c r="CG12" i="6"/>
  <c r="CH13" i="6"/>
  <c r="CG18" i="6"/>
  <c r="CG19" i="6"/>
  <c r="CG20" i="6"/>
  <c r="CG21" i="6"/>
  <c r="CG22" i="6"/>
  <c r="AV13" i="6"/>
  <c r="AU12" i="6"/>
  <c r="AT16" i="6"/>
  <c r="AT17" i="6"/>
  <c r="CG23" i="6"/>
  <c r="BL23" i="6"/>
  <c r="BM13" i="6"/>
  <c r="AH13" i="6"/>
  <c r="A30" i="12"/>
  <c r="B30" i="6"/>
  <c r="E30" i="5"/>
  <c r="B30" i="5"/>
  <c r="AE30" i="5"/>
  <c r="N30" i="5"/>
  <c r="H30" i="5"/>
  <c r="C31" i="5"/>
  <c r="G30" i="5"/>
  <c r="K30" i="5"/>
  <c r="J30" i="5"/>
  <c r="AD30" i="5"/>
  <c r="D30" i="5"/>
  <c r="B30" i="12" s="1"/>
  <c r="F30" i="5"/>
  <c r="D29" i="6"/>
  <c r="G27" i="12"/>
  <c r="BJ24" i="6"/>
  <c r="CE24" i="6"/>
  <c r="BW24" i="6"/>
  <c r="CB24" i="6"/>
  <c r="BZ24" i="6"/>
  <c r="BY24" i="6"/>
  <c r="BX24" i="6"/>
  <c r="CC24" i="6"/>
  <c r="BV24" i="6"/>
  <c r="BL24" i="6"/>
  <c r="BD24" i="6"/>
  <c r="BC24" i="6"/>
  <c r="BH24" i="6"/>
  <c r="BK24" i="6"/>
  <c r="CD24" i="6"/>
  <c r="BI24" i="6"/>
  <c r="CA24" i="6"/>
  <c r="BE24" i="6"/>
  <c r="BF24" i="6"/>
  <c r="BG24" i="6"/>
  <c r="BL17" i="6"/>
  <c r="BL18" i="6"/>
  <c r="BL19" i="6"/>
  <c r="BL20" i="6"/>
  <c r="BL21" i="6"/>
  <c r="BL22" i="6"/>
  <c r="AS16" i="6"/>
  <c r="AS17" i="6"/>
  <c r="A26" i="6"/>
  <c r="M25" i="6"/>
  <c r="N25" i="6"/>
  <c r="H28" i="6"/>
  <c r="T28" i="5" s="1"/>
  <c r="AE12" i="8"/>
  <c r="AL13" i="12"/>
  <c r="BL12" i="6"/>
  <c r="BL14" i="6"/>
  <c r="Q11" i="10"/>
  <c r="R12" i="10"/>
  <c r="R12" i="9"/>
  <c r="Q11" i="9"/>
  <c r="CH24" i="6" l="1"/>
  <c r="CH14" i="6"/>
  <c r="BN13" i="6"/>
  <c r="BN25" i="6" s="1"/>
  <c r="BM12" i="6"/>
  <c r="BM18" i="6"/>
  <c r="BM14" i="6"/>
  <c r="BM19" i="6"/>
  <c r="BM20" i="6"/>
  <c r="BM21" i="6"/>
  <c r="BM22" i="6"/>
  <c r="BM23" i="6"/>
  <c r="AW13" i="6"/>
  <c r="AV12" i="6"/>
  <c r="BM24" i="6"/>
  <c r="CI13" i="6"/>
  <c r="CH12" i="6"/>
  <c r="CH18" i="6"/>
  <c r="CH19" i="6"/>
  <c r="CH20" i="6"/>
  <c r="CH21" i="6"/>
  <c r="CH22" i="6"/>
  <c r="CH23" i="6"/>
  <c r="CH25" i="6"/>
  <c r="CF25" i="6"/>
  <c r="BM25" i="6"/>
  <c r="CG25" i="6"/>
  <c r="AU16" i="6"/>
  <c r="AU17" i="6"/>
  <c r="D30" i="6"/>
  <c r="A31" i="12"/>
  <c r="B31" i="6"/>
  <c r="K31" i="5"/>
  <c r="H31" i="5"/>
  <c r="G31" i="5"/>
  <c r="B31" i="5"/>
  <c r="N31" i="5"/>
  <c r="C32" i="5"/>
  <c r="AE31" i="5"/>
  <c r="F31" i="5"/>
  <c r="J31" i="5"/>
  <c r="E31" i="5"/>
  <c r="D31" i="5"/>
  <c r="B31" i="12" s="1"/>
  <c r="AD31" i="5"/>
  <c r="G28" i="12"/>
  <c r="BI25" i="6"/>
  <c r="CD25" i="6"/>
  <c r="BL25" i="6"/>
  <c r="BF25" i="6"/>
  <c r="BK25" i="6"/>
  <c r="BY25" i="6"/>
  <c r="BZ25" i="6"/>
  <c r="BJ25" i="6"/>
  <c r="CC25" i="6"/>
  <c r="BH25" i="6"/>
  <c r="BE25" i="6"/>
  <c r="CE25" i="6"/>
  <c r="BD25" i="6"/>
  <c r="CB25" i="6"/>
  <c r="BC25" i="6"/>
  <c r="BV25" i="6"/>
  <c r="BX25" i="6"/>
  <c r="CA25" i="6"/>
  <c r="BG25" i="6"/>
  <c r="BW25" i="6"/>
  <c r="M26" i="6"/>
  <c r="N26" i="6"/>
  <c r="A27" i="6"/>
  <c r="H29" i="6"/>
  <c r="T29" i="5" s="1"/>
  <c r="AM13" i="12"/>
  <c r="R11" i="9"/>
  <c r="S12" i="9"/>
  <c r="R11" i="10"/>
  <c r="S12" i="10"/>
  <c r="CI25" i="6" l="1"/>
  <c r="CI14" i="6"/>
  <c r="AV16" i="6"/>
  <c r="AV17" i="6"/>
  <c r="AV18" i="6"/>
  <c r="AV19" i="6"/>
  <c r="AV20" i="6"/>
  <c r="AV21" i="6"/>
  <c r="AV22" i="6"/>
  <c r="AV23" i="6"/>
  <c r="AV24" i="6"/>
  <c r="AV25" i="6"/>
  <c r="AV26" i="6"/>
  <c r="CI26" i="6"/>
  <c r="CH26" i="6"/>
  <c r="CG26" i="6"/>
  <c r="CF26" i="6"/>
  <c r="BN26" i="6"/>
  <c r="BM26" i="6"/>
  <c r="AX13" i="6"/>
  <c r="AW12" i="6"/>
  <c r="CJ13" i="6"/>
  <c r="CI12" i="6"/>
  <c r="CI18" i="6"/>
  <c r="CI19" i="6"/>
  <c r="CI20" i="6"/>
  <c r="CI21" i="6"/>
  <c r="CI22" i="6"/>
  <c r="CI23" i="6"/>
  <c r="CI24" i="6"/>
  <c r="BN12" i="6"/>
  <c r="BO13" i="6"/>
  <c r="BN18" i="6"/>
  <c r="BN14" i="6"/>
  <c r="BN19" i="6"/>
  <c r="BN20" i="6"/>
  <c r="BN21" i="6"/>
  <c r="BN22" i="6"/>
  <c r="BN23" i="6"/>
  <c r="BN24" i="6"/>
  <c r="L26" i="12"/>
  <c r="A32" i="12"/>
  <c r="B32" i="6"/>
  <c r="E32" i="5"/>
  <c r="B32" i="5"/>
  <c r="AE32" i="5"/>
  <c r="N32" i="5"/>
  <c r="H32" i="5"/>
  <c r="AD32" i="5"/>
  <c r="G32" i="5"/>
  <c r="F32" i="5"/>
  <c r="D32" i="5"/>
  <c r="B32" i="12" s="1"/>
  <c r="K32" i="5"/>
  <c r="J32" i="5"/>
  <c r="C33" i="5"/>
  <c r="D31" i="6"/>
  <c r="H30" i="6"/>
  <c r="T30" i="5" s="1"/>
  <c r="J31" i="12"/>
  <c r="L31" i="12"/>
  <c r="J19" i="12"/>
  <c r="L19" i="12"/>
  <c r="J18" i="12"/>
  <c r="L18" i="12"/>
  <c r="J21" i="12"/>
  <c r="J20" i="12"/>
  <c r="L23" i="12"/>
  <c r="L20" i="12"/>
  <c r="J22" i="12"/>
  <c r="L21" i="12"/>
  <c r="J24" i="12"/>
  <c r="L28" i="12"/>
  <c r="J28" i="12"/>
  <c r="L29" i="12"/>
  <c r="J23" i="12"/>
  <c r="L24" i="12"/>
  <c r="L27" i="12"/>
  <c r="L25" i="12"/>
  <c r="L22" i="12"/>
  <c r="J29" i="12"/>
  <c r="J27" i="12"/>
  <c r="J25" i="12"/>
  <c r="J26" i="12"/>
  <c r="A28" i="6"/>
  <c r="N27" i="6"/>
  <c r="M27" i="6"/>
  <c r="AV27" i="6" s="1"/>
  <c r="J30" i="12"/>
  <c r="G29" i="12"/>
  <c r="BE26" i="6"/>
  <c r="BW26" i="6"/>
  <c r="CD26" i="6"/>
  <c r="BD26" i="6"/>
  <c r="BV26" i="6"/>
  <c r="CC26" i="6"/>
  <c r="BJ26" i="6"/>
  <c r="BZ26" i="6"/>
  <c r="BG26" i="6"/>
  <c r="BI26" i="6"/>
  <c r="BF26" i="6"/>
  <c r="BL26" i="6"/>
  <c r="CB26" i="6"/>
  <c r="BH26" i="6"/>
  <c r="CA26" i="6"/>
  <c r="BK26" i="6"/>
  <c r="BY26" i="6"/>
  <c r="CE26" i="6"/>
  <c r="BX26" i="6"/>
  <c r="BC26" i="6"/>
  <c r="L30" i="12"/>
  <c r="L14" i="12"/>
  <c r="AO7" i="12"/>
  <c r="J14" i="12"/>
  <c r="T12" i="10"/>
  <c r="S11" i="10"/>
  <c r="S11" i="9"/>
  <c r="T12" i="9"/>
  <c r="CJ26" i="6" l="1"/>
  <c r="CJ14" i="6"/>
  <c r="BP13" i="6"/>
  <c r="BP27" i="6" s="1"/>
  <c r="BO12" i="6"/>
  <c r="BO18" i="6"/>
  <c r="BO14" i="6"/>
  <c r="BO19" i="6"/>
  <c r="BO20" i="6"/>
  <c r="BO21" i="6"/>
  <c r="BO22" i="6"/>
  <c r="BO23" i="6"/>
  <c r="BO24" i="6"/>
  <c r="BO25" i="6"/>
  <c r="CK13" i="6"/>
  <c r="CJ12" i="6"/>
  <c r="CJ18" i="6"/>
  <c r="CJ19" i="6"/>
  <c r="CJ20" i="6"/>
  <c r="CJ21" i="6"/>
  <c r="CJ22" i="6"/>
  <c r="CJ23" i="6"/>
  <c r="CJ24" i="6"/>
  <c r="CJ25" i="6"/>
  <c r="CI27" i="6"/>
  <c r="BM27" i="6"/>
  <c r="BN27" i="6"/>
  <c r="CH27" i="6"/>
  <c r="CJ27" i="6"/>
  <c r="BO27" i="6"/>
  <c r="CG27" i="6"/>
  <c r="CF27" i="6"/>
  <c r="AW16" i="6"/>
  <c r="AW17" i="6"/>
  <c r="AW18" i="6"/>
  <c r="AW19" i="6"/>
  <c r="AW20" i="6"/>
  <c r="AW21" i="6"/>
  <c r="AW22" i="6"/>
  <c r="AW23" i="6"/>
  <c r="AW24" i="6"/>
  <c r="AW25" i="6"/>
  <c r="AW26" i="6"/>
  <c r="AW27" i="6"/>
  <c r="BO26" i="6"/>
  <c r="AY13" i="6"/>
  <c r="AX12" i="6"/>
  <c r="K26" i="12"/>
  <c r="K21" i="12"/>
  <c r="K19" i="12"/>
  <c r="K31" i="12"/>
  <c r="K20" i="12"/>
  <c r="K28" i="12"/>
  <c r="K29" i="12"/>
  <c r="K18" i="12"/>
  <c r="D32" i="6"/>
  <c r="A29" i="6"/>
  <c r="M28" i="6"/>
  <c r="AW28" i="6" s="1"/>
  <c r="N28" i="6"/>
  <c r="G30" i="12"/>
  <c r="H31" i="6"/>
  <c r="T31" i="5" s="1"/>
  <c r="J32" i="12"/>
  <c r="L32" i="12"/>
  <c r="K22" i="12"/>
  <c r="K25" i="12"/>
  <c r="K23" i="12"/>
  <c r="K27" i="12"/>
  <c r="A33" i="12"/>
  <c r="B33" i="6"/>
  <c r="K33" i="5"/>
  <c r="H33" i="5"/>
  <c r="G33" i="5"/>
  <c r="B33" i="5"/>
  <c r="N33" i="5"/>
  <c r="AD33" i="5"/>
  <c r="J33" i="5"/>
  <c r="AE33" i="5"/>
  <c r="F33" i="5"/>
  <c r="E33" i="5"/>
  <c r="C34" i="5"/>
  <c r="D33" i="5"/>
  <c r="B33" i="12" s="1"/>
  <c r="BE27" i="6"/>
  <c r="BX27" i="6"/>
  <c r="CA27" i="6"/>
  <c r="BJ27" i="6"/>
  <c r="BF27" i="6"/>
  <c r="BW27" i="6"/>
  <c r="BK27" i="6"/>
  <c r="BC27" i="6"/>
  <c r="BY27" i="6"/>
  <c r="CB27" i="6"/>
  <c r="CE27" i="6"/>
  <c r="BI27" i="6"/>
  <c r="BD27" i="6"/>
  <c r="BV27" i="6"/>
  <c r="BL27" i="6"/>
  <c r="CC27" i="6"/>
  <c r="CD27" i="6"/>
  <c r="BH27" i="6"/>
  <c r="BZ27" i="6"/>
  <c r="BG27" i="6"/>
  <c r="K30" i="12"/>
  <c r="K24" i="12"/>
  <c r="K14" i="12"/>
  <c r="U12" i="10"/>
  <c r="T11" i="10"/>
  <c r="T11" i="9"/>
  <c r="U12" i="9"/>
  <c r="CK27" i="6" l="1"/>
  <c r="CK14" i="6"/>
  <c r="CL13" i="6"/>
  <c r="CK12" i="6"/>
  <c r="CK18" i="6"/>
  <c r="CK19" i="6"/>
  <c r="CK20" i="6"/>
  <c r="CK21" i="6"/>
  <c r="CK22" i="6"/>
  <c r="CK23" i="6"/>
  <c r="CK24" i="6"/>
  <c r="CK25" i="6"/>
  <c r="CK26" i="6"/>
  <c r="AX16" i="6"/>
  <c r="AX17" i="6"/>
  <c r="AX18" i="6"/>
  <c r="AX19" i="6"/>
  <c r="AX20" i="6"/>
  <c r="AX21" i="6"/>
  <c r="AX22" i="6"/>
  <c r="AX23" i="6"/>
  <c r="AX24" i="6"/>
  <c r="AX25" i="6"/>
  <c r="AX26" i="6"/>
  <c r="AX27" i="6"/>
  <c r="AX28" i="6"/>
  <c r="BP28" i="6"/>
  <c r="BN28" i="6"/>
  <c r="CH28" i="6"/>
  <c r="CJ28" i="6"/>
  <c r="BO28" i="6"/>
  <c r="CF28" i="6"/>
  <c r="CK28" i="6"/>
  <c r="CG28" i="6"/>
  <c r="BM28" i="6"/>
  <c r="CI28" i="6"/>
  <c r="AV28" i="6"/>
  <c r="AZ13" i="6"/>
  <c r="AY12" i="6"/>
  <c r="BQ13" i="6"/>
  <c r="BP12" i="6"/>
  <c r="BP18" i="6"/>
  <c r="BP14" i="6"/>
  <c r="BP19" i="6"/>
  <c r="BP20" i="6"/>
  <c r="BP21" i="6"/>
  <c r="BP22" i="6"/>
  <c r="BP23" i="6"/>
  <c r="BP24" i="6"/>
  <c r="BP25" i="6"/>
  <c r="BP26" i="6"/>
  <c r="K32" i="12"/>
  <c r="BG28" i="6"/>
  <c r="BF28" i="6"/>
  <c r="CA28" i="6"/>
  <c r="BL28" i="6"/>
  <c r="BV28" i="6"/>
  <c r="CE28" i="6"/>
  <c r="CC28" i="6"/>
  <c r="BE28" i="6"/>
  <c r="BK28" i="6"/>
  <c r="BY28" i="6"/>
  <c r="BH28" i="6"/>
  <c r="BD28" i="6"/>
  <c r="BJ28" i="6"/>
  <c r="BX28" i="6"/>
  <c r="BI28" i="6"/>
  <c r="BW28" i="6"/>
  <c r="CB28" i="6"/>
  <c r="BZ28" i="6"/>
  <c r="BC28" i="6"/>
  <c r="CD28" i="6"/>
  <c r="D33" i="6"/>
  <c r="L33" i="12"/>
  <c r="J33" i="12"/>
  <c r="H32" i="6"/>
  <c r="T32" i="5" s="1"/>
  <c r="M29" i="6"/>
  <c r="AX29" i="6" s="1"/>
  <c r="A30" i="6"/>
  <c r="N29" i="6"/>
  <c r="G31" i="12"/>
  <c r="A34" i="12"/>
  <c r="B34" i="6"/>
  <c r="E34" i="5"/>
  <c r="B34" i="5"/>
  <c r="AE34" i="5"/>
  <c r="N34" i="5"/>
  <c r="H34" i="5"/>
  <c r="C35" i="5"/>
  <c r="J34" i="5"/>
  <c r="K34" i="5"/>
  <c r="D34" i="5"/>
  <c r="B34" i="12" s="1"/>
  <c r="F34" i="5"/>
  <c r="AD34" i="5"/>
  <c r="G34" i="5"/>
  <c r="V12" i="10"/>
  <c r="U11" i="10"/>
  <c r="V12" i="9"/>
  <c r="U11" i="9"/>
  <c r="CL28" i="6" l="1"/>
  <c r="CL14" i="6"/>
  <c r="BR13" i="6"/>
  <c r="BR29" i="6" s="1"/>
  <c r="BQ12" i="6"/>
  <c r="BQ18" i="6"/>
  <c r="BQ14" i="6"/>
  <c r="BQ19" i="6"/>
  <c r="BQ20" i="6"/>
  <c r="BQ21" i="6"/>
  <c r="BQ22" i="6"/>
  <c r="BQ23" i="6"/>
  <c r="BQ24" i="6"/>
  <c r="BQ25" i="6"/>
  <c r="BQ26" i="6"/>
  <c r="BQ27" i="6"/>
  <c r="BQ29" i="6"/>
  <c r="CH29" i="6"/>
  <c r="CL29" i="6"/>
  <c r="BO29" i="6"/>
  <c r="BN29" i="6"/>
  <c r="CI29" i="6"/>
  <c r="CF29" i="6"/>
  <c r="CK29" i="6"/>
  <c r="BP29" i="6"/>
  <c r="BM29" i="6"/>
  <c r="CG29" i="6"/>
  <c r="CJ29" i="6"/>
  <c r="AV29" i="6"/>
  <c r="AW29" i="6"/>
  <c r="CM13" i="6"/>
  <c r="CM14" i="6" s="1"/>
  <c r="CL12" i="6"/>
  <c r="CL18" i="6"/>
  <c r="CL19" i="6"/>
  <c r="CL20" i="6"/>
  <c r="CL21" i="6"/>
  <c r="CL22" i="6"/>
  <c r="CL23" i="6"/>
  <c r="CL24" i="6"/>
  <c r="CL25" i="6"/>
  <c r="CL26" i="6"/>
  <c r="CL27" i="6"/>
  <c r="AY16" i="6"/>
  <c r="AY17" i="6"/>
  <c r="AY18" i="6"/>
  <c r="AY19" i="6"/>
  <c r="AY20" i="6"/>
  <c r="AY21" i="6"/>
  <c r="AY22" i="6"/>
  <c r="AY23" i="6"/>
  <c r="AY24" i="6"/>
  <c r="AY25" i="6"/>
  <c r="AY26" i="6"/>
  <c r="AY27" i="6"/>
  <c r="AY28" i="6"/>
  <c r="AY29" i="6"/>
  <c r="BA13" i="6"/>
  <c r="BA12" i="6" s="1"/>
  <c r="AZ12" i="6"/>
  <c r="BQ28" i="6"/>
  <c r="K33" i="12"/>
  <c r="L34" i="12"/>
  <c r="J34" i="12"/>
  <c r="G32" i="12"/>
  <c r="N30" i="6"/>
  <c r="M30" i="6"/>
  <c r="A31" i="6"/>
  <c r="H33" i="6"/>
  <c r="T33" i="5" s="1"/>
  <c r="BX29" i="6"/>
  <c r="BI29" i="6"/>
  <c r="CB29" i="6"/>
  <c r="BJ29" i="6"/>
  <c r="BH29" i="6"/>
  <c r="CC29" i="6"/>
  <c r="BD29" i="6"/>
  <c r="BW29" i="6"/>
  <c r="CE29" i="6"/>
  <c r="CD29" i="6"/>
  <c r="BG29" i="6"/>
  <c r="BL29" i="6"/>
  <c r="BV29" i="6"/>
  <c r="CA29" i="6"/>
  <c r="BK29" i="6"/>
  <c r="BC29" i="6"/>
  <c r="BF29" i="6"/>
  <c r="BZ29" i="6"/>
  <c r="BY29" i="6"/>
  <c r="BE29" i="6"/>
  <c r="A35" i="12"/>
  <c r="B35" i="6"/>
  <c r="K35" i="5"/>
  <c r="H35" i="5"/>
  <c r="G35" i="5"/>
  <c r="B35" i="5"/>
  <c r="AD35" i="5"/>
  <c r="E35" i="5"/>
  <c r="D35" i="5"/>
  <c r="B35" i="12" s="1"/>
  <c r="J35" i="5"/>
  <c r="N35" i="5"/>
  <c r="F35" i="5"/>
  <c r="AE35" i="5"/>
  <c r="D34" i="6"/>
  <c r="W12" i="9"/>
  <c r="V11" i="9"/>
  <c r="W12" i="10"/>
  <c r="V11" i="10"/>
  <c r="CI30" i="6" l="1"/>
  <c r="CM30" i="6"/>
  <c r="CK30" i="6"/>
  <c r="BP30" i="6"/>
  <c r="BR30" i="6"/>
  <c r="CH30" i="6"/>
  <c r="CL30" i="6"/>
  <c r="BN30" i="6"/>
  <c r="BO30" i="6"/>
  <c r="CJ30" i="6"/>
  <c r="BQ30" i="6"/>
  <c r="CF30" i="6"/>
  <c r="CG30" i="6"/>
  <c r="BM30" i="6"/>
  <c r="AW30" i="6"/>
  <c r="AV30" i="6"/>
  <c r="AX30" i="6"/>
  <c r="AY30" i="6"/>
  <c r="AZ16" i="6"/>
  <c r="AZ17" i="6"/>
  <c r="AZ18" i="6"/>
  <c r="AZ19" i="6"/>
  <c r="AZ20" i="6"/>
  <c r="AZ21" i="6"/>
  <c r="AZ22" i="6"/>
  <c r="AZ23" i="6"/>
  <c r="AZ24" i="6"/>
  <c r="AZ25" i="6"/>
  <c r="AZ26" i="6"/>
  <c r="AZ27" i="6"/>
  <c r="AZ28" i="6"/>
  <c r="AZ29" i="6"/>
  <c r="AZ30" i="6"/>
  <c r="CM12" i="6"/>
  <c r="CM18" i="6"/>
  <c r="CM19" i="6"/>
  <c r="CM20" i="6"/>
  <c r="CM21" i="6"/>
  <c r="CM22" i="6"/>
  <c r="CM23" i="6"/>
  <c r="CM24" i="6"/>
  <c r="CM25" i="6"/>
  <c r="CM26" i="6"/>
  <c r="CM27" i="6"/>
  <c r="CM28" i="6"/>
  <c r="CM29" i="6"/>
  <c r="BA16" i="6"/>
  <c r="BA17" i="6"/>
  <c r="BA18" i="6"/>
  <c r="BA19" i="6"/>
  <c r="BA20" i="6"/>
  <c r="BA21" i="6"/>
  <c r="BA22" i="6"/>
  <c r="BA23" i="6"/>
  <c r="BA24" i="6"/>
  <c r="BA25" i="6"/>
  <c r="BA26" i="6"/>
  <c r="BA27" i="6"/>
  <c r="BA28" i="6"/>
  <c r="BA29" i="6"/>
  <c r="BA30" i="6"/>
  <c r="BS13" i="6"/>
  <c r="BR12" i="6"/>
  <c r="BR18" i="6"/>
  <c r="BR14" i="6"/>
  <c r="BR19" i="6"/>
  <c r="BR20" i="6"/>
  <c r="BR21" i="6"/>
  <c r="BR22" i="6"/>
  <c r="BR23" i="6"/>
  <c r="BR24" i="6"/>
  <c r="BR25" i="6"/>
  <c r="BR26" i="6"/>
  <c r="BR27" i="6"/>
  <c r="BR28" i="6"/>
  <c r="BG30" i="6"/>
  <c r="BY30" i="6"/>
  <c r="CE30" i="6"/>
  <c r="BL30" i="6"/>
  <c r="CA30" i="6"/>
  <c r="CD30" i="6"/>
  <c r="CC30" i="6"/>
  <c r="BJ30" i="6"/>
  <c r="BF30" i="6"/>
  <c r="BD30" i="6"/>
  <c r="BZ30" i="6"/>
  <c r="BW30" i="6"/>
  <c r="BX30" i="6"/>
  <c r="BC30" i="6"/>
  <c r="BV30" i="6"/>
  <c r="BH30" i="6"/>
  <c r="BK30" i="6"/>
  <c r="BI30" i="6"/>
  <c r="BE30" i="6"/>
  <c r="CB30" i="6"/>
  <c r="A32" i="6"/>
  <c r="N31" i="6"/>
  <c r="M31" i="6"/>
  <c r="J35" i="12"/>
  <c r="L35" i="12"/>
  <c r="H34" i="6"/>
  <c r="T34" i="5" s="1"/>
  <c r="G33" i="12"/>
  <c r="K34" i="12"/>
  <c r="D35" i="6"/>
  <c r="W11" i="10"/>
  <c r="X12" i="10"/>
  <c r="W11" i="9"/>
  <c r="X12" i="9"/>
  <c r="BT13" i="6" l="1"/>
  <c r="BT31" i="6" s="1"/>
  <c r="BS12" i="6"/>
  <c r="BS18" i="6"/>
  <c r="BS14" i="6"/>
  <c r="BS19" i="6"/>
  <c r="BS20" i="6"/>
  <c r="BS21" i="6"/>
  <c r="BS22" i="6"/>
  <c r="BS23" i="6"/>
  <c r="BS24" i="6"/>
  <c r="BS25" i="6"/>
  <c r="BS26" i="6"/>
  <c r="BS27" i="6"/>
  <c r="BS28" i="6"/>
  <c r="BS29" i="6"/>
  <c r="CM31" i="6"/>
  <c r="BR31" i="6"/>
  <c r="CJ31" i="6"/>
  <c r="CH31" i="6"/>
  <c r="CL31" i="6"/>
  <c r="BQ31" i="6"/>
  <c r="BO31" i="6"/>
  <c r="BS31" i="6"/>
  <c r="CG31" i="6"/>
  <c r="CF31" i="6"/>
  <c r="BN31" i="6"/>
  <c r="CI31" i="6"/>
  <c r="BM31" i="6"/>
  <c r="CK31" i="6"/>
  <c r="BP31" i="6"/>
  <c r="AX31" i="6"/>
  <c r="AW31" i="6"/>
  <c r="AV31" i="6"/>
  <c r="AY31" i="6"/>
  <c r="BA31" i="6"/>
  <c r="AZ31" i="6"/>
  <c r="BS30" i="6"/>
  <c r="CE31" i="6"/>
  <c r="CD31" i="6"/>
  <c r="BZ31" i="6"/>
  <c r="BX31" i="6"/>
  <c r="BK31" i="6"/>
  <c r="BF31" i="6"/>
  <c r="CA31" i="6"/>
  <c r="BW31" i="6"/>
  <c r="CC31" i="6"/>
  <c r="BV31" i="6"/>
  <c r="BY31" i="6"/>
  <c r="BE31" i="6"/>
  <c r="BD31" i="6"/>
  <c r="CB31" i="6"/>
  <c r="BL31" i="6"/>
  <c r="BC31" i="6"/>
  <c r="BJ31" i="6"/>
  <c r="BI31" i="6"/>
  <c r="BH31" i="6"/>
  <c r="BG31" i="6"/>
  <c r="A33" i="6"/>
  <c r="N32" i="6"/>
  <c r="M32" i="6"/>
  <c r="K35" i="12"/>
  <c r="H35" i="6"/>
  <c r="T35" i="5" s="1"/>
  <c r="G34" i="12"/>
  <c r="X11" i="9"/>
  <c r="Y12" i="9"/>
  <c r="Y12" i="10"/>
  <c r="X11" i="10"/>
  <c r="CK32" i="6" l="1"/>
  <c r="BR32" i="6"/>
  <c r="CG32" i="6"/>
  <c r="CM32" i="6"/>
  <c r="BN32" i="6"/>
  <c r="BT32" i="6"/>
  <c r="CJ32" i="6"/>
  <c r="CH32" i="6"/>
  <c r="BQ32" i="6"/>
  <c r="BO32" i="6"/>
  <c r="CL32" i="6"/>
  <c r="BS32" i="6"/>
  <c r="CI32" i="6"/>
  <c r="CF32" i="6"/>
  <c r="BP32" i="6"/>
  <c r="BM32" i="6"/>
  <c r="AW32" i="6"/>
  <c r="AY32" i="6"/>
  <c r="AV32" i="6"/>
  <c r="AX32" i="6"/>
  <c r="AZ32" i="6"/>
  <c r="BA32" i="6"/>
  <c r="BT12" i="6"/>
  <c r="BT18" i="6"/>
  <c r="BT14" i="6"/>
  <c r="BT19" i="6"/>
  <c r="BT20" i="6"/>
  <c r="BT21" i="6"/>
  <c r="BT22" i="6"/>
  <c r="BT23" i="6"/>
  <c r="BT24" i="6"/>
  <c r="BT25" i="6"/>
  <c r="BT26" i="6"/>
  <c r="BT27" i="6"/>
  <c r="BT28" i="6"/>
  <c r="BT29" i="6"/>
  <c r="BT30" i="6"/>
  <c r="G35" i="12"/>
  <c r="BL32" i="6"/>
  <c r="CC32" i="6"/>
  <c r="BK32" i="6"/>
  <c r="CA32" i="6"/>
  <c r="BH32" i="6"/>
  <c r="CB32" i="6"/>
  <c r="BX32" i="6"/>
  <c r="BZ32" i="6"/>
  <c r="BC32" i="6"/>
  <c r="CE32" i="6"/>
  <c r="BJ32" i="6"/>
  <c r="BF32" i="6"/>
  <c r="BG32" i="6"/>
  <c r="BE32" i="6"/>
  <c r="BW32" i="6"/>
  <c r="BD32" i="6"/>
  <c r="BI32" i="6"/>
  <c r="BV32" i="6"/>
  <c r="BY32" i="6"/>
  <c r="CD32" i="6"/>
  <c r="A34" i="6"/>
  <c r="M33" i="6"/>
  <c r="N33" i="6"/>
  <c r="Y11" i="10"/>
  <c r="Z12" i="10"/>
  <c r="Y11" i="9"/>
  <c r="Z12" i="9"/>
  <c r="CL33" i="6" l="1"/>
  <c r="BQ33" i="6"/>
  <c r="CG33" i="6"/>
  <c r="BS33" i="6"/>
  <c r="CF33" i="6"/>
  <c r="BN33" i="6"/>
  <c r="BM33" i="6"/>
  <c r="CK33" i="6"/>
  <c r="CI33" i="6"/>
  <c r="BR33" i="6"/>
  <c r="BP33" i="6"/>
  <c r="CH33" i="6"/>
  <c r="CM33" i="6"/>
  <c r="BT33" i="6"/>
  <c r="CJ33" i="6"/>
  <c r="BO33" i="6"/>
  <c r="AY33" i="6"/>
  <c r="AZ33" i="6"/>
  <c r="AX33" i="6"/>
  <c r="BA33" i="6"/>
  <c r="AV33" i="6"/>
  <c r="AW33" i="6"/>
  <c r="BE33" i="6"/>
  <c r="BJ33" i="6"/>
  <c r="BI33" i="6"/>
  <c r="CE33" i="6"/>
  <c r="BD33" i="6"/>
  <c r="BX33" i="6"/>
  <c r="CB33" i="6"/>
  <c r="BF33" i="6"/>
  <c r="BY33" i="6"/>
  <c r="CA33" i="6"/>
  <c r="CC33" i="6"/>
  <c r="CD33" i="6"/>
  <c r="BW33" i="6"/>
  <c r="BH33" i="6"/>
  <c r="BC33" i="6"/>
  <c r="BZ33" i="6"/>
  <c r="BV33" i="6"/>
  <c r="BG33" i="6"/>
  <c r="BK33" i="6"/>
  <c r="BL33" i="6"/>
  <c r="A35" i="6"/>
  <c r="N34" i="6"/>
  <c r="M34" i="6"/>
  <c r="Z11" i="10"/>
  <c r="AA12" i="10"/>
  <c r="Z11" i="9"/>
  <c r="AA12" i="9"/>
  <c r="CL34" i="6" l="1"/>
  <c r="CJ34" i="6"/>
  <c r="BS34" i="6"/>
  <c r="BQ34" i="6"/>
  <c r="CF34" i="6"/>
  <c r="BM34" i="6"/>
  <c r="CG34" i="6"/>
  <c r="CI34" i="6"/>
  <c r="CK34" i="6"/>
  <c r="BP34" i="6"/>
  <c r="BN34" i="6"/>
  <c r="CM34" i="6"/>
  <c r="BR34" i="6"/>
  <c r="BT34" i="6"/>
  <c r="CH34" i="6"/>
  <c r="BO34" i="6"/>
  <c r="AW34" i="6"/>
  <c r="AZ34" i="6"/>
  <c r="BA34" i="6"/>
  <c r="AY34" i="6"/>
  <c r="AV34" i="6"/>
  <c r="AX34" i="6"/>
  <c r="BG34" i="6"/>
  <c r="CC34" i="6"/>
  <c r="BL34" i="6"/>
  <c r="BF34" i="6"/>
  <c r="BZ34" i="6"/>
  <c r="CB34" i="6"/>
  <c r="BD34" i="6"/>
  <c r="BJ34" i="6"/>
  <c r="CE34" i="6"/>
  <c r="BE34" i="6"/>
  <c r="BX34" i="6"/>
  <c r="BC34" i="6"/>
  <c r="BK34" i="6"/>
  <c r="CD34" i="6"/>
  <c r="BH34" i="6"/>
  <c r="BY34" i="6"/>
  <c r="BI34" i="6"/>
  <c r="BW34" i="6"/>
  <c r="CA34" i="6"/>
  <c r="BV34" i="6"/>
  <c r="M35" i="6"/>
  <c r="N35" i="6"/>
  <c r="AB12" i="10"/>
  <c r="AA11" i="10"/>
  <c r="AB12" i="9"/>
  <c r="AA11" i="9"/>
  <c r="BT35" i="6" l="1"/>
  <c r="BN35" i="6"/>
  <c r="CH35" i="6"/>
  <c r="CG35" i="6"/>
  <c r="CJ35" i="6"/>
  <c r="BO35" i="6"/>
  <c r="CL35" i="6"/>
  <c r="BQ35" i="6"/>
  <c r="BS35" i="6"/>
  <c r="CF35" i="6"/>
  <c r="CI35" i="6"/>
  <c r="BM35" i="6"/>
  <c r="CK35" i="6"/>
  <c r="BP35" i="6"/>
  <c r="CM35" i="6"/>
  <c r="BR35" i="6"/>
  <c r="AW35" i="6"/>
  <c r="AW15" i="6" s="1"/>
  <c r="AD15" i="6" s="1"/>
  <c r="AY35" i="6"/>
  <c r="AY15" i="6" s="1"/>
  <c r="AF15" i="6" s="1"/>
  <c r="AZ35" i="6"/>
  <c r="AZ15" i="6" s="1"/>
  <c r="AG15" i="6" s="1"/>
  <c r="AV35" i="6"/>
  <c r="AV15" i="6" s="1"/>
  <c r="AC15" i="6" s="1"/>
  <c r="AX35" i="6"/>
  <c r="AX15" i="6" s="1"/>
  <c r="AE15" i="6" s="1"/>
  <c r="BA35" i="6"/>
  <c r="BA15" i="6" s="1"/>
  <c r="AH15" i="6" s="1"/>
  <c r="BZ35" i="6"/>
  <c r="CD35" i="6"/>
  <c r="BC35" i="6"/>
  <c r="CE35" i="6"/>
  <c r="BH35" i="6"/>
  <c r="BY35" i="6"/>
  <c r="BF35" i="6"/>
  <c r="BK35" i="6"/>
  <c r="BJ35" i="6"/>
  <c r="BV35" i="6"/>
  <c r="BX35" i="6"/>
  <c r="BE35" i="6"/>
  <c r="BI35" i="6"/>
  <c r="BG35" i="6"/>
  <c r="CB35" i="6"/>
  <c r="BD35" i="6"/>
  <c r="CA35" i="6"/>
  <c r="CC35" i="6"/>
  <c r="BW35" i="6"/>
  <c r="BL35" i="6"/>
  <c r="AB11" i="10"/>
  <c r="AC12" i="10"/>
  <c r="AC12" i="9"/>
  <c r="AB11" i="9"/>
  <c r="AC11" i="10" l="1"/>
  <c r="AD12" i="10"/>
  <c r="AC11" i="9"/>
  <c r="AD12" i="9"/>
  <c r="AD11" i="9" l="1"/>
  <c r="AE12" i="9"/>
  <c r="AE12" i="10"/>
  <c r="AD11" i="10"/>
  <c r="AE11" i="9" l="1"/>
  <c r="AE11" i="10"/>
  <c r="AF12" i="10"/>
  <c r="AF11" i="10" l="1"/>
  <c r="AM12" i="6" l="1"/>
  <c r="H14" i="6"/>
  <c r="K11" i="10"/>
  <c r="BF12" i="6"/>
  <c r="J11" i="9"/>
  <c r="BY12" i="6"/>
  <c r="AT14" i="6" l="1"/>
  <c r="AU14" i="6"/>
  <c r="AV14" i="6"/>
  <c r="AW14" i="6"/>
  <c r="AX14" i="6"/>
  <c r="AY14" i="6"/>
  <c r="AZ14" i="6"/>
  <c r="BA14" i="6"/>
  <c r="AM16" i="6"/>
  <c r="AM17" i="6"/>
  <c r="AR14" i="6"/>
  <c r="AS14" i="6"/>
  <c r="T14" i="5"/>
  <c r="AJ14" i="6"/>
  <c r="AM14" i="6"/>
  <c r="AL14" i="6"/>
  <c r="AP14" i="6"/>
  <c r="AK14" i="6"/>
  <c r="AO14" i="6"/>
  <c r="AQ14" i="6"/>
  <c r="AN14" i="6"/>
  <c r="G14" i="12" l="1"/>
  <c r="X14" i="5"/>
  <c r="I14" i="12" l="1"/>
  <c r="L14" i="5"/>
  <c r="I14" i="5"/>
  <c r="Z14" i="5"/>
  <c r="AM14" i="5"/>
  <c r="AA14" i="5" l="1"/>
  <c r="AB14" i="5"/>
  <c r="O14" i="5"/>
  <c r="C14" i="6"/>
  <c r="O14" i="12"/>
  <c r="M14" i="12"/>
  <c r="C14" i="12"/>
  <c r="AO14" i="12"/>
  <c r="N14" i="12" l="1"/>
  <c r="Y14" i="12"/>
  <c r="D14" i="12"/>
  <c r="E14" i="6"/>
  <c r="W14" i="12" l="1"/>
  <c r="X14" i="12"/>
  <c r="U14" i="12" l="1"/>
  <c r="V14" i="12"/>
  <c r="T14" i="12"/>
  <c r="AM8" i="6" l="1"/>
  <c r="A15" i="10" l="1"/>
  <c r="I13" i="7" l="1"/>
  <c r="H10" i="7"/>
  <c r="J13" i="7" l="1"/>
  <c r="I10" i="7"/>
  <c r="K13" i="7" l="1"/>
  <c r="J10" i="7"/>
  <c r="L13" i="7" l="1"/>
  <c r="K10" i="7"/>
  <c r="M13" i="7" l="1"/>
  <c r="L10" i="7"/>
  <c r="M10" i="7" l="1"/>
  <c r="N13" i="7"/>
  <c r="N10" i="7" l="1"/>
  <c r="O13" i="7"/>
  <c r="P13" i="7" l="1"/>
  <c r="O10" i="7"/>
  <c r="Q13" i="7" l="1"/>
  <c r="P10" i="7"/>
  <c r="Q10" i="7" l="1"/>
  <c r="R13" i="7"/>
  <c r="S13" i="7" l="1"/>
  <c r="R10" i="7"/>
  <c r="S10" i="7" l="1"/>
  <c r="T13" i="7"/>
  <c r="T10" i="7" l="1"/>
  <c r="T16" i="7" a="1"/>
  <c r="T16" i="7" s="1"/>
  <c r="U13" i="7"/>
  <c r="U10" i="7" l="1"/>
  <c r="U16" i="7" a="1"/>
  <c r="U16" i="7" s="1"/>
  <c r="V13" i="7"/>
  <c r="W13" i="7" l="1"/>
  <c r="V16" i="7" a="1"/>
  <c r="V16" i="7" s="1"/>
  <c r="V10" i="7"/>
  <c r="W16" i="7" l="1" a="1"/>
  <c r="W16" i="7" s="1"/>
  <c r="X13" i="7"/>
  <c r="W10" i="7"/>
  <c r="X16" i="7" l="1" a="1"/>
  <c r="X16" i="7" s="1"/>
  <c r="Y13" i="7"/>
  <c r="X10" i="7"/>
  <c r="Y16" i="7" l="1" a="1"/>
  <c r="Y16" i="7" s="1"/>
  <c r="Y10" i="7"/>
  <c r="X1" i="7" a="1"/>
  <c r="X1" i="7" s="1"/>
  <c r="W1" i="7" a="1"/>
  <c r="W1" i="7" s="1"/>
  <c r="V1" i="7" a="1"/>
  <c r="V1" i="7" s="1"/>
  <c r="U1" i="7" a="1"/>
  <c r="U1" i="7" s="1"/>
  <c r="T1" i="7" a="1"/>
  <c r="T1" i="7" s="1"/>
  <c r="Y1" i="7" a="1"/>
  <c r="Y1" i="7" s="1"/>
  <c r="F15" i="7" l="1"/>
  <c r="V15" i="7" l="1"/>
  <c r="W15" i="7"/>
  <c r="L15" i="7"/>
  <c r="P15" i="7"/>
  <c r="T15" i="7"/>
  <c r="M15" i="7"/>
  <c r="Q15" i="7"/>
  <c r="N15" i="7"/>
  <c r="H15" i="7"/>
  <c r="R15" i="7"/>
  <c r="O15" i="7"/>
  <c r="S15" i="7"/>
  <c r="X15" i="7"/>
  <c r="J15" i="7"/>
  <c r="K15" i="7"/>
  <c r="I15" i="7"/>
  <c r="Y15" i="7"/>
  <c r="E15" i="7" s="1"/>
  <c r="U15" i="7"/>
  <c r="I15" i="12" l="1"/>
  <c r="M15" i="12"/>
  <c r="J15" i="12" s="1"/>
  <c r="O15" i="12"/>
  <c r="N10" i="12" l="1"/>
  <c r="L15" i="12"/>
  <c r="K15" i="12" s="1"/>
  <c r="N15" i="12"/>
  <c r="A5" i="5" l="1"/>
  <c r="J17" i="5" l="1"/>
  <c r="K17" i="5"/>
  <c r="E14" i="8"/>
  <c r="E15" i="8" s="1"/>
  <c r="E1" i="8"/>
  <c r="E2" i="8" s="1"/>
  <c r="K16" i="5"/>
  <c r="B16" i="11"/>
  <c r="B18" i="11"/>
  <c r="A22" i="13"/>
  <c r="A18" i="13"/>
  <c r="B17" i="11"/>
  <c r="A23" i="13"/>
  <c r="A20" i="13"/>
  <c r="J16" i="5"/>
  <c r="A15" i="13"/>
  <c r="B20" i="11"/>
  <c r="A16" i="13"/>
  <c r="A17" i="13"/>
  <c r="B23" i="11"/>
  <c r="B22" i="11"/>
  <c r="B15" i="11"/>
  <c r="A21" i="13"/>
  <c r="B19" i="11"/>
  <c r="A19" i="13"/>
  <c r="B21" i="11"/>
  <c r="B12" i="11"/>
  <c r="A12" i="13"/>
  <c r="AO12" i="13" l="1"/>
  <c r="AL12" i="13"/>
  <c r="AL16" i="13"/>
  <c r="AO16" i="13"/>
  <c r="AO22" i="13"/>
  <c r="AL22" i="13"/>
  <c r="AL19" i="13"/>
  <c r="AO19" i="13"/>
  <c r="AL15" i="13"/>
  <c r="AO15" i="13"/>
  <c r="AO17" i="13"/>
  <c r="AL17" i="13"/>
  <c r="AO21" i="13"/>
  <c r="AL21" i="13"/>
  <c r="AL18" i="13"/>
  <c r="AO18" i="13"/>
  <c r="AO20" i="13"/>
  <c r="AL20" i="13"/>
  <c r="AO23" i="13"/>
  <c r="AL23" i="13"/>
  <c r="D17" i="5"/>
  <c r="D16" i="5"/>
  <c r="B16" i="12" s="1"/>
  <c r="B20" i="13"/>
  <c r="B19" i="13"/>
  <c r="B23" i="13"/>
  <c r="O1" i="8"/>
  <c r="I1" i="8"/>
  <c r="N1" i="8"/>
  <c r="P1" i="8"/>
  <c r="M1" i="8"/>
  <c r="H1" i="8"/>
  <c r="L1" i="8"/>
  <c r="R1" i="8"/>
  <c r="F1" i="8" s="1"/>
  <c r="C21" i="13"/>
  <c r="K21" i="11"/>
  <c r="J21" i="13" s="1"/>
  <c r="G21" i="11"/>
  <c r="F21" i="13" s="1"/>
  <c r="AA21" i="11"/>
  <c r="O21" i="11"/>
  <c r="AB21" i="11"/>
  <c r="N21" i="11" s="1"/>
  <c r="K19" i="11"/>
  <c r="J19" i="13" s="1"/>
  <c r="G19" i="11"/>
  <c r="F19" i="13" s="1"/>
  <c r="AB19" i="11"/>
  <c r="N19" i="11" s="1"/>
  <c r="AA19" i="11"/>
  <c r="O19" i="11"/>
  <c r="C19" i="13"/>
  <c r="C17" i="13"/>
  <c r="G17" i="11"/>
  <c r="F17" i="13" s="1"/>
  <c r="AB17" i="11"/>
  <c r="N17" i="11" s="1"/>
  <c r="AA17" i="11"/>
  <c r="K17" i="11"/>
  <c r="J17" i="13" s="1"/>
  <c r="O17" i="11"/>
  <c r="L14" i="8"/>
  <c r="I14" i="8"/>
  <c r="K16" i="11"/>
  <c r="J16" i="13" s="1"/>
  <c r="C16" i="13"/>
  <c r="G16" i="11"/>
  <c r="F16" i="13" s="1"/>
  <c r="AB16" i="11"/>
  <c r="N16" i="11" s="1"/>
  <c r="O16" i="11"/>
  <c r="AA16" i="11"/>
  <c r="B21" i="13"/>
  <c r="AB15" i="11"/>
  <c r="N15" i="11" s="1"/>
  <c r="AA15" i="11"/>
  <c r="O15" i="11"/>
  <c r="C15" i="13"/>
  <c r="K15" i="11"/>
  <c r="J15" i="13" s="1"/>
  <c r="G15" i="11"/>
  <c r="F15" i="13" s="1"/>
  <c r="O23" i="11"/>
  <c r="K23" i="11"/>
  <c r="J23" i="13" s="1"/>
  <c r="AA23" i="11"/>
  <c r="AB23" i="11"/>
  <c r="N23" i="11" s="1"/>
  <c r="C23" i="13"/>
  <c r="G23" i="11"/>
  <c r="F23" i="13" s="1"/>
  <c r="B17" i="13"/>
  <c r="B22" i="13"/>
  <c r="B16" i="13"/>
  <c r="B18" i="13"/>
  <c r="O18" i="11"/>
  <c r="C18" i="13"/>
  <c r="AB18" i="11"/>
  <c r="N18" i="11" s="1"/>
  <c r="AA18" i="11"/>
  <c r="G18" i="11"/>
  <c r="F18" i="13" s="1"/>
  <c r="K18" i="11"/>
  <c r="J18" i="13" s="1"/>
  <c r="AB22" i="11"/>
  <c r="N22" i="11" s="1"/>
  <c r="AA22" i="11"/>
  <c r="C22" i="13"/>
  <c r="K22" i="11"/>
  <c r="J22" i="13" s="1"/>
  <c r="G22" i="11"/>
  <c r="F22" i="13" s="1"/>
  <c r="O22" i="11"/>
  <c r="AA20" i="11"/>
  <c r="O20" i="11"/>
  <c r="C20" i="13"/>
  <c r="G20" i="11"/>
  <c r="F20" i="13" s="1"/>
  <c r="AB20" i="11"/>
  <c r="N20" i="11" s="1"/>
  <c r="K20" i="11"/>
  <c r="J20" i="13" s="1"/>
  <c r="B12" i="13"/>
  <c r="AK12" i="13" s="1"/>
  <c r="B15" i="13"/>
  <c r="G12" i="11"/>
  <c r="F12" i="13" s="1"/>
  <c r="AB12" i="11"/>
  <c r="N12" i="11" s="1"/>
  <c r="C12" i="13"/>
  <c r="K12" i="11"/>
  <c r="J12" i="13" s="1"/>
  <c r="AA12" i="11"/>
  <c r="O12" i="11"/>
  <c r="B17" i="12" l="1"/>
  <c r="AN23" i="13"/>
  <c r="AK17" i="13"/>
  <c r="AJ16" i="13"/>
  <c r="AK20" i="13"/>
  <c r="AM18" i="13"/>
  <c r="AM21" i="13"/>
  <c r="AM19" i="13"/>
  <c r="AM22" i="13"/>
  <c r="AK16" i="13"/>
  <c r="AJ23" i="13"/>
  <c r="AN18" i="13"/>
  <c r="AN21" i="13"/>
  <c r="AJ17" i="13"/>
  <c r="AN19" i="13"/>
  <c r="AN22" i="13"/>
  <c r="AN15" i="13"/>
  <c r="AM12" i="13"/>
  <c r="AM20" i="13"/>
  <c r="AK18" i="13"/>
  <c r="AJ21" i="13"/>
  <c r="AJ19" i="13"/>
  <c r="AJ22" i="13"/>
  <c r="AJ12" i="13"/>
  <c r="AK23" i="13"/>
  <c r="AN20" i="13"/>
  <c r="AJ18" i="13"/>
  <c r="AM17" i="13"/>
  <c r="AK19" i="13"/>
  <c r="AN16" i="13"/>
  <c r="AN12" i="13"/>
  <c r="AM15" i="13"/>
  <c r="AJ15" i="13"/>
  <c r="AM23" i="13"/>
  <c r="AJ20" i="13"/>
  <c r="AK21" i="13"/>
  <c r="AN17" i="13"/>
  <c r="AK15" i="13"/>
  <c r="AK22" i="13"/>
  <c r="AM16" i="13"/>
  <c r="D15" i="5"/>
  <c r="B14" i="13"/>
  <c r="N14" i="8"/>
  <c r="F2" i="8"/>
  <c r="O14" i="8"/>
  <c r="P14" i="8"/>
  <c r="C12" i="11"/>
  <c r="W12" i="11"/>
  <c r="Z12" i="11"/>
  <c r="L12" i="13"/>
  <c r="G2" i="8"/>
  <c r="G1" i="8"/>
  <c r="I2" i="8" s="1"/>
  <c r="Q1" i="8"/>
  <c r="R3" i="8"/>
  <c r="K16" i="13"/>
  <c r="U16" i="13"/>
  <c r="O16" i="13"/>
  <c r="R16" i="13"/>
  <c r="M16" i="13"/>
  <c r="T16" i="13"/>
  <c r="S16" i="13"/>
  <c r="K12" i="13"/>
  <c r="T12" i="13"/>
  <c r="M12" i="13"/>
  <c r="R12" i="13"/>
  <c r="O12" i="13"/>
  <c r="S12" i="13"/>
  <c r="U12" i="13"/>
  <c r="C17" i="11"/>
  <c r="L17" i="13"/>
  <c r="Z17" i="11"/>
  <c r="W17" i="11"/>
  <c r="S22" i="13"/>
  <c r="R22" i="13"/>
  <c r="O22" i="13"/>
  <c r="K22" i="13"/>
  <c r="U22" i="13"/>
  <c r="T22" i="13"/>
  <c r="M22" i="13"/>
  <c r="L21" i="13"/>
  <c r="W21" i="11"/>
  <c r="C21" i="11"/>
  <c r="Z21" i="11"/>
  <c r="R16" i="8"/>
  <c r="C19" i="11"/>
  <c r="L19" i="13"/>
  <c r="Z19" i="11"/>
  <c r="W19" i="11"/>
  <c r="L23" i="13"/>
  <c r="Z23" i="11"/>
  <c r="W23" i="11"/>
  <c r="C23" i="11"/>
  <c r="K20" i="13"/>
  <c r="U20" i="13"/>
  <c r="O20" i="13"/>
  <c r="M20" i="13"/>
  <c r="S20" i="13"/>
  <c r="T20" i="13"/>
  <c r="R20" i="13"/>
  <c r="S18" i="13"/>
  <c r="R18" i="13"/>
  <c r="O18" i="13"/>
  <c r="M18" i="13"/>
  <c r="T18" i="13"/>
  <c r="U18" i="13"/>
  <c r="K18" i="13"/>
  <c r="L16" i="13"/>
  <c r="Z16" i="11"/>
  <c r="C16" i="11"/>
  <c r="W16" i="11"/>
  <c r="U23" i="13"/>
  <c r="T23" i="13"/>
  <c r="S23" i="13"/>
  <c r="R23" i="13"/>
  <c r="O23" i="13"/>
  <c r="M23" i="13"/>
  <c r="K23" i="13"/>
  <c r="L20" i="13"/>
  <c r="Z20" i="11"/>
  <c r="W20" i="11"/>
  <c r="C20" i="11"/>
  <c r="W18" i="11"/>
  <c r="C18" i="11"/>
  <c r="Z18" i="11"/>
  <c r="L18" i="13"/>
  <c r="U15" i="13"/>
  <c r="T15" i="13"/>
  <c r="S15" i="13"/>
  <c r="R15" i="13"/>
  <c r="K15" i="13"/>
  <c r="O15" i="13"/>
  <c r="M15" i="13"/>
  <c r="C22" i="11"/>
  <c r="Z22" i="11"/>
  <c r="W22" i="11"/>
  <c r="L22" i="13"/>
  <c r="O17" i="13"/>
  <c r="M17" i="13"/>
  <c r="K17" i="13"/>
  <c r="S17" i="13"/>
  <c r="T17" i="13"/>
  <c r="R17" i="13"/>
  <c r="U17" i="13"/>
  <c r="O21" i="13"/>
  <c r="M21" i="13"/>
  <c r="K21" i="13"/>
  <c r="S21" i="13"/>
  <c r="U21" i="13"/>
  <c r="T21" i="13"/>
  <c r="R21" i="13"/>
  <c r="C15" i="11"/>
  <c r="Z15" i="11"/>
  <c r="W15" i="11"/>
  <c r="L15" i="13"/>
  <c r="U19" i="13"/>
  <c r="T19" i="13"/>
  <c r="S19" i="13"/>
  <c r="R19" i="13"/>
  <c r="K19" i="13"/>
  <c r="O19" i="13"/>
  <c r="M19" i="13"/>
  <c r="M14" i="8" l="1"/>
  <c r="Q14" i="8" s="1"/>
  <c r="D16" i="13"/>
  <c r="P19" i="13"/>
  <c r="N19" i="13"/>
  <c r="N20" i="13"/>
  <c r="P20" i="13"/>
  <c r="V12" i="13"/>
  <c r="D12" i="13"/>
  <c r="N23" i="13"/>
  <c r="P23" i="13"/>
  <c r="P15" i="13"/>
  <c r="N15" i="13"/>
  <c r="N12" i="13"/>
  <c r="P12" i="13"/>
  <c r="N21" i="13"/>
  <c r="P21" i="13"/>
  <c r="N17" i="13"/>
  <c r="P17" i="13"/>
  <c r="D18" i="13"/>
  <c r="D23" i="13"/>
  <c r="P18" i="13"/>
  <c r="N18" i="13"/>
  <c r="D19" i="13"/>
  <c r="D21" i="13"/>
  <c r="D22" i="13"/>
  <c r="D15" i="13"/>
  <c r="D20" i="13"/>
  <c r="P22" i="13"/>
  <c r="N22" i="13"/>
  <c r="N16" i="13"/>
  <c r="P16" i="13"/>
  <c r="Y1" i="8"/>
  <c r="D3" i="8"/>
  <c r="X3" i="8"/>
  <c r="AC1" i="8"/>
  <c r="AE1" i="8"/>
  <c r="U1" i="8"/>
  <c r="V1" i="8"/>
  <c r="T3" i="8"/>
  <c r="Y3" i="8"/>
  <c r="AE3" i="8"/>
  <c r="E3" i="8"/>
  <c r="D1" i="8"/>
  <c r="B1" i="8"/>
  <c r="AA1" i="8"/>
  <c r="AD3" i="8"/>
  <c r="AB1" i="8"/>
  <c r="Z1" i="8"/>
  <c r="W1" i="8"/>
  <c r="W3" i="8"/>
  <c r="C1" i="8"/>
  <c r="AA3" i="8"/>
  <c r="T1" i="8"/>
  <c r="Z3" i="8"/>
  <c r="U3" i="8"/>
  <c r="X1" i="8"/>
  <c r="AC3" i="8"/>
  <c r="AB3" i="8"/>
  <c r="V3" i="8"/>
  <c r="AD1" i="8"/>
  <c r="D17" i="13"/>
  <c r="E16" i="8" l="1"/>
  <c r="C16" i="9" l="1"/>
  <c r="C16" i="10"/>
  <c r="M12" i="6"/>
  <c r="C1" i="10"/>
  <c r="A1" i="10"/>
  <c r="C1" i="9"/>
  <c r="A1" i="9"/>
  <c r="AS21" i="6" l="1"/>
  <c r="AT21" i="6"/>
  <c r="AS24" i="6"/>
  <c r="AT24" i="6"/>
  <c r="AS19" i="6"/>
  <c r="AT19" i="6"/>
  <c r="AS22" i="6"/>
  <c r="AT22" i="6"/>
  <c r="AS20" i="6"/>
  <c r="AT20" i="6"/>
  <c r="AS25" i="6"/>
  <c r="AT25" i="6"/>
  <c r="AS23" i="6"/>
  <c r="AT23" i="6"/>
  <c r="AQ21" i="6"/>
  <c r="AR21" i="6"/>
  <c r="AQ24" i="6"/>
  <c r="AR24" i="6"/>
  <c r="AQ19" i="6"/>
  <c r="AR19" i="6"/>
  <c r="AQ22" i="6"/>
  <c r="AR22" i="6"/>
  <c r="AQ20" i="6"/>
  <c r="AR20" i="6"/>
  <c r="AQ25" i="6"/>
  <c r="AR25" i="6"/>
  <c r="AQ23" i="6"/>
  <c r="AR23" i="6"/>
  <c r="AO21" i="6"/>
  <c r="AP21" i="6"/>
  <c r="AO24" i="6"/>
  <c r="AP24" i="6"/>
  <c r="AO19" i="6"/>
  <c r="AP19" i="6"/>
  <c r="AO22" i="6"/>
  <c r="AP22" i="6"/>
  <c r="AO20" i="6"/>
  <c r="AP20" i="6"/>
  <c r="AO25" i="6"/>
  <c r="AP25" i="6"/>
  <c r="AO23" i="6"/>
  <c r="AP23" i="6"/>
  <c r="AM21" i="6"/>
  <c r="AN21" i="6"/>
  <c r="AM24" i="6"/>
  <c r="AN24" i="6"/>
  <c r="AM19" i="6"/>
  <c r="AN19" i="6"/>
  <c r="AM22" i="6"/>
  <c r="AN22" i="6"/>
  <c r="AM20" i="6"/>
  <c r="AN20" i="6"/>
  <c r="AM25" i="6"/>
  <c r="AN25" i="6"/>
  <c r="AM23" i="6"/>
  <c r="AN23" i="6"/>
  <c r="AK21" i="6"/>
  <c r="AL21" i="6"/>
  <c r="AK24" i="6"/>
  <c r="AL24" i="6"/>
  <c r="AK19" i="6"/>
  <c r="AL19" i="6"/>
  <c r="AK22" i="6"/>
  <c r="AL22" i="6"/>
  <c r="AK20" i="6"/>
  <c r="AL20" i="6"/>
  <c r="AK25" i="6"/>
  <c r="AL25" i="6"/>
  <c r="AK23" i="6"/>
  <c r="AL23" i="6"/>
  <c r="AF25" i="5"/>
  <c r="AF20" i="5"/>
  <c r="AF29" i="5"/>
  <c r="AF30" i="5"/>
  <c r="AF32" i="5"/>
  <c r="AF22" i="5"/>
  <c r="AF26" i="5"/>
  <c r="AF16" i="5"/>
  <c r="AF23" i="5"/>
  <c r="AF18" i="5"/>
  <c r="AF14" i="5"/>
  <c r="AF19" i="5"/>
  <c r="AF34" i="5"/>
  <c r="AF28" i="5"/>
  <c r="AF24" i="5"/>
  <c r="AF21" i="5"/>
  <c r="AF31" i="5"/>
  <c r="AF17" i="5"/>
  <c r="AF27" i="5"/>
  <c r="AF35" i="5"/>
  <c r="AF33" i="5"/>
  <c r="R33" i="5" l="1"/>
  <c r="S33" i="5"/>
  <c r="AG33" i="5"/>
  <c r="U33" i="5" s="1"/>
  <c r="R35" i="5"/>
  <c r="S35" i="5"/>
  <c r="AG35" i="5"/>
  <c r="U35" i="5" s="1"/>
  <c r="R27" i="5"/>
  <c r="S27" i="5"/>
  <c r="AG27" i="5"/>
  <c r="U27" i="5" s="1"/>
  <c r="S17" i="5"/>
  <c r="F17" i="12" s="1"/>
  <c r="AG17" i="5"/>
  <c r="S31" i="5"/>
  <c r="R31" i="5"/>
  <c r="AG31" i="5"/>
  <c r="U31" i="5" s="1"/>
  <c r="R21" i="5"/>
  <c r="S21" i="5"/>
  <c r="AG21" i="5"/>
  <c r="U21" i="5" s="1"/>
  <c r="S24" i="5"/>
  <c r="R24" i="5"/>
  <c r="AG24" i="5"/>
  <c r="U24" i="5" s="1"/>
  <c r="S28" i="5"/>
  <c r="R28" i="5"/>
  <c r="AG28" i="5"/>
  <c r="U28" i="5" s="1"/>
  <c r="S34" i="5"/>
  <c r="R34" i="5"/>
  <c r="AG34" i="5"/>
  <c r="U34" i="5" s="1"/>
  <c r="R19" i="5"/>
  <c r="S19" i="5"/>
  <c r="AG19" i="5"/>
  <c r="U19" i="5" s="1"/>
  <c r="S14" i="5"/>
  <c r="AG14" i="5"/>
  <c r="R14" i="5"/>
  <c r="S18" i="5"/>
  <c r="R18" i="5"/>
  <c r="AG18" i="5"/>
  <c r="U18" i="5" s="1"/>
  <c r="S23" i="5"/>
  <c r="R23" i="5"/>
  <c r="AG23" i="5"/>
  <c r="U23" i="5" s="1"/>
  <c r="S16" i="5"/>
  <c r="F16" i="12" s="1"/>
  <c r="AG16" i="5"/>
  <c r="R26" i="5"/>
  <c r="S26" i="5"/>
  <c r="AG26" i="5"/>
  <c r="U26" i="5" s="1"/>
  <c r="S22" i="5"/>
  <c r="R22" i="5"/>
  <c r="AG22" i="5"/>
  <c r="U22" i="5" s="1"/>
  <c r="R32" i="5"/>
  <c r="S32" i="5"/>
  <c r="AG32" i="5"/>
  <c r="U32" i="5" s="1"/>
  <c r="R30" i="5"/>
  <c r="S30" i="5"/>
  <c r="AG30" i="5"/>
  <c r="U30" i="5" s="1"/>
  <c r="R29" i="5"/>
  <c r="S29" i="5"/>
  <c r="AG29" i="5"/>
  <c r="U29" i="5" s="1"/>
  <c r="R20" i="5"/>
  <c r="S20" i="5"/>
  <c r="AG20" i="5"/>
  <c r="U20" i="5" s="1"/>
  <c r="R25" i="5"/>
  <c r="S25" i="5"/>
  <c r="AG25" i="5"/>
  <c r="U25" i="5" s="1"/>
  <c r="AS34" i="6"/>
  <c r="AT34" i="6"/>
  <c r="AS18" i="6"/>
  <c r="AT18" i="6"/>
  <c r="AS29" i="6"/>
  <c r="AT29" i="6"/>
  <c r="AS27" i="6"/>
  <c r="AT27" i="6"/>
  <c r="AS32" i="6"/>
  <c r="AT32" i="6"/>
  <c r="AS35" i="6"/>
  <c r="AT35" i="6"/>
  <c r="AS26" i="6"/>
  <c r="AT26" i="6"/>
  <c r="AS33" i="6"/>
  <c r="AT33" i="6"/>
  <c r="AS30" i="6"/>
  <c r="AT30" i="6"/>
  <c r="AS28" i="6"/>
  <c r="AT28" i="6"/>
  <c r="AS31" i="6"/>
  <c r="AT31" i="6"/>
  <c r="AQ32" i="6"/>
  <c r="AR32" i="6"/>
  <c r="AQ26" i="6"/>
  <c r="AR26" i="6"/>
  <c r="AQ33" i="6"/>
  <c r="AR33" i="6"/>
  <c r="AQ35" i="6"/>
  <c r="AR35" i="6"/>
  <c r="AQ30" i="6"/>
  <c r="AR30" i="6"/>
  <c r="AQ28" i="6"/>
  <c r="AR28" i="6"/>
  <c r="AQ31" i="6"/>
  <c r="AR31" i="6"/>
  <c r="AQ34" i="6"/>
  <c r="AR34" i="6"/>
  <c r="AQ18" i="6"/>
  <c r="AR18" i="6"/>
  <c r="AQ29" i="6"/>
  <c r="AR29" i="6"/>
  <c r="AQ27" i="6"/>
  <c r="AR27" i="6"/>
  <c r="AO30" i="6"/>
  <c r="AP30" i="6"/>
  <c r="AO34" i="6"/>
  <c r="AP34" i="6"/>
  <c r="AO28" i="6"/>
  <c r="AP28" i="6"/>
  <c r="AO18" i="6"/>
  <c r="AP18" i="6"/>
  <c r="AO31" i="6"/>
  <c r="AP31" i="6"/>
  <c r="AO29" i="6"/>
  <c r="AP29" i="6"/>
  <c r="AO27" i="6"/>
  <c r="AP27" i="6"/>
  <c r="AO32" i="6"/>
  <c r="AP32" i="6"/>
  <c r="AO35" i="6"/>
  <c r="AP35" i="6"/>
  <c r="AO26" i="6"/>
  <c r="AP26" i="6"/>
  <c r="AO33" i="6"/>
  <c r="AP33" i="6"/>
  <c r="AM31" i="6"/>
  <c r="AN31" i="6"/>
  <c r="AM34" i="6"/>
  <c r="AN34" i="6"/>
  <c r="AM18" i="6"/>
  <c r="AN18" i="6"/>
  <c r="AM27" i="6"/>
  <c r="AN27" i="6"/>
  <c r="AM35" i="6"/>
  <c r="AN35" i="6"/>
  <c r="AM29" i="6"/>
  <c r="AN29" i="6"/>
  <c r="AM26" i="6"/>
  <c r="AN26" i="6"/>
  <c r="AM33" i="6"/>
  <c r="AN33" i="6"/>
  <c r="AM32" i="6"/>
  <c r="AN32" i="6"/>
  <c r="AM30" i="6"/>
  <c r="AN30" i="6"/>
  <c r="AM28" i="6"/>
  <c r="AN28" i="6"/>
  <c r="AK18" i="6"/>
  <c r="AL18" i="6"/>
  <c r="AK29" i="6"/>
  <c r="AL29" i="6"/>
  <c r="AK27" i="6"/>
  <c r="AL27" i="6"/>
  <c r="AK28" i="6"/>
  <c r="AL28" i="6"/>
  <c r="AK32" i="6"/>
  <c r="AL32" i="6"/>
  <c r="AK35" i="6"/>
  <c r="AL35" i="6"/>
  <c r="AK26" i="6"/>
  <c r="AL26" i="6"/>
  <c r="AK33" i="6"/>
  <c r="AL33" i="6"/>
  <c r="AK30" i="6"/>
  <c r="AL30" i="6"/>
  <c r="AK31" i="6"/>
  <c r="AL31" i="6"/>
  <c r="AK34" i="6"/>
  <c r="AL34" i="6"/>
  <c r="W30" i="5" l="1"/>
  <c r="H30" i="12" s="1"/>
  <c r="AN30" i="5"/>
  <c r="G22" i="6"/>
  <c r="F22" i="12"/>
  <c r="F14" i="6"/>
  <c r="AC14" i="5"/>
  <c r="E14" i="12"/>
  <c r="G19" i="6"/>
  <c r="F19" i="12"/>
  <c r="G34" i="6"/>
  <c r="F34" i="12"/>
  <c r="G21" i="6"/>
  <c r="F21" i="12"/>
  <c r="F31" i="12"/>
  <c r="G31" i="6"/>
  <c r="G27" i="6"/>
  <c r="F27" i="12"/>
  <c r="E35" i="12"/>
  <c r="F35" i="6"/>
  <c r="F25" i="12"/>
  <c r="G25" i="6"/>
  <c r="E20" i="12"/>
  <c r="F20" i="6"/>
  <c r="G32" i="6"/>
  <c r="F32" i="12"/>
  <c r="F23" i="12"/>
  <c r="G23" i="6"/>
  <c r="AN24" i="5"/>
  <c r="W24" i="5"/>
  <c r="H24" i="12" s="1"/>
  <c r="F25" i="6"/>
  <c r="E25" i="12"/>
  <c r="W29" i="5"/>
  <c r="H29" i="12" s="1"/>
  <c r="AN29" i="5"/>
  <c r="F30" i="12"/>
  <c r="G30" i="6"/>
  <c r="F32" i="6"/>
  <c r="E32" i="12"/>
  <c r="AN26" i="5"/>
  <c r="W26" i="5"/>
  <c r="H26" i="12" s="1"/>
  <c r="W18" i="5"/>
  <c r="H18" i="12" s="1"/>
  <c r="AN18" i="5"/>
  <c r="E19" i="12"/>
  <c r="F19" i="6"/>
  <c r="AN28" i="5"/>
  <c r="W28" i="5"/>
  <c r="H28" i="12" s="1"/>
  <c r="E24" i="12"/>
  <c r="F24" i="6"/>
  <c r="F21" i="6"/>
  <c r="E21" i="12"/>
  <c r="E27" i="12"/>
  <c r="F27" i="6"/>
  <c r="W33" i="5"/>
  <c r="H33" i="12" s="1"/>
  <c r="AN33" i="5"/>
  <c r="AN20" i="5"/>
  <c r="W20" i="5"/>
  <c r="H20" i="12" s="1"/>
  <c r="F29" i="12"/>
  <c r="G29" i="6"/>
  <c r="E30" i="12"/>
  <c r="F30" i="6"/>
  <c r="W22" i="5"/>
  <c r="H22" i="12" s="1"/>
  <c r="AN22" i="5"/>
  <c r="G26" i="6"/>
  <c r="F26" i="12"/>
  <c r="AN23" i="5"/>
  <c r="W23" i="5"/>
  <c r="H23" i="12" s="1"/>
  <c r="E18" i="12"/>
  <c r="F18" i="6"/>
  <c r="G14" i="6"/>
  <c r="F14" i="12"/>
  <c r="W34" i="5"/>
  <c r="H34" i="12" s="1"/>
  <c r="AN34" i="5"/>
  <c r="E28" i="12"/>
  <c r="F28" i="6"/>
  <c r="F24" i="12"/>
  <c r="G24" i="6"/>
  <c r="AN31" i="5"/>
  <c r="W31" i="5"/>
  <c r="H31" i="12" s="1"/>
  <c r="AN35" i="5"/>
  <c r="W35" i="5"/>
  <c r="H35" i="12" s="1"/>
  <c r="G33" i="6"/>
  <c r="F33" i="12"/>
  <c r="W25" i="5"/>
  <c r="H25" i="12" s="1"/>
  <c r="AN25" i="5"/>
  <c r="F20" i="12"/>
  <c r="G20" i="6"/>
  <c r="E29" i="12"/>
  <c r="F29" i="6"/>
  <c r="AN32" i="5"/>
  <c r="W32" i="5"/>
  <c r="H32" i="12" s="1"/>
  <c r="E22" i="12"/>
  <c r="F22" i="6"/>
  <c r="E26" i="12"/>
  <c r="F26" i="6"/>
  <c r="E23" i="12"/>
  <c r="F23" i="6"/>
  <c r="G18" i="6"/>
  <c r="F18" i="12"/>
  <c r="W19" i="5"/>
  <c r="H19" i="12" s="1"/>
  <c r="AN19" i="5"/>
  <c r="F34" i="6"/>
  <c r="E34" i="12"/>
  <c r="G28" i="6"/>
  <c r="F28" i="12"/>
  <c r="W21" i="5"/>
  <c r="H21" i="12" s="1"/>
  <c r="AN21" i="5"/>
  <c r="F31" i="6"/>
  <c r="E31" i="12"/>
  <c r="W27" i="5"/>
  <c r="H27" i="12" s="1"/>
  <c r="AN27" i="5"/>
  <c r="F35" i="12"/>
  <c r="G35" i="6"/>
  <c r="F33" i="6"/>
  <c r="E33" i="12"/>
  <c r="AS15" i="6"/>
  <c r="AT15" i="6"/>
  <c r="AQ15" i="6"/>
  <c r="AO15" i="6"/>
  <c r="AR15" i="6"/>
  <c r="AP15" i="6"/>
  <c r="AM15" i="6"/>
  <c r="AN15" i="6"/>
  <c r="AK15" i="6"/>
  <c r="AL15" i="6"/>
  <c r="Y15" i="6" l="1"/>
  <c r="P16" i="7" a="1"/>
  <c r="P16" i="7" s="1"/>
  <c r="P1" i="7" a="1"/>
  <c r="P1" i="7" s="1"/>
  <c r="V15" i="6"/>
  <c r="M16" i="7" a="1"/>
  <c r="M16" i="7" s="1"/>
  <c r="M1" i="7" a="1"/>
  <c r="M1" i="7" s="1"/>
  <c r="X15" i="6"/>
  <c r="O16" i="7" a="1"/>
  <c r="O16" i="7" s="1"/>
  <c r="O1" i="7" a="1"/>
  <c r="O1" i="7" s="1"/>
  <c r="S15" i="6"/>
  <c r="J16" i="7" a="1"/>
  <c r="J16" i="7" s="1"/>
  <c r="J1" i="7" a="1"/>
  <c r="J1" i="7" s="1"/>
  <c r="AA15" i="6"/>
  <c r="R16" i="7" a="1"/>
  <c r="R16" i="7" s="1"/>
  <c r="R1" i="7" a="1"/>
  <c r="R1" i="7" s="1"/>
  <c r="R15" i="6"/>
  <c r="I16" i="7" a="1"/>
  <c r="I16" i="7" s="1"/>
  <c r="I1" i="7" a="1"/>
  <c r="I1" i="7" s="1"/>
  <c r="Z15" i="6"/>
  <c r="Q16" i="7" a="1"/>
  <c r="Q16" i="7" s="1"/>
  <c r="Q1" i="7" a="1"/>
  <c r="Q1" i="7" s="1"/>
  <c r="U15" i="6"/>
  <c r="L16" i="7" a="1"/>
  <c r="L16" i="7" s="1"/>
  <c r="L1" i="7" a="1"/>
  <c r="L1" i="7" s="1"/>
  <c r="T15" i="6"/>
  <c r="K16" i="7" a="1"/>
  <c r="K16" i="7" s="1"/>
  <c r="K1" i="7" a="1"/>
  <c r="K1" i="7" s="1"/>
  <c r="W15" i="6"/>
  <c r="N16" i="7" a="1"/>
  <c r="N16" i="7" s="1"/>
  <c r="N1" i="7" a="1"/>
  <c r="N1" i="7" s="1"/>
  <c r="AO14" i="13" l="1"/>
  <c r="AN14" i="13"/>
  <c r="AK14" i="13"/>
  <c r="AL14" i="13"/>
  <c r="AM14" i="13" l="1"/>
  <c r="AJ14" i="13"/>
  <c r="AU18" i="6"/>
  <c r="AU19" i="6"/>
  <c r="AU20" i="6"/>
  <c r="AU21" i="6"/>
  <c r="AU22" i="6"/>
  <c r="AU23" i="6"/>
  <c r="AU24" i="6"/>
  <c r="AU25" i="6"/>
  <c r="AU26" i="6"/>
  <c r="AU27" i="6"/>
  <c r="AU28" i="6"/>
  <c r="AU29" i="6"/>
  <c r="AU30" i="6"/>
  <c r="AU31" i="6"/>
  <c r="AU32" i="6"/>
  <c r="AU33" i="6"/>
  <c r="AU34" i="6"/>
  <c r="AU35" i="6"/>
  <c r="AU15" i="6" l="1"/>
  <c r="AB15" i="6" l="1"/>
  <c r="S16" i="7" a="1"/>
  <c r="S16" i="7" s="1"/>
  <c r="S1" i="7" a="1"/>
  <c r="S1" i="7" s="1"/>
  <c r="V16" i="8"/>
  <c r="Z16" i="8"/>
  <c r="AD16" i="8"/>
  <c r="W16" i="8"/>
  <c r="AA16" i="8"/>
  <c r="T16" i="8"/>
  <c r="X16" i="8"/>
  <c r="AB16" i="8"/>
  <c r="U16" i="8"/>
  <c r="Y16" i="8"/>
  <c r="AC16" i="8"/>
  <c r="D16" i="8"/>
  <c r="X18" i="5" l="1"/>
  <c r="AJ18" i="6" s="1"/>
  <c r="X20" i="5"/>
  <c r="I20" i="12" s="1"/>
  <c r="AO20" i="12" s="1"/>
  <c r="X22" i="5"/>
  <c r="AJ22" i="6" s="1"/>
  <c r="X24" i="5"/>
  <c r="Z24" i="5" s="1"/>
  <c r="X27" i="5"/>
  <c r="AJ27" i="6" s="1"/>
  <c r="X29" i="5"/>
  <c r="AJ29" i="6" s="1"/>
  <c r="X35" i="5"/>
  <c r="AJ35" i="6" s="1"/>
  <c r="AM22" i="5" l="1"/>
  <c r="AJ20" i="6"/>
  <c r="AC20" i="5"/>
  <c r="AM20" i="5"/>
  <c r="AM29" i="5"/>
  <c r="Z18" i="5"/>
  <c r="AB18" i="5" s="1"/>
  <c r="AC27" i="5"/>
  <c r="AC22" i="5"/>
  <c r="I27" i="12"/>
  <c r="M27" i="12" s="1"/>
  <c r="I22" i="12"/>
  <c r="C22" i="12" s="1"/>
  <c r="AM27" i="5"/>
  <c r="L27" i="5"/>
  <c r="C27" i="6" s="1"/>
  <c r="I18" i="12"/>
  <c r="M18" i="12" s="1"/>
  <c r="I18" i="5"/>
  <c r="L18" i="5"/>
  <c r="Z27" i="5"/>
  <c r="AB27" i="5" s="1"/>
  <c r="C27" i="12"/>
  <c r="AM18" i="5"/>
  <c r="AC18" i="5"/>
  <c r="Z22" i="5"/>
  <c r="AM35" i="5"/>
  <c r="C20" i="12"/>
  <c r="AC35" i="5"/>
  <c r="I35" i="12"/>
  <c r="O35" i="12" s="1"/>
  <c r="AC29" i="5"/>
  <c r="AM24" i="5"/>
  <c r="AC24" i="5"/>
  <c r="I29" i="12"/>
  <c r="O29" i="12" s="1"/>
  <c r="L22" i="5"/>
  <c r="C22" i="6" s="1"/>
  <c r="L24" i="5"/>
  <c r="C24" i="6" s="1"/>
  <c r="C18" i="12"/>
  <c r="I24" i="12"/>
  <c r="O24" i="12" s="1"/>
  <c r="AJ24" i="6"/>
  <c r="L35" i="5"/>
  <c r="Z35" i="5"/>
  <c r="L20" i="5"/>
  <c r="Z20" i="5"/>
  <c r="O20" i="12"/>
  <c r="M20" i="12"/>
  <c r="AB24" i="5"/>
  <c r="Z29" i="5"/>
  <c r="L29" i="5"/>
  <c r="O27" i="12" l="1"/>
  <c r="N27" i="12" s="1"/>
  <c r="O18" i="5"/>
  <c r="D18" i="12" s="1"/>
  <c r="M29" i="12"/>
  <c r="AB22" i="5"/>
  <c r="O18" i="12"/>
  <c r="AO18" i="12"/>
  <c r="M22" i="12"/>
  <c r="O22" i="12"/>
  <c r="AO22" i="12"/>
  <c r="AO27" i="12"/>
  <c r="Y27" i="12" s="1"/>
  <c r="W27" i="12" s="1"/>
  <c r="AO35" i="12"/>
  <c r="Y35" i="12" s="1"/>
  <c r="W35" i="12" s="1"/>
  <c r="C18" i="6"/>
  <c r="M35" i="12"/>
  <c r="N35" i="12" s="1"/>
  <c r="C35" i="12"/>
  <c r="M24" i="12"/>
  <c r="N24" i="12" s="1"/>
  <c r="C24" i="12"/>
  <c r="AO24" i="12"/>
  <c r="Y24" i="12" s="1"/>
  <c r="C29" i="12"/>
  <c r="AO29" i="12"/>
  <c r="Y29" i="12" s="1"/>
  <c r="C20" i="6"/>
  <c r="C29" i="6"/>
  <c r="N20" i="12"/>
  <c r="AB29" i="5"/>
  <c r="AB35" i="5"/>
  <c r="C35" i="6"/>
  <c r="AB20" i="5"/>
  <c r="Y20" i="12"/>
  <c r="N22" i="12" l="1"/>
  <c r="Y22" i="12"/>
  <c r="X22" i="12" s="1"/>
  <c r="E18" i="6"/>
  <c r="Y18" i="12"/>
  <c r="N29" i="12"/>
  <c r="N18" i="12"/>
  <c r="X27" i="12"/>
  <c r="X35" i="12"/>
  <c r="X29" i="12"/>
  <c r="W29" i="12"/>
  <c r="T29" i="12" s="1"/>
  <c r="V27" i="12"/>
  <c r="T27" i="12"/>
  <c r="U27" i="12"/>
  <c r="U35" i="12"/>
  <c r="V35" i="12"/>
  <c r="T35" i="12"/>
  <c r="X20" i="12"/>
  <c r="W20" i="12"/>
  <c r="W24" i="12"/>
  <c r="X24" i="12"/>
  <c r="W22" i="12" l="1"/>
  <c r="T22" i="12" s="1"/>
  <c r="W18" i="12"/>
  <c r="X18" i="12"/>
  <c r="U29" i="12"/>
  <c r="V22" i="12"/>
  <c r="V29" i="12"/>
  <c r="U22" i="12"/>
  <c r="T20" i="12"/>
  <c r="U20" i="12"/>
  <c r="V20" i="12"/>
  <c r="T24" i="12"/>
  <c r="V24" i="12"/>
  <c r="U24" i="12"/>
  <c r="X19" i="5"/>
  <c r="I19" i="5" s="1"/>
  <c r="I20" i="5" s="1"/>
  <c r="X21" i="5"/>
  <c r="I21" i="12" s="1"/>
  <c r="M21" i="12" s="1"/>
  <c r="X23" i="5"/>
  <c r="I23" i="12" s="1"/>
  <c r="X25" i="5"/>
  <c r="Z25" i="5" s="1"/>
  <c r="AB25" i="5" s="1"/>
  <c r="X26" i="5"/>
  <c r="AJ26" i="6" s="1"/>
  <c r="X28" i="5"/>
  <c r="Z28" i="5" s="1"/>
  <c r="AB28" i="5" s="1"/>
  <c r="X30" i="5"/>
  <c r="X31" i="5"/>
  <c r="Z31" i="5" s="1"/>
  <c r="X32" i="5"/>
  <c r="L32" i="5" s="1"/>
  <c r="C32" i="6" s="1"/>
  <c r="X33" i="5"/>
  <c r="Z33" i="5" s="1"/>
  <c r="AB33" i="5" s="1"/>
  <c r="X34" i="5"/>
  <c r="I34" i="12" s="1"/>
  <c r="U18" i="12" l="1"/>
  <c r="T18" i="12"/>
  <c r="V18" i="12"/>
  <c r="AM25" i="5"/>
  <c r="AM26" i="5"/>
  <c r="AJ19" i="6"/>
  <c r="AC23" i="5"/>
  <c r="AC30" i="5"/>
  <c r="AM32" i="5"/>
  <c r="AM31" i="5"/>
  <c r="AM34" i="5"/>
  <c r="I19" i="12"/>
  <c r="AO19" i="12" s="1"/>
  <c r="AC32" i="5"/>
  <c r="AC19" i="5"/>
  <c r="I26" i="12"/>
  <c r="M26" i="12" s="1"/>
  <c r="AC34" i="5"/>
  <c r="Z26" i="5"/>
  <c r="AB26" i="5" s="1"/>
  <c r="AM21" i="5"/>
  <c r="L19" i="5"/>
  <c r="Z19" i="5"/>
  <c r="AB19" i="5" s="1"/>
  <c r="AM28" i="5"/>
  <c r="L26" i="5"/>
  <c r="AJ32" i="6"/>
  <c r="AM19" i="5"/>
  <c r="AC26" i="5"/>
  <c r="AC21" i="5"/>
  <c r="AC33" i="5"/>
  <c r="AJ31" i="6"/>
  <c r="I21" i="5"/>
  <c r="I22" i="5" s="1"/>
  <c r="AC31" i="5"/>
  <c r="L25" i="5"/>
  <c r="C25" i="6" s="1"/>
  <c r="AJ21" i="6"/>
  <c r="AM33" i="5"/>
  <c r="AC28" i="5"/>
  <c r="AM23" i="5"/>
  <c r="AC25" i="5"/>
  <c r="I32" i="12"/>
  <c r="AO32" i="12" s="1"/>
  <c r="Z32" i="5"/>
  <c r="AB32" i="5" s="1"/>
  <c r="O20" i="5"/>
  <c r="E20" i="6" s="1"/>
  <c r="L34" i="5"/>
  <c r="C34" i="6" s="1"/>
  <c r="L31" i="5"/>
  <c r="C31" i="6" s="1"/>
  <c r="I25" i="12"/>
  <c r="AO25" i="12" s="1"/>
  <c r="AJ25" i="6"/>
  <c r="Z23" i="5"/>
  <c r="L28" i="5"/>
  <c r="C28" i="6" s="1"/>
  <c r="I33" i="12"/>
  <c r="L21" i="5"/>
  <c r="C21" i="6" s="1"/>
  <c r="I28" i="12"/>
  <c r="AJ28" i="6"/>
  <c r="I31" i="12"/>
  <c r="AO31" i="12" s="1"/>
  <c r="AJ33" i="6"/>
  <c r="Z21" i="5"/>
  <c r="AB21" i="5" s="1"/>
  <c r="L33" i="5"/>
  <c r="C33" i="6" s="1"/>
  <c r="L23" i="5"/>
  <c r="M34" i="12"/>
  <c r="O34" i="12"/>
  <c r="C34" i="12"/>
  <c r="AO34" i="12"/>
  <c r="M23" i="12"/>
  <c r="AO23" i="12"/>
  <c r="O23" i="12"/>
  <c r="C23" i="12"/>
  <c r="AJ23" i="6"/>
  <c r="Z34" i="5"/>
  <c r="AJ34" i="6"/>
  <c r="O22" i="5"/>
  <c r="I30" i="12"/>
  <c r="X17" i="5"/>
  <c r="AJ30" i="6"/>
  <c r="X15" i="5"/>
  <c r="AM30" i="5"/>
  <c r="C26" i="6"/>
  <c r="L30" i="5"/>
  <c r="Z30" i="5"/>
  <c r="O21" i="12"/>
  <c r="N21" i="12" s="1"/>
  <c r="AO21" i="12"/>
  <c r="C21" i="12"/>
  <c r="AB31" i="5"/>
  <c r="X16" i="5"/>
  <c r="I23" i="5" l="1"/>
  <c r="I24" i="5" s="1"/>
  <c r="AO26" i="12"/>
  <c r="O26" i="12"/>
  <c r="N26" i="12" s="1"/>
  <c r="D20" i="12"/>
  <c r="AE16" i="8"/>
  <c r="O33" i="12"/>
  <c r="O32" i="12"/>
  <c r="Y32" i="12" s="1"/>
  <c r="M32" i="12"/>
  <c r="C26" i="12"/>
  <c r="AB34" i="5"/>
  <c r="O19" i="12"/>
  <c r="C19" i="12"/>
  <c r="O19" i="5"/>
  <c r="M19" i="12"/>
  <c r="C19" i="6"/>
  <c r="C32" i="12"/>
  <c r="M31" i="12"/>
  <c r="C25" i="12"/>
  <c r="C31" i="12"/>
  <c r="AO33" i="12"/>
  <c r="C23" i="6"/>
  <c r="M33" i="12"/>
  <c r="C33" i="12"/>
  <c r="AB23" i="5"/>
  <c r="M28" i="12"/>
  <c r="AO28" i="12"/>
  <c r="O31" i="12"/>
  <c r="O25" i="12"/>
  <c r="M25" i="12"/>
  <c r="O21" i="5"/>
  <c r="E21" i="6" s="1"/>
  <c r="Y23" i="12"/>
  <c r="O23" i="5"/>
  <c r="D23" i="12" s="1"/>
  <c r="Y21" i="12"/>
  <c r="O28" i="12"/>
  <c r="C28" i="12"/>
  <c r="AJ15" i="6"/>
  <c r="N23" i="12"/>
  <c r="Y34" i="12"/>
  <c r="N34" i="12"/>
  <c r="C30" i="6"/>
  <c r="AC25" i="10"/>
  <c r="AM15" i="5"/>
  <c r="O25" i="10"/>
  <c r="I25" i="10"/>
  <c r="M25" i="10"/>
  <c r="AA25" i="10"/>
  <c r="K25" i="10"/>
  <c r="U25" i="10"/>
  <c r="Z15" i="5"/>
  <c r="Y25" i="10"/>
  <c r="S25" i="10"/>
  <c r="W25" i="10"/>
  <c r="Q25" i="10"/>
  <c r="AE25" i="10"/>
  <c r="Z17" i="5"/>
  <c r="AM17" i="5"/>
  <c r="L17" i="5"/>
  <c r="AC17" i="5"/>
  <c r="I17" i="12"/>
  <c r="O30" i="12"/>
  <c r="M30" i="12"/>
  <c r="AO30" i="12"/>
  <c r="C30" i="12"/>
  <c r="Z16" i="5"/>
  <c r="I16" i="12"/>
  <c r="O14" i="11"/>
  <c r="R14" i="8"/>
  <c r="AM16" i="5"/>
  <c r="AC16" i="5"/>
  <c r="L16" i="5"/>
  <c r="D22" i="12"/>
  <c r="E22" i="6"/>
  <c r="I25" i="5"/>
  <c r="O24" i="5"/>
  <c r="AB30" i="5"/>
  <c r="Y26" i="12" l="1"/>
  <c r="N19" i="12"/>
  <c r="AB16" i="5"/>
  <c r="N32" i="12"/>
  <c r="N31" i="12"/>
  <c r="X32" i="12"/>
  <c r="W32" i="12"/>
  <c r="W26" i="12"/>
  <c r="X26" i="12"/>
  <c r="X21" i="12"/>
  <c r="W21" i="12"/>
  <c r="D19" i="12"/>
  <c r="E19" i="6"/>
  <c r="Y19" i="12"/>
  <c r="Y28" i="12"/>
  <c r="Y33" i="12"/>
  <c r="W33" i="12" s="1"/>
  <c r="Y25" i="12"/>
  <c r="N33" i="12"/>
  <c r="Y31" i="12"/>
  <c r="W31" i="12" s="1"/>
  <c r="M17" i="12"/>
  <c r="W23" i="12"/>
  <c r="X23" i="12"/>
  <c r="X33" i="12"/>
  <c r="D21" i="12"/>
  <c r="N25" i="12"/>
  <c r="E23" i="6"/>
  <c r="N30" i="12"/>
  <c r="N28" i="12"/>
  <c r="Q15" i="6"/>
  <c r="E1" i="7" a="1"/>
  <c r="E1" i="7" s="1"/>
  <c r="H1" i="7" a="1"/>
  <c r="H1" i="7" s="1"/>
  <c r="F16" i="7"/>
  <c r="H16" i="7" a="1"/>
  <c r="H16" i="7" s="1"/>
  <c r="E16" i="7" a="1"/>
  <c r="E16" i="7" s="1"/>
  <c r="F1" i="7"/>
  <c r="AB17" i="5"/>
  <c r="M16" i="12"/>
  <c r="X34" i="12"/>
  <c r="W34" i="12"/>
  <c r="AD14" i="13"/>
  <c r="S14" i="13" s="1"/>
  <c r="M27" i="13" s="1"/>
  <c r="AG14" i="13"/>
  <c r="U14" i="13" s="1"/>
  <c r="AD4" i="13" s="1"/>
  <c r="Y30" i="12"/>
  <c r="AE24" i="10"/>
  <c r="AE23" i="10"/>
  <c r="AE22" i="10" s="1"/>
  <c r="AA24" i="10"/>
  <c r="AA23" i="10"/>
  <c r="AA22" i="10" s="1"/>
  <c r="AO17" i="12"/>
  <c r="W14" i="11"/>
  <c r="O24" i="11"/>
  <c r="L14" i="13"/>
  <c r="C14" i="11"/>
  <c r="J17" i="12"/>
  <c r="C17" i="12"/>
  <c r="L17" i="12"/>
  <c r="Q23" i="10"/>
  <c r="Q22" i="10" s="1"/>
  <c r="Q24" i="10"/>
  <c r="M23" i="10"/>
  <c r="M22" i="10" s="1"/>
  <c r="M24" i="10"/>
  <c r="K24" i="10"/>
  <c r="K23" i="10"/>
  <c r="K22" i="10" s="1"/>
  <c r="L16" i="12"/>
  <c r="J16" i="12"/>
  <c r="C16" i="12"/>
  <c r="W23" i="10"/>
  <c r="W22" i="10" s="1"/>
  <c r="W24" i="10"/>
  <c r="I23" i="10"/>
  <c r="I22" i="10" s="1"/>
  <c r="Y9" i="10" s="1"/>
  <c r="I24" i="10"/>
  <c r="AE9" i="10" s="1"/>
  <c r="E24" i="6"/>
  <c r="D24" i="12"/>
  <c r="S24" i="10"/>
  <c r="S23" i="10"/>
  <c r="S22" i="10" s="1"/>
  <c r="O24" i="10"/>
  <c r="O23" i="10"/>
  <c r="O22" i="10" s="1"/>
  <c r="AO16" i="12"/>
  <c r="AC11" i="5"/>
  <c r="AB15" i="5"/>
  <c r="Y24" i="10"/>
  <c r="Y23" i="10"/>
  <c r="Y22" i="10" s="1"/>
  <c r="O16" i="5"/>
  <c r="C16" i="6"/>
  <c r="O17" i="12"/>
  <c r="O16" i="12"/>
  <c r="AC23" i="10"/>
  <c r="AC22" i="10" s="1"/>
  <c r="AC24" i="10"/>
  <c r="I26" i="5"/>
  <c r="O25" i="5"/>
  <c r="C17" i="6"/>
  <c r="O17" i="5"/>
  <c r="Y14" i="8"/>
  <c r="D14" i="8"/>
  <c r="F15" i="8"/>
  <c r="Q18" i="8"/>
  <c r="H18" i="8" s="1"/>
  <c r="D27" i="8"/>
  <c r="V14" i="8"/>
  <c r="T14" i="8"/>
  <c r="U14" i="8"/>
  <c r="AD14" i="8"/>
  <c r="AC14" i="8"/>
  <c r="AA14" i="8"/>
  <c r="X14" i="8"/>
  <c r="Z14" i="8"/>
  <c r="AE14" i="8"/>
  <c r="F14" i="8"/>
  <c r="T27" i="8"/>
  <c r="G14" i="8"/>
  <c r="I15" i="8" s="1"/>
  <c r="G15" i="8"/>
  <c r="AB14" i="8"/>
  <c r="W14" i="8"/>
  <c r="U23" i="10"/>
  <c r="U22" i="10" s="1"/>
  <c r="U24" i="10"/>
  <c r="X31" i="12" l="1"/>
  <c r="AB14" i="11"/>
  <c r="V23" i="12"/>
  <c r="T26" i="12"/>
  <c r="V26" i="12"/>
  <c r="U26" i="12"/>
  <c r="T31" i="12"/>
  <c r="V31" i="12"/>
  <c r="U31" i="12"/>
  <c r="N17" i="12"/>
  <c r="C14" i="8"/>
  <c r="U32" i="12"/>
  <c r="V32" i="12"/>
  <c r="T32" i="12"/>
  <c r="W28" i="12"/>
  <c r="X28" i="12"/>
  <c r="W25" i="12"/>
  <c r="X25" i="12"/>
  <c r="T23" i="12"/>
  <c r="U23" i="12"/>
  <c r="U21" i="12"/>
  <c r="T21" i="12"/>
  <c r="V21" i="12"/>
  <c r="U33" i="12"/>
  <c r="N16" i="12"/>
  <c r="T33" i="12"/>
  <c r="V33" i="12"/>
  <c r="X19" i="12"/>
  <c r="W19" i="12"/>
  <c r="Y17" i="12"/>
  <c r="A16" i="9"/>
  <c r="A16" i="10"/>
  <c r="AE15" i="13"/>
  <c r="AH12" i="13"/>
  <c r="AG15" i="13"/>
  <c r="AE20" i="13"/>
  <c r="AG21" i="13"/>
  <c r="AF12" i="13"/>
  <c r="AF22" i="13"/>
  <c r="AG23" i="13"/>
  <c r="AE22" i="13"/>
  <c r="AD21" i="13"/>
  <c r="AF18" i="13"/>
  <c r="AF23" i="13"/>
  <c r="AH20" i="13"/>
  <c r="AE21" i="13"/>
  <c r="AE23" i="13"/>
  <c r="AD20" i="13"/>
  <c r="AD12" i="13"/>
  <c r="AD17" i="13"/>
  <c r="AH16" i="13"/>
  <c r="AE17" i="13"/>
  <c r="AC19" i="13"/>
  <c r="AF16" i="13"/>
  <c r="AC20" i="13"/>
  <c r="AE19" i="13"/>
  <c r="AD22" i="13"/>
  <c r="AG18" i="13"/>
  <c r="AH18" i="13"/>
  <c r="AF19" i="13"/>
  <c r="AF20" i="13"/>
  <c r="AG20" i="13"/>
  <c r="AE14" i="13"/>
  <c r="M14" i="13" s="1"/>
  <c r="M28" i="13" s="1"/>
  <c r="AD16" i="13"/>
  <c r="AC21" i="13"/>
  <c r="AH22" i="13"/>
  <c r="AH15" i="13"/>
  <c r="AC12" i="13"/>
  <c r="AG19" i="13"/>
  <c r="AH21" i="13"/>
  <c r="AC18" i="13"/>
  <c r="AF21" i="13"/>
  <c r="AE12" i="13"/>
  <c r="AH17" i="13"/>
  <c r="AD18" i="13"/>
  <c r="AH14" i="13"/>
  <c r="O14" i="13" s="1"/>
  <c r="P14" i="13" s="1"/>
  <c r="AF17" i="13"/>
  <c r="AH23" i="13"/>
  <c r="AC17" i="13"/>
  <c r="AC16" i="13"/>
  <c r="AE16" i="13"/>
  <c r="AG16" i="13"/>
  <c r="AD19" i="13"/>
  <c r="AC15" i="13"/>
  <c r="AG22" i="13"/>
  <c r="AG17" i="13"/>
  <c r="AD23" i="13"/>
  <c r="AC22" i="13"/>
  <c r="AH19" i="13"/>
  <c r="AE18" i="13"/>
  <c r="AC23" i="13"/>
  <c r="AD15" i="13"/>
  <c r="AF15" i="13"/>
  <c r="AG12" i="13"/>
  <c r="T25" i="12"/>
  <c r="V25" i="12"/>
  <c r="U34" i="12"/>
  <c r="V34" i="12"/>
  <c r="T34" i="12"/>
  <c r="E25" i="6"/>
  <c r="D25" i="12"/>
  <c r="D17" i="12"/>
  <c r="E17" i="6"/>
  <c r="U27" i="8"/>
  <c r="T23" i="8"/>
  <c r="H22" i="9" s="1"/>
  <c r="T22" i="8"/>
  <c r="H23" i="9"/>
  <c r="I27" i="5"/>
  <c r="O26" i="5"/>
  <c r="D22" i="8"/>
  <c r="D18" i="8" s="1"/>
  <c r="D23" i="8"/>
  <c r="X17" i="12"/>
  <c r="W17" i="12"/>
  <c r="D16" i="12"/>
  <c r="H14" i="8"/>
  <c r="E16" i="6"/>
  <c r="D14" i="13"/>
  <c r="L28" i="13"/>
  <c r="V14" i="13"/>
  <c r="V15" i="13" s="1"/>
  <c r="V16" i="13" s="1"/>
  <c r="V17" i="13" s="1"/>
  <c r="V18" i="13" s="1"/>
  <c r="V19" i="13" s="1"/>
  <c r="V20" i="13" s="1"/>
  <c r="V21" i="13" s="1"/>
  <c r="V22" i="13" s="1"/>
  <c r="V23" i="13" s="1"/>
  <c r="X30" i="12"/>
  <c r="W30" i="12"/>
  <c r="K17" i="12"/>
  <c r="AA7" i="11"/>
  <c r="O25" i="11"/>
  <c r="Y16" i="12"/>
  <c r="K16" i="12"/>
  <c r="AB24" i="11" l="1"/>
  <c r="AB7" i="11" s="1"/>
  <c r="N14" i="11"/>
  <c r="N24" i="11" s="1"/>
  <c r="U25" i="12"/>
  <c r="T26" i="8" a="1"/>
  <c r="T26" i="8" s="1"/>
  <c r="D26" i="8" a="1"/>
  <c r="D26" i="8" s="1"/>
  <c r="D21" i="8" s="1"/>
  <c r="T28" i="12"/>
  <c r="V28" i="12"/>
  <c r="U28" i="12"/>
  <c r="U19" i="12"/>
  <c r="T19" i="12"/>
  <c r="V19" i="12"/>
  <c r="N14" i="13"/>
  <c r="O28" i="13"/>
  <c r="P24" i="13" s="1"/>
  <c r="U17" i="12"/>
  <c r="T17" i="12"/>
  <c r="V17" i="12"/>
  <c r="T18" i="8"/>
  <c r="H20" i="9" s="1"/>
  <c r="H21" i="9"/>
  <c r="Z3" i="11"/>
  <c r="AA3" i="11" s="1"/>
  <c r="L24" i="13"/>
  <c r="O29" i="13"/>
  <c r="M24" i="13"/>
  <c r="D33" i="14"/>
  <c r="U23" i="8"/>
  <c r="J22" i="9" s="1"/>
  <c r="V27" i="8"/>
  <c r="J23" i="9"/>
  <c r="U22" i="8"/>
  <c r="N25" i="11"/>
  <c r="L27" i="13"/>
  <c r="W16" i="12"/>
  <c r="X16" i="12"/>
  <c r="U30" i="12"/>
  <c r="V30" i="12"/>
  <c r="T30" i="12"/>
  <c r="D26" i="12"/>
  <c r="E26" i="6"/>
  <c r="O27" i="5"/>
  <c r="I28" i="5"/>
  <c r="T21" i="8" l="1"/>
  <c r="U26" i="8" a="1"/>
  <c r="U26" i="8" s="1"/>
  <c r="O24" i="13"/>
  <c r="AD6" i="13"/>
  <c r="AE6" i="13" s="1"/>
  <c r="F33" i="14"/>
  <c r="N28" i="13"/>
  <c r="AE4" i="13" s="1"/>
  <c r="O27" i="13" s="1"/>
  <c r="J21" i="9"/>
  <c r="U18" i="8"/>
  <c r="J20" i="9" s="1"/>
  <c r="W27" i="8"/>
  <c r="L23" i="9"/>
  <c r="V23" i="8"/>
  <c r="L22" i="9" s="1"/>
  <c r="V22" i="8"/>
  <c r="O28" i="5"/>
  <c r="I29" i="5"/>
  <c r="T16" i="12"/>
  <c r="U16" i="12"/>
  <c r="V16" i="12"/>
  <c r="F34" i="14"/>
  <c r="AA18" i="5"/>
  <c r="AA26" i="5"/>
  <c r="AD20" i="11"/>
  <c r="AA19" i="5"/>
  <c r="AA27" i="5"/>
  <c r="AA35" i="5"/>
  <c r="AD21" i="11"/>
  <c r="AA20" i="5"/>
  <c r="AA28" i="5"/>
  <c r="AD22" i="11"/>
  <c r="AA21" i="5"/>
  <c r="AA29" i="5"/>
  <c r="AD15" i="11"/>
  <c r="AD23" i="11"/>
  <c r="AA22" i="5"/>
  <c r="AD16" i="11"/>
  <c r="AD14" i="11"/>
  <c r="AD17" i="11"/>
  <c r="AD12" i="11"/>
  <c r="AA24" i="5"/>
  <c r="AA32" i="5"/>
  <c r="AD18" i="11"/>
  <c r="AA33" i="5"/>
  <c r="AD19" i="11"/>
  <c r="AA25" i="5"/>
  <c r="AA31" i="5"/>
  <c r="AA34" i="5"/>
  <c r="AA23" i="5"/>
  <c r="AA30" i="5"/>
  <c r="D27" i="12"/>
  <c r="E27" i="6"/>
  <c r="AD27" i="13"/>
  <c r="AC27" i="13"/>
  <c r="D32" i="14"/>
  <c r="V26" i="8" l="1" a="1"/>
  <c r="V26" i="8" s="1"/>
  <c r="U21" i="8"/>
  <c r="N27" i="13"/>
  <c r="E32" i="14" s="1"/>
  <c r="F32" i="14"/>
  <c r="E33" i="14"/>
  <c r="E34" i="14"/>
  <c r="N24" i="13"/>
  <c r="AE20" i="11"/>
  <c r="M20" i="11" s="1"/>
  <c r="L20" i="11" s="1"/>
  <c r="AE18" i="11"/>
  <c r="M18" i="11" s="1"/>
  <c r="L18" i="11" s="1"/>
  <c r="AE15" i="11"/>
  <c r="M15" i="11" s="1"/>
  <c r="L15" i="11" s="1"/>
  <c r="AE17" i="11"/>
  <c r="M17" i="11" s="1"/>
  <c r="L17" i="11" s="1"/>
  <c r="V18" i="8"/>
  <c r="L20" i="9" s="1"/>
  <c r="L21" i="9"/>
  <c r="AE22" i="11"/>
  <c r="M22" i="11" s="1"/>
  <c r="L22" i="11" s="1"/>
  <c r="AE23" i="11"/>
  <c r="M23" i="11" s="1"/>
  <c r="L23" i="11" s="1"/>
  <c r="AE14" i="11"/>
  <c r="W22" i="8"/>
  <c r="N23" i="9"/>
  <c r="X27" i="8"/>
  <c r="W23" i="8"/>
  <c r="N22" i="9" s="1"/>
  <c r="AE19" i="11"/>
  <c r="M19" i="11" s="1"/>
  <c r="L19" i="11" s="1"/>
  <c r="O29" i="5"/>
  <c r="I30" i="5"/>
  <c r="AE21" i="11"/>
  <c r="M21" i="11" s="1"/>
  <c r="L21" i="11" s="1"/>
  <c r="E28" i="6"/>
  <c r="D28" i="12"/>
  <c r="AE16" i="11"/>
  <c r="M16" i="11" s="1"/>
  <c r="L16" i="11" s="1"/>
  <c r="AE12" i="11"/>
  <c r="M12" i="11" s="1"/>
  <c r="L12" i="11" s="1"/>
  <c r="AA17" i="5"/>
  <c r="AA15" i="5"/>
  <c r="AA16" i="5"/>
  <c r="W26" i="8" l="1" a="1"/>
  <c r="W26" i="8" s="1"/>
  <c r="V21" i="8"/>
  <c r="Y27" i="8"/>
  <c r="P23" i="9"/>
  <c r="X22" i="8"/>
  <c r="X23" i="8"/>
  <c r="P22" i="9" s="1"/>
  <c r="AA14" i="11"/>
  <c r="AC14" i="13"/>
  <c r="R14" i="13" s="1"/>
  <c r="M26" i="13" s="1"/>
  <c r="AF14" i="13"/>
  <c r="T14" i="13" s="1"/>
  <c r="AD3" i="13" s="1"/>
  <c r="AD2" i="13" s="1"/>
  <c r="B14" i="8"/>
  <c r="W18" i="8"/>
  <c r="N20" i="9" s="1"/>
  <c r="N21" i="9"/>
  <c r="I31" i="5"/>
  <c r="O30" i="5"/>
  <c r="E29" i="6"/>
  <c r="D29" i="12"/>
  <c r="X26" i="8" l="1" a="1"/>
  <c r="X26" i="8" s="1"/>
  <c r="W21" i="8"/>
  <c r="AE3" i="13"/>
  <c r="M25" i="13"/>
  <c r="M14" i="11"/>
  <c r="AA24" i="11"/>
  <c r="Z14" i="11"/>
  <c r="Z24" i="11" s="1"/>
  <c r="I32" i="5"/>
  <c r="O31" i="5"/>
  <c r="E30" i="6"/>
  <c r="D30" i="12"/>
  <c r="X21" i="8"/>
  <c r="P21" i="9"/>
  <c r="X18" i="8"/>
  <c r="P20" i="9" s="1"/>
  <c r="Z27" i="8"/>
  <c r="Y23" i="8"/>
  <c r="R22" i="9" s="1"/>
  <c r="Y22" i="8"/>
  <c r="R23" i="9"/>
  <c r="T25" i="8" a="1"/>
  <c r="T25" i="8" s="1"/>
  <c r="D25" i="8" a="1"/>
  <c r="D25" i="8" s="1"/>
  <c r="Y26" i="8" l="1" a="1"/>
  <c r="Y26" i="8" s="1"/>
  <c r="D31" i="12"/>
  <c r="E31" i="6"/>
  <c r="Z22" i="8"/>
  <c r="Z23" i="8"/>
  <c r="T22" i="9" s="1"/>
  <c r="AA27" i="8"/>
  <c r="T23" i="9"/>
  <c r="I33" i="5"/>
  <c r="O32" i="5"/>
  <c r="D20" i="8"/>
  <c r="D24" i="8"/>
  <c r="D19" i="8" s="1"/>
  <c r="T20" i="8"/>
  <c r="U25" i="8" a="1"/>
  <c r="U25" i="8" s="1"/>
  <c r="T24" i="8"/>
  <c r="T19" i="8" s="1"/>
  <c r="M24" i="11"/>
  <c r="L14" i="11"/>
  <c r="L24" i="11" s="1"/>
  <c r="Y18" i="8"/>
  <c r="R20" i="9" s="1"/>
  <c r="R21" i="9"/>
  <c r="O26" i="13"/>
  <c r="AE2" i="13"/>
  <c r="Z26" i="8" l="1" a="1"/>
  <c r="Z26" i="8" s="1"/>
  <c r="Y21" i="8"/>
  <c r="O33" i="5"/>
  <c r="I34" i="5"/>
  <c r="AA23" i="8"/>
  <c r="V22" i="9" s="1"/>
  <c r="AA22" i="8"/>
  <c r="V23" i="9"/>
  <c r="AB27" i="8"/>
  <c r="V25" i="8" a="1"/>
  <c r="V25" i="8" s="1"/>
  <c r="U20" i="8"/>
  <c r="U24" i="8"/>
  <c r="U19" i="8" s="1"/>
  <c r="F31" i="14"/>
  <c r="N26" i="13"/>
  <c r="E31" i="14" s="1"/>
  <c r="O25" i="13"/>
  <c r="Z18" i="8"/>
  <c r="T20" i="9" s="1"/>
  <c r="T21" i="9"/>
  <c r="L25" i="11"/>
  <c r="L10" i="11"/>
  <c r="M10" i="13" s="1"/>
  <c r="L25" i="13"/>
  <c r="D30" i="14" s="1"/>
  <c r="L26" i="13"/>
  <c r="M10" i="11"/>
  <c r="N10" i="13" s="1"/>
  <c r="M25" i="11"/>
  <c r="E32" i="6"/>
  <c r="D32" i="12"/>
  <c r="AA26" i="8" l="1" a="1"/>
  <c r="AA26" i="8" s="1"/>
  <c r="Z21" i="8"/>
  <c r="G9" i="11"/>
  <c r="AC27" i="8"/>
  <c r="AB23" i="8"/>
  <c r="AB22" i="8"/>
  <c r="X23" i="9"/>
  <c r="AC26" i="13"/>
  <c r="AD26" i="13"/>
  <c r="D31" i="14"/>
  <c r="F30" i="14"/>
  <c r="N25" i="13"/>
  <c r="E30" i="14" s="1"/>
  <c r="V21" i="9"/>
  <c r="AA18" i="8"/>
  <c r="V20" i="9" s="1"/>
  <c r="D33" i="12"/>
  <c r="E33" i="6"/>
  <c r="I35" i="5"/>
  <c r="O35" i="5" s="1"/>
  <c r="O34" i="5"/>
  <c r="W25" i="8" a="1"/>
  <c r="W25" i="8" s="1"/>
  <c r="V20" i="8"/>
  <c r="V24" i="8"/>
  <c r="V19" i="8" s="1"/>
  <c r="AA21" i="8" l="1"/>
  <c r="AB26" i="8" a="1"/>
  <c r="AB26" i="8" s="1"/>
  <c r="X22" i="9"/>
  <c r="J10" i="13"/>
  <c r="G10" i="13" s="1"/>
  <c r="E34" i="6"/>
  <c r="D34" i="12"/>
  <c r="E35" i="6"/>
  <c r="D35" i="12"/>
  <c r="X21" i="9"/>
  <c r="AB18" i="8"/>
  <c r="X20" i="9" s="1"/>
  <c r="W20" i="8"/>
  <c r="X25" i="8" a="1"/>
  <c r="X25" i="8" s="1"/>
  <c r="W24" i="8"/>
  <c r="W19" i="8" s="1"/>
  <c r="AD27" i="8"/>
  <c r="AC22" i="8"/>
  <c r="Z23" i="9"/>
  <c r="AC23" i="8"/>
  <c r="Z22" i="9" s="1"/>
  <c r="AB21" i="8" l="1"/>
  <c r="AC26" i="8" a="1"/>
  <c r="AC26" i="8" s="1"/>
  <c r="AC18" i="8"/>
  <c r="Z20" i="9" s="1"/>
  <c r="Z21" i="9"/>
  <c r="AE27" i="8"/>
  <c r="AB23" i="9"/>
  <c r="AD23" i="8"/>
  <c r="AB22" i="9" s="1"/>
  <c r="AD22" i="8"/>
  <c r="X20" i="8"/>
  <c r="Y25" i="8" a="1"/>
  <c r="Y25" i="8" s="1"/>
  <c r="X24" i="8"/>
  <c r="X19" i="8" s="1"/>
  <c r="AD26" i="8" l="1" a="1"/>
  <c r="AD26" i="8" s="1"/>
  <c r="AC21" i="8"/>
  <c r="AF27" i="8"/>
  <c r="AE22" i="8"/>
  <c r="AD23" i="9"/>
  <c r="B3" i="9"/>
  <c r="J10" i="8"/>
  <c r="AE23" i="8"/>
  <c r="AD22" i="9" s="1"/>
  <c r="Z25" i="8" a="1"/>
  <c r="Z25" i="8" s="1"/>
  <c r="Y20" i="8"/>
  <c r="Y24" i="8"/>
  <c r="Y19" i="8" s="1"/>
  <c r="AB21" i="9"/>
  <c r="AD18" i="8"/>
  <c r="AB20" i="9" s="1"/>
  <c r="AE26" i="8" l="1" a="1"/>
  <c r="AE26" i="8" s="1"/>
  <c r="AE21" i="8" s="1"/>
  <c r="AD21" i="8"/>
  <c r="AD21" i="9"/>
  <c r="AE18" i="8"/>
  <c r="AD20" i="9" s="1"/>
  <c r="AA25" i="8" a="1"/>
  <c r="AA25" i="8" s="1"/>
  <c r="Z20" i="8"/>
  <c r="Z24" i="8"/>
  <c r="Z19" i="8" s="1"/>
  <c r="AA20" i="8" l="1"/>
  <c r="AB25" i="8" a="1"/>
  <c r="AB25" i="8" s="1"/>
  <c r="AA24" i="8"/>
  <c r="AA19" i="8" s="1"/>
  <c r="AC25" i="8" l="1" a="1"/>
  <c r="AC25" i="8" s="1"/>
  <c r="AB20" i="8"/>
  <c r="AB24" i="8"/>
  <c r="AB19" i="8" s="1"/>
  <c r="AD25" i="8" l="1" a="1"/>
  <c r="AD25" i="8" s="1"/>
  <c r="AC20" i="8"/>
  <c r="AC24" i="8"/>
  <c r="AC19" i="8" s="1"/>
  <c r="AE25" i="8" l="1" a="1"/>
  <c r="AE25" i="8" s="1"/>
  <c r="AD20" i="8"/>
  <c r="AD24" i="8"/>
  <c r="AD19" i="8" s="1"/>
  <c r="AF25" i="8" l="1"/>
  <c r="AE20" i="8"/>
  <c r="AE24" i="8"/>
  <c r="AF24" i="8" l="1"/>
  <c r="AF26" i="8" s="1"/>
  <c r="AE1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<sst xmlns="http://schemas.openxmlformats.org/spreadsheetml/2006/main" count="1272" uniqueCount="519">
  <si>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</si>
  <si>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</si>
  <si>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</si>
  <si>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</si>
  <si>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</si>
  <si>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</si>
  <si>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</si>
  <si>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</si>
  <si>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</si>
  <si>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</si>
  <si>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</si>
  <si>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</si>
  <si>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</si>
  <si>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</si>
  <si>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</si>
  <si>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</si>
  <si>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</si>
  <si>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</si>
  <si>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</si>
  <si>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</si>
  <si>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</si>
  <si>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</si>
  <si>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</si>
  <si>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</si>
  <si>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</si>
  <si>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</si>
  <si>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</si>
  <si>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</si>
  <si>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</si>
  <si>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</si>
  <si>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</si>
  <si>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</si>
  <si>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</si>
  <si>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</si>
  <si>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</si>
  <si>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</si>
  <si>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</si>
  <si>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</si>
  <si>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</si>
  <si>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</si>
  <si>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</si>
  <si>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</si>
  <si>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</si>
  <si>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</si>
  <si>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</si>
  <si>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</si>
  <si>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</si>
  <si>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</si>
  <si>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</si>
  <si>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</si>
  <si>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</si>
  <si>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</si>
  <si>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</si>
  <si>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</si>
  <si>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</si>
  <si>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</si>
  <si>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</si>
  <si>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</si>
  <si>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</si>
  <si>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</si>
  <si>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</si>
  <si>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</si>
  <si>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</si>
  <si>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</si>
  <si>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</si>
  <si>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</si>
  <si>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</si>
  <si>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</si>
  <si>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</si>
  <si>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</si>
  <si>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</si>
  <si>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</si>
  <si>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</si>
  <si>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</si>
  <si>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</si>
  <si>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</si>
  <si>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</si>
  <si>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</si>
  <si>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</si>
  <si>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</si>
  <si>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</si>
  <si>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</si>
  <si>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</si>
  <si>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</si>
  <si>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</si>
  <si>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</si>
  <si>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</si>
  <si>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</si>
  <si>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</si>
  <si>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</si>
  <si>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</si>
  <si>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</si>
  <si>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</si>
  <si>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</si>
  <si>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</si>
  <si>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</si>
  <si>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</si>
  <si>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</si>
  <si>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</si>
  <si>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</si>
  <si>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</si>
  <si>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</si>
  <si>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</si>
  <si>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</si>
  <si>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</si>
  <si>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</si>
  <si>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</si>
  <si>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</si>
  <si>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</si>
  <si>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</si>
  <si>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</si>
  <si>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</si>
  <si>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</si>
  <si>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</si>
  <si>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</si>
  <si>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</si>
  <si>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</si>
  <si>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</si>
  <si>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</si>
  <si>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</si>
  <si>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</si>
  <si>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</si>
  <si>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</si>
  <si>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</si>
  <si>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</si>
  <si>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</si>
  <si>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</si>
  <si>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</si>
  <si>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</si>
  <si>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</si>
  <si>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</si>
  <si>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</si>
  <si>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</si>
  <si>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</si>
  <si>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V3.0.0</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</si>
  <si>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</si>
  <si>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</si>
  <si>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</si>
  <si>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</si>
  <si>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</si>
  <si>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</si>
  <si>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</si>
  <si>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</si>
  <si>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</si>
  <si>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</si>
  <si>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</si>
  <si>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</si>
  <si>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</si>
  <si>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</si>
  <si>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</si>
  <si>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</si>
  <si>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</si>
  <si>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</si>
  <si>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</si>
  <si>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</si>
  <si>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</si>
  <si>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</si>
  <si>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</si>
  <si>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</si>
  <si>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</si>
  <si>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</si>
  <si>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</si>
  <si>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</si>
  <si>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</si>
  <si>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</si>
  <si>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</si>
  <si>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</si>
  <si>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</si>
  <si>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</si>
  <si>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</si>
  <si>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</si>
  <si>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</si>
  <si>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</si>
  <si>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</si>
  <si>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</si>
  <si>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</si>
  <si>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</si>
  <si>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</si>
  <si>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</si>
  <si>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</si>
  <si>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</si>
  <si>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</si>
  <si>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</si>
  <si>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</si>
  <si>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</si>
  <si>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</si>
  <si>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</si>
  <si>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</si>
  <si>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</si>
  <si>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</si>
  <si>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</si>
  <si>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</si>
  <si>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</si>
  <si>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</si>
  <si>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</si>
  <si>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</si>
  <si>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</si>
  <si>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</si>
  <si>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</si>
  <si>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</si>
  <si>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</si>
  <si>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</si>
  <si>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</si>
  <si>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</si>
  <si>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</si>
  <si>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</si>
  <si>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</si>
  <si>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</si>
  <si>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</si>
  <si>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</si>
  <si>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</si>
  <si>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</si>
  <si>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</si>
  <si>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</si>
  <si>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</si>
  <si>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</si>
  <si>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</si>
  <si>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</si>
  <si>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</si>
  <si>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</si>
  <si>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</si>
  <si>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</si>
  <si>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</si>
  <si>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</si>
  <si>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</si>
  <si>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</si>
  <si>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</si>
  <si>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</si>
  <si>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</si>
  <si>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</si>
  <si>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</si>
  <si>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</si>
  <si>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</si>
  <si>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</si>
  <si>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</si>
  <si>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</si>
  <si>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</si>
  <si>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</si>
  <si>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</si>
  <si>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</si>
  <si>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</si>
  <si>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</si>
  <si>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</si>
  <si>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</si>
  <si>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</si>
  <si>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</si>
  <si>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</si>
  <si>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</si>
  <si>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</si>
  <si>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</si>
  <si>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</si>
  <si>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</si>
  <si>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</si>
  <si>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</si>
  <si>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</si>
  <si>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</si>
  <si>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</si>
  <si>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</si>
  <si>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</si>
  <si>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</si>
  <si>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</si>
  <si>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</si>
  <si>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</si>
  <si>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</si>
  <si>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</si>
  <si>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</si>
  <si>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</si>
  <si>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Administração Local</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</si>
  <si>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</si>
  <si>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</si>
  <si>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</si>
  <si>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</si>
  <si>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</si>
  <si>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</si>
  <si>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</si>
  <si>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</si>
  <si>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</si>
  <si>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</si>
  <si>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</si>
  <si>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</si>
  <si>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</si>
  <si>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</si>
  <si>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</si>
  <si>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</si>
  <si>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</si>
  <si>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</si>
  <si>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</si>
  <si>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1. Digite nas células em amarelo o número do período em que os eventos serão concluídos:</t>
  </si>
  <si>
    <t>Filtro</t>
  </si>
  <si>
    <t>Título dos Eventos</t>
  </si>
  <si>
    <t>Informe abaixo o NÚMERO DO PERÍODO em que os eventos serão concluídos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</si>
  <si>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</si>
  <si>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</si>
  <si>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</si>
  <si>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</si>
  <si>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</si>
  <si>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</si>
  <si>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</si>
  <si>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</si>
  <si>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</si>
  <si>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</si>
  <si>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</si>
  <si>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</si>
  <si>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</si>
  <si>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</si>
  <si>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</si>
  <si>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</si>
  <si>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</si>
  <si>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</si>
  <si>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</si>
  <si>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</si>
  <si>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</si>
  <si>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</si>
  <si>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</si>
  <si>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</si>
  <si>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</si>
  <si>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</si>
  <si>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</si>
  <si>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</si>
  <si>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</si>
  <si>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</si>
  <si>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</si>
  <si>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</si>
  <si>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</si>
  <si>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</si>
  <si>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</si>
  <si>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</si>
  <si>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</si>
  <si>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</si>
  <si>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</si>
  <si>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</si>
  <si>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</si>
  <si>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</si>
  <si>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</si>
  <si>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</si>
  <si>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</si>
  <si>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</si>
  <si>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</si>
  <si>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</si>
  <si>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</si>
  <si>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</si>
  <si>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</si>
  <si>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</si>
  <si>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</si>
  <si>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</si>
  <si>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</si>
  <si>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</si>
  <si>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</si>
  <si>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</si>
  <si>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</si>
  <si>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</si>
  <si>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</si>
  <si>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</si>
  <si>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</si>
  <si>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</si>
  <si>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</si>
  <si>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</si>
  <si>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</si>
  <si>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</si>
  <si>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</si>
  <si>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</si>
  <si>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</si>
  <si>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</si>
  <si>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</si>
  <si>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</si>
  <si>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</si>
  <si>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</si>
  <si>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</si>
  <si>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</si>
  <si>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</si>
  <si>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</si>
  <si>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</si>
  <si>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</si>
  <si>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</si>
  <si>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</si>
  <si>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</si>
  <si>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</si>
  <si>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</si>
  <si>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</si>
  <si>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</si>
  <si>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</si>
  <si>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</si>
  <si>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</si>
  <si>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</si>
  <si>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</si>
  <si>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</si>
  <si>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</si>
  <si>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</si>
  <si>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</si>
  <si>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</si>
  <si>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</si>
  <si>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</si>
  <si>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</si>
  <si>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</si>
  <si>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</si>
  <si>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</si>
  <si>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</si>
  <si>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</si>
  <si>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</si>
  <si>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</si>
  <si>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</si>
  <si>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</si>
  <si>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</si>
  <si>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V3.0.1</t>
  </si>
  <si>
    <t>PO</t>
  </si>
  <si>
    <t>Preço Unitário Edital (R$)</t>
  </si>
  <si>
    <t>Ajustes de formatações.</t>
  </si>
  <si>
    <t>Correção da aplicação do BDI não desonerado.</t>
  </si>
  <si>
    <t>Inclusão de coluna exclusiva "Preço Unitário Edital", para o Modo 'Orçamento Licitado'.</t>
  </si>
  <si>
    <t>Custo Unitário Referência (R$)</t>
  </si>
  <si>
    <t>V3.0.2</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</si>
  <si>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</si>
  <si>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</si>
  <si>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</si>
  <si>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</si>
  <si>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</si>
  <si>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</si>
  <si>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</si>
  <si>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</si>
  <si>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</si>
  <si>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V3.0.3</t>
  </si>
  <si>
    <t>CÁLCULO</t>
  </si>
  <si>
    <t>Corrigida lentidão e travamento ao incluir e excluir frentes.</t>
  </si>
  <si>
    <t>V3.0.4</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</si>
  <si>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</si>
  <si>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</si>
  <si>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</si>
  <si>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</si>
  <si>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</si>
  <si>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Arredondamento das frentes:</t>
  </si>
  <si>
    <t>V3.0.6</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</si>
  <si>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</si>
  <si>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</si>
  <si>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</si>
  <si>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</si>
  <si>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</si>
  <si>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</si>
  <si>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</si>
  <si>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V3.0.7</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</si>
  <si>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</si>
  <si>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</si>
  <si>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</si>
  <si>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</si>
  <si>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</si>
  <si>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</si>
  <si>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</si>
  <si>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</si>
  <si>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</si>
  <si>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</si>
  <si>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</si>
  <si>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</si>
  <si>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</si>
  <si>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</si>
  <si>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</si>
  <si>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</si>
  <si>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</si>
  <si>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</si>
  <si>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</si>
  <si>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</si>
  <si>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</si>
  <si>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</si>
  <si>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</si>
  <si>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</si>
  <si>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</si>
  <si>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</si>
  <si>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</si>
  <si>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</si>
  <si>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</si>
  <si>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v3.07</t>
  </si>
  <si>
    <t>Acrescentados botões de navegação (cor azul claro) em várias abas. Em relação a esses botões, também foram ajustados os links, nomes e formatação.</t>
  </si>
  <si>
    <t>Alterada a posição da aba NOVO para antes da aba MENU.</t>
  </si>
  <si>
    <t>Automática, conforme os agrupadores Nível 2 do Orçamento</t>
  </si>
  <si>
    <t>Correção na fórmula da data, para replicar a “Data de fechamento do RRE” na aba DADOS.</t>
  </si>
  <si>
    <t>Tradicional</t>
  </si>
  <si>
    <t>Atualizada a macro de Importação para incluir a importar da coluna "Nº Agrupador de Eventos" da aba CÁLCULO.</t>
  </si>
  <si>
    <t>Atualizada a macro de Imprimir Documentos (para englobar as abas EVENTOS e CRONOPLE).</t>
  </si>
  <si>
    <t>Secretario Diego Salini</t>
  </si>
  <si>
    <t>Bento Gonçalves</t>
  </si>
  <si>
    <t>ANEXO I TR - MANUTENÇÃO ABRIGO PASSAGEIROS ÔNIBUS E TÁXI</t>
  </si>
  <si>
    <t>Prefeito Municipal</t>
  </si>
  <si>
    <t>Lote 01  - Manutenção e Reparos Abrigos Passagerios Onibus e Táxi</t>
  </si>
  <si>
    <t>REGISTRO DE PREÇOS PARA SERVIÇOS COMUNS DE ENGENHARIA P/ MANUTNEÇÃO ABRIGOS PASSAGEIROS ONIBUS TAXI</t>
  </si>
  <si>
    <t>NÃO DESONERADO</t>
  </si>
  <si>
    <t>Amarildo Locatelli</t>
  </si>
  <si>
    <t>PM BENTO</t>
  </si>
  <si>
    <t>01</t>
  </si>
  <si>
    <t>02</t>
  </si>
  <si>
    <t>03</t>
  </si>
  <si>
    <t>04</t>
  </si>
  <si>
    <t>05</t>
  </si>
  <si>
    <t>06</t>
  </si>
  <si>
    <t>07</t>
  </si>
  <si>
    <t>08</t>
  </si>
  <si>
    <t>09</t>
  </si>
  <si>
    <t>10</t>
  </si>
  <si>
    <t>11</t>
  </si>
  <si>
    <t>12</t>
  </si>
  <si>
    <t>13</t>
  </si>
  <si>
    <t>14</t>
  </si>
  <si>
    <t>15</t>
  </si>
  <si>
    <t>16</t>
  </si>
  <si>
    <t>17</t>
  </si>
  <si>
    <t>18</t>
  </si>
  <si>
    <t>Manutenção e Reparos Abrigos Passagerios Onibus e Táxi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</si>
  <si>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</si>
  <si>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Encargos Sociais SEM DESONERAÇÃO:HORISTA 111,95% / MENSALISTA 69,29%.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t>
  </si>
  <si>
    <t>100 unidades</t>
  </si>
  <si>
    <t>8,8 x 100</t>
  </si>
  <si>
    <t>6 x 100</t>
  </si>
  <si>
    <t>12 unidades, umavez por mês</t>
  </si>
  <si>
    <t>100 unades x 70 kg cada</t>
  </si>
  <si>
    <t>100 unidades x 12 metros</t>
  </si>
  <si>
    <t>8,8m2 x 100 unidades</t>
  </si>
  <si>
    <t>6m2 x 100 unidades</t>
  </si>
  <si>
    <t>3 metros x 100 unidades</t>
  </si>
  <si>
    <t>100 unidades x 0,4x0,4x0,5m</t>
  </si>
  <si>
    <t>8 chumbadores x 100 unidades</t>
  </si>
  <si>
    <t>15kg x 100 abrigos x 2 fundações</t>
  </si>
  <si>
    <t>EMPREITADA POR PREÇO UNITÁRIO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</si>
</sst>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s>
  <fonts count="7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sz val="10"/>
      <color indexed="44"/>
      <name val="Arial"/>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s>
  <fills count="27">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8"/>
      </right>
      <top style="hair">
        <color indexed="55"/>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style="hair">
        <color indexed="8"/>
      </left>
      <right style="thin">
        <color indexed="8"/>
      </right>
      <top style="hair">
        <color indexed="55"/>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s>
  <cellStyleXfs count="5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4"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cellStyleXfs>
  <cellXfs count="77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0" fillId="0" borderId="13" xfId="0" applyBorder="1"/>
    <xf numFmtId="0" fontId="24" fillId="0" borderId="0" xfId="0" applyFont="1"/>
    <xf numFmtId="0" fontId="24" fillId="0" borderId="14" xfId="0" applyFont="1" applyBorder="1" applyAlignment="1">
      <alignment horizontal="left"/>
    </xf>
    <xf numFmtId="0" fontId="24"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7"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7"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9" xfId="0" applyBorder="1"/>
    <xf numFmtId="0" fontId="27" fillId="0" borderId="30" xfId="0" applyFont="1" applyBorder="1" applyAlignment="1">
      <alignment horizontal="left" indent="1"/>
    </xf>
    <xf numFmtId="0" fontId="0" fillId="0" borderId="30"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1" xfId="0" applyBorder="1" applyAlignment="1">
      <alignment horizontal="center"/>
    </xf>
    <xf numFmtId="0" fontId="24" fillId="0" borderId="32" xfId="33" applyFont="1" applyBorder="1" applyAlignment="1">
      <alignment horizontal="center"/>
    </xf>
    <xf numFmtId="10" fontId="29" fillId="0" borderId="32" xfId="33" applyNumberFormat="1" applyFont="1" applyBorder="1" applyAlignment="1">
      <alignment horizontal="center"/>
    </xf>
    <xf numFmtId="0" fontId="24" fillId="0" borderId="31" xfId="35" applyFont="1" applyBorder="1" applyAlignment="1">
      <alignment horizontal="left" vertical="top"/>
    </xf>
    <xf numFmtId="0" fontId="0" fillId="0" borderId="14" xfId="33" applyFont="1" applyBorder="1" applyAlignment="1">
      <alignment horizontal="left" vertical="top" wrapText="1"/>
    </xf>
    <xf numFmtId="0" fontId="24" fillId="0" borderId="0" xfId="33" applyFont="1"/>
    <xf numFmtId="0" fontId="24" fillId="0" borderId="32" xfId="33" applyFont="1" applyBorder="1" applyAlignment="1">
      <alignment horizontal="center" vertical="center" wrapText="1"/>
    </xf>
    <xf numFmtId="0" fontId="8" fillId="0" borderId="0" xfId="33" applyFont="1" applyAlignment="1">
      <alignment horizontal="left"/>
    </xf>
    <xf numFmtId="0" fontId="30" fillId="0" borderId="32" xfId="33" applyFont="1" applyBorder="1" applyAlignment="1">
      <alignment horizontal="center" vertical="center"/>
    </xf>
    <xf numFmtId="10" fontId="30" fillId="6" borderId="32" xfId="33" applyNumberFormat="1" applyFont="1" applyFill="1" applyBorder="1" applyAlignment="1" applyProtection="1">
      <alignment horizontal="center" vertical="center"/>
      <protection locked="0"/>
    </xf>
    <xf numFmtId="10" fontId="30" fillId="0" borderId="32" xfId="33" applyNumberFormat="1" applyFont="1" applyBorder="1" applyAlignment="1">
      <alignment horizontal="center" vertical="center"/>
    </xf>
    <xf numFmtId="10" fontId="30" fillId="0" borderId="32" xfId="33" applyNumberFormat="1" applyFont="1" applyBorder="1" applyAlignment="1">
      <alignment horizontal="center" vertical="center" wrapText="1"/>
    </xf>
    <xf numFmtId="0" fontId="30" fillId="0" borderId="32" xfId="33" applyFont="1" applyBorder="1" applyAlignment="1">
      <alignment horizontal="center" vertical="center" wrapText="1"/>
    </xf>
    <xf numFmtId="0" fontId="30" fillId="8" borderId="32" xfId="33" applyFont="1" applyFill="1" applyBorder="1" applyAlignment="1">
      <alignment horizontal="center" vertical="center" wrapText="1"/>
    </xf>
    <xf numFmtId="10" fontId="17" fillId="8" borderId="32"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3" xfId="35" applyFont="1" applyBorder="1" applyAlignment="1">
      <alignment horizontal="left" vertical="top"/>
    </xf>
    <xf numFmtId="0" fontId="24" fillId="0" borderId="0" xfId="35" applyFont="1" applyAlignment="1">
      <alignment horizontal="center" vertical="top"/>
    </xf>
    <xf numFmtId="0" fontId="24" fillId="0" borderId="31" xfId="35" applyFont="1" applyBorder="1" applyAlignment="1">
      <alignment horizontal="center" vertical="top"/>
    </xf>
    <xf numFmtId="171"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2" fillId="0" borderId="34" xfId="0" applyFont="1" applyBorder="1" applyAlignment="1">
      <alignment horizontal="center" vertical="center" wrapText="1"/>
    </xf>
    <xf numFmtId="0" fontId="43" fillId="0" borderId="0" xfId="0" applyFont="1"/>
    <xf numFmtId="0" fontId="22" fillId="0" borderId="14" xfId="0" applyFont="1" applyBorder="1" applyAlignment="1">
      <alignment horizontal="center"/>
    </xf>
    <xf numFmtId="1" fontId="44" fillId="0" borderId="0" xfId="0" applyNumberFormat="1" applyFont="1" applyAlignment="1">
      <alignment horizontal="center" vertical="center"/>
    </xf>
    <xf numFmtId="0" fontId="24" fillId="0" borderId="32" xfId="0" applyFont="1" applyBorder="1" applyAlignment="1">
      <alignment horizontal="center" vertical="center" wrapText="1"/>
    </xf>
    <xf numFmtId="0" fontId="45" fillId="0" borderId="32" xfId="0" applyFont="1" applyBorder="1" applyAlignment="1">
      <alignment horizontal="center" vertical="center" wrapText="1"/>
    </xf>
    <xf numFmtId="0" fontId="24" fillId="0" borderId="32" xfId="0" applyFont="1" applyBorder="1" applyAlignment="1">
      <alignment horizontal="center" vertical="center"/>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0" xfId="0" applyFont="1" applyAlignment="1">
      <alignment horizontal="center" vertical="center" wrapText="1"/>
    </xf>
    <xf numFmtId="0" fontId="24" fillId="0" borderId="37" xfId="0" applyFont="1" applyBorder="1" applyAlignment="1">
      <alignment horizontal="center" vertical="center" wrapText="1"/>
    </xf>
    <xf numFmtId="0" fontId="39" fillId="0" borderId="0" xfId="0" applyFont="1" applyAlignment="1">
      <alignment horizontal="center"/>
    </xf>
    <xf numFmtId="0" fontId="8" fillId="16" borderId="38" xfId="0" applyFont="1" applyFill="1" applyBorder="1" applyAlignment="1" applyProtection="1">
      <alignment horizontal="center" vertical="center" wrapText="1"/>
      <protection locked="0"/>
    </xf>
    <xf numFmtId="0" fontId="8"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2" fontId="0" fillId="0" borderId="40" xfId="48" applyFont="1" applyFill="1" applyBorder="1" applyAlignment="1" applyProtection="1">
      <alignment vertical="center" shrinkToFit="1"/>
    </xf>
    <xf numFmtId="172"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2" fontId="0" fillId="0" borderId="41" xfId="48" applyFont="1" applyFill="1" applyBorder="1" applyAlignment="1" applyProtection="1">
      <alignment horizontal="center" vertical="center" shrinkToFit="1"/>
    </xf>
    <xf numFmtId="10" fontId="39"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2" fillId="0" borderId="0" xfId="0" applyFont="1"/>
    <xf numFmtId="0" fontId="24" fillId="17" borderId="32" xfId="0" applyFont="1" applyFill="1" applyBorder="1" applyAlignment="1">
      <alignment horizontal="center" vertical="center"/>
    </xf>
    <xf numFmtId="49" fontId="24" fillId="17" borderId="45" xfId="0" applyNumberFormat="1" applyFont="1" applyFill="1" applyBorder="1" applyAlignment="1">
      <alignment horizontal="center" vertical="center"/>
    </xf>
    <xf numFmtId="172" fontId="24" fillId="17" borderId="45" xfId="48" applyFont="1" applyFill="1" applyBorder="1" applyAlignment="1" applyProtection="1">
      <alignment horizontal="center" vertical="center"/>
    </xf>
    <xf numFmtId="10" fontId="24" fillId="17" borderId="45" xfId="37" applyNumberFormat="1" applyFont="1" applyFill="1" applyBorder="1" applyAlignment="1" applyProtection="1">
      <alignment horizontal="center" vertical="center"/>
    </xf>
    <xf numFmtId="172" fontId="24" fillId="17" borderId="46" xfId="48" applyFont="1" applyFill="1" applyBorder="1" applyAlignment="1" applyProtection="1">
      <alignment horizontal="center" vertical="center" shrinkToFit="1"/>
    </xf>
    <xf numFmtId="172" fontId="21"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0" fillId="0" borderId="0" xfId="0" applyFont="1"/>
    <xf numFmtId="0" fontId="30" fillId="0" borderId="33"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30" xfId="0" applyNumberFormat="1" applyBorder="1" applyAlignment="1">
      <alignment horizontal="left"/>
    </xf>
    <xf numFmtId="0" fontId="17" fillId="0" borderId="30"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3"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2" fillId="0" borderId="0" xfId="0" applyFont="1" applyAlignment="1">
      <alignment horizontal="center"/>
    </xf>
    <xf numFmtId="0" fontId="22" fillId="0" borderId="30" xfId="0" applyFont="1" applyBorder="1" applyAlignment="1">
      <alignment vertical="center" wrapText="1"/>
    </xf>
    <xf numFmtId="0" fontId="22" fillId="0" borderId="30" xfId="0" applyFont="1" applyBorder="1" applyAlignment="1">
      <alignment horizontal="right" vertical="center" wrapText="1"/>
    </xf>
    <xf numFmtId="0" fontId="47" fillId="0" borderId="0" xfId="0" applyFont="1"/>
    <xf numFmtId="1" fontId="44" fillId="0" borderId="0" xfId="0" applyNumberFormat="1" applyFont="1" applyAlignment="1">
      <alignment horizontal="left" textRotation="90" wrapText="1"/>
    </xf>
    <xf numFmtId="0" fontId="22" fillId="0" borderId="30" xfId="0" applyFont="1" applyBorder="1" applyAlignment="1">
      <alignment horizontal="center" vertical="center"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0" fillId="16" borderId="42" xfId="48" applyNumberFormat="1" applyFont="1" applyFill="1" applyBorder="1" applyAlignment="1" applyProtection="1">
      <alignment horizontal="left" vertical="center"/>
      <protection locked="0"/>
    </xf>
    <xf numFmtId="0" fontId="47" fillId="0" borderId="0" xfId="0" applyFont="1" applyAlignment="1">
      <alignment horizontal="center"/>
    </xf>
    <xf numFmtId="0" fontId="21" fillId="0" borderId="36" xfId="48" applyNumberFormat="1" applyFont="1" applyFill="1" applyBorder="1" applyAlignment="1" applyProtection="1">
      <alignment horizontal="center" vertical="center" wrapText="1" shrinkToFit="1"/>
    </xf>
    <xf numFmtId="0" fontId="21" fillId="0" borderId="42" xfId="48" applyNumberFormat="1" applyFont="1" applyFill="1" applyBorder="1" applyAlignment="1" applyProtection="1">
      <alignment vertical="center" wrapText="1" shrinkToFit="1"/>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72"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4" fillId="17" borderId="32" xfId="0" applyFont="1" applyFill="1" applyBorder="1" applyAlignment="1">
      <alignment horizontal="left" vertical="center"/>
    </xf>
    <xf numFmtId="0" fontId="24" fillId="14" borderId="32" xfId="0" applyFont="1" applyFill="1" applyBorder="1" applyAlignment="1">
      <alignment horizontal="center" vertical="center"/>
    </xf>
    <xf numFmtId="0" fontId="24" fillId="17" borderId="32" xfId="0" applyFont="1" applyFill="1" applyBorder="1" applyAlignment="1">
      <alignment horizontal="right" vertical="center"/>
    </xf>
    <xf numFmtId="4" fontId="24" fillId="17" borderId="55" xfId="0" applyNumberFormat="1" applyFont="1" applyFill="1" applyBorder="1" applyAlignment="1">
      <alignment horizontal="right" vertical="center" shrinkToFit="1"/>
    </xf>
    <xf numFmtId="4" fontId="24" fillId="17" borderId="56" xfId="0" applyNumberFormat="1" applyFont="1" applyFill="1" applyBorder="1" applyAlignment="1">
      <alignment horizontal="right" vertical="center" shrinkToFit="1"/>
    </xf>
    <xf numFmtId="4" fontId="24" fillId="17" borderId="57" xfId="0" applyNumberFormat="1" applyFont="1" applyFill="1" applyBorder="1" applyAlignment="1">
      <alignment horizontal="right" vertical="center" shrinkToFit="1"/>
    </xf>
    <xf numFmtId="4" fontId="24" fillId="17" borderId="37" xfId="0" applyNumberFormat="1" applyFont="1" applyFill="1" applyBorder="1" applyAlignment="1">
      <alignment horizontal="right" vertical="center" shrinkToFit="1"/>
    </xf>
    <xf numFmtId="0" fontId="24"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8" fontId="0" fillId="0" borderId="30" xfId="0" applyNumberFormat="1" applyBorder="1"/>
    <xf numFmtId="0" fontId="0" fillId="0" borderId="30" xfId="0" applyBorder="1"/>
    <xf numFmtId="0" fontId="0" fillId="0" borderId="0" xfId="33" applyFont="1" applyAlignment="1">
      <alignment vertical="center"/>
    </xf>
    <xf numFmtId="0" fontId="12" fillId="0" borderId="32" xfId="0" applyFont="1" applyBorder="1" applyAlignment="1">
      <alignment horizontal="center"/>
    </xf>
    <xf numFmtId="0" fontId="46" fillId="0" borderId="32" xfId="0" applyFont="1" applyBorder="1" applyAlignment="1">
      <alignment horizontal="center" vertical="center"/>
    </xf>
    <xf numFmtId="172" fontId="56" fillId="0" borderId="32" xfId="48" applyFill="1" applyBorder="1" applyAlignment="1" applyProtection="1"/>
    <xf numFmtId="0" fontId="46" fillId="18" borderId="32" xfId="0" applyFont="1" applyFill="1" applyBorder="1" applyAlignment="1">
      <alignment horizontal="center" vertical="center"/>
    </xf>
    <xf numFmtId="172" fontId="56" fillId="18" borderId="32" xfId="48" applyFill="1" applyBorder="1" applyAlignment="1" applyProtection="1"/>
    <xf numFmtId="0" fontId="0" fillId="18" borderId="45" xfId="0" applyFill="1" applyBorder="1"/>
    <xf numFmtId="0" fontId="0" fillId="18" borderId="46"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8" xfId="38" applyNumberFormat="1" applyFont="1" applyFill="1" applyBorder="1" applyAlignment="1" applyProtection="1">
      <alignment horizontal="center"/>
    </xf>
    <xf numFmtId="10" fontId="46" fillId="0" borderId="34" xfId="34" applyNumberFormat="1" applyFont="1" applyBorder="1" applyAlignment="1">
      <alignment horizontal="center"/>
    </xf>
    <xf numFmtId="173" fontId="46" fillId="0" borderId="59" xfId="34" applyNumberFormat="1" applyFont="1" applyBorder="1" applyAlignment="1">
      <alignment horizontal="left"/>
    </xf>
    <xf numFmtId="10" fontId="46" fillId="0" borderId="60" xfId="34" applyNumberFormat="1" applyFont="1" applyBorder="1" applyAlignment="1">
      <alignment horizontal="left"/>
    </xf>
    <xf numFmtId="1" fontId="46" fillId="0" borderId="60" xfId="34" applyNumberFormat="1" applyFont="1" applyBorder="1" applyAlignment="1">
      <alignment horizontal="center"/>
    </xf>
    <xf numFmtId="0" fontId="46" fillId="0" borderId="60" xfId="34" applyFont="1" applyBorder="1" applyAlignment="1">
      <alignment horizontal="center"/>
    </xf>
    <xf numFmtId="174" fontId="56" fillId="0" borderId="61" xfId="48" applyNumberFormat="1" applyFill="1" applyBorder="1" applyAlignment="1" applyProtection="1">
      <alignment horizontal="right" shrinkToFit="1"/>
    </xf>
    <xf numFmtId="174" fontId="0" fillId="0" borderId="34" xfId="48" applyNumberFormat="1" applyFont="1" applyFill="1" applyBorder="1" applyAlignment="1" applyProtection="1">
      <alignment horizontal="center" vertical="center"/>
    </xf>
    <xf numFmtId="10" fontId="47" fillId="0" borderId="62" xfId="38" applyNumberFormat="1" applyFont="1" applyFill="1" applyBorder="1" applyAlignment="1" applyProtection="1">
      <alignment horizontal="center"/>
    </xf>
    <xf numFmtId="10" fontId="47" fillId="0" borderId="63" xfId="38" applyNumberFormat="1" applyFont="1" applyFill="1" applyBorder="1" applyAlignment="1" applyProtection="1">
      <alignment horizontal="center"/>
    </xf>
    <xf numFmtId="0" fontId="46" fillId="0" borderId="31" xfId="34" applyFont="1" applyBorder="1" applyAlignment="1">
      <alignment horizontal="center"/>
    </xf>
    <xf numFmtId="0" fontId="46" fillId="0" borderId="64" xfId="34" applyFont="1" applyBorder="1"/>
    <xf numFmtId="0" fontId="32" fillId="0" borderId="64" xfId="34" applyFont="1" applyBorder="1"/>
    <xf numFmtId="0" fontId="46" fillId="0" borderId="64" xfId="34" applyFont="1" applyBorder="1" applyAlignment="1">
      <alignment horizontal="center"/>
    </xf>
    <xf numFmtId="166" fontId="0" fillId="0" borderId="64" xfId="49" applyFont="1" applyFill="1" applyBorder="1" applyAlignment="1" applyProtection="1">
      <alignment horizontal="right" shrinkToFit="1"/>
    </xf>
    <xf numFmtId="174" fontId="0" fillId="0" borderId="31" xfId="48" applyNumberFormat="1" applyFont="1" applyFill="1" applyBorder="1" applyAlignment="1" applyProtection="1">
      <alignment horizontal="center" vertical="center"/>
    </xf>
    <xf numFmtId="166" fontId="48" fillId="0" borderId="65" xfId="49" applyFont="1" applyFill="1" applyBorder="1" applyAlignment="1" applyProtection="1">
      <alignment horizontal="center"/>
    </xf>
    <xf numFmtId="0" fontId="46" fillId="0" borderId="14" xfId="34" applyFont="1" applyBorder="1" applyAlignment="1">
      <alignment horizontal="center"/>
    </xf>
    <xf numFmtId="166" fontId="48" fillId="0" borderId="0" xfId="49" applyFont="1" applyFill="1" applyBorder="1" applyAlignment="1" applyProtection="1">
      <alignment horizontal="center"/>
    </xf>
    <xf numFmtId="166" fontId="0" fillId="0" borderId="14" xfId="49" applyFont="1" applyFill="1" applyBorder="1" applyAlignment="1" applyProtection="1">
      <alignment horizontal="center"/>
    </xf>
    <xf numFmtId="166" fontId="48" fillId="0" borderId="56" xfId="49" applyFont="1" applyFill="1" applyBorder="1" applyAlignment="1" applyProtection="1">
      <alignment horizontal="center"/>
    </xf>
    <xf numFmtId="166" fontId="48" fillId="0" borderId="57"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3" xfId="34" applyFont="1" applyBorder="1"/>
    <xf numFmtId="0" fontId="46" fillId="0" borderId="12" xfId="34" applyFont="1" applyBorder="1"/>
    <xf numFmtId="0" fontId="24" fillId="0" borderId="33" xfId="49" applyNumberFormat="1" applyFont="1" applyFill="1" applyBorder="1" applyAlignment="1" applyProtection="1">
      <alignment horizontal="left"/>
    </xf>
    <xf numFmtId="166" fontId="24" fillId="0" borderId="33"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1" xfId="34" applyFont="1" applyBorder="1" applyAlignment="1">
      <alignment horizontal="center"/>
    </xf>
    <xf numFmtId="0" fontId="46" fillId="0" borderId="47" xfId="34" applyFont="1" applyBorder="1"/>
    <xf numFmtId="0" fontId="46" fillId="16" borderId="32" xfId="34" applyFont="1" applyFill="1" applyBorder="1" applyAlignment="1" applyProtection="1">
      <alignment horizontal="center"/>
      <protection locked="0"/>
    </xf>
    <xf numFmtId="0" fontId="46" fillId="0" borderId="30" xfId="34" applyFont="1" applyBorder="1"/>
    <xf numFmtId="0" fontId="49" fillId="0" borderId="50"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51" xfId="34" applyFont="1" applyBorder="1" applyAlignment="1" applyProtection="1">
      <alignment horizontal="center"/>
      <protection locked="0"/>
    </xf>
    <xf numFmtId="0" fontId="49" fillId="0" borderId="52" xfId="34" applyFont="1" applyBorder="1" applyAlignment="1">
      <alignment horizontal="center"/>
    </xf>
    <xf numFmtId="0" fontId="46" fillId="0" borderId="0" xfId="34" applyFont="1" applyAlignment="1">
      <alignment horizontal="center" wrapText="1"/>
    </xf>
    <xf numFmtId="175" fontId="49" fillId="0" borderId="55" xfId="34" applyNumberFormat="1" applyFont="1" applyBorder="1" applyAlignment="1">
      <alignment horizontal="center"/>
    </xf>
    <xf numFmtId="0" fontId="49" fillId="0" borderId="30" xfId="34" applyFont="1" applyBorder="1" applyAlignment="1">
      <alignment horizontal="left" vertical="center" wrapText="1"/>
    </xf>
    <xf numFmtId="0" fontId="46" fillId="0" borderId="30" xfId="34" applyFont="1" applyBorder="1" applyAlignment="1">
      <alignment horizontal="center" vertical="center"/>
    </xf>
    <xf numFmtId="0" fontId="46" fillId="0" borderId="30" xfId="34" applyFont="1" applyBorder="1" applyAlignment="1">
      <alignment horizontal="center" vertical="center" wrapText="1"/>
    </xf>
    <xf numFmtId="175" fontId="49" fillId="0" borderId="56" xfId="34" applyNumberFormat="1" applyFont="1" applyBorder="1" applyAlignment="1" applyProtection="1">
      <alignment horizontal="center"/>
      <protection locked="0"/>
    </xf>
    <xf numFmtId="175" fontId="49" fillId="0" borderId="57" xfId="34" applyNumberFormat="1" applyFont="1" applyBorder="1" applyAlignment="1">
      <alignment horizontal="center"/>
    </xf>
    <xf numFmtId="10" fontId="0" fillId="0" borderId="54" xfId="38" applyNumberFormat="1" applyFont="1" applyFill="1" applyBorder="1" applyAlignment="1" applyProtection="1"/>
    <xf numFmtId="0" fontId="46" fillId="8" borderId="34" xfId="34" applyFont="1" applyFill="1" applyBorder="1"/>
    <xf numFmtId="166" fontId="24" fillId="0" borderId="0" xfId="49" applyFont="1" applyFill="1" applyBorder="1" applyAlignment="1" applyProtection="1">
      <alignment horizontal="center" shrinkToFit="1"/>
    </xf>
    <xf numFmtId="166" fontId="0" fillId="8" borderId="66" xfId="49" applyFont="1" applyFill="1" applyBorder="1" applyAlignment="1" applyProtection="1">
      <alignment horizontal="center"/>
    </xf>
    <xf numFmtId="166" fontId="0" fillId="8" borderId="67" xfId="49" applyFont="1" applyFill="1" applyBorder="1" applyAlignment="1" applyProtection="1">
      <alignment horizontal="right"/>
    </xf>
    <xf numFmtId="10" fontId="0" fillId="8" borderId="53" xfId="38" applyNumberFormat="1" applyFont="1" applyFill="1" applyBorder="1" applyAlignment="1" applyProtection="1"/>
    <xf numFmtId="10" fontId="0" fillId="8" borderId="54" xfId="38" applyNumberFormat="1" applyFont="1" applyFill="1" applyBorder="1" applyAlignment="1" applyProtection="1"/>
    <xf numFmtId="10" fontId="0" fillId="8" borderId="68" xfId="38" applyNumberFormat="1" applyFont="1" applyFill="1" applyBorder="1" applyAlignment="1" applyProtection="1"/>
    <xf numFmtId="172" fontId="56" fillId="0" borderId="40" xfId="48" applyFill="1" applyBorder="1" applyAlignment="1" applyProtection="1">
      <alignment shrinkToFit="1"/>
    </xf>
    <xf numFmtId="0" fontId="46" fillId="8" borderId="31" xfId="34" applyFont="1" applyFill="1" applyBorder="1"/>
    <xf numFmtId="166" fontId="0" fillId="0" borderId="38" xfId="49" applyFont="1" applyFill="1" applyBorder="1" applyAlignment="1" applyProtection="1">
      <alignment horizontal="center"/>
    </xf>
    <xf numFmtId="166" fontId="0" fillId="0" borderId="69" xfId="49" applyFont="1" applyFill="1" applyBorder="1" applyAlignment="1" applyProtection="1">
      <alignment horizontal="right"/>
    </xf>
    <xf numFmtId="172" fontId="56" fillId="0" borderId="39" xfId="48" applyFill="1" applyBorder="1" applyAlignment="1" applyProtection="1">
      <alignment shrinkToFit="1"/>
    </xf>
    <xf numFmtId="172" fontId="56" fillId="0" borderId="41" xfId="48" applyFill="1" applyBorder="1" applyAlignment="1" applyProtection="1">
      <alignment shrinkToFit="1"/>
    </xf>
    <xf numFmtId="0" fontId="49" fillId="0" borderId="0" xfId="34" applyFont="1" applyAlignment="1">
      <alignment horizontal="left"/>
    </xf>
    <xf numFmtId="0" fontId="46" fillId="8" borderId="31" xfId="34" applyFont="1" applyFill="1" applyBorder="1" applyAlignment="1">
      <alignment horizontal="center"/>
    </xf>
    <xf numFmtId="166" fontId="0" fillId="8" borderId="38" xfId="49" applyFont="1" applyFill="1" applyBorder="1" applyAlignment="1" applyProtection="1">
      <alignment horizontal="center"/>
    </xf>
    <xf numFmtId="166" fontId="0" fillId="8" borderId="69" xfId="49" applyFont="1" applyFill="1" applyBorder="1" applyAlignment="1" applyProtection="1">
      <alignment horizontal="right"/>
    </xf>
    <xf numFmtId="172" fontId="56" fillId="8" borderId="39" xfId="48" applyFill="1" applyBorder="1" applyAlignment="1" applyProtection="1">
      <alignment shrinkToFit="1"/>
    </xf>
    <xf numFmtId="172" fontId="56" fillId="8" borderId="40" xfId="48" applyFill="1" applyBorder="1" applyAlignment="1" applyProtection="1">
      <alignment shrinkToFit="1"/>
    </xf>
    <xf numFmtId="172" fontId="56" fillId="8" borderId="41" xfId="48" applyFill="1" applyBorder="1" applyAlignment="1" applyProtection="1">
      <alignment shrinkToFit="1"/>
    </xf>
    <xf numFmtId="172" fontId="56" fillId="0" borderId="43" xfId="48" applyFill="1" applyBorder="1" applyAlignment="1" applyProtection="1">
      <alignment shrinkToFit="1"/>
    </xf>
    <xf numFmtId="166" fontId="0" fillId="0" borderId="59" xfId="49" applyFont="1" applyFill="1" applyBorder="1" applyAlignment="1" applyProtection="1">
      <alignment horizontal="center"/>
    </xf>
    <xf numFmtId="166" fontId="0" fillId="0" borderId="61" xfId="49" applyFont="1" applyFill="1" applyBorder="1" applyAlignment="1" applyProtection="1">
      <alignment horizontal="right"/>
    </xf>
    <xf numFmtId="172" fontId="56" fillId="0" borderId="70" xfId="48" applyFill="1" applyBorder="1" applyAlignment="1" applyProtection="1">
      <alignment shrinkToFit="1"/>
    </xf>
    <xf numFmtId="172" fontId="56" fillId="0" borderId="44" xfId="48" applyFill="1" applyBorder="1" applyAlignment="1" applyProtection="1">
      <alignment shrinkToFit="1"/>
    </xf>
    <xf numFmtId="166" fontId="24" fillId="0" borderId="71" xfId="49" applyFont="1" applyFill="1" applyBorder="1" applyAlignment="1" applyProtection="1">
      <alignment shrinkToFit="1"/>
    </xf>
    <xf numFmtId="0" fontId="46" fillId="8" borderId="14" xfId="34" applyFont="1" applyFill="1" applyBorder="1"/>
    <xf numFmtId="166" fontId="24" fillId="8" borderId="72" xfId="49" applyFont="1" applyFill="1" applyBorder="1" applyAlignment="1" applyProtection="1">
      <alignment horizontal="center"/>
    </xf>
    <xf numFmtId="166" fontId="24" fillId="8" borderId="73" xfId="49" applyFont="1" applyFill="1" applyBorder="1" applyAlignment="1" applyProtection="1">
      <alignment horizontal="right"/>
    </xf>
    <xf numFmtId="166" fontId="24" fillId="8" borderId="74" xfId="49" applyFont="1" applyFill="1" applyBorder="1" applyAlignment="1" applyProtection="1">
      <alignment shrinkToFit="1"/>
    </xf>
    <xf numFmtId="166" fontId="24" fillId="8" borderId="71" xfId="49" applyFont="1" applyFill="1" applyBorder="1" applyAlignment="1" applyProtection="1">
      <alignment shrinkToFit="1"/>
    </xf>
    <xf numFmtId="166" fontId="24" fillId="8" borderId="75" xfId="49" applyFont="1" applyFill="1" applyBorder="1" applyAlignment="1" applyProtection="1">
      <alignment shrinkToFit="1"/>
    </xf>
    <xf numFmtId="0" fontId="46" fillId="0" borderId="30" xfId="34" applyFont="1" applyBorder="1" applyAlignment="1">
      <alignment horizontal="center"/>
    </xf>
    <xf numFmtId="166" fontId="0" fillId="0" borderId="30" xfId="49" applyFont="1" applyFill="1" applyBorder="1" applyAlignment="1" applyProtection="1">
      <alignment horizontal="center"/>
    </xf>
    <xf numFmtId="0" fontId="0" fillId="0" borderId="40" xfId="0" applyBorder="1" applyAlignment="1">
      <alignment horizontal="center"/>
    </xf>
    <xf numFmtId="0" fontId="0" fillId="0" borderId="40" xfId="0" applyBorder="1" applyAlignment="1">
      <alignment horizontal="left"/>
    </xf>
    <xf numFmtId="1" fontId="0" fillId="6" borderId="40"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6" xfId="0" applyFont="1" applyFill="1" applyBorder="1"/>
    <xf numFmtId="0" fontId="24" fillId="8" borderId="77" xfId="0" applyFont="1" applyFill="1" applyBorder="1"/>
    <xf numFmtId="0" fontId="24" fillId="8" borderId="78" xfId="0" applyFont="1" applyFill="1" applyBorder="1"/>
    <xf numFmtId="0" fontId="0" fillId="18" borderId="40" xfId="0" applyFill="1" applyBorder="1" applyAlignment="1">
      <alignment horizontal="center"/>
    </xf>
    <xf numFmtId="0" fontId="0" fillId="18" borderId="40" xfId="0" applyFill="1" applyBorder="1"/>
    <xf numFmtId="0" fontId="0" fillId="8" borderId="79" xfId="0" applyFill="1" applyBorder="1"/>
    <xf numFmtId="0" fontId="0" fillId="8" borderId="80" xfId="0" applyFill="1" applyBorder="1"/>
    <xf numFmtId="0" fontId="0" fillId="8" borderId="81" xfId="0" applyFill="1" applyBorder="1"/>
    <xf numFmtId="0" fontId="46" fillId="19" borderId="32"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3" xfId="0" applyBorder="1"/>
    <xf numFmtId="0" fontId="52" fillId="0" borderId="0" xfId="0" applyFont="1"/>
    <xf numFmtId="0" fontId="24" fillId="0" borderId="0" xfId="0" applyFont="1" applyAlignment="1">
      <alignment horizontal="right"/>
    </xf>
    <xf numFmtId="0" fontId="23" fillId="0" borderId="33" xfId="0" applyFont="1" applyBorder="1"/>
    <xf numFmtId="0" fontId="24" fillId="8" borderId="32" xfId="0" applyFont="1" applyFill="1" applyBorder="1" applyAlignment="1">
      <alignment horizontal="center"/>
    </xf>
    <xf numFmtId="0" fontId="24" fillId="0" borderId="34"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2" xfId="0" applyNumberFormat="1" applyBorder="1" applyAlignment="1">
      <alignment horizontal="center" vertical="center" wrapText="1"/>
    </xf>
    <xf numFmtId="0" fontId="24"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1" fillId="0" borderId="34" xfId="0" applyFont="1" applyBorder="1" applyAlignment="1">
      <alignment horizontal="center"/>
    </xf>
    <xf numFmtId="179" fontId="0" fillId="0" borderId="47" xfId="0" applyNumberFormat="1" applyBorder="1" applyAlignment="1">
      <alignment horizontal="center" vertical="center"/>
    </xf>
    <xf numFmtId="179" fontId="0" fillId="0" borderId="14" xfId="0" applyNumberFormat="1" applyBorder="1" applyAlignment="1">
      <alignment horizontal="center" vertical="center"/>
    </xf>
    <xf numFmtId="180" fontId="24" fillId="0" borderId="39" xfId="0" applyNumberFormat="1" applyFont="1" applyBorder="1" applyAlignment="1">
      <alignment horizontal="center" vertical="center"/>
    </xf>
    <xf numFmtId="0" fontId="0" fillId="0" borderId="40" xfId="0" applyBorder="1" applyAlignment="1">
      <alignment horizontal="center" vertical="center"/>
    </xf>
    <xf numFmtId="179" fontId="0" fillId="0" borderId="38" xfId="0" applyNumberFormat="1" applyBorder="1" applyAlignment="1">
      <alignment horizontal="center" vertical="center"/>
    </xf>
    <xf numFmtId="179" fontId="0" fillId="0" borderId="79" xfId="0" applyNumberFormat="1" applyBorder="1" applyAlignment="1">
      <alignment horizontal="center" vertical="center"/>
    </xf>
    <xf numFmtId="179" fontId="0" fillId="0" borderId="69" xfId="0" applyNumberFormat="1" applyBorder="1" applyAlignment="1">
      <alignment horizontal="center" vertical="center"/>
    </xf>
    <xf numFmtId="179" fontId="0" fillId="0" borderId="42" xfId="0" applyNumberFormat="1" applyBorder="1" applyAlignment="1">
      <alignment horizontal="center" vertical="center"/>
    </xf>
    <xf numFmtId="179" fontId="0" fillId="6" borderId="70"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179"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13"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82" xfId="0" applyFill="1" applyBorder="1"/>
    <xf numFmtId="0" fontId="0" fillId="8" borderId="10" xfId="0" applyFill="1" applyBorder="1"/>
    <xf numFmtId="179" fontId="17" fillId="8" borderId="82"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2"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2" fontId="8" fillId="8" borderId="47" xfId="0" applyNumberFormat="1" applyFont="1" applyFill="1" applyBorder="1" applyAlignment="1">
      <alignment horizontal="center"/>
    </xf>
    <xf numFmtId="182" fontId="8" fillId="8" borderId="30"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82" xfId="0" applyBorder="1"/>
    <xf numFmtId="0" fontId="37" fillId="0" borderId="0" xfId="0" applyFont="1" applyAlignment="1">
      <alignment horizontal="left" vertical="center" indent="12"/>
    </xf>
    <xf numFmtId="0" fontId="0" fillId="0" borderId="47" xfId="33" applyFont="1" applyBorder="1" applyAlignment="1">
      <alignment vertical="top" wrapText="1"/>
    </xf>
    <xf numFmtId="183"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3" fillId="0" borderId="47" xfId="0" applyFont="1" applyBorder="1"/>
    <xf numFmtId="14" fontId="24" fillId="6" borderId="37" xfId="0" applyNumberFormat="1" applyFont="1" applyFill="1" applyBorder="1" applyAlignment="1" applyProtection="1">
      <alignment horizontal="center" vertical="center" wrapText="1"/>
      <protection locked="0"/>
    </xf>
    <xf numFmtId="14" fontId="24" fillId="6" borderId="48" xfId="0" applyNumberFormat="1" applyFont="1" applyFill="1" applyBorder="1" applyAlignment="1" applyProtection="1">
      <alignment horizontal="center" vertical="center" wrapText="1"/>
      <protection locked="0"/>
    </xf>
    <xf numFmtId="14" fontId="24" fillId="6" borderId="49" xfId="0" applyNumberFormat="1" applyFont="1" applyFill="1" applyBorder="1" applyAlignment="1" applyProtection="1">
      <alignment horizontal="center" vertical="center" wrapText="1"/>
      <protection locked="0"/>
    </xf>
    <xf numFmtId="0" fontId="24" fillId="0" borderId="34" xfId="0" applyFont="1" applyBorder="1" applyAlignment="1">
      <alignment horizontal="center" vertical="center"/>
    </xf>
    <xf numFmtId="184" fontId="24" fillId="8" borderId="34" xfId="0" applyNumberFormat="1" applyFont="1" applyFill="1" applyBorder="1" applyAlignment="1">
      <alignment horizontal="center" vertical="center" wrapText="1"/>
    </xf>
    <xf numFmtId="172" fontId="0" fillId="0" borderId="38" xfId="48" applyFont="1" applyFill="1" applyBorder="1" applyAlignment="1" applyProtection="1">
      <alignment vertical="center" shrinkToFit="1"/>
    </xf>
    <xf numFmtId="172" fontId="0" fillId="0" borderId="69" xfId="48" applyFont="1" applyFill="1" applyBorder="1" applyAlignment="1" applyProtection="1">
      <alignment vertical="center" shrinkToFit="1"/>
    </xf>
    <xf numFmtId="172" fontId="0" fillId="0" borderId="39" xfId="48" applyFont="1" applyFill="1" applyBorder="1" applyAlignment="1" applyProtection="1">
      <alignment horizontal="center" vertical="center" shrinkToFit="1"/>
    </xf>
    <xf numFmtId="172" fontId="0" fillId="0" borderId="40" xfId="48" applyFont="1" applyFill="1" applyBorder="1" applyAlignment="1" applyProtection="1">
      <alignment horizontal="center" vertical="center" shrinkToFit="1"/>
    </xf>
    <xf numFmtId="172" fontId="0" fillId="6" borderId="39" xfId="48" applyFont="1" applyFill="1" applyBorder="1" applyAlignment="1" applyProtection="1">
      <protection locked="0"/>
    </xf>
    <xf numFmtId="172" fontId="0" fillId="6" borderId="41" xfId="48" applyFont="1" applyFill="1" applyBorder="1" applyAlignment="1" applyProtection="1">
      <protection locked="0"/>
    </xf>
    <xf numFmtId="166" fontId="0" fillId="0" borderId="40" xfId="0" applyNumberFormat="1" applyBorder="1"/>
    <xf numFmtId="172" fontId="24" fillId="17" borderId="14" xfId="48" applyFont="1" applyFill="1" applyBorder="1" applyAlignment="1" applyProtection="1">
      <alignment horizontal="center" vertical="center"/>
    </xf>
    <xf numFmtId="172" fontId="24"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4" xfId="0" applyFill="1" applyBorder="1"/>
    <xf numFmtId="0" fontId="0" fillId="17" borderId="83" xfId="0" applyFill="1" applyBorder="1"/>
    <xf numFmtId="0" fontId="23"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4" fillId="0" borderId="32" xfId="0" applyFont="1" applyBorder="1" applyAlignment="1">
      <alignment horizontal="right" vertical="center" wrapText="1"/>
    </xf>
    <xf numFmtId="185" fontId="24" fillId="0" borderId="32" xfId="31" applyNumberFormat="1" applyFont="1" applyFill="1" applyBorder="1" applyAlignment="1" applyProtection="1">
      <alignment horizontal="right" vertical="center" shrinkToFit="1"/>
    </xf>
    <xf numFmtId="0" fontId="24"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7" xfId="0" applyNumberFormat="1" applyFont="1" applyBorder="1" applyAlignment="1">
      <alignment horizontal="center"/>
    </xf>
    <xf numFmtId="10" fontId="24" fillId="0" borderId="29" xfId="0" applyNumberFormat="1" applyFont="1" applyBorder="1" applyAlignment="1">
      <alignment horizontal="center" shrinkToFit="1"/>
    </xf>
    <xf numFmtId="179"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9" xfId="0" applyBorder="1" applyAlignment="1">
      <alignment horizontal="center" vertical="center"/>
    </xf>
    <xf numFmtId="179" fontId="0" fillId="0" borderId="0" xfId="0" applyNumberFormat="1" applyAlignment="1">
      <alignment horizontal="center" vertical="center"/>
    </xf>
    <xf numFmtId="10" fontId="0" fillId="0" borderId="69" xfId="0" applyNumberFormat="1" applyBorder="1" applyAlignment="1">
      <alignment horizontal="center" vertical="center"/>
    </xf>
    <xf numFmtId="0" fontId="0" fillId="0" borderId="33" xfId="0" applyBorder="1" applyAlignment="1">
      <alignment horizontal="center" vertical="center" wrapText="1"/>
    </xf>
    <xf numFmtId="182" fontId="8" fillId="8" borderId="84" xfId="0" applyNumberFormat="1" applyFont="1" applyFill="1" applyBorder="1" applyAlignment="1">
      <alignment horizontal="center"/>
    </xf>
    <xf numFmtId="182" fontId="8" fillId="8" borderId="85" xfId="0" applyNumberFormat="1" applyFont="1" applyFill="1" applyBorder="1" applyAlignment="1">
      <alignment horizontal="center"/>
    </xf>
    <xf numFmtId="182" fontId="8" fillId="8" borderId="66" xfId="0" applyNumberFormat="1" applyFont="1" applyFill="1" applyBorder="1" applyAlignment="1">
      <alignment horizontal="center"/>
    </xf>
    <xf numFmtId="182" fontId="8" fillId="8" borderId="67"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2" xfId="0" applyNumberFormat="1" applyFill="1" applyBorder="1" applyAlignment="1">
      <alignment horizontal="center" vertical="center"/>
    </xf>
    <xf numFmtId="179" fontId="0" fillId="8" borderId="38" xfId="0" applyNumberFormat="1" applyFill="1" applyBorder="1" applyAlignment="1">
      <alignment horizontal="center" vertical="center"/>
    </xf>
    <xf numFmtId="179" fontId="0" fillId="8" borderId="79" xfId="0" applyNumberFormat="1" applyFill="1" applyBorder="1" applyAlignment="1">
      <alignment horizontal="center" vertical="center"/>
    </xf>
    <xf numFmtId="179" fontId="0" fillId="8" borderId="69" xfId="0" applyNumberFormat="1" applyFill="1" applyBorder="1" applyAlignment="1">
      <alignment horizontal="center" vertical="center"/>
    </xf>
    <xf numFmtId="0" fontId="0" fillId="18" borderId="84" xfId="0" applyFill="1" applyBorder="1" applyAlignment="1">
      <alignment horizontal="right"/>
    </xf>
    <xf numFmtId="179" fontId="55" fillId="0" borderId="40" xfId="0" applyNumberFormat="1" applyFont="1" applyBorder="1"/>
    <xf numFmtId="179" fontId="0" fillId="0" borderId="86" xfId="0" applyNumberFormat="1" applyBorder="1" applyAlignment="1">
      <alignment horizontal="center" vertical="center"/>
    </xf>
    <xf numFmtId="179" fontId="0" fillId="0" borderId="59" xfId="0" applyNumberFormat="1" applyBorder="1" applyAlignment="1">
      <alignment horizontal="center" vertical="center"/>
    </xf>
    <xf numFmtId="179" fontId="0" fillId="0" borderId="60" xfId="0" applyNumberFormat="1" applyBorder="1" applyAlignment="1">
      <alignment horizontal="center" vertical="center"/>
    </xf>
    <xf numFmtId="179" fontId="0" fillId="0" borderId="61" xfId="0" applyNumberFormat="1" applyBorder="1" applyAlignment="1">
      <alignment horizontal="center" vertical="center"/>
    </xf>
    <xf numFmtId="0" fontId="0" fillId="18" borderId="87" xfId="0" applyFill="1" applyBorder="1" applyAlignment="1">
      <alignment horizontal="right"/>
    </xf>
    <xf numFmtId="179" fontId="17" fillId="8" borderId="32" xfId="0" applyNumberFormat="1" applyFont="1" applyFill="1" applyBorder="1" applyAlignment="1">
      <alignment horizontal="center" vertical="center"/>
    </xf>
    <xf numFmtId="179" fontId="17" fillId="8" borderId="13" xfId="0" applyNumberFormat="1" applyFont="1" applyFill="1" applyBorder="1" applyAlignment="1">
      <alignment horizontal="center" vertical="center"/>
    </xf>
    <xf numFmtId="179" fontId="17" fillId="8" borderId="45" xfId="0" applyNumberFormat="1" applyFont="1" applyFill="1" applyBorder="1" applyAlignment="1">
      <alignment horizontal="center" vertical="center"/>
    </xf>
    <xf numFmtId="179" fontId="17" fillId="8" borderId="46"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40" xfId="48" applyNumberFormat="1" applyFont="1" applyFill="1" applyBorder="1" applyAlignment="1" applyProtection="1">
      <alignment vertical="top" shrinkToFit="1"/>
    </xf>
    <xf numFmtId="181" fontId="24" fillId="0" borderId="71" xfId="48" applyNumberFormat="1" applyFont="1" applyFill="1" applyBorder="1" applyAlignment="1" applyProtection="1">
      <alignment horizontal="right" vertical="top" shrinkToFit="1"/>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59" fillId="0" borderId="0" xfId="0" applyFont="1" applyAlignment="1">
      <alignment horizontal="center"/>
    </xf>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59" fillId="0" borderId="0" xfId="0" applyFont="1" applyAlignment="1" applyProtection="1">
      <alignment horizontal="center" vertical="center"/>
      <protection locked="0"/>
    </xf>
    <xf numFmtId="0" fontId="0" fillId="3" borderId="0" xfId="0" applyFill="1" applyAlignment="1">
      <alignment vertical="center"/>
    </xf>
    <xf numFmtId="0" fontId="0" fillId="0" borderId="89" xfId="0" applyBorder="1"/>
    <xf numFmtId="0" fontId="0" fillId="0" borderId="90" xfId="0" applyBorder="1"/>
    <xf numFmtId="0" fontId="0" fillId="0" borderId="91" xfId="0" applyBorder="1"/>
    <xf numFmtId="0" fontId="0" fillId="0" borderId="92" xfId="0" applyBorder="1"/>
    <xf numFmtId="0" fontId="24" fillId="0" borderId="0" xfId="0" applyFont="1" applyAlignment="1">
      <alignment vertical="center"/>
    </xf>
    <xf numFmtId="0" fontId="0" fillId="0" borderId="93" xfId="0" applyBorder="1"/>
    <xf numFmtId="0" fontId="0" fillId="0" borderId="93" xfId="0" applyBorder="1" applyAlignment="1">
      <alignment vertical="center"/>
    </xf>
    <xf numFmtId="0" fontId="0" fillId="0" borderId="94" xfId="0" applyBorder="1"/>
    <xf numFmtId="0" fontId="0" fillId="0" borderId="95" xfId="0" applyBorder="1"/>
    <xf numFmtId="0" fontId="0" fillId="0" borderId="96" xfId="0" applyBorder="1"/>
    <xf numFmtId="0" fontId="59" fillId="0" borderId="0" xfId="0" applyFont="1"/>
    <xf numFmtId="0" fontId="0" fillId="0" borderId="45" xfId="0" applyBorder="1"/>
    <xf numFmtId="0" fontId="47"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left"/>
    </xf>
    <xf numFmtId="0" fontId="0" fillId="21" borderId="32" xfId="0" applyFill="1" applyBorder="1" applyAlignment="1">
      <alignment horizontal="center"/>
    </xf>
    <xf numFmtId="0" fontId="24" fillId="6" borderId="14" xfId="0" applyFont="1" applyFill="1" applyBorder="1" applyAlignment="1" applyProtection="1">
      <alignment horizontal="center" vertical="center" wrapText="1"/>
      <protection locked="0"/>
    </xf>
    <xf numFmtId="0" fontId="24"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2" fontId="21" fillId="17" borderId="32" xfId="48" applyFont="1" applyFill="1" applyBorder="1" applyAlignment="1" applyProtection="1">
      <alignment horizontal="center" vertical="center" shrinkToFit="1"/>
    </xf>
    <xf numFmtId="0" fontId="42" fillId="0" borderId="52" xfId="0" applyFont="1" applyBorder="1" applyAlignment="1">
      <alignment horizontal="center" vertical="center" wrapText="1"/>
    </xf>
    <xf numFmtId="172"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4" fillId="17" borderId="14" xfId="48" applyNumberFormat="1" applyFont="1" applyFill="1" applyBorder="1" applyAlignment="1" applyProtection="1">
      <alignment horizontal="center" vertical="center"/>
    </xf>
    <xf numFmtId="172" fontId="0" fillId="6" borderId="42" xfId="48" applyFont="1" applyFill="1" applyBorder="1" applyAlignment="1" applyProtection="1">
      <alignment vertical="center" wrapText="1"/>
      <protection locked="0"/>
    </xf>
    <xf numFmtId="0" fontId="46" fillId="23" borderId="45" xfId="34" applyFont="1" applyFill="1" applyBorder="1"/>
    <xf numFmtId="0" fontId="46" fillId="21" borderId="0" xfId="34" applyFont="1" applyFill="1"/>
    <xf numFmtId="0" fontId="46" fillId="22" borderId="32" xfId="34" applyFont="1" applyFill="1" applyBorder="1" applyAlignment="1">
      <alignment horizontal="center"/>
    </xf>
    <xf numFmtId="0" fontId="46" fillId="22" borderId="13" xfId="34" applyFont="1" applyFill="1" applyBorder="1"/>
    <xf numFmtId="0" fontId="46" fillId="22" borderId="45" xfId="34" applyFont="1" applyFill="1" applyBorder="1"/>
    <xf numFmtId="0" fontId="46" fillId="24" borderId="45" xfId="34" applyFont="1" applyFill="1" applyBorder="1" applyAlignment="1">
      <alignment horizontal="center"/>
    </xf>
    <xf numFmtId="166" fontId="0" fillId="22" borderId="45" xfId="49" applyFont="1" applyFill="1" applyBorder="1" applyAlignment="1" applyProtection="1">
      <alignment horizontal="center"/>
    </xf>
    <xf numFmtId="0" fontId="46" fillId="22" borderId="46" xfId="34" applyFont="1" applyFill="1" applyBorder="1"/>
    <xf numFmtId="0" fontId="46" fillId="21" borderId="13" xfId="34" applyFont="1" applyFill="1" applyBorder="1" applyAlignment="1">
      <alignment horizontal="center"/>
    </xf>
    <xf numFmtId="0" fontId="46" fillId="21" borderId="46" xfId="34" applyFont="1" applyFill="1" applyBorder="1" applyAlignment="1">
      <alignment horizontal="center"/>
    </xf>
    <xf numFmtId="0" fontId="46"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2"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9" xfId="48" applyFont="1" applyFill="1" applyBorder="1" applyAlignment="1" applyProtection="1">
      <alignment vertical="center" wrapText="1"/>
      <protection locked="0"/>
    </xf>
    <xf numFmtId="10" fontId="24" fillId="17" borderId="74" xfId="48" applyNumberFormat="1" applyFont="1" applyFill="1" applyBorder="1" applyAlignment="1" applyProtection="1">
      <alignment horizontal="center" vertical="center"/>
    </xf>
    <xf numFmtId="172" fontId="24" fillId="17" borderId="74" xfId="48" applyFont="1" applyFill="1" applyBorder="1" applyAlignment="1" applyProtection="1">
      <alignment horizontal="center" vertical="center"/>
    </xf>
    <xf numFmtId="10" fontId="24" fillId="17" borderId="75" xfId="48" applyNumberFormat="1" applyFont="1" applyFill="1" applyBorder="1" applyAlignment="1" applyProtection="1">
      <alignment horizontal="center" vertical="center"/>
    </xf>
    <xf numFmtId="0" fontId="0" fillId="0" borderId="47" xfId="0" applyBorder="1" applyProtection="1">
      <protection locked="0"/>
    </xf>
    <xf numFmtId="185" fontId="0" fillId="0" borderId="0" xfId="0" applyNumberFormat="1"/>
    <xf numFmtId="10" fontId="47" fillId="0" borderId="97" xfId="38" applyNumberFormat="1" applyFont="1" applyFill="1" applyBorder="1" applyAlignment="1" applyProtection="1">
      <alignment horizontal="center"/>
      <protection locked="0"/>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68" xfId="0" applyNumberFormat="1" applyFill="1" applyBorder="1" applyProtection="1">
      <protection locked="0"/>
    </xf>
    <xf numFmtId="4" fontId="0" fillId="6" borderId="74" xfId="0" applyNumberFormat="1" applyFill="1" applyBorder="1" applyProtection="1">
      <protection locked="0"/>
    </xf>
    <xf numFmtId="4" fontId="0" fillId="6" borderId="75" xfId="0" applyNumberFormat="1" applyFill="1" applyBorder="1" applyProtection="1">
      <protection locked="0"/>
    </xf>
    <xf numFmtId="0" fontId="0" fillId="0" borderId="98" xfId="0" applyBorder="1" applyAlignment="1">
      <alignment horizontal="center"/>
    </xf>
    <xf numFmtId="0" fontId="0" fillId="0" borderId="99" xfId="0" applyBorder="1" applyAlignment="1">
      <alignment horizontal="center"/>
    </xf>
    <xf numFmtId="0" fontId="0" fillId="0" borderId="100" xfId="0" applyBorder="1" applyAlignment="1">
      <alignment horizontal="center"/>
    </xf>
    <xf numFmtId="0" fontId="24" fillId="0" borderId="64" xfId="0" applyFont="1" applyBorder="1"/>
    <xf numFmtId="0" fontId="0" fillId="6" borderId="37" xfId="0" applyFill="1" applyBorder="1" applyAlignment="1" applyProtection="1">
      <alignment horizontal="center" textRotation="90" wrapText="1"/>
      <protection locked="0"/>
    </xf>
    <xf numFmtId="172" fontId="0" fillId="0" borderId="37" xfId="48" applyFont="1" applyFill="1" applyBorder="1" applyAlignment="1" applyProtection="1">
      <alignment vertical="center" shrinkToFit="1"/>
    </xf>
    <xf numFmtId="172" fontId="0" fillId="0" borderId="48" xfId="48" applyFont="1" applyFill="1" applyBorder="1" applyAlignment="1" applyProtection="1">
      <alignment vertical="center" shrinkToFit="1"/>
    </xf>
    <xf numFmtId="172" fontId="0" fillId="0" borderId="49" xfId="48" applyFont="1" applyFill="1" applyBorder="1" applyAlignment="1" applyProtection="1">
      <alignment vertical="center" shrinkToFit="1"/>
    </xf>
    <xf numFmtId="186" fontId="0" fillId="0" borderId="40" xfId="48" applyNumberFormat="1" applyFont="1" applyFill="1" applyBorder="1" applyAlignment="1" applyProtection="1">
      <alignment vertical="center" shrinkToFit="1"/>
    </xf>
    <xf numFmtId="49" fontId="24" fillId="17" borderId="30" xfId="0" applyNumberFormat="1" applyFont="1" applyFill="1" applyBorder="1" applyAlignment="1">
      <alignment horizontal="center" vertical="center"/>
    </xf>
    <xf numFmtId="172" fontId="24" fillId="17" borderId="30" xfId="48" applyFont="1" applyFill="1" applyBorder="1" applyAlignment="1" applyProtection="1">
      <alignment horizontal="center" vertical="center"/>
    </xf>
    <xf numFmtId="172" fontId="24" fillId="17" borderId="29" xfId="48" applyFont="1" applyFill="1" applyBorder="1" applyAlignment="1" applyProtection="1">
      <alignment horizontal="center" vertical="center" shrinkToFit="1"/>
    </xf>
    <xf numFmtId="1" fontId="61" fillId="0" borderId="0" xfId="0" applyNumberFormat="1" applyFont="1" applyAlignment="1">
      <alignment horizontal="center" vertical="center"/>
    </xf>
    <xf numFmtId="187" fontId="0" fillId="0" borderId="30" xfId="0" applyNumberFormat="1" applyBorder="1" applyAlignment="1">
      <alignment horizontal="left"/>
    </xf>
    <xf numFmtId="0" fontId="17" fillId="0" borderId="95" xfId="33" applyFont="1" applyBorder="1" applyAlignment="1">
      <alignment vertical="center"/>
    </xf>
    <xf numFmtId="0" fontId="0" fillId="0" borderId="95" xfId="0" applyBorder="1" applyAlignment="1">
      <alignment horizontal="center"/>
    </xf>
    <xf numFmtId="0" fontId="46" fillId="0" borderId="95" xfId="34" applyFont="1" applyBorder="1" applyAlignment="1">
      <alignment horizontal="center"/>
    </xf>
    <xf numFmtId="0" fontId="0" fillId="0" borderId="41" xfId="0" applyBorder="1" applyAlignment="1">
      <alignment horizontal="center" vertical="center" wrapText="1"/>
    </xf>
    <xf numFmtId="166" fontId="0" fillId="6" borderId="40" xfId="0" applyNumberFormat="1" applyFill="1" applyBorder="1" applyAlignment="1" applyProtection="1">
      <alignment horizontal="center" vertical="center"/>
      <protection locked="0"/>
    </xf>
    <xf numFmtId="0" fontId="0" fillId="6" borderId="86" xfId="0" applyFill="1" applyBorder="1" applyAlignment="1" applyProtection="1">
      <alignment horizontal="left" vertical="center" wrapText="1"/>
      <protection locked="0"/>
    </xf>
    <xf numFmtId="49" fontId="0" fillId="6" borderId="70" xfId="0" applyNumberFormat="1" applyFill="1" applyBorder="1" applyAlignment="1" applyProtection="1">
      <alignment horizontal="center" vertical="center" wrapText="1"/>
      <protection locked="0"/>
    </xf>
    <xf numFmtId="49" fontId="0" fillId="16" borderId="101"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4" fillId="17" borderId="32" xfId="0" applyNumberFormat="1" applyFont="1" applyFill="1" applyBorder="1" applyAlignment="1">
      <alignment horizontal="left" vertical="center"/>
    </xf>
    <xf numFmtId="0" fontId="28" fillId="0" borderId="102" xfId="0" applyFont="1" applyBorder="1"/>
    <xf numFmtId="0" fontId="27" fillId="0" borderId="90" xfId="0" applyFont="1" applyBorder="1" applyAlignment="1">
      <alignment horizontal="left" indent="1"/>
    </xf>
    <xf numFmtId="172" fontId="0" fillId="0" borderId="41" xfId="48" applyFont="1" applyFill="1" applyBorder="1" applyAlignment="1" applyProtection="1">
      <alignment vertical="center" shrinkToFit="1"/>
    </xf>
    <xf numFmtId="172" fontId="24" fillId="17" borderId="71" xfId="48" applyFont="1" applyFill="1" applyBorder="1" applyAlignment="1" applyProtection="1">
      <alignment horizontal="center" vertical="center" shrinkToFit="1"/>
    </xf>
    <xf numFmtId="172" fontId="24" fillId="17" borderId="75" xfId="48" applyFont="1" applyFill="1" applyBorder="1" applyAlignment="1" applyProtection="1">
      <alignment horizontal="center" vertical="center"/>
    </xf>
    <xf numFmtId="10" fontId="63" fillId="0" borderId="103" xfId="38" applyNumberFormat="1" applyFont="1" applyFill="1" applyBorder="1" applyAlignment="1" applyProtection="1">
      <alignment horizontal="center"/>
      <protection locked="0"/>
    </xf>
    <xf numFmtId="10" fontId="63" fillId="0" borderId="104" xfId="38" applyNumberFormat="1" applyFont="1" applyFill="1" applyBorder="1" applyAlignment="1" applyProtection="1">
      <alignment horizontal="center"/>
      <protection locked="0"/>
    </xf>
    <xf numFmtId="10" fontId="63" fillId="0" borderId="105" xfId="38" applyNumberFormat="1" applyFont="1" applyFill="1" applyBorder="1" applyAlignment="1" applyProtection="1">
      <alignment horizontal="center"/>
      <protection locked="0"/>
    </xf>
    <xf numFmtId="0" fontId="0" fillId="16" borderId="41" xfId="0" applyFill="1" applyBorder="1" applyAlignment="1" applyProtection="1">
      <alignment shrinkToFit="1"/>
      <protection locked="0"/>
    </xf>
    <xf numFmtId="0" fontId="0" fillId="0" borderId="106" xfId="0" applyBorder="1" applyAlignment="1">
      <alignment vertical="center"/>
    </xf>
    <xf numFmtId="0" fontId="0" fillId="16" borderId="107" xfId="0" applyFill="1" applyBorder="1" applyAlignment="1" applyProtection="1">
      <alignment vertical="center"/>
      <protection locked="0"/>
    </xf>
    <xf numFmtId="164" fontId="0" fillId="0" borderId="0" xfId="0" applyNumberFormat="1"/>
    <xf numFmtId="0" fontId="12" fillId="0" borderId="95" xfId="0" applyFont="1" applyBorder="1" applyAlignment="1">
      <alignment horizontal="left" indent="1"/>
    </xf>
    <xf numFmtId="0" fontId="28" fillId="0" borderId="91" xfId="0" applyFont="1" applyBorder="1"/>
    <xf numFmtId="0" fontId="57" fillId="25" borderId="88" xfId="30" applyFont="1" applyFill="1" applyBorder="1" applyAlignment="1">
      <alignment horizontal="center" vertical="center"/>
    </xf>
    <xf numFmtId="0" fontId="17" fillId="25" borderId="88" xfId="30" applyFont="1" applyFill="1" applyBorder="1" applyAlignment="1">
      <alignment horizontal="center" vertical="center"/>
    </xf>
    <xf numFmtId="0" fontId="23" fillId="25" borderId="88" xfId="30" applyFont="1" applyFill="1" applyBorder="1" applyAlignment="1">
      <alignment horizontal="center" vertical="center"/>
    </xf>
    <xf numFmtId="0" fontId="0" fillId="26" borderId="0" xfId="0" applyFill="1"/>
    <xf numFmtId="0" fontId="24" fillId="25" borderId="88"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93" xfId="0" applyFont="1" applyBorder="1" applyAlignment="1">
      <alignment horizontal="center" wrapText="1"/>
    </xf>
    <xf numFmtId="0" fontId="12" fillId="20" borderId="112" xfId="0" applyFont="1" applyFill="1" applyBorder="1" applyAlignment="1">
      <alignment horizontal="center" vertical="center"/>
    </xf>
    <xf numFmtId="0" fontId="49" fillId="0" borderId="114" xfId="0" applyFont="1" applyBorder="1" applyAlignment="1">
      <alignment horizontal="center"/>
    </xf>
    <xf numFmtId="168" fontId="0" fillId="0" borderId="0" xfId="0" applyNumberFormat="1" applyAlignment="1">
      <alignment horizontal="left"/>
    </xf>
    <xf numFmtId="187" fontId="67" fillId="0" borderId="0" xfId="0" applyNumberFormat="1" applyFon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6" fillId="0" borderId="0" xfId="0" applyFont="1"/>
    <xf numFmtId="0" fontId="0" fillId="0" borderId="100" xfId="0" applyBorder="1" applyAlignment="1">
      <alignment horizontal="center" wrapText="1"/>
    </xf>
    <xf numFmtId="168" fontId="0" fillId="0" borderId="95" xfId="0" applyNumberFormat="1" applyBorder="1"/>
    <xf numFmtId="187" fontId="0" fillId="0" borderId="95" xfId="0" applyNumberFormat="1" applyBorder="1" applyAlignment="1">
      <alignment horizontal="left"/>
    </xf>
    <xf numFmtId="0" fontId="0" fillId="18" borderId="111" xfId="0" applyFill="1" applyBorder="1" applyAlignment="1">
      <alignment horizontal="center"/>
    </xf>
    <xf numFmtId="0" fontId="12" fillId="0" borderId="100" xfId="0" applyFont="1" applyBorder="1" applyAlignment="1">
      <alignment horizontal="center"/>
    </xf>
    <xf numFmtId="0" fontId="46" fillId="6" borderId="32" xfId="0" applyFont="1" applyFill="1" applyBorder="1" applyAlignment="1" applyProtection="1">
      <alignment horizontal="left" vertical="center"/>
      <protection locked="0"/>
    </xf>
    <xf numFmtId="0" fontId="46" fillId="18" borderId="32" xfId="0" applyFont="1" applyFill="1" applyBorder="1" applyAlignment="1">
      <alignment horizontal="left" vertical="center"/>
    </xf>
    <xf numFmtId="0" fontId="31" fillId="0" borderId="0" xfId="0" applyFont="1" applyAlignment="1">
      <alignment horizontal="left" vertical="top" wrapText="1"/>
    </xf>
    <xf numFmtId="0" fontId="12" fillId="0" borderId="32" xfId="0" applyFont="1" applyBorder="1"/>
    <xf numFmtId="0" fontId="0" fillId="0" borderId="0" xfId="0" applyAlignment="1">
      <alignment vertical="center" wrapText="1"/>
    </xf>
    <xf numFmtId="0" fontId="0" fillId="0" borderId="90" xfId="0" applyBorder="1"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5" xfId="0" applyFont="1" applyBorder="1" applyAlignment="1">
      <alignment horizontal="left" wrapText="1"/>
    </xf>
    <xf numFmtId="0" fontId="0" fillId="0" borderId="111" xfId="0" applyBorder="1" applyAlignment="1">
      <alignment horizontal="center" wrapText="1"/>
    </xf>
    <xf numFmtId="0" fontId="0" fillId="0" borderId="30" xfId="33" applyFont="1" applyBorder="1" applyAlignment="1">
      <alignment horizontal="left" vertical="top" wrapText="1"/>
    </xf>
    <xf numFmtId="172" fontId="56" fillId="18" borderId="111" xfId="48" applyFill="1" applyBorder="1" applyAlignment="1" applyProtection="1">
      <alignment horizontal="left" vertical="center" shrinkToFit="1"/>
    </xf>
    <xf numFmtId="172" fontId="56" fillId="0" borderId="111" xfId="48" applyBorder="1" applyAlignment="1" applyProtection="1">
      <alignment shrinkToFit="1"/>
    </xf>
    <xf numFmtId="0" fontId="69"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8" xfId="30" applyFont="1" applyFill="1" applyBorder="1" applyAlignment="1">
      <alignment horizontal="center" vertical="center"/>
    </xf>
    <xf numFmtId="0" fontId="66"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70" xfId="0" applyNumberFormat="1" applyFill="1" applyBorder="1" applyAlignment="1" applyProtection="1">
      <alignment horizontal="center" vertical="center"/>
      <protection locked="0"/>
    </xf>
    <xf numFmtId="0" fontId="18" fillId="0" borderId="32" xfId="0" applyFont="1" applyBorder="1" applyAlignment="1">
      <alignment horizontal="center" vertical="center"/>
    </xf>
    <xf numFmtId="0" fontId="19" fillId="20" borderId="0" xfId="0" applyFont="1" applyFill="1" applyAlignment="1">
      <alignment horizontal="center" vertical="center"/>
    </xf>
    <xf numFmtId="0" fontId="12" fillId="0" borderId="108" xfId="0" applyFont="1" applyBorder="1" applyAlignment="1">
      <alignment horizontal="center" vertical="center"/>
    </xf>
    <xf numFmtId="0" fontId="24" fillId="0" borderId="46" xfId="0" applyFont="1" applyBorder="1" applyAlignment="1">
      <alignment horizontal="center"/>
    </xf>
    <xf numFmtId="0" fontId="0" fillId="0" borderId="10" xfId="33" applyFont="1" applyBorder="1" applyAlignment="1">
      <alignment horizontal="left" vertical="center"/>
    </xf>
    <xf numFmtId="0" fontId="8" fillId="0" borderId="32" xfId="33" applyFont="1" applyBorder="1" applyAlignment="1">
      <alignment horizontal="left" vertical="center" wrapText="1"/>
    </xf>
    <xf numFmtId="49" fontId="0" fillId="6" borderId="32" xfId="33" applyNumberFormat="1" applyFont="1" applyFill="1" applyBorder="1" applyAlignment="1" applyProtection="1">
      <alignment horizontal="left" vertical="top" wrapText="1"/>
      <protection locked="0"/>
    </xf>
    <xf numFmtId="168" fontId="0" fillId="0" borderId="30" xfId="33" applyNumberFormat="1" applyFont="1" applyBorder="1" applyAlignment="1">
      <alignment horizontal="left"/>
    </xf>
    <xf numFmtId="187" fontId="0" fillId="0" borderId="30"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2" xfId="33" applyFont="1" applyBorder="1" applyAlignment="1">
      <alignment horizontal="center" vertical="center" wrapText="1"/>
    </xf>
    <xf numFmtId="4" fontId="17" fillId="0" borderId="32" xfId="33" applyNumberFormat="1" applyFont="1" applyBorder="1" applyAlignment="1">
      <alignment horizontal="center" vertical="center"/>
    </xf>
    <xf numFmtId="4" fontId="17" fillId="0" borderId="32" xfId="33" applyNumberFormat="1" applyFont="1" applyBorder="1" applyAlignment="1">
      <alignment horizontal="center" vertical="center" wrapText="1"/>
    </xf>
    <xf numFmtId="0" fontId="30" fillId="8" borderId="32"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2" xfId="33" applyFont="1" applyBorder="1" applyAlignment="1">
      <alignment horizontal="center" vertical="center"/>
    </xf>
    <xf numFmtId="0" fontId="17" fillId="0" borderId="32" xfId="33" applyFont="1" applyBorder="1" applyAlignment="1">
      <alignment horizontal="center" vertical="center"/>
    </xf>
    <xf numFmtId="0" fontId="24" fillId="0" borderId="31" xfId="35" applyFont="1" applyBorder="1" applyAlignment="1">
      <alignment horizontal="left" vertical="top"/>
    </xf>
    <xf numFmtId="165" fontId="8" fillId="16" borderId="14" xfId="32" applyFont="1" applyFill="1" applyBorder="1" applyAlignment="1" applyProtection="1">
      <alignment horizontal="left"/>
      <protection locked="0"/>
    </xf>
    <xf numFmtId="0" fontId="23" fillId="0" borderId="32" xfId="33" applyFont="1" applyBorder="1" applyAlignment="1">
      <alignment horizontal="center"/>
    </xf>
    <xf numFmtId="0" fontId="0" fillId="0" borderId="14" xfId="33" applyFont="1" applyBorder="1" applyAlignment="1">
      <alignment horizontal="left" vertical="top" wrapText="1"/>
    </xf>
    <xf numFmtId="0" fontId="0" fillId="0" borderId="31" xfId="0" applyBorder="1" applyAlignment="1">
      <alignment horizontal="center"/>
    </xf>
    <xf numFmtId="0" fontId="24" fillId="0" borderId="14" xfId="0" applyFont="1" applyBorder="1" applyAlignment="1">
      <alignment horizontal="center"/>
    </xf>
    <xf numFmtId="0" fontId="8" fillId="0" borderId="32" xfId="33" applyFont="1" applyBorder="1" applyAlignment="1">
      <alignment horizontal="left"/>
    </xf>
    <xf numFmtId="10" fontId="8" fillId="6" borderId="32" xfId="33" applyNumberFormat="1" applyFont="1" applyFill="1" applyBorder="1" applyAlignment="1" applyProtection="1">
      <alignment horizontal="center"/>
      <protection locked="0"/>
    </xf>
    <xf numFmtId="0" fontId="8" fillId="0" borderId="14" xfId="32" applyNumberFormat="1" applyFont="1" applyFill="1" applyBorder="1" applyAlignment="1" applyProtection="1">
      <alignment horizontal="left" wrapText="1"/>
    </xf>
    <xf numFmtId="0" fontId="8" fillId="0" borderId="32" xfId="33" applyFont="1" applyBorder="1" applyAlignment="1">
      <alignment horizontal="left" wrapText="1"/>
    </xf>
    <xf numFmtId="0" fontId="0" fillId="0" borderId="32" xfId="0" applyBorder="1" applyAlignment="1">
      <alignment horizontal="center"/>
    </xf>
    <xf numFmtId="0" fontId="24" fillId="0" borderId="33" xfId="35" applyFont="1" applyBorder="1" applyAlignment="1">
      <alignment horizontal="left" vertical="top"/>
    </xf>
    <xf numFmtId="0" fontId="62"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7" xfId="33" applyFont="1" applyBorder="1" applyAlignment="1">
      <alignment horizontal="left" vertical="top" wrapText="1"/>
    </xf>
    <xf numFmtId="187" fontId="0" fillId="0" borderId="0" xfId="0" applyNumberFormat="1" applyAlignment="1">
      <alignment horizontal="left"/>
    </xf>
    <xf numFmtId="0" fontId="24" fillId="17" borderId="13" xfId="0" applyFont="1" applyFill="1" applyBorder="1" applyAlignment="1">
      <alignment horizontal="left" vertical="center" wrapText="1"/>
    </xf>
    <xf numFmtId="0" fontId="30" fillId="0" borderId="32" xfId="0" applyFont="1" applyBorder="1" applyAlignment="1" applyProtection="1">
      <alignment horizontal="left" vertical="center"/>
      <protection locked="0"/>
    </xf>
    <xf numFmtId="0" fontId="30" fillId="6" borderId="14" xfId="0" applyFont="1" applyFill="1" applyBorder="1" applyAlignment="1" applyProtection="1">
      <alignment horizontal="left" vertical="top" wrapText="1"/>
      <protection locked="0"/>
    </xf>
    <xf numFmtId="0" fontId="17" fillId="0" borderId="32" xfId="0" applyFont="1" applyBorder="1" applyAlignment="1">
      <alignment horizontal="left" wrapText="1"/>
    </xf>
    <xf numFmtId="168" fontId="0" fillId="0" borderId="30" xfId="0" applyNumberFormat="1" applyBorder="1" applyAlignment="1">
      <alignment horizontal="left"/>
    </xf>
    <xf numFmtId="0" fontId="0" fillId="0" borderId="32" xfId="0" applyBorder="1" applyAlignment="1">
      <alignment horizontal="left" wrapText="1"/>
    </xf>
    <xf numFmtId="0" fontId="46" fillId="0" borderId="110" xfId="34" applyFont="1" applyBorder="1" applyAlignment="1">
      <alignment horizontal="left"/>
    </xf>
    <xf numFmtId="0" fontId="46" fillId="0" borderId="95" xfId="34" applyFont="1" applyBorder="1" applyAlignment="1">
      <alignment horizontal="left"/>
    </xf>
    <xf numFmtId="0" fontId="46" fillId="0" borderId="119" xfId="34" applyFont="1" applyBorder="1" applyAlignment="1">
      <alignment horizontal="left"/>
    </xf>
    <xf numFmtId="0" fontId="1" fillId="0" borderId="89" xfId="0" applyFont="1" applyBorder="1" applyAlignment="1">
      <alignment horizontal="center" vertical="center" wrapText="1"/>
    </xf>
    <xf numFmtId="0" fontId="1" fillId="0" borderId="92" xfId="0" applyFont="1" applyBorder="1" applyAlignment="1">
      <alignment horizontal="center" vertical="center" wrapText="1"/>
    </xf>
    <xf numFmtId="0" fontId="1" fillId="0" borderId="94" xfId="0" applyFont="1" applyBorder="1" applyAlignment="1">
      <alignment horizontal="center" vertical="center" wrapText="1"/>
    </xf>
    <xf numFmtId="0" fontId="0" fillId="16" borderId="117" xfId="0" applyFill="1" applyBorder="1" applyAlignment="1" applyProtection="1">
      <alignment horizontal="left" vertical="center"/>
      <protection locked="0"/>
    </xf>
    <xf numFmtId="0" fontId="0" fillId="16" borderId="118" xfId="0" applyFill="1" applyBorder="1" applyAlignment="1" applyProtection="1">
      <alignment horizontal="left" vertical="center"/>
      <protection locked="0"/>
    </xf>
    <xf numFmtId="0" fontId="31" fillId="0" borderId="0" xfId="0" applyFont="1" applyAlignment="1">
      <alignment horizontal="center" vertical="top" wrapText="1"/>
    </xf>
    <xf numFmtId="0" fontId="31" fillId="0" borderId="93" xfId="0" applyFont="1" applyBorder="1" applyAlignment="1">
      <alignment horizontal="center" vertical="top" wrapText="1"/>
    </xf>
    <xf numFmtId="0" fontId="24" fillId="17" borderId="32" xfId="0" applyFont="1" applyFill="1" applyBorder="1" applyAlignment="1">
      <alignment horizontal="left" vertical="center" wrapText="1"/>
    </xf>
    <xf numFmtId="0" fontId="23" fillId="0" borderId="0" xfId="0" applyFont="1" applyAlignment="1">
      <alignment horizontal="left" vertical="center" indent="10"/>
    </xf>
    <xf numFmtId="0" fontId="37" fillId="0" borderId="0" xfId="0" applyFont="1" applyAlignment="1">
      <alignment horizontal="left" vertical="center" indent="10"/>
    </xf>
    <xf numFmtId="187" fontId="67" fillId="0" borderId="30" xfId="0" applyNumberFormat="1" applyFont="1" applyBorder="1" applyAlignment="1">
      <alignment horizontal="left"/>
    </xf>
    <xf numFmtId="189" fontId="46" fillId="0" borderId="114" xfId="48" applyNumberFormat="1" applyFont="1" applyBorder="1" applyAlignment="1" applyProtection="1">
      <alignment horizontal="center" shrinkToFit="1"/>
    </xf>
    <xf numFmtId="189" fontId="46" fillId="0" borderId="116" xfId="48" applyNumberFormat="1" applyFont="1" applyBorder="1" applyAlignment="1" applyProtection="1">
      <alignment horizontal="center" shrinkToFit="1"/>
    </xf>
    <xf numFmtId="0" fontId="12" fillId="0" borderId="113" xfId="0" applyFont="1" applyBorder="1" applyAlignment="1">
      <alignment horizontal="right" vertical="center"/>
    </xf>
    <xf numFmtId="0" fontId="12" fillId="0" borderId="115" xfId="0" applyFont="1" applyBorder="1" applyAlignment="1">
      <alignment horizontal="right" vertical="center"/>
    </xf>
    <xf numFmtId="10" fontId="46" fillId="0" borderId="111" xfId="37" applyNumberFormat="1" applyFont="1" applyBorder="1" applyAlignment="1" applyProtection="1">
      <alignment horizontal="center"/>
    </xf>
    <xf numFmtId="10" fontId="46" fillId="0" borderId="114" xfId="37" applyNumberFormat="1" applyFont="1" applyBorder="1" applyAlignment="1" applyProtection="1">
      <alignment horizontal="center"/>
    </xf>
    <xf numFmtId="10" fontId="46" fillId="0" borderId="116" xfId="37" applyNumberFormat="1" applyFont="1" applyBorder="1" applyAlignment="1" applyProtection="1">
      <alignment horizontal="center"/>
    </xf>
    <xf numFmtId="189" fontId="46" fillId="0" borderId="111" xfId="48" applyNumberFormat="1" applyFont="1" applyBorder="1" applyAlignment="1" applyProtection="1">
      <alignment horizontal="center" shrinkToFit="1"/>
    </xf>
    <xf numFmtId="188" fontId="49" fillId="20" borderId="111"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0" fillId="0" borderId="94" xfId="0" applyBorder="1" applyAlignment="1">
      <alignment horizontal="center" wrapText="1"/>
    </xf>
    <xf numFmtId="0" fontId="0" fillId="0" borderId="95" xfId="0" applyBorder="1" applyAlignment="1">
      <alignment horizontal="center" wrapText="1"/>
    </xf>
    <xf numFmtId="0" fontId="0" fillId="0" borderId="96" xfId="0" applyBorder="1" applyAlignment="1">
      <alignment horizontal="center" wrapText="1"/>
    </xf>
    <xf numFmtId="0" fontId="46" fillId="0" borderId="96" xfId="34" applyFont="1" applyBorder="1" applyAlignment="1">
      <alignment horizontal="left"/>
    </xf>
    <xf numFmtId="187" fontId="0" fillId="0" borderId="30" xfId="0" applyNumberFormat="1" applyBorder="1" applyAlignment="1">
      <alignment horizontal="left"/>
    </xf>
    <xf numFmtId="0" fontId="46" fillId="0" borderId="47" xfId="34" applyFont="1" applyBorder="1" applyAlignment="1">
      <alignment horizontal="left"/>
    </xf>
    <xf numFmtId="166" fontId="24" fillId="0" borderId="46" xfId="49" applyFont="1" applyFill="1" applyBorder="1" applyAlignment="1" applyProtection="1">
      <alignment horizontal="center" vertical="center" wrapText="1"/>
    </xf>
    <xf numFmtId="174" fontId="24" fillId="0" borderId="32" xfId="48" applyNumberFormat="1" applyFont="1" applyFill="1" applyBorder="1" applyAlignment="1" applyProtection="1">
      <alignment horizontal="center" vertical="center"/>
    </xf>
    <xf numFmtId="166" fontId="0" fillId="0" borderId="14" xfId="49" applyFont="1" applyFill="1" applyBorder="1" applyAlignment="1" applyProtection="1">
      <alignment horizontal="left"/>
    </xf>
    <xf numFmtId="0" fontId="46" fillId="0" borderId="14" xfId="34" applyFont="1" applyBorder="1" applyAlignment="1">
      <alignment horizontal="left"/>
    </xf>
    <xf numFmtId="0" fontId="22" fillId="0" borderId="30" xfId="34" applyFont="1" applyBorder="1" applyAlignment="1">
      <alignment horizontal="center" vertical="center" wrapText="1"/>
    </xf>
    <xf numFmtId="0" fontId="46" fillId="0" borderId="0" xfId="34" applyFont="1" applyAlignment="1">
      <alignment horizontal="center" wrapText="1"/>
    </xf>
    <xf numFmtId="0" fontId="50" fillId="0" borderId="11" xfId="34" applyFont="1" applyBorder="1" applyAlignment="1">
      <alignment horizontal="left" vertical="top"/>
    </xf>
    <xf numFmtId="0" fontId="46" fillId="0" borderId="32" xfId="34" applyFont="1" applyBorder="1" applyAlignment="1">
      <alignment horizontal="center" wrapText="1"/>
    </xf>
    <xf numFmtId="0" fontId="49" fillId="0" borderId="13" xfId="34" applyFont="1" applyBorder="1" applyAlignment="1">
      <alignment horizontal="center" vertical="center" wrapText="1"/>
    </xf>
    <xf numFmtId="0" fontId="49" fillId="0" borderId="45" xfId="34" applyFont="1" applyBorder="1" applyAlignment="1">
      <alignment horizontal="left" vertical="center" wrapText="1"/>
    </xf>
    <xf numFmtId="0" fontId="24" fillId="0" borderId="0" xfId="0" applyFont="1" applyAlignment="1">
      <alignment horizontal="center" wrapText="1"/>
    </xf>
    <xf numFmtId="0" fontId="0" fillId="0" borderId="0" xfId="0" applyAlignment="1">
      <alignment horizontal="center" wrapText="1"/>
    </xf>
    <xf numFmtId="0" fontId="24" fillId="8" borderId="46" xfId="0" applyFont="1" applyFill="1" applyBorder="1" applyAlignment="1">
      <alignment horizontal="center" vertical="center"/>
    </xf>
    <xf numFmtId="0" fontId="53" fillId="0" borderId="13" xfId="0" applyFont="1" applyBorder="1" applyAlignment="1">
      <alignment horizontal="center" vertical="center" wrapText="1"/>
    </xf>
    <xf numFmtId="0" fontId="22" fillId="0" borderId="0" xfId="0" applyFont="1" applyAlignment="1">
      <alignment horizontal="center" vertical="center" wrapText="1"/>
    </xf>
    <xf numFmtId="4" fontId="24" fillId="0" borderId="33" xfId="0" applyNumberFormat="1" applyFont="1" applyBorder="1" applyAlignment="1">
      <alignment horizontal="left"/>
    </xf>
    <xf numFmtId="0" fontId="24" fillId="0" borderId="31" xfId="35" applyFont="1" applyBorder="1" applyAlignment="1">
      <alignment horizontal="center"/>
    </xf>
    <xf numFmtId="49" fontId="0" fillId="0" borderId="47" xfId="0" applyNumberFormat="1" applyBorder="1" applyAlignment="1">
      <alignment horizontal="left"/>
    </xf>
    <xf numFmtId="178" fontId="56" fillId="0" borderId="30" xfId="48" applyNumberFormat="1" applyFill="1" applyBorder="1" applyAlignment="1" applyProtection="1">
      <alignment horizontal="center" shrinkToFit="1"/>
    </xf>
    <xf numFmtId="10" fontId="56" fillId="0" borderId="0" xfId="37" applyNumberFormat="1" applyFill="1" applyBorder="1" applyAlignment="1" applyProtection="1">
      <alignment horizontal="center"/>
    </xf>
    <xf numFmtId="0" fontId="24" fillId="0" borderId="32" xfId="0" applyFont="1" applyBorder="1" applyAlignment="1">
      <alignment horizontal="right" vertical="center"/>
    </xf>
    <xf numFmtId="177" fontId="24" fillId="8" borderId="32" xfId="0" applyNumberFormat="1" applyFont="1" applyFill="1" applyBorder="1" applyAlignment="1">
      <alignment horizontal="center" shrinkToFit="1"/>
    </xf>
    <xf numFmtId="10" fontId="56" fillId="0" borderId="34" xfId="37" applyNumberFormat="1" applyFill="1" applyBorder="1" applyAlignment="1" applyProtection="1">
      <alignment horizontal="center"/>
    </xf>
    <xf numFmtId="178" fontId="56" fillId="0" borderId="14" xfId="48" applyNumberFormat="1" applyFill="1" applyBorder="1" applyAlignment="1" applyProtection="1">
      <alignment horizontal="center" shrinkToFit="1"/>
    </xf>
    <xf numFmtId="10" fontId="56" fillId="0" borderId="31" xfId="37" applyNumberFormat="1" applyFill="1" applyBorder="1" applyAlignment="1" applyProtection="1">
      <alignment horizontal="center"/>
    </xf>
    <xf numFmtId="10" fontId="56" fillId="0" borderId="82"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178" fontId="56" fillId="0" borderId="47" xfId="48" applyNumberFormat="1" applyFill="1" applyBorder="1" applyAlignment="1" applyProtection="1">
      <alignment horizontal="center" shrinkToFit="1"/>
    </xf>
    <xf numFmtId="10" fontId="56" fillId="0" borderId="33" xfId="37" applyNumberFormat="1" applyFill="1" applyBorder="1" applyAlignment="1" applyProtection="1">
      <alignment horizontal="center"/>
    </xf>
    <xf numFmtId="0" fontId="23" fillId="0" borderId="14" xfId="0" applyFont="1" applyBorder="1" applyAlignment="1">
      <alignment horizontal="center"/>
    </xf>
    <xf numFmtId="0" fontId="24" fillId="8" borderId="32" xfId="0" applyFont="1" applyFill="1" applyBorder="1" applyAlignment="1">
      <alignment horizontal="center"/>
    </xf>
    <xf numFmtId="14" fontId="0" fillId="6" borderId="48" xfId="0" applyNumberFormat="1" applyFill="1" applyBorder="1" applyAlignment="1" applyProtection="1">
      <alignment horizontal="center"/>
      <protection locked="0"/>
    </xf>
    <xf numFmtId="14" fontId="0" fillId="6" borderId="49" xfId="0" applyNumberFormat="1" applyFill="1" applyBorder="1" applyAlignment="1" applyProtection="1">
      <alignment horizontal="center"/>
      <protection locked="0"/>
    </xf>
    <xf numFmtId="14" fontId="0" fillId="6" borderId="37" xfId="0" applyNumberFormat="1" applyFill="1" applyBorder="1" applyAlignment="1" applyProtection="1">
      <alignment horizontal="center"/>
      <protection locked="0"/>
    </xf>
    <xf numFmtId="10" fontId="23" fillId="0" borderId="14" xfId="37" applyNumberFormat="1" applyFont="1" applyFill="1" applyBorder="1" applyAlignment="1" applyProtection="1">
      <alignment horizontal="center"/>
    </xf>
    <xf numFmtId="0" fontId="0" fillId="18" borderId="40" xfId="0" applyFill="1" applyBorder="1"/>
    <xf numFmtId="0" fontId="0" fillId="0" borderId="40" xfId="0" applyBorder="1" applyAlignment="1">
      <alignment horizontal="left"/>
    </xf>
    <xf numFmtId="0" fontId="49" fillId="0" borderId="31" xfId="34" applyFont="1" applyBorder="1" applyAlignment="1">
      <alignment horizontal="center"/>
    </xf>
    <xf numFmtId="0" fontId="46" fillId="0" borderId="14" xfId="34" applyFont="1" applyBorder="1" applyAlignment="1">
      <alignment horizontal="center"/>
    </xf>
    <xf numFmtId="0" fontId="60" fillId="0" borderId="109" xfId="0" applyFont="1" applyBorder="1" applyAlignment="1">
      <alignment horizontal="center" vertical="top" wrapText="1"/>
    </xf>
    <xf numFmtId="0" fontId="23" fillId="6" borderId="14" xfId="0" applyFont="1" applyFill="1" applyBorder="1" applyAlignment="1" applyProtection="1">
      <alignment horizontal="center"/>
      <protection locked="0"/>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30" xfId="33" applyFont="1" applyBorder="1" applyAlignment="1">
      <alignment horizontal="center" vertical="center"/>
    </xf>
    <xf numFmtId="0" fontId="0" fillId="0" borderId="0" xfId="0" applyAlignment="1">
      <alignment horizontal="left" wrapText="1"/>
    </xf>
    <xf numFmtId="172" fontId="24" fillId="8" borderId="14" xfId="48" applyFont="1" applyFill="1" applyBorder="1" applyAlignment="1" applyProtection="1">
      <alignment horizontal="center" vertical="center" shrinkToFit="1"/>
    </xf>
    <xf numFmtId="0" fontId="30"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4" fillId="17" borderId="47" xfId="0" applyFont="1" applyFill="1" applyBorder="1" applyAlignment="1">
      <alignment horizontal="left" vertical="center" wrapText="1"/>
    </xf>
    <xf numFmtId="0" fontId="23" fillId="6" borderId="33" xfId="0" applyFont="1" applyFill="1" applyBorder="1" applyAlignment="1">
      <alignment horizontal="left"/>
    </xf>
    <xf numFmtId="0" fontId="31" fillId="0" borderId="0" xfId="0" applyFont="1" applyAlignment="1">
      <alignment horizontal="right" vertical="center" wrapText="1"/>
    </xf>
    <xf numFmtId="166" fontId="23" fillId="0" borderId="0" xfId="0" applyNumberFormat="1" applyFont="1" applyAlignment="1">
      <alignment horizontal="right" vertical="top"/>
    </xf>
    <xf numFmtId="0" fontId="0" fillId="0" borderId="14" xfId="0" applyBorder="1" applyAlignment="1">
      <alignment horizontal="center"/>
    </xf>
    <xf numFmtId="0" fontId="24" fillId="0" borderId="33"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3"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7" xfId="0" applyFont="1" applyFill="1" applyBorder="1" applyAlignment="1" applyProtection="1">
      <alignment horizontal="left" vertical="top" wrapText="1"/>
      <protection locked="0"/>
    </xf>
    <xf numFmtId="0" fontId="30" fillId="6" borderId="30"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0" fillId="8" borderId="84" xfId="0" applyFill="1" applyBorder="1" applyAlignment="1">
      <alignment horizontal="center" vertical="center"/>
    </xf>
    <xf numFmtId="0" fontId="0" fillId="8" borderId="67" xfId="0" applyFill="1" applyBorder="1" applyAlignment="1">
      <alignment horizontal="center" vertical="center"/>
    </xf>
    <xf numFmtId="10" fontId="24"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9" xfId="0" applyBorder="1" applyAlignment="1">
      <alignment horizontal="center" vertical="center"/>
    </xf>
    <xf numFmtId="0" fontId="0" fillId="8" borderId="42" xfId="0" applyFill="1" applyBorder="1" applyAlignment="1">
      <alignment horizontal="center" vertical="center"/>
    </xf>
    <xf numFmtId="0" fontId="0" fillId="8" borderId="69" xfId="0" applyFill="1" applyBorder="1" applyAlignment="1">
      <alignment horizontal="center" vertical="center"/>
    </xf>
    <xf numFmtId="0" fontId="0" fillId="0" borderId="87" xfId="0" applyBorder="1" applyAlignment="1">
      <alignment horizontal="center" vertical="center"/>
    </xf>
    <xf numFmtId="0" fontId="0" fillId="0" borderId="73" xfId="0" applyBorder="1" applyAlignment="1">
      <alignment horizontal="center" vertical="center"/>
    </xf>
    <xf numFmtId="0" fontId="17" fillId="8" borderId="32" xfId="0" applyFont="1" applyFill="1" applyBorder="1" applyAlignment="1">
      <alignment horizontal="center" vertical="center"/>
    </xf>
    <xf numFmtId="0" fontId="17" fillId="8" borderId="46" xfId="0" applyFont="1" applyFill="1" applyBorder="1" applyAlignment="1">
      <alignment horizontal="center" vertical="center"/>
    </xf>
    <xf numFmtId="0" fontId="8" fillId="0" borderId="10" xfId="0" applyFont="1" applyBorder="1" applyAlignment="1">
      <alignment horizontal="right"/>
    </xf>
    <xf numFmtId="0" fontId="24" fillId="0" borderId="32" xfId="0" applyFont="1" applyBorder="1" applyAlignment="1">
      <alignment horizontal="center"/>
    </xf>
    <xf numFmtId="0" fontId="24" fillId="0" borderId="64" xfId="0" applyFont="1" applyBorder="1" applyAlignment="1">
      <alignment horizontal="center"/>
    </xf>
    <xf numFmtId="0" fontId="24" fillId="0" borderId="32" xfId="0" applyFont="1" applyBorder="1" applyAlignment="1">
      <alignment horizontal="center" vertical="center"/>
    </xf>
    <xf numFmtId="49" fontId="0" fillId="0" borderId="14" xfId="0" applyNumberFormat="1" applyBorder="1" applyAlignment="1">
      <alignment horizontal="left"/>
    </xf>
    <xf numFmtId="0" fontId="24" fillId="0" borderId="34" xfId="0" applyFont="1" applyBorder="1" applyAlignment="1">
      <alignment horizontal="center"/>
    </xf>
    <xf numFmtId="0" fontId="53" fillId="0" borderId="32" xfId="0" applyFont="1" applyBorder="1" applyAlignment="1">
      <alignment horizontal="center" vertical="center" wrapText="1"/>
    </xf>
    <xf numFmtId="4" fontId="24" fillId="0" borderId="31"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9" xfId="33" applyFont="1" applyBorder="1" applyAlignment="1">
      <alignment horizontal="right"/>
    </xf>
    <xf numFmtId="181" fontId="24" fillId="0" borderId="41" xfId="48" applyNumberFormat="1" applyFont="1" applyFill="1" applyBorder="1" applyAlignment="1" applyProtection="1">
      <alignment vertical="top" shrinkToFit="1"/>
    </xf>
    <xf numFmtId="0" fontId="0" fillId="0" borderId="74" xfId="33" applyFont="1" applyBorder="1" applyAlignment="1">
      <alignment horizontal="right"/>
    </xf>
    <xf numFmtId="10" fontId="24" fillId="0" borderId="75"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4" xfId="33" applyFont="1" applyBorder="1" applyAlignment="1">
      <alignment horizontal="center" vertical="center" wrapText="1"/>
    </xf>
    <xf numFmtId="0" fontId="0" fillId="0" borderId="68"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center"/>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137">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theme="0"/>
      </font>
      <border>
        <left/>
        <right/>
      </border>
    </dxf>
    <dxf>
      <font>
        <b val="0"/>
        <condense val="0"/>
        <extend val="0"/>
        <color indexed="8"/>
      </font>
      <fill>
        <patternFill patternType="solid">
          <fgColor indexed="46"/>
          <bgColor indexed="24"/>
        </patternFill>
      </fill>
    </dxf>
    <dxf>
      <font>
        <b val="0"/>
        <condense val="0"/>
        <extend val="0"/>
        <color indexed="9"/>
      </font>
      <border>
        <left/>
      </border>
    </dxf>
    <dxf>
      <font>
        <b val="0"/>
        <condense val="0"/>
        <extend val="0"/>
        <color indexed="44"/>
      </font>
    </dxf>
    <dxf>
      <font>
        <b val="0"/>
        <condense val="0"/>
        <extend val="0"/>
        <color indexed="9"/>
      </font>
    </dxf>
    <dxf>
      <font>
        <b val="0"/>
        <condense val="0"/>
        <extend val="0"/>
        <color indexed="44"/>
      </font>
    </dxf>
    <dxf>
      <font>
        <b val="0"/>
        <condense val="0"/>
        <extend val="0"/>
        <color indexed="9"/>
      </font>
    </dxf>
    <dxf>
      <font>
        <b val="0"/>
        <condense val="0"/>
        <extend val="0"/>
        <color indexed="9"/>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color theme="0"/>
      </font>
    </dxf>
    <dxf>
      <font>
        <color theme="0"/>
      </font>
    </dxf>
    <dxf>
      <font>
        <color theme="0"/>
      </font>
    </dxf>
    <dxf>
      <font>
        <color theme="0"/>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71550"/>
              <a:ext cx="1230630" cy="483870"/>
              <a:chOff x="1790701"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66676</xdr:colOff>
      <xdr:row>2</xdr:row>
      <xdr:rowOff>0</xdr:rowOff>
    </xdr:from>
    <xdr:to>
      <xdr:col>11</xdr:col>
      <xdr:colOff>104777</xdr:colOff>
      <xdr:row>5</xdr:row>
      <xdr:rowOff>66675</xdr:rowOff>
    </xdr:to>
    <xdr:sp macro="[0]!Importar_PM3"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6" y="476250"/>
          <a:ext cx="1504951"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 (A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13</xdr:col>
      <xdr:colOff>0</xdr:colOff>
      <xdr:row>2</xdr:row>
      <xdr:rowOff>28575</xdr:rowOff>
    </xdr:from>
    <xdr:to>
      <xdr:col>13</xdr:col>
      <xdr:colOff>1696508</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801475" y="504825"/>
          <a:ext cx="1696508"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OUTROS </a:t>
          </a:r>
          <a:r>
            <a:rPr lang="pt-BR" sz="1100" b="1" i="0" u="none" strike="noStrike" baseline="0">
              <a:solidFill>
                <a:srgbClr val="000000"/>
              </a:solidFill>
              <a:latin typeface="Arial Black" panose="020B0A04020102020204" pitchFamily="34" charset="0"/>
            </a:rPr>
            <a:t>MODELOS CAIXA</a:t>
          </a:r>
          <a:r>
            <a:rPr lang="pt-BR" sz="1100" b="1" i="0" u="none" strike="noStrike" baseline="0">
              <a:solidFill>
                <a:srgbClr val="000000"/>
              </a:solidFill>
              <a:latin typeface="Calibri"/>
            </a:rPr>
            <a:t>         </a:t>
          </a:r>
          <a:r>
            <a:rPr lang="pt-BR" sz="1000" b="1" i="1" u="none" strike="noStrike" baseline="0">
              <a:solidFill>
                <a:srgbClr val="000000"/>
              </a:solidFill>
              <a:latin typeface="Calibri"/>
            </a:rPr>
            <a:t>(PO / PLE / QCI)</a:t>
          </a:r>
          <a:endParaRPr lang="pt-BR" sz="1100" b="1" i="1"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0</xdr:row>
      <xdr:rowOff>38100</xdr:rowOff>
    </xdr:from>
    <xdr:to>
      <xdr:col>3</xdr:col>
      <xdr:colOff>161925</xdr:colOff>
      <xdr:row>1</xdr:row>
      <xdr:rowOff>142875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200025" y="38100"/>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2809875</xdr:colOff>
      <xdr:row>0</xdr:row>
      <xdr:rowOff>14817</xdr:rowOff>
    </xdr:from>
    <xdr:to>
      <xdr:col>5</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5</xdr:col>
      <xdr:colOff>1738117</xdr:colOff>
      <xdr:row>32</xdr:row>
      <xdr:rowOff>0</xdr:rowOff>
    </xdr:from>
    <xdr:to>
      <xdr:col>5</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5</xdr:col>
      <xdr:colOff>2324099</xdr:colOff>
      <xdr:row>43</xdr:row>
      <xdr:rowOff>0</xdr:rowOff>
    </xdr:from>
    <xdr:to>
      <xdr:col>5</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287020</xdr:colOff>
      <xdr:row>1</xdr:row>
      <xdr:rowOff>30903</xdr:rowOff>
    </xdr:from>
    <xdr:to>
      <xdr:col>8</xdr:col>
      <xdr:colOff>138854</xdr:colOff>
      <xdr:row>3</xdr:row>
      <xdr:rowOff>8555</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5096067" y="224366"/>
          <a:ext cx="5715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287019</xdr:colOff>
      <xdr:row>3</xdr:row>
      <xdr:rowOff>57150</xdr:rowOff>
    </xdr:from>
    <xdr:to>
      <xdr:col>8</xdr:col>
      <xdr:colOff>138853</xdr:colOff>
      <xdr:row>5</xdr:row>
      <xdr:rowOff>42333</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279399" y="575733"/>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123825</xdr:rowOff>
        </xdr:from>
        <xdr:to>
          <xdr:col>19</xdr:col>
          <xdr:colOff>895350</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123825</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285750</xdr:colOff>
          <xdr:row>9</xdr:row>
          <xdr:rowOff>123825</xdr:rowOff>
        </xdr:from>
        <xdr:to>
          <xdr:col>21</xdr:col>
          <xdr:colOff>704850</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361950</xdr:colOff>
          <xdr:row>9</xdr:row>
          <xdr:rowOff>123825</xdr:rowOff>
        </xdr:from>
        <xdr:to>
          <xdr:col>22</xdr:col>
          <xdr:colOff>790575</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104775</xdr:rowOff>
        </xdr:from>
        <xdr:to>
          <xdr:col>23</xdr:col>
          <xdr:colOff>876300</xdr:colOff>
          <xdr:row>11</xdr:row>
          <xdr:rowOff>28575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28575</xdr:colOff>
      <xdr:row>9</xdr:row>
      <xdr:rowOff>0</xdr:rowOff>
    </xdr:from>
    <xdr:to>
      <xdr:col>15</xdr:col>
      <xdr:colOff>624896</xdr:colOff>
      <xdr:row>11</xdr:row>
      <xdr:rowOff>1310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6158" y="1428750"/>
          <a:ext cx="1442988" cy="31881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17</xdr:col>
      <xdr:colOff>93345</xdr:colOff>
      <xdr:row>9</xdr:row>
      <xdr:rowOff>0</xdr:rowOff>
    </xdr:from>
    <xdr:to>
      <xdr:col>17</xdr:col>
      <xdr:colOff>1560297</xdr:colOff>
      <xdr:row>10</xdr:row>
      <xdr:rowOff>160060</xdr:rowOff>
    </xdr:to>
    <xdr:sp macro="[0]!Descrição.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1080135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691515</xdr:colOff>
      <xdr:row>9</xdr:row>
      <xdr:rowOff>0</xdr:rowOff>
    </xdr:from>
    <xdr:to>
      <xdr:col>17</xdr:col>
      <xdr:colOff>9547</xdr:colOff>
      <xdr:row>10</xdr:row>
      <xdr:rowOff>160060</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929640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1644015</xdr:colOff>
      <xdr:row>9</xdr:row>
      <xdr:rowOff>0</xdr:rowOff>
    </xdr:from>
    <xdr:to>
      <xdr:col>17</xdr:col>
      <xdr:colOff>3339378</xdr:colOff>
      <xdr:row>10</xdr:row>
      <xdr:rowOff>160060</xdr:rowOff>
    </xdr:to>
    <xdr:sp macro="[0]!Descrição.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12306300" y="1447800"/>
          <a:ext cx="16573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3404023</xdr:colOff>
      <xdr:row>9</xdr:row>
      <xdr:rowOff>1</xdr:rowOff>
    </xdr:from>
    <xdr:to>
      <xdr:col>18</xdr:col>
      <xdr:colOff>272154</xdr:colOff>
      <xdr:row>10</xdr:row>
      <xdr:rowOff>160061</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7662333" y="1428751"/>
          <a:ext cx="13335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3</xdr:row>
      <xdr:rowOff>21166</xdr:rowOff>
    </xdr:from>
    <xdr:to>
      <xdr:col>2</xdr:col>
      <xdr:colOff>1282277</xdr:colOff>
      <xdr:row>4</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3</xdr:row>
      <xdr:rowOff>85725</xdr:rowOff>
    </xdr:from>
    <xdr:to>
      <xdr:col>6</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19</xdr:col>
      <xdr:colOff>66676</xdr:colOff>
      <xdr:row>8</xdr:row>
      <xdr:rowOff>93345</xdr:rowOff>
    </xdr:from>
    <xdr:to>
      <xdr:col>21</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7</xdr:col>
      <xdr:colOff>14548</xdr:colOff>
      <xdr:row>8</xdr:row>
      <xdr:rowOff>93345</xdr:rowOff>
    </xdr:from>
    <xdr:to>
      <xdr:col>9</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24</xdr:col>
      <xdr:colOff>223307</xdr:colOff>
      <xdr:row>8</xdr:row>
      <xdr:rowOff>93345</xdr:rowOff>
    </xdr:from>
    <xdr:to>
      <xdr:col>26</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26</xdr:col>
      <xdr:colOff>604308</xdr:colOff>
      <xdr:row>8</xdr:row>
      <xdr:rowOff>93345</xdr:rowOff>
    </xdr:from>
    <xdr:to>
      <xdr:col>28</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7</xdr:col>
      <xdr:colOff>0</xdr:colOff>
      <xdr:row>3</xdr:row>
      <xdr:rowOff>21166</xdr:rowOff>
    </xdr:from>
    <xdr:to>
      <xdr:col>9</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22</xdr:col>
      <xdr:colOff>714375</xdr:colOff>
      <xdr:row>8</xdr:row>
      <xdr:rowOff>93345</xdr:rowOff>
    </xdr:from>
    <xdr:to>
      <xdr:col>23</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22</xdr:col>
      <xdr:colOff>47625</xdr:colOff>
      <xdr:row>8</xdr:row>
      <xdr:rowOff>93345</xdr:rowOff>
    </xdr:from>
    <xdr:to>
      <xdr:col>22</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87"/>
  <sheetViews>
    <sheetView showGridLines="0" zoomScaleNormal="100" workbookViewId="0">
      <pane ySplit="3" topLeftCell="A65" activePane="bottomLeft" state="frozen"/>
      <selection pane="bottomLeft" activeCell="A54" sqref="A54"/>
    </sheetView>
  </sheetViews>
  <sheetFormatPr defaultRowHeight="12.75" x14ac:dyDescent="0.2"/>
  <cols>
    <col min="1" max="1" width="8.7109375" customWidth="1"/>
    <col min="2" max="2" width="5.7109375" customWidth="1"/>
    <col min="3" max="3" width="3.7109375" customWidth="1"/>
    <col min="4" max="4" width="130.7109375" customWidth="1"/>
  </cols>
  <sheetData>
    <row r="3" spans="1:4" ht="36.75" customHeight="1" x14ac:dyDescent="0.35">
      <c r="B3" s="42" t="s">
        <v>133</v>
      </c>
    </row>
    <row r="5" spans="1:4" ht="18.75" x14ac:dyDescent="0.3">
      <c r="A5" s="43"/>
      <c r="B5" s="44"/>
      <c r="C5" s="44"/>
      <c r="D5" s="45"/>
    </row>
    <row r="6" spans="1:4" ht="18.75" x14ac:dyDescent="0.3">
      <c r="A6" s="46" t="s">
        <v>134</v>
      </c>
      <c r="B6" s="47"/>
      <c r="C6" s="47"/>
      <c r="D6" s="3"/>
    </row>
    <row r="7" spans="1:4" ht="15" x14ac:dyDescent="0.25">
      <c r="A7" s="4"/>
      <c r="B7" s="48" t="s">
        <v>135</v>
      </c>
      <c r="C7" s="48"/>
      <c r="D7" s="3"/>
    </row>
    <row r="8" spans="1:4" ht="15" x14ac:dyDescent="0.25">
      <c r="A8" s="4"/>
      <c r="B8" s="48"/>
      <c r="C8" s="49" t="str">
        <f>IF(D8&lt;&gt;"","▪","")</f>
        <v>▪</v>
      </c>
      <c r="D8" s="579" t="s">
        <v>136</v>
      </c>
    </row>
    <row r="9" spans="1:4" ht="15" x14ac:dyDescent="0.25">
      <c r="A9" s="4"/>
      <c r="B9" s="48"/>
      <c r="C9" s="49" t="str">
        <f>IF(D9&lt;&gt;"","▪","")</f>
        <v/>
      </c>
      <c r="D9" s="579"/>
    </row>
    <row r="10" spans="1:4" ht="18.75" x14ac:dyDescent="0.3">
      <c r="A10" s="541" t="s">
        <v>403</v>
      </c>
      <c r="B10" s="542"/>
      <c r="C10" s="542"/>
      <c r="D10" s="580"/>
    </row>
    <row r="11" spans="1:4" ht="15" x14ac:dyDescent="0.25">
      <c r="A11" s="4"/>
      <c r="B11" s="48" t="s">
        <v>135</v>
      </c>
      <c r="C11" s="48"/>
      <c r="D11" s="579"/>
    </row>
    <row r="12" spans="1:4" ht="15" x14ac:dyDescent="0.25">
      <c r="A12" s="4"/>
      <c r="B12" s="48"/>
      <c r="C12" s="49" t="str">
        <f>IF(D12&lt;&gt;"","▪","")</f>
        <v>▪</v>
      </c>
      <c r="D12" s="579" t="s">
        <v>406</v>
      </c>
    </row>
    <row r="13" spans="1:4" ht="15" x14ac:dyDescent="0.25">
      <c r="A13" s="4"/>
      <c r="B13" s="48" t="s">
        <v>404</v>
      </c>
      <c r="C13" s="48"/>
      <c r="D13" s="579"/>
    </row>
    <row r="14" spans="1:4" ht="15" x14ac:dyDescent="0.25">
      <c r="A14" s="463"/>
      <c r="B14" s="48"/>
      <c r="C14" s="49" t="str">
        <f>IF(D14&lt;&gt;"","▪","")</f>
        <v>▪</v>
      </c>
      <c r="D14" s="579" t="s">
        <v>407</v>
      </c>
    </row>
    <row r="15" spans="1:4" ht="15" x14ac:dyDescent="0.2">
      <c r="A15" s="463"/>
      <c r="C15" s="49" t="str">
        <f>IF(D15&lt;&gt;"","▪","")</f>
        <v>▪</v>
      </c>
      <c r="D15" s="579" t="s">
        <v>408</v>
      </c>
    </row>
    <row r="16" spans="1:4" x14ac:dyDescent="0.2">
      <c r="A16" s="467"/>
      <c r="D16" s="87"/>
    </row>
    <row r="17" spans="1:4" ht="18.75" x14ac:dyDescent="0.3">
      <c r="A17" s="541" t="s">
        <v>410</v>
      </c>
      <c r="B17" s="542"/>
      <c r="C17" s="542"/>
      <c r="D17" s="580"/>
    </row>
    <row r="18" spans="1:4" ht="15" x14ac:dyDescent="0.25">
      <c r="A18" s="4"/>
      <c r="B18" s="48" t="s">
        <v>135</v>
      </c>
      <c r="C18" s="48"/>
      <c r="D18" s="579"/>
    </row>
    <row r="19" spans="1:4" ht="15" x14ac:dyDescent="0.25">
      <c r="A19" s="4"/>
      <c r="B19" s="48"/>
      <c r="C19" s="49" t="str">
        <f>IF(D19&lt;&gt;"","▪","")</f>
        <v>▪</v>
      </c>
      <c r="D19" s="579" t="s">
        <v>406</v>
      </c>
    </row>
    <row r="20" spans="1:4" ht="15" x14ac:dyDescent="0.25">
      <c r="A20" s="4"/>
      <c r="B20" s="48"/>
      <c r="C20" s="49" t="str">
        <f>IF(D20&lt;&gt;"","▪","")</f>
        <v>▪</v>
      </c>
      <c r="D20" s="579" t="s">
        <v>419</v>
      </c>
    </row>
    <row r="21" spans="1:4" ht="15" x14ac:dyDescent="0.25">
      <c r="A21" s="463"/>
      <c r="B21" s="48" t="s">
        <v>417</v>
      </c>
      <c r="C21" s="48"/>
      <c r="D21" s="579"/>
    </row>
    <row r="22" spans="1:4" ht="15" x14ac:dyDescent="0.25">
      <c r="A22" s="463"/>
      <c r="B22" s="48"/>
      <c r="C22" s="49" t="str">
        <f>IF(D22&lt;&gt;"","▪","")</f>
        <v>▪</v>
      </c>
      <c r="D22" s="579" t="s">
        <v>418</v>
      </c>
    </row>
    <row r="23" spans="1:4" ht="15" x14ac:dyDescent="0.25">
      <c r="A23" s="463"/>
      <c r="B23" s="48" t="s">
        <v>411</v>
      </c>
      <c r="C23" s="48"/>
      <c r="D23" s="579"/>
    </row>
    <row r="24" spans="1:4" ht="15" x14ac:dyDescent="0.25">
      <c r="A24" s="463"/>
      <c r="B24" s="48"/>
      <c r="C24" s="49" t="str">
        <f>IF(D24&lt;&gt;"","▪","")</f>
        <v>▪</v>
      </c>
      <c r="D24" s="579" t="s">
        <v>415</v>
      </c>
    </row>
    <row r="25" spans="1:4" ht="15" x14ac:dyDescent="0.25">
      <c r="A25" s="463"/>
      <c r="B25" s="48" t="s">
        <v>412</v>
      </c>
      <c r="C25" s="48"/>
      <c r="D25" s="579"/>
    </row>
    <row r="26" spans="1:4" ht="15" x14ac:dyDescent="0.25">
      <c r="A26" s="463"/>
      <c r="B26" s="48"/>
      <c r="C26" s="49" t="str">
        <f>IF(D26&lt;&gt;"","▪","")</f>
        <v>▪</v>
      </c>
      <c r="D26" s="579" t="s">
        <v>414</v>
      </c>
    </row>
    <row r="27" spans="1:4" ht="15" x14ac:dyDescent="0.25">
      <c r="A27" s="463"/>
      <c r="B27" s="48" t="s">
        <v>416</v>
      </c>
      <c r="C27" s="48"/>
      <c r="D27" s="579"/>
    </row>
    <row r="28" spans="1:4" ht="15" x14ac:dyDescent="0.25">
      <c r="A28" s="463"/>
      <c r="B28" s="48"/>
      <c r="C28" s="49" t="str">
        <f>IF(D28&lt;&gt;"","▪","")</f>
        <v>▪</v>
      </c>
      <c r="D28" s="579" t="s">
        <v>413</v>
      </c>
    </row>
    <row r="29" spans="1:4" x14ac:dyDescent="0.2">
      <c r="A29" s="467"/>
      <c r="D29" s="87"/>
    </row>
    <row r="30" spans="1:4" ht="18.75" x14ac:dyDescent="0.3">
      <c r="A30" s="541" t="s">
        <v>420</v>
      </c>
      <c r="B30" s="542"/>
      <c r="C30" s="542"/>
      <c r="D30" s="580"/>
    </row>
    <row r="31" spans="1:4" ht="15" x14ac:dyDescent="0.25">
      <c r="A31" s="4"/>
      <c r="B31" s="48" t="s">
        <v>135</v>
      </c>
      <c r="C31" s="48"/>
      <c r="D31" s="579"/>
    </row>
    <row r="32" spans="1:4" ht="15" x14ac:dyDescent="0.25">
      <c r="A32" s="4"/>
      <c r="B32" s="48"/>
      <c r="C32" s="49" t="str">
        <f>IF(D32&lt;&gt;"","▪","")</f>
        <v>▪</v>
      </c>
      <c r="D32" s="579" t="s">
        <v>419</v>
      </c>
    </row>
    <row r="33" spans="1:5" ht="15" x14ac:dyDescent="0.25">
      <c r="A33" s="4"/>
      <c r="B33" s="48" t="s">
        <v>421</v>
      </c>
      <c r="C33" s="49"/>
      <c r="D33" s="579"/>
    </row>
    <row r="34" spans="1:5" ht="15" x14ac:dyDescent="0.25">
      <c r="A34" s="4"/>
      <c r="B34" s="48"/>
      <c r="C34" s="49" t="str">
        <f>IF(D34&lt;&gt;"","▪","")</f>
        <v>▪</v>
      </c>
      <c r="D34" s="579" t="s">
        <v>422</v>
      </c>
    </row>
    <row r="35" spans="1:5" ht="15" x14ac:dyDescent="0.25">
      <c r="A35" s="4"/>
      <c r="B35" s="48"/>
      <c r="C35" s="48"/>
      <c r="D35" s="581"/>
      <c r="E35" s="48"/>
    </row>
    <row r="36" spans="1:5" x14ac:dyDescent="0.2">
      <c r="A36" s="467"/>
      <c r="D36" s="87"/>
    </row>
    <row r="37" spans="1:5" ht="18.75" x14ac:dyDescent="0.3">
      <c r="A37" s="541" t="s">
        <v>423</v>
      </c>
      <c r="B37" s="542"/>
      <c r="C37" s="542"/>
      <c r="D37" s="580"/>
    </row>
    <row r="38" spans="1:5" ht="15" x14ac:dyDescent="0.25">
      <c r="A38" s="4"/>
      <c r="B38" s="48" t="s">
        <v>211</v>
      </c>
      <c r="C38" s="48"/>
      <c r="D38" s="579"/>
    </row>
    <row r="39" spans="1:5" ht="15" x14ac:dyDescent="0.25">
      <c r="A39" s="4"/>
      <c r="B39" s="48"/>
      <c r="C39" s="49" t="str">
        <f>IF(D39&lt;&gt;"","▪","")</f>
        <v>▪</v>
      </c>
      <c r="D39" s="579" t="s">
        <v>424</v>
      </c>
    </row>
    <row r="40" spans="1:5" ht="15" x14ac:dyDescent="0.25">
      <c r="A40" s="4"/>
      <c r="B40" s="48" t="s">
        <v>411</v>
      </c>
      <c r="C40" s="48"/>
      <c r="D40" s="579"/>
    </row>
    <row r="41" spans="1:5" ht="15" x14ac:dyDescent="0.25">
      <c r="A41" s="4"/>
      <c r="B41" s="48"/>
      <c r="C41" s="49" t="str">
        <f>IF(D41&lt;&gt;"","▪","")</f>
        <v>▪</v>
      </c>
      <c r="D41" s="579" t="s">
        <v>425</v>
      </c>
    </row>
    <row r="42" spans="1:5" ht="15" x14ac:dyDescent="0.25">
      <c r="A42" s="4"/>
      <c r="B42" s="48" t="s">
        <v>412</v>
      </c>
      <c r="C42" s="48"/>
      <c r="D42" s="579"/>
      <c r="E42" s="48"/>
    </row>
    <row r="43" spans="1:5" ht="15" x14ac:dyDescent="0.25">
      <c r="A43" s="4"/>
      <c r="B43" s="48"/>
      <c r="C43" s="49" t="str">
        <f>IF(D43&lt;&gt;"","▪","")</f>
        <v>▪</v>
      </c>
      <c r="D43" s="579" t="s">
        <v>426</v>
      </c>
    </row>
    <row r="44" spans="1:5" ht="15" x14ac:dyDescent="0.25">
      <c r="A44" s="4"/>
      <c r="B44" s="48"/>
      <c r="C44" s="48"/>
      <c r="D44" s="581"/>
    </row>
    <row r="45" spans="1:5" ht="18.75" x14ac:dyDescent="0.3">
      <c r="A45" s="541" t="s">
        <v>427</v>
      </c>
      <c r="B45" s="542"/>
      <c r="C45" s="542"/>
      <c r="D45" s="580"/>
    </row>
    <row r="46" spans="1:5" ht="15" x14ac:dyDescent="0.25">
      <c r="A46" s="4"/>
      <c r="B46" s="48" t="s">
        <v>135</v>
      </c>
      <c r="C46" s="48"/>
      <c r="D46" s="579"/>
    </row>
    <row r="47" spans="1:5" ht="15" x14ac:dyDescent="0.25">
      <c r="A47" s="4"/>
      <c r="B47" s="48"/>
      <c r="C47" s="49" t="str">
        <f>IF(D47&lt;&gt;"","▪","")</f>
        <v>▪</v>
      </c>
      <c r="D47" s="579" t="s">
        <v>428</v>
      </c>
    </row>
    <row r="48" spans="1:5" ht="15" x14ac:dyDescent="0.25">
      <c r="A48" s="4"/>
      <c r="B48" s="48"/>
      <c r="C48" s="48"/>
      <c r="D48" s="581"/>
    </row>
    <row r="49" spans="1:4" ht="18.75" x14ac:dyDescent="0.3">
      <c r="A49" s="541" t="s">
        <v>430</v>
      </c>
      <c r="B49" s="542"/>
      <c r="C49" s="542"/>
      <c r="D49" s="580"/>
    </row>
    <row r="50" spans="1:4" ht="15" x14ac:dyDescent="0.25">
      <c r="A50" s="4"/>
      <c r="B50" s="48" t="s">
        <v>135</v>
      </c>
      <c r="C50" s="48"/>
      <c r="D50" s="579"/>
    </row>
    <row r="51" spans="1:4" ht="15" x14ac:dyDescent="0.25">
      <c r="A51" s="4"/>
      <c r="B51" s="48"/>
      <c r="C51" s="49" t="str">
        <f>IF(D51&lt;&gt;"","▪","")</f>
        <v>▪</v>
      </c>
      <c r="D51" s="579" t="s">
        <v>433</v>
      </c>
    </row>
    <row r="52" spans="1:4" ht="15" x14ac:dyDescent="0.25">
      <c r="A52" s="4"/>
      <c r="B52" s="48"/>
      <c r="C52" s="49" t="str">
        <f>IF(D52&lt;&gt;"","▪","")</f>
        <v>▪</v>
      </c>
      <c r="D52" s="579" t="s">
        <v>434</v>
      </c>
    </row>
    <row r="53" spans="1:4" ht="15" x14ac:dyDescent="0.25">
      <c r="A53" s="4"/>
      <c r="B53" s="48"/>
      <c r="C53" s="48"/>
      <c r="D53" s="581"/>
    </row>
    <row r="54" spans="1:4" ht="18.75" x14ac:dyDescent="0.3">
      <c r="A54" s="554" t="s">
        <v>438</v>
      </c>
      <c r="B54" s="542"/>
      <c r="C54" s="542"/>
      <c r="D54" s="580"/>
    </row>
    <row r="55" spans="1:4" ht="15" x14ac:dyDescent="0.25">
      <c r="A55" s="463"/>
      <c r="B55" s="48" t="s">
        <v>135</v>
      </c>
      <c r="C55" s="48"/>
      <c r="D55" s="579"/>
    </row>
    <row r="56" spans="1:4" ht="15" x14ac:dyDescent="0.25">
      <c r="A56" s="463"/>
      <c r="B56" s="48"/>
      <c r="C56" s="49" t="str">
        <f t="shared" ref="C56" si="0">IF(D56&lt;&gt;"","▪","")</f>
        <v>▪</v>
      </c>
      <c r="D56" s="579" t="s">
        <v>470</v>
      </c>
    </row>
    <row r="57" spans="1:4" ht="30" customHeight="1" x14ac:dyDescent="0.25">
      <c r="A57" s="463"/>
      <c r="B57" s="48"/>
      <c r="C57" s="49" t="str">
        <f t="shared" ref="C57:C62" si="1">IF(D57&lt;&gt;"","▪","")</f>
        <v>▪</v>
      </c>
      <c r="D57" s="579" t="s">
        <v>457</v>
      </c>
    </row>
    <row r="58" spans="1:4" ht="30" customHeight="1" x14ac:dyDescent="0.25">
      <c r="A58" s="463"/>
      <c r="B58" s="48"/>
      <c r="C58" s="49" t="str">
        <f t="shared" si="1"/>
        <v>▪</v>
      </c>
      <c r="D58" s="579" t="s">
        <v>439</v>
      </c>
    </row>
    <row r="59" spans="1:4" ht="30" customHeight="1" x14ac:dyDescent="0.25">
      <c r="A59" s="463"/>
      <c r="B59" s="48"/>
      <c r="C59" s="49" t="str">
        <f t="shared" si="1"/>
        <v>▪</v>
      </c>
      <c r="D59" s="579" t="s">
        <v>440</v>
      </c>
    </row>
    <row r="60" spans="1:4" ht="25.5" x14ac:dyDescent="0.25">
      <c r="A60" s="463"/>
      <c r="B60" s="48"/>
      <c r="C60" s="49" t="str">
        <f t="shared" si="1"/>
        <v>▪</v>
      </c>
      <c r="D60" s="579" t="s">
        <v>469</v>
      </c>
    </row>
    <row r="61" spans="1:4" ht="15" x14ac:dyDescent="0.25">
      <c r="A61" s="463"/>
      <c r="B61" s="48"/>
      <c r="C61" s="49" t="str">
        <f t="shared" si="1"/>
        <v>▪</v>
      </c>
      <c r="D61" s="579" t="s">
        <v>450</v>
      </c>
    </row>
    <row r="62" spans="1:4" ht="30" customHeight="1" x14ac:dyDescent="0.25">
      <c r="A62" s="463"/>
      <c r="B62" s="48"/>
      <c r="C62" s="49" t="str">
        <f t="shared" si="1"/>
        <v>▪</v>
      </c>
      <c r="D62" s="579" t="s">
        <v>441</v>
      </c>
    </row>
    <row r="63" spans="1:4" ht="15" x14ac:dyDescent="0.25">
      <c r="A63" s="463"/>
      <c r="B63" s="48" t="s">
        <v>442</v>
      </c>
      <c r="C63" s="48"/>
      <c r="D63" s="579"/>
    </row>
    <row r="64" spans="1:4" ht="15" x14ac:dyDescent="0.25">
      <c r="A64" s="463"/>
      <c r="B64" s="48"/>
      <c r="C64" s="49" t="str">
        <f>IF(D64&lt;&gt;"","▪","")</f>
        <v>▪</v>
      </c>
      <c r="D64" s="579" t="s">
        <v>465</v>
      </c>
    </row>
    <row r="65" spans="1:4" ht="15" x14ac:dyDescent="0.25">
      <c r="A65" s="463"/>
      <c r="B65" s="48"/>
      <c r="C65" s="49" t="str">
        <f>IF(D65&lt;&gt;"","▪","")</f>
        <v>▪</v>
      </c>
      <c r="D65" s="579" t="s">
        <v>464</v>
      </c>
    </row>
    <row r="66" spans="1:4" ht="15" x14ac:dyDescent="0.25">
      <c r="A66" s="463"/>
      <c r="B66" s="48"/>
      <c r="C66" s="49"/>
      <c r="D66" s="582" t="s">
        <v>443</v>
      </c>
    </row>
    <row r="67" spans="1:4" ht="15" x14ac:dyDescent="0.25">
      <c r="A67" s="463"/>
      <c r="B67" s="48"/>
      <c r="C67" s="49" t="str">
        <f>IF(D67&lt;&gt;"","▪","")</f>
        <v>▪</v>
      </c>
      <c r="D67" s="579" t="s">
        <v>444</v>
      </c>
    </row>
    <row r="68" spans="1:4" ht="15" x14ac:dyDescent="0.25">
      <c r="A68" s="463"/>
      <c r="B68" s="48"/>
      <c r="C68" s="49"/>
      <c r="D68" s="582" t="s">
        <v>445</v>
      </c>
    </row>
    <row r="69" spans="1:4" ht="15" x14ac:dyDescent="0.25">
      <c r="A69" s="463"/>
      <c r="B69" s="48"/>
      <c r="C69" s="49" t="str">
        <f>IF(D69&lt;&gt;"","▪","")</f>
        <v>▪</v>
      </c>
      <c r="D69" s="579" t="s">
        <v>474</v>
      </c>
    </row>
    <row r="70" spans="1:4" ht="15" x14ac:dyDescent="0.25">
      <c r="A70" s="463"/>
      <c r="B70" s="48"/>
      <c r="C70" s="49" t="str">
        <f>IF(D70&lt;&gt;"","▪","")</f>
        <v>▪</v>
      </c>
      <c r="D70" s="579" t="s">
        <v>475</v>
      </c>
    </row>
    <row r="71" spans="1:4" ht="15" x14ac:dyDescent="0.25">
      <c r="A71" s="463"/>
      <c r="B71" s="48" t="s">
        <v>211</v>
      </c>
      <c r="C71" s="48"/>
      <c r="D71" s="579"/>
    </row>
    <row r="72" spans="1:4" ht="15" x14ac:dyDescent="0.25">
      <c r="A72" s="463"/>
      <c r="B72" s="48"/>
      <c r="C72" s="49" t="str">
        <f>IF(D72&lt;&gt;"","▪","")</f>
        <v>▪</v>
      </c>
      <c r="D72" s="579" t="s">
        <v>449</v>
      </c>
    </row>
    <row r="73" spans="1:4" ht="15" x14ac:dyDescent="0.25">
      <c r="A73" s="463"/>
      <c r="B73" s="48" t="s">
        <v>446</v>
      </c>
      <c r="C73" s="48"/>
      <c r="D73" s="579"/>
    </row>
    <row r="74" spans="1:4" ht="15" x14ac:dyDescent="0.25">
      <c r="A74" s="463"/>
      <c r="B74" s="48"/>
      <c r="C74" s="49" t="str">
        <f>IF(D74&lt;&gt;"","▪","")</f>
        <v>▪</v>
      </c>
      <c r="D74" s="579" t="s">
        <v>462</v>
      </c>
    </row>
    <row r="75" spans="1:4" ht="15" x14ac:dyDescent="0.25">
      <c r="A75" s="463"/>
      <c r="B75" s="48"/>
      <c r="C75" s="49" t="str">
        <f>IF(D75&lt;&gt;"","▪","")</f>
        <v>▪</v>
      </c>
      <c r="D75" s="579" t="s">
        <v>463</v>
      </c>
    </row>
    <row r="76" spans="1:4" ht="15" x14ac:dyDescent="0.25">
      <c r="A76" s="463"/>
      <c r="B76" s="48"/>
      <c r="C76" s="49" t="str">
        <f>IF(D76&lt;&gt;"","▪","")</f>
        <v>▪</v>
      </c>
      <c r="D76" s="579" t="s">
        <v>460</v>
      </c>
    </row>
    <row r="77" spans="1:4" ht="15" x14ac:dyDescent="0.25">
      <c r="A77" s="463"/>
      <c r="B77" s="48"/>
      <c r="C77" s="49" t="str">
        <f>IF(D77&lt;&gt;"","▪","")</f>
        <v>▪</v>
      </c>
      <c r="D77" s="579" t="s">
        <v>459</v>
      </c>
    </row>
    <row r="78" spans="1:4" ht="15" x14ac:dyDescent="0.25">
      <c r="A78" s="463"/>
      <c r="B78" s="48" t="s">
        <v>447</v>
      </c>
      <c r="C78" s="48"/>
      <c r="D78" s="579"/>
    </row>
    <row r="79" spans="1:4" ht="15" x14ac:dyDescent="0.25">
      <c r="A79" s="463"/>
      <c r="B79" s="48"/>
      <c r="C79" s="49" t="str">
        <f>IF(D79&lt;&gt;"","▪","")</f>
        <v>▪</v>
      </c>
      <c r="D79" s="579" t="s">
        <v>462</v>
      </c>
    </row>
    <row r="80" spans="1:4" ht="15" x14ac:dyDescent="0.25">
      <c r="A80" s="463"/>
      <c r="B80" s="48"/>
      <c r="C80" s="49" t="str">
        <f>IF(D80&lt;&gt;"","▪","")</f>
        <v>▪</v>
      </c>
      <c r="D80" s="579" t="s">
        <v>461</v>
      </c>
    </row>
    <row r="81" spans="1:4" ht="15" x14ac:dyDescent="0.25">
      <c r="A81" s="463"/>
      <c r="B81" s="48"/>
      <c r="C81" s="49" t="str">
        <f>IF(D81&lt;&gt;"","▪","")</f>
        <v>▪</v>
      </c>
      <c r="D81" s="579" t="s">
        <v>460</v>
      </c>
    </row>
    <row r="82" spans="1:4" ht="15" x14ac:dyDescent="0.25">
      <c r="A82" s="463"/>
      <c r="B82" s="48"/>
      <c r="C82" s="49" t="str">
        <f>IF(D82&lt;&gt;"","▪","")</f>
        <v>▪</v>
      </c>
      <c r="D82" s="579" t="s">
        <v>459</v>
      </c>
    </row>
    <row r="83" spans="1:4" ht="15" x14ac:dyDescent="0.25">
      <c r="A83" s="463"/>
      <c r="B83" s="48" t="s">
        <v>416</v>
      </c>
      <c r="C83" s="48"/>
      <c r="D83" s="579"/>
    </row>
    <row r="84" spans="1:4" ht="20.100000000000001" customHeight="1" x14ac:dyDescent="0.25">
      <c r="A84" s="463"/>
      <c r="B84" s="48"/>
      <c r="C84" s="49" t="str">
        <f>IF(D84&lt;&gt;"","▪","")</f>
        <v>▪</v>
      </c>
      <c r="D84" s="579" t="s">
        <v>472</v>
      </c>
    </row>
    <row r="85" spans="1:4" ht="15" x14ac:dyDescent="0.25">
      <c r="A85" s="463"/>
      <c r="B85" s="48" t="s">
        <v>448</v>
      </c>
      <c r="C85" s="48"/>
      <c r="D85" s="579"/>
    </row>
    <row r="86" spans="1:4" ht="20.100000000000001" customHeight="1" x14ac:dyDescent="0.25">
      <c r="A86" s="463"/>
      <c r="B86" s="48"/>
      <c r="C86" s="49" t="str">
        <f>IF(D86&lt;&gt;"","▪","")</f>
        <v>▪</v>
      </c>
      <c r="D86" s="579" t="s">
        <v>458</v>
      </c>
    </row>
    <row r="87" spans="1:4" ht="15" x14ac:dyDescent="0.25">
      <c r="A87" s="467"/>
      <c r="B87" s="553"/>
      <c r="C87" s="553"/>
      <c r="D87" s="583"/>
    </row>
  </sheetData>
  <sheetProtection algorithmName="SHA-512" hashValue="n6mwt3SB5WXEAyh5g7KDCQwb9+JDsmcbgH/lEyv34MtrnVIjIuiIwtjeL/wyTHFnYLJJVulfLa+fhC6jaqq8Ww==" saltValue="Bt2YcOGjqLBqo7LspoEa0w=="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&amp;LPMv3.07&amp;R&amp;P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election activeCell="E24" sqref="E24"/>
    </sheetView>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51"/>
      <c r="B1" s="451"/>
      <c r="C1" s="451"/>
      <c r="D1" s="451"/>
      <c r="E1" s="451"/>
      <c r="F1" s="451"/>
      <c r="G1" s="451"/>
      <c r="H1" s="451"/>
      <c r="I1" s="451"/>
      <c r="J1" s="569" t="s">
        <v>0</v>
      </c>
      <c r="K1" s="594" t="b">
        <v>1</v>
      </c>
    </row>
    <row r="2" spans="1:15" ht="22.5" customHeight="1" x14ac:dyDescent="0.2">
      <c r="A2" s="451"/>
      <c r="B2" s="453"/>
      <c r="C2" s="453"/>
      <c r="D2" s="453"/>
      <c r="E2" s="599" t="str">
        <f>CHOOSE(MATCH(Objeto,{"PM","PO"}),"PLANILHA MÚLTIPLA ","PLANILHA ORÇAMENTÁRIA ")&amp; Versao</f>
        <v>PLANILHA MÚLTIPLA v3.07</v>
      </c>
      <c r="F2" s="599"/>
      <c r="G2" s="599"/>
      <c r="H2" s="455"/>
      <c r="I2" s="453"/>
      <c r="J2" s="569" t="s">
        <v>468</v>
      </c>
      <c r="K2" s="594" t="b">
        <v>1</v>
      </c>
    </row>
    <row r="3" spans="1:15" ht="22.5" customHeight="1" x14ac:dyDescent="0.2">
      <c r="A3" s="451"/>
      <c r="B3" s="453"/>
      <c r="C3" s="453"/>
      <c r="D3" s="453"/>
      <c r="E3" s="599"/>
      <c r="F3" s="599"/>
      <c r="G3" s="599"/>
      <c r="H3" s="455"/>
      <c r="I3" s="453"/>
      <c r="O3" s="456">
        <v>1</v>
      </c>
    </row>
    <row r="4" spans="1:15" ht="17.100000000000001" customHeight="1" x14ac:dyDescent="0.2">
      <c r="A4" s="451"/>
      <c r="B4" s="453"/>
      <c r="C4" s="453"/>
      <c r="D4" s="453"/>
      <c r="E4" s="453"/>
      <c r="F4" s="454"/>
      <c r="G4" s="455"/>
      <c r="H4" s="455"/>
      <c r="I4" s="453"/>
      <c r="O4" s="456">
        <v>1</v>
      </c>
    </row>
    <row r="5" spans="1:15" ht="17.100000000000001" customHeight="1" thickBot="1" x14ac:dyDescent="0.25">
      <c r="A5" s="451"/>
      <c r="B5" s="453"/>
      <c r="C5" s="453"/>
      <c r="D5" s="453"/>
      <c r="E5" s="453"/>
      <c r="F5" s="454"/>
      <c r="G5" s="455"/>
      <c r="H5" s="455"/>
      <c r="I5" s="453"/>
      <c r="J5" s="468" t="s">
        <v>399</v>
      </c>
    </row>
    <row r="6" spans="1:15" ht="21" customHeight="1" thickBot="1" x14ac:dyDescent="0.25">
      <c r="A6" s="451"/>
      <c r="B6" s="451"/>
      <c r="C6" s="451"/>
      <c r="D6" s="451"/>
      <c r="E6" s="593" t="s">
        <v>393</v>
      </c>
      <c r="F6" s="452"/>
      <c r="G6" s="593" t="s">
        <v>394</v>
      </c>
      <c r="H6" s="451"/>
      <c r="I6" s="451"/>
      <c r="J6" s="468" t="s">
        <v>1</v>
      </c>
    </row>
    <row r="7" spans="1:15" x14ac:dyDescent="0.2">
      <c r="A7" s="451"/>
      <c r="B7" s="451"/>
      <c r="C7" s="451"/>
      <c r="D7" s="451"/>
      <c r="E7" s="451"/>
      <c r="F7" s="451"/>
      <c r="G7" s="451"/>
      <c r="H7" s="451"/>
      <c r="I7" s="451"/>
      <c r="J7" s="468" t="s">
        <v>362</v>
      </c>
      <c r="K7" s="458"/>
      <c r="L7" s="459"/>
      <c r="M7" s="459"/>
      <c r="N7" s="460"/>
    </row>
    <row r="8" spans="1:15" ht="21" customHeight="1" x14ac:dyDescent="0.2">
      <c r="A8" s="453"/>
      <c r="B8" s="598" t="str">
        <f>IF($O$3&lt;&gt;2,"DOCUMENTAÇÃO DA PROPOSTA","PROPOSTA: Para visualizar/preencher esta seção, altere o TIPO DE ORÇAMENTO para 'Proposto'")</f>
        <v>DOCUMENTAÇÃO DA PROPOSTA</v>
      </c>
      <c r="C8" s="598"/>
      <c r="D8" s="598"/>
      <c r="E8" s="598"/>
      <c r="F8" s="598"/>
      <c r="G8" s="598"/>
      <c r="H8" s="598"/>
      <c r="I8" s="451"/>
      <c r="J8" s="468" t="s">
        <v>4</v>
      </c>
      <c r="K8" s="461"/>
      <c r="L8" s="462" t="s">
        <v>395</v>
      </c>
      <c r="M8" s="462"/>
      <c r="N8" s="463"/>
    </row>
    <row r="9" spans="1:15" ht="13.5" thickBot="1" x14ac:dyDescent="0.25">
      <c r="A9" s="451"/>
      <c r="B9" s="451"/>
      <c r="C9" s="451"/>
      <c r="D9" s="451"/>
      <c r="E9" s="451"/>
      <c r="F9" s="451"/>
      <c r="G9" s="451"/>
      <c r="H9" s="451"/>
      <c r="I9" s="451"/>
      <c r="K9" s="461"/>
      <c r="L9" t="s">
        <v>397</v>
      </c>
      <c r="N9" s="463"/>
    </row>
    <row r="10" spans="1:15" ht="21" customHeight="1" thickBot="1" x14ac:dyDescent="0.25">
      <c r="A10" s="451"/>
      <c r="B10" s="451"/>
      <c r="C10" s="555" t="str">
        <f>IF(TIPOORCAMENTO&lt;&gt;"Proposto","","                    BDI                    ")</f>
        <v xml:space="preserve">                    BDI                    </v>
      </c>
      <c r="D10" s="452"/>
      <c r="E10" s="555" t="str">
        <f>IF(TIPOORCAMENTO&lt;&gt;"Proposto","","             ORÇAMENTO             ")</f>
        <v xml:space="preserve">             ORÇAMENTO             </v>
      </c>
      <c r="F10" s="452"/>
      <c r="G10" s="557" t="str">
        <f>IF(TIPOORCAMENTO&lt;&gt;"Proposto","","MEMÓRIA DE CÁLCULO / PLQ")</f>
        <v>MEMÓRIA DE CÁLCULO / PLQ</v>
      </c>
      <c r="H10" s="451"/>
      <c r="I10" s="451"/>
      <c r="K10" s="461"/>
      <c r="L10" s="5"/>
      <c r="M10" s="3"/>
      <c r="N10" s="464" t="s">
        <v>2</v>
      </c>
    </row>
    <row r="11" spans="1:15" ht="13.5" thickBot="1" x14ac:dyDescent="0.25">
      <c r="A11" s="451"/>
      <c r="B11" s="451"/>
      <c r="C11" s="452"/>
      <c r="D11" s="452"/>
      <c r="E11" s="452"/>
      <c r="F11" s="452"/>
      <c r="G11" s="452"/>
      <c r="H11" s="451"/>
      <c r="I11" s="451"/>
      <c r="K11" s="461"/>
      <c r="N11" s="463"/>
    </row>
    <row r="12" spans="1:15" ht="21" customHeight="1" thickBot="1" x14ac:dyDescent="0.25">
      <c r="A12" s="451"/>
      <c r="B12" s="451"/>
      <c r="C12" s="555" t="str">
        <f>IF(TIPOORCAMENTO&lt;&gt;"Proposto","","                    QCI                    ")</f>
        <v xml:space="preserve">                    QCI                    </v>
      </c>
      <c r="D12" s="452"/>
      <c r="E12" s="556" t="str">
        <f>IF(TIPOORCAMENTO&lt;&gt;"Proposto","","CRONOGRAMA FÍSICO-FINANCEIRO")</f>
        <v>CRONOGRAMA FÍSICO-FINANCEIRO</v>
      </c>
      <c r="F12" s="452"/>
      <c r="G12" s="452"/>
      <c r="H12" s="451"/>
      <c r="I12" s="451"/>
      <c r="K12" s="461"/>
      <c r="L12" s="6"/>
      <c r="M12" s="3"/>
      <c r="N12" s="464" t="s">
        <v>3</v>
      </c>
    </row>
    <row r="13" spans="1:15" x14ac:dyDescent="0.2">
      <c r="A13" s="451"/>
      <c r="B13" s="451"/>
      <c r="C13" s="451"/>
      <c r="D13" s="451"/>
      <c r="E13" s="451"/>
      <c r="F13" s="451"/>
      <c r="G13" s="451"/>
      <c r="H13" s="451"/>
      <c r="I13" s="451"/>
      <c r="K13" s="461"/>
      <c r="N13" s="463"/>
    </row>
    <row r="14" spans="1:15" x14ac:dyDescent="0.2">
      <c r="A14" s="451"/>
      <c r="B14" s="451"/>
      <c r="C14" s="451"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03-Sunday.xlsm.</v>
      </c>
      <c r="D14" s="451"/>
      <c r="E14" s="451"/>
      <c r="F14" s="451"/>
      <c r="G14" s="451"/>
      <c r="H14" s="451"/>
      <c r="I14" s="451"/>
      <c r="K14" s="461"/>
      <c r="N14" s="463"/>
    </row>
    <row r="15" spans="1:15" x14ac:dyDescent="0.2">
      <c r="A15" s="451"/>
      <c r="B15" s="451"/>
      <c r="C15" s="451"/>
      <c r="D15" s="451"/>
      <c r="E15" s="451"/>
      <c r="F15" s="451"/>
      <c r="G15" s="451"/>
      <c r="H15" s="451"/>
      <c r="I15" s="451"/>
      <c r="K15" s="461"/>
      <c r="L15" t="s">
        <v>398</v>
      </c>
      <c r="N15" s="463"/>
    </row>
    <row r="16" spans="1:15" ht="21" customHeight="1" x14ac:dyDescent="0.2">
      <c r="A16" s="451"/>
      <c r="B16" s="598" t="str">
        <f>IF($O$3&lt;&gt;2,"PÓS-LICITADO: Para visualizar/preencher esta seção, altere o TIPO DE ORÇAMENTO para 'Licitado'","RESULTADO DO PROCESSO LICITATÓRIO")</f>
        <v>PÓS-LICITADO: Para visualizar/preencher esta seção, altere o TIPO DE ORÇAMENTO para 'Licitado'</v>
      </c>
      <c r="C16" s="598"/>
      <c r="D16" s="598"/>
      <c r="E16" s="598"/>
      <c r="F16" s="598"/>
      <c r="G16" s="598"/>
      <c r="H16" s="598"/>
      <c r="I16" s="451"/>
      <c r="K16" s="461"/>
      <c r="L16" s="558"/>
      <c r="M16" s="3"/>
      <c r="N16" s="464" t="s">
        <v>451</v>
      </c>
    </row>
    <row r="17" spans="1:14" ht="13.5" thickBot="1" x14ac:dyDescent="0.25">
      <c r="A17" s="451"/>
      <c r="B17" s="451"/>
      <c r="C17" s="451"/>
      <c r="D17" s="451"/>
      <c r="E17" s="451"/>
      <c r="F17" s="451"/>
      <c r="G17" s="451"/>
      <c r="H17" s="451"/>
      <c r="I17" s="451"/>
      <c r="K17" s="461"/>
      <c r="N17" s="463"/>
    </row>
    <row r="18" spans="1:14" ht="21" customHeight="1" thickBot="1" x14ac:dyDescent="0.25">
      <c r="A18" s="451"/>
      <c r="B18" s="451"/>
      <c r="C18" s="555" t="str">
        <f>IF(TIPOORCAMENTO&lt;&gt;"Licitado","","             ORÇAMENTO             ")</f>
        <v/>
      </c>
      <c r="D18" s="452"/>
      <c r="E18" s="555" t="str">
        <f>IF(TIPOORCAMENTO&lt;&gt;"Licitado","","                    QCI                    ")</f>
        <v/>
      </c>
      <c r="F18" s="452"/>
      <c r="G18" s="556" t="str">
        <f>IF(TIPOORCAMENTO&lt;&gt;"Licitado","","CRONOGRAMA FÍSICO-FINANCEIRO")</f>
        <v/>
      </c>
      <c r="H18" s="451"/>
      <c r="I18" s="451"/>
      <c r="K18" s="461"/>
      <c r="L18" s="457"/>
      <c r="M18" s="3"/>
      <c r="N18" s="464" t="s">
        <v>396</v>
      </c>
    </row>
    <row r="19" spans="1:14" x14ac:dyDescent="0.2">
      <c r="A19" s="451"/>
      <c r="B19" s="451"/>
      <c r="C19" s="451"/>
      <c r="D19" s="451"/>
      <c r="E19" s="451"/>
      <c r="F19" s="451"/>
      <c r="G19" s="451"/>
      <c r="H19" s="451"/>
      <c r="I19" s="451"/>
      <c r="K19" s="465"/>
      <c r="L19" s="466"/>
      <c r="M19" s="466"/>
      <c r="N19" s="467"/>
    </row>
    <row r="20" spans="1:14" ht="21" customHeight="1" x14ac:dyDescent="0.2">
      <c r="A20" s="453"/>
      <c r="B20" s="598" t="str">
        <f>IF($O$3&lt;&gt;2,"ACOMPANHAMENTO: Para visualizar/preencher esta seção, altere o TIPO DE ORÇAMENTO para 'Licitado'","ACOMPANHAMENTO DO EMPREENDIMENTO")</f>
        <v>ACOMPANHAMENTO: Para visualizar/preencher esta seção, altere o TIPO DE ORÇAMENTO para 'Licitado'</v>
      </c>
      <c r="C20" s="598"/>
      <c r="D20" s="598"/>
      <c r="E20" s="598"/>
      <c r="F20" s="598"/>
      <c r="G20" s="598"/>
      <c r="H20" s="598"/>
      <c r="I20" s="451"/>
    </row>
    <row r="21" spans="1:14" ht="13.5" thickBot="1" x14ac:dyDescent="0.25">
      <c r="A21" s="451"/>
      <c r="B21" s="451"/>
      <c r="C21" s="451"/>
      <c r="D21" s="451"/>
      <c r="E21" s="451"/>
      <c r="F21" s="451"/>
      <c r="G21" s="451"/>
      <c r="H21" s="451"/>
      <c r="I21" s="451"/>
    </row>
    <row r="22" spans="1:14" ht="21" customHeight="1" thickBot="1" x14ac:dyDescent="0.25">
      <c r="A22" s="451"/>
      <c r="B22" s="451"/>
      <c r="C22" s="559" t="str">
        <f>IF(OR(TIPOORCAMENTO&lt;&gt;"Licitado",ACOMPANHAMENTO&lt;&gt;"PLE"),"","PLAN. DE LEVANT. DE EVENTOS - PLE")</f>
        <v/>
      </c>
      <c r="D22" s="452"/>
      <c r="E22" s="555" t="str">
        <f>IF(TIPOORCAMENTO&lt;&gt;"Licitado","","                    RRE                    ")</f>
        <v/>
      </c>
      <c r="F22" s="452"/>
      <c r="G22" s="557" t="str">
        <f>IF(OR(TIPOORCAMENTO&lt;&gt;"Licitado",ACOMPANHAMENTO&lt;&gt;"BM"),"","  BOLETIM DE MEDIÇÃO - BM  ")</f>
        <v/>
      </c>
      <c r="H22" s="451"/>
      <c r="I22" s="451"/>
    </row>
    <row r="23" spans="1:14" ht="13.5" thickBot="1" x14ac:dyDescent="0.25">
      <c r="A23" s="451"/>
      <c r="B23" s="451"/>
      <c r="C23" s="452"/>
      <c r="D23" s="452"/>
      <c r="E23" s="452"/>
      <c r="F23" s="452"/>
      <c r="G23" s="452"/>
      <c r="H23" s="451"/>
      <c r="I23" s="451"/>
    </row>
    <row r="24" spans="1:14" ht="21" customHeight="1" thickBot="1" x14ac:dyDescent="0.25">
      <c r="A24" s="451"/>
      <c r="B24" s="451"/>
      <c r="C24" s="452"/>
      <c r="D24" s="452"/>
      <c r="E24" s="559" t="str">
        <f>IF(TIPOORCAMENTO&lt;&gt;"Licitado","","OF. DE SOLICITAÇÃO DE DESBLOQUEIO")</f>
        <v/>
      </c>
      <c r="F24" s="452"/>
      <c r="G24" s="452"/>
      <c r="H24" s="451"/>
      <c r="I24" s="451"/>
    </row>
    <row r="25" spans="1:14" x14ac:dyDescent="0.2">
      <c r="A25" s="451"/>
      <c r="B25" s="451"/>
      <c r="C25" s="451"/>
      <c r="D25" s="451"/>
      <c r="E25" s="451"/>
      <c r="F25" s="451"/>
      <c r="G25" s="451"/>
      <c r="H25" s="451"/>
      <c r="I25" s="451"/>
    </row>
  </sheetData>
  <sheetProtection algorithmName="SHA-512" hashValue="93PGkioNJ5Vd63qW0GBr1ime2r0hXrmBKBvBKG7IJj57Hp2/fWPMxM3b0X+eXrrLJrTflRJ3cB/OUI6xK8eQtg==" saltValue="Wb1u0JOtCHMCbxAjl6FSnQ==" spinCount="100000" sheet="1" objects="1" scenarios="1" autoFilter="0"/>
  <mergeCells count="4">
    <mergeCell ref="B20:H20"/>
    <mergeCell ref="B8:H8"/>
    <mergeCell ref="E2:G3"/>
    <mergeCell ref="B16:H16"/>
  </mergeCells>
  <phoneticPr fontId="38" type="noConversion"/>
  <conditionalFormatting sqref="C10:G14">
    <cfRule type="expression" dxfId="136" priority="70" stopIfTrue="1">
      <formula>TIPOORCAMENTO="Licitado"</formula>
    </cfRule>
  </conditionalFormatting>
  <conditionalFormatting sqref="C18:G18 E22:E24">
    <cfRule type="expression" dxfId="135" priority="71" stopIfTrue="1">
      <formula>TIPOORCAMENTO&lt;&gt;"Licitado"</formula>
    </cfRule>
  </conditionalFormatting>
  <conditionalFormatting sqref="C22">
    <cfRule type="expression" dxfId="134" priority="73" stopIfTrue="1">
      <formula>OR(TIPOORCAMENTO&lt;&gt;"Licitado",ACOMPANHAMENTO&lt;&gt;"PLE")</formula>
    </cfRule>
  </conditionalFormatting>
  <conditionalFormatting sqref="G22">
    <cfRule type="expression" dxfId="133" priority="74" stopIfTrue="1">
      <formula>OR(TIPOORCAMENTO&lt;&gt;"Licitado",ACOMPANHAMENTO&lt;&gt;"BM")</formula>
    </cfRule>
  </conditionalFormatting>
  <conditionalFormatting sqref="B16:H16 B20:H20">
    <cfRule type="expression" dxfId="132" priority="599" stopIfTrue="1">
      <formula>$O$3&lt;&gt;2</formula>
    </cfRule>
  </conditionalFormatting>
  <conditionalFormatting sqref="B8:H8">
    <cfRule type="expression" dxfId="131"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&amp;LPMv3.07&amp;R&amp;P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E1:AS61"/>
  <sheetViews>
    <sheetView showGridLines="0" zoomScaleNormal="100" workbookViewId="0">
      <pane ySplit="2" topLeftCell="A3" activePane="bottomLeft" state="frozen"/>
      <selection pane="bottomLeft" activeCell="F5" sqref="F5"/>
    </sheetView>
  </sheetViews>
  <sheetFormatPr defaultRowHeight="12.75" x14ac:dyDescent="0.2"/>
  <cols>
    <col min="5" max="5" width="42.7109375" style="3" customWidth="1"/>
    <col min="6" max="6" width="53.28515625" style="3" customWidth="1"/>
    <col min="10" max="10" width="14.28515625" hidden="1" customWidth="1"/>
    <col min="11" max="13" width="9.140625" hidden="1" customWidth="1"/>
    <col min="14" max="14" width="9.140625" style="7" hidden="1" customWidth="1"/>
    <col min="15" max="45" width="9.140625" hidden="1" customWidth="1"/>
  </cols>
  <sheetData>
    <row r="1" spans="5:44" ht="15.75" customHeight="1" x14ac:dyDescent="0.2">
      <c r="E1" s="8" t="s">
        <v>5</v>
      </c>
      <c r="K1" s="9"/>
      <c r="L1" s="601" t="s">
        <v>6</v>
      </c>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c r="AQ1" s="601"/>
      <c r="AR1" s="601"/>
    </row>
    <row r="2" spans="5:44" ht="12.75" customHeight="1" thickBot="1" x14ac:dyDescent="0.25">
      <c r="E2" s="8"/>
      <c r="J2" s="10" t="s">
        <v>7</v>
      </c>
      <c r="K2" s="11" t="s">
        <v>8</v>
      </c>
      <c r="L2" s="12">
        <f>COUNTA(K:K)-1</f>
        <v>3</v>
      </c>
      <c r="M2" s="11" t="s">
        <v>9</v>
      </c>
      <c r="N2" s="12">
        <f>COUNTA(M:M)-1</f>
        <v>6</v>
      </c>
      <c r="O2" s="11" t="s">
        <v>10</v>
      </c>
      <c r="P2" s="12">
        <f>COUNTA(O:O)-1</f>
        <v>6</v>
      </c>
      <c r="Q2" s="11" t="s">
        <v>11</v>
      </c>
      <c r="R2" s="12">
        <f>COUNTA(Q:Q)-1</f>
        <v>6</v>
      </c>
      <c r="S2" s="11" t="s">
        <v>12</v>
      </c>
      <c r="T2" s="12">
        <f>COUNTA(S:S)-1</f>
        <v>11</v>
      </c>
      <c r="U2" s="11" t="s">
        <v>13</v>
      </c>
      <c r="V2" s="12">
        <f>COUNTA(U:U)-1</f>
        <v>8</v>
      </c>
      <c r="W2" s="11" t="s">
        <v>14</v>
      </c>
      <c r="X2" s="12">
        <f>COUNTA(W:W)-1</f>
        <v>4</v>
      </c>
      <c r="Y2" s="11" t="s">
        <v>15</v>
      </c>
      <c r="Z2" s="12">
        <f>COUNTA(Y:Y)-1</f>
        <v>6</v>
      </c>
      <c r="AA2" s="11" t="s">
        <v>16</v>
      </c>
      <c r="AB2" s="12">
        <f>COUNTA(AA:AA)-1</f>
        <v>2</v>
      </c>
      <c r="AC2" s="11" t="s">
        <v>17</v>
      </c>
      <c r="AD2" s="12">
        <f>COUNTA(AC:AC)-1</f>
        <v>2</v>
      </c>
      <c r="AE2" s="11" t="s">
        <v>18</v>
      </c>
      <c r="AF2" s="12">
        <f>COUNTA(AE:AE)-1</f>
        <v>2</v>
      </c>
      <c r="AG2" s="11" t="s">
        <v>19</v>
      </c>
      <c r="AH2" s="12">
        <f>COUNTA(AG:AG)-1</f>
        <v>1</v>
      </c>
      <c r="AI2" s="11" t="s">
        <v>20</v>
      </c>
      <c r="AJ2" s="12">
        <f>COUNTA(AI:AI)-1</f>
        <v>1</v>
      </c>
      <c r="AK2" s="11" t="s">
        <v>21</v>
      </c>
      <c r="AL2" s="12">
        <f>COUNTA(AK:AK)-1</f>
        <v>1</v>
      </c>
      <c r="AM2" s="11" t="s">
        <v>22</v>
      </c>
      <c r="AN2" s="12">
        <f>COUNTA(AM:AM)-1</f>
        <v>3</v>
      </c>
      <c r="AO2" s="11" t="s">
        <v>23</v>
      </c>
      <c r="AP2" s="12">
        <f>COUNTA(AO:AO)-1</f>
        <v>1</v>
      </c>
      <c r="AQ2" s="11" t="s">
        <v>24</v>
      </c>
      <c r="AR2" s="12">
        <f>COUNTA(AQ:AQ)-1</f>
        <v>4</v>
      </c>
    </row>
    <row r="3" spans="5:44" ht="15.75" thickBot="1" x14ac:dyDescent="0.25">
      <c r="E3" s="600" t="s">
        <v>25</v>
      </c>
      <c r="F3" s="600"/>
      <c r="J3" s="13" t="s">
        <v>8</v>
      </c>
      <c r="K3" t="s">
        <v>26</v>
      </c>
      <c r="L3" s="7" t="s">
        <v>27</v>
      </c>
      <c r="M3" s="13" t="s">
        <v>28</v>
      </c>
      <c r="N3" s="7" t="s">
        <v>29</v>
      </c>
      <c r="O3" t="s">
        <v>30</v>
      </c>
      <c r="P3" s="7" t="s">
        <v>29</v>
      </c>
      <c r="Q3" t="s">
        <v>31</v>
      </c>
      <c r="R3" s="7" t="s">
        <v>32</v>
      </c>
      <c r="S3" t="s">
        <v>33</v>
      </c>
      <c r="T3" s="7" t="s">
        <v>34</v>
      </c>
      <c r="U3" t="s">
        <v>35</v>
      </c>
      <c r="V3" s="7" t="s">
        <v>27</v>
      </c>
      <c r="W3" t="s">
        <v>36</v>
      </c>
      <c r="X3" s="7" t="s">
        <v>27</v>
      </c>
      <c r="Y3" t="s">
        <v>37</v>
      </c>
      <c r="Z3" s="7" t="s">
        <v>27</v>
      </c>
      <c r="AA3" t="s">
        <v>38</v>
      </c>
      <c r="AB3" s="7" t="s">
        <v>29</v>
      </c>
      <c r="AC3" t="s">
        <v>39</v>
      </c>
      <c r="AD3" s="7" t="s">
        <v>29</v>
      </c>
      <c r="AE3" t="s">
        <v>18</v>
      </c>
      <c r="AF3" s="7" t="s">
        <v>29</v>
      </c>
      <c r="AG3" t="s">
        <v>19</v>
      </c>
      <c r="AH3" s="7" t="s">
        <v>27</v>
      </c>
      <c r="AI3" t="s">
        <v>20</v>
      </c>
      <c r="AJ3" s="7" t="s">
        <v>27</v>
      </c>
      <c r="AK3" t="s">
        <v>21</v>
      </c>
      <c r="AL3" s="7" t="s">
        <v>27</v>
      </c>
      <c r="AM3" t="s">
        <v>40</v>
      </c>
      <c r="AN3" s="7" t="s">
        <v>27</v>
      </c>
      <c r="AO3" t="s">
        <v>23</v>
      </c>
      <c r="AP3" s="7" t="s">
        <v>41</v>
      </c>
      <c r="AQ3" t="s">
        <v>42</v>
      </c>
      <c r="AR3" s="7" t="s">
        <v>43</v>
      </c>
    </row>
    <row r="4" spans="5:44" x14ac:dyDescent="0.2">
      <c r="E4" s="14" t="s">
        <v>44</v>
      </c>
      <c r="F4" s="15" t="s">
        <v>400</v>
      </c>
      <c r="J4" s="13" t="s">
        <v>9</v>
      </c>
      <c r="K4" t="s">
        <v>45</v>
      </c>
      <c r="L4" s="7" t="s">
        <v>27</v>
      </c>
      <c r="M4" t="s">
        <v>46</v>
      </c>
      <c r="N4" s="7" t="s">
        <v>29</v>
      </c>
      <c r="O4" t="s">
        <v>47</v>
      </c>
      <c r="P4" s="7" t="s">
        <v>29</v>
      </c>
      <c r="Q4" t="s">
        <v>48</v>
      </c>
      <c r="R4" s="7" t="s">
        <v>32</v>
      </c>
      <c r="S4" t="s">
        <v>49</v>
      </c>
      <c r="T4" s="7" t="s">
        <v>34</v>
      </c>
      <c r="U4" t="s">
        <v>50</v>
      </c>
      <c r="V4" s="7" t="s">
        <v>32</v>
      </c>
      <c r="W4" t="s">
        <v>51</v>
      </c>
      <c r="X4" s="7" t="s">
        <v>27</v>
      </c>
      <c r="Y4" t="s">
        <v>52</v>
      </c>
      <c r="Z4" s="7" t="s">
        <v>53</v>
      </c>
      <c r="AA4" t="s">
        <v>54</v>
      </c>
      <c r="AB4" s="7" t="s">
        <v>29</v>
      </c>
      <c r="AC4" t="s">
        <v>55</v>
      </c>
      <c r="AD4" s="7" t="s">
        <v>29</v>
      </c>
      <c r="AE4" t="s">
        <v>56</v>
      </c>
      <c r="AF4" s="7" t="s">
        <v>29</v>
      </c>
      <c r="AH4" s="7"/>
      <c r="AJ4" s="7"/>
      <c r="AL4" s="7"/>
      <c r="AM4" t="s">
        <v>57</v>
      </c>
      <c r="AN4" s="7" t="s">
        <v>27</v>
      </c>
      <c r="AQ4" t="s">
        <v>58</v>
      </c>
      <c r="AR4" s="7" t="s">
        <v>43</v>
      </c>
    </row>
    <row r="5" spans="5:44" x14ac:dyDescent="0.2">
      <c r="E5" s="16" t="s">
        <v>59</v>
      </c>
      <c r="F5" s="17" t="s">
        <v>476</v>
      </c>
      <c r="J5" s="13" t="s">
        <v>10</v>
      </c>
      <c r="K5" t="s">
        <v>60</v>
      </c>
      <c r="L5" s="7" t="s">
        <v>27</v>
      </c>
      <c r="M5" t="s">
        <v>61</v>
      </c>
      <c r="N5" s="7" t="s">
        <v>29</v>
      </c>
      <c r="O5" t="s">
        <v>62</v>
      </c>
      <c r="P5" s="7" t="s">
        <v>32</v>
      </c>
      <c r="Q5" t="s">
        <v>63</v>
      </c>
      <c r="R5" s="7" t="s">
        <v>32</v>
      </c>
      <c r="S5" t="s">
        <v>64</v>
      </c>
      <c r="T5" s="7" t="s">
        <v>34</v>
      </c>
      <c r="U5" t="s">
        <v>65</v>
      </c>
      <c r="V5" s="7" t="s">
        <v>32</v>
      </c>
      <c r="W5" t="s">
        <v>66</v>
      </c>
      <c r="X5" s="7" t="s">
        <v>32</v>
      </c>
      <c r="Y5" t="s">
        <v>67</v>
      </c>
      <c r="Z5" s="7" t="s">
        <v>53</v>
      </c>
      <c r="AB5" s="7"/>
      <c r="AD5" s="7"/>
      <c r="AF5" s="7"/>
      <c r="AH5" s="7"/>
      <c r="AJ5" s="7"/>
      <c r="AL5" s="7"/>
      <c r="AM5" t="s">
        <v>68</v>
      </c>
      <c r="AN5" s="7" t="s">
        <v>27</v>
      </c>
      <c r="AQ5" t="s">
        <v>69</v>
      </c>
      <c r="AR5" s="7" t="s">
        <v>43</v>
      </c>
    </row>
    <row r="6" spans="5:44" x14ac:dyDescent="0.2">
      <c r="E6" s="16" t="s">
        <v>70</v>
      </c>
      <c r="F6" s="17" t="s">
        <v>477</v>
      </c>
      <c r="J6" s="13" t="s">
        <v>11</v>
      </c>
      <c r="M6" t="s">
        <v>71</v>
      </c>
      <c r="N6" s="7" t="s">
        <v>29</v>
      </c>
      <c r="O6" t="s">
        <v>72</v>
      </c>
      <c r="P6" s="7" t="s">
        <v>29</v>
      </c>
      <c r="Q6" t="s">
        <v>73</v>
      </c>
      <c r="R6" s="7" t="s">
        <v>29</v>
      </c>
      <c r="S6" t="s">
        <v>74</v>
      </c>
      <c r="T6" s="7" t="s">
        <v>32</v>
      </c>
      <c r="U6" t="s">
        <v>75</v>
      </c>
      <c r="V6" s="7" t="s">
        <v>32</v>
      </c>
      <c r="W6" t="s">
        <v>76</v>
      </c>
      <c r="X6" s="7" t="s">
        <v>32</v>
      </c>
      <c r="Y6" t="s">
        <v>77</v>
      </c>
      <c r="Z6" s="7" t="s">
        <v>27</v>
      </c>
      <c r="AQ6" t="s">
        <v>78</v>
      </c>
      <c r="AR6" s="7" t="s">
        <v>43</v>
      </c>
    </row>
    <row r="7" spans="5:44" x14ac:dyDescent="0.2">
      <c r="E7" s="18" t="s">
        <v>79</v>
      </c>
      <c r="F7" s="19"/>
      <c r="J7" s="13" t="s">
        <v>12</v>
      </c>
      <c r="M7" t="s">
        <v>80</v>
      </c>
      <c r="N7" s="7" t="s">
        <v>29</v>
      </c>
      <c r="O7" t="s">
        <v>81</v>
      </c>
      <c r="P7" s="7" t="s">
        <v>29</v>
      </c>
      <c r="Q7" t="s">
        <v>82</v>
      </c>
      <c r="R7" s="7" t="s">
        <v>53</v>
      </c>
      <c r="S7" t="s">
        <v>83</v>
      </c>
      <c r="T7" s="7" t="s">
        <v>34</v>
      </c>
      <c r="U7" t="s">
        <v>84</v>
      </c>
      <c r="V7" s="7" t="s">
        <v>34</v>
      </c>
      <c r="Y7" t="s">
        <v>85</v>
      </c>
      <c r="Z7" s="7" t="s">
        <v>27</v>
      </c>
    </row>
    <row r="8" spans="5:44" x14ac:dyDescent="0.2">
      <c r="E8" s="18" t="s">
        <v>431</v>
      </c>
      <c r="F8" s="19"/>
      <c r="J8" s="13" t="s">
        <v>13</v>
      </c>
      <c r="M8" t="s">
        <v>86</v>
      </c>
      <c r="N8" s="7" t="s">
        <v>29</v>
      </c>
      <c r="O8" t="s">
        <v>87</v>
      </c>
      <c r="P8" s="7" t="s">
        <v>29</v>
      </c>
      <c r="Q8" t="s">
        <v>88</v>
      </c>
      <c r="R8" s="7" t="s">
        <v>34</v>
      </c>
      <c r="S8" t="s">
        <v>89</v>
      </c>
      <c r="T8" s="7" t="s">
        <v>34</v>
      </c>
      <c r="U8" t="s">
        <v>90</v>
      </c>
      <c r="V8" s="7" t="s">
        <v>34</v>
      </c>
      <c r="Y8" t="s">
        <v>91</v>
      </c>
      <c r="Z8" s="7" t="s">
        <v>29</v>
      </c>
    </row>
    <row r="9" spans="5:44" x14ac:dyDescent="0.2">
      <c r="E9" s="18" t="str">
        <f>IF(F4="FGTS","Valor de Financiamento Contratado (R$):","Valor do Repasse Contratado (R$):")</f>
        <v>Valor do Repasse Contratado (R$):</v>
      </c>
      <c r="F9" s="20">
        <v>0</v>
      </c>
      <c r="J9" s="13" t="s">
        <v>14</v>
      </c>
      <c r="S9" t="s">
        <v>92</v>
      </c>
      <c r="T9" s="7" t="s">
        <v>32</v>
      </c>
      <c r="U9" t="s">
        <v>93</v>
      </c>
      <c r="V9" s="7" t="s">
        <v>34</v>
      </c>
    </row>
    <row r="10" spans="5:44" x14ac:dyDescent="0.2">
      <c r="E10" s="18" t="s">
        <v>94</v>
      </c>
      <c r="F10" s="20">
        <v>0</v>
      </c>
      <c r="J10" s="13" t="s">
        <v>15</v>
      </c>
      <c r="S10" t="s">
        <v>95</v>
      </c>
      <c r="T10" s="7" t="s">
        <v>53</v>
      </c>
      <c r="U10" t="s">
        <v>96</v>
      </c>
      <c r="V10" s="7" t="s">
        <v>27</v>
      </c>
    </row>
    <row r="11" spans="5:44" x14ac:dyDescent="0.2">
      <c r="E11" s="18" t="s">
        <v>97</v>
      </c>
      <c r="F11" s="21">
        <v>0</v>
      </c>
      <c r="J11" s="13" t="s">
        <v>16</v>
      </c>
      <c r="S11" t="s">
        <v>98</v>
      </c>
      <c r="T11" s="7" t="s">
        <v>32</v>
      </c>
    </row>
    <row r="12" spans="5:44" x14ac:dyDescent="0.2">
      <c r="E12" s="18" t="s">
        <v>99</v>
      </c>
      <c r="F12" s="20"/>
      <c r="J12" s="13" t="s">
        <v>17</v>
      </c>
      <c r="S12" t="s">
        <v>35</v>
      </c>
      <c r="T12" s="7" t="s">
        <v>27</v>
      </c>
    </row>
    <row r="13" spans="5:44" ht="13.5" thickBot="1" x14ac:dyDescent="0.25">
      <c r="E13" s="22" t="s">
        <v>100</v>
      </c>
      <c r="F13" s="23">
        <v>0</v>
      </c>
      <c r="J13" s="13" t="s">
        <v>18</v>
      </c>
      <c r="S13" t="s">
        <v>101</v>
      </c>
      <c r="T13" s="7" t="s">
        <v>32</v>
      </c>
    </row>
    <row r="14" spans="5:44" ht="13.5" thickBot="1" x14ac:dyDescent="0.25">
      <c r="F14" s="24"/>
      <c r="J14" s="13" t="s">
        <v>19</v>
      </c>
    </row>
    <row r="15" spans="5:44" ht="15.75" thickBot="1" x14ac:dyDescent="0.25">
      <c r="E15" s="600" t="s">
        <v>102</v>
      </c>
      <c r="F15" s="600"/>
      <c r="J15" s="13" t="s">
        <v>20</v>
      </c>
    </row>
    <row r="16" spans="5:44" ht="25.5" x14ac:dyDescent="0.2">
      <c r="E16" s="25" t="s">
        <v>103</v>
      </c>
      <c r="F16" s="26" t="s">
        <v>478</v>
      </c>
      <c r="J16" s="13" t="s">
        <v>21</v>
      </c>
    </row>
    <row r="17" spans="5:10" ht="38.25" x14ac:dyDescent="0.2">
      <c r="E17" s="18" t="s">
        <v>104</v>
      </c>
      <c r="F17" s="27" t="s">
        <v>481</v>
      </c>
      <c r="J17" s="13" t="s">
        <v>22</v>
      </c>
    </row>
    <row r="18" spans="5:10" x14ac:dyDescent="0.2">
      <c r="E18" s="18" t="s">
        <v>105</v>
      </c>
      <c r="F18" s="28" t="s">
        <v>482</v>
      </c>
      <c r="J18" s="13" t="s">
        <v>23</v>
      </c>
    </row>
    <row r="19" spans="5:10" ht="13.5" thickBot="1" x14ac:dyDescent="0.25">
      <c r="E19" s="29" t="s">
        <v>106</v>
      </c>
      <c r="F19" s="30">
        <v>46082</v>
      </c>
      <c r="J19" s="13" t="s">
        <v>24</v>
      </c>
    </row>
    <row r="20" spans="5:10" ht="13.5" thickBot="1" x14ac:dyDescent="0.25">
      <c r="F20" s="31"/>
      <c r="J20" s="13"/>
    </row>
    <row r="21" spans="5:10" ht="15.75" thickBot="1" x14ac:dyDescent="0.25">
      <c r="E21" s="600" t="s">
        <v>107</v>
      </c>
      <c r="F21" s="600"/>
      <c r="J21" s="13"/>
    </row>
    <row r="22" spans="5:10" x14ac:dyDescent="0.2">
      <c r="E22" s="16" t="s">
        <v>108</v>
      </c>
      <c r="F22" s="32"/>
    </row>
    <row r="23" spans="5:10" x14ac:dyDescent="0.2">
      <c r="E23" s="18" t="s">
        <v>109</v>
      </c>
      <c r="F23" s="19"/>
    </row>
    <row r="24" spans="5:10" x14ac:dyDescent="0.2">
      <c r="E24" s="18" t="s">
        <v>110</v>
      </c>
      <c r="F24" s="19"/>
    </row>
    <row r="25" spans="5:10" ht="13.5" thickBot="1" x14ac:dyDescent="0.25">
      <c r="E25" s="22" t="s">
        <v>111</v>
      </c>
      <c r="F25" s="33"/>
    </row>
    <row r="26" spans="5:10" ht="13.5" thickBot="1" x14ac:dyDescent="0.25"/>
    <row r="27" spans="5:10" ht="15.75" thickBot="1" x14ac:dyDescent="0.25">
      <c r="E27" s="600" t="s">
        <v>112</v>
      </c>
      <c r="F27" s="600"/>
    </row>
    <row r="28" spans="5:10" x14ac:dyDescent="0.2">
      <c r="E28" s="14" t="s">
        <v>108</v>
      </c>
      <c r="F28" s="34" t="s">
        <v>483</v>
      </c>
    </row>
    <row r="29" spans="5:10" ht="13.5" thickBot="1" x14ac:dyDescent="0.25">
      <c r="E29" s="22" t="s">
        <v>113</v>
      </c>
      <c r="F29" s="35" t="s">
        <v>479</v>
      </c>
    </row>
    <row r="30" spans="5:10" ht="16.5" thickBot="1" x14ac:dyDescent="0.25">
      <c r="E30" s="8"/>
    </row>
    <row r="31" spans="5:10" ht="13.5" thickBot="1" x14ac:dyDescent="0.25">
      <c r="E31" s="550" t="s">
        <v>429</v>
      </c>
      <c r="F31" s="551" t="s">
        <v>473</v>
      </c>
    </row>
    <row r="32" spans="5:10" ht="12.75" customHeight="1" x14ac:dyDescent="0.2">
      <c r="E32" s="8"/>
    </row>
    <row r="33" spans="5:6" ht="12.75" customHeight="1" x14ac:dyDescent="0.2">
      <c r="E33" s="8" t="s">
        <v>114</v>
      </c>
    </row>
    <row r="34" spans="5:6" ht="16.5" thickBot="1" x14ac:dyDescent="0.25">
      <c r="E34" s="8"/>
    </row>
    <row r="35" spans="5:6" ht="12.75" customHeight="1" thickBot="1" x14ac:dyDescent="0.25">
      <c r="E35" s="600" t="s">
        <v>115</v>
      </c>
      <c r="F35" s="600"/>
    </row>
    <row r="36" spans="5:6" x14ac:dyDescent="0.2">
      <c r="E36" s="14" t="s">
        <v>116</v>
      </c>
      <c r="F36" s="36"/>
    </row>
    <row r="37" spans="5:6" x14ac:dyDescent="0.2">
      <c r="E37" s="16" t="s">
        <v>117</v>
      </c>
      <c r="F37" s="17"/>
    </row>
    <row r="38" spans="5:6" x14ac:dyDescent="0.2">
      <c r="E38" s="18" t="s">
        <v>118</v>
      </c>
      <c r="F38" s="19"/>
    </row>
    <row r="39" spans="5:6" x14ac:dyDescent="0.2">
      <c r="E39" s="18" t="s">
        <v>119</v>
      </c>
      <c r="F39" s="19"/>
    </row>
    <row r="40" spans="5:6" x14ac:dyDescent="0.2">
      <c r="E40" s="18" t="s">
        <v>120</v>
      </c>
      <c r="F40" s="28" t="s">
        <v>518</v>
      </c>
    </row>
    <row r="41" spans="5:6" ht="13.5" thickBot="1" x14ac:dyDescent="0.25">
      <c r="E41" s="29" t="s">
        <v>121</v>
      </c>
      <c r="F41" s="37">
        <v>46082</v>
      </c>
    </row>
    <row r="42" spans="5:6" ht="15.75" x14ac:dyDescent="0.2">
      <c r="E42" s="8"/>
    </row>
    <row r="43" spans="5:6" ht="12.75" customHeight="1" x14ac:dyDescent="0.2">
      <c r="E43" s="8"/>
    </row>
    <row r="44" spans="5:6" ht="12.75" customHeight="1" x14ac:dyDescent="0.2">
      <c r="E44" s="8" t="s">
        <v>122</v>
      </c>
    </row>
    <row r="45" spans="5:6" ht="16.5" thickBot="1" x14ac:dyDescent="0.25">
      <c r="E45" s="8"/>
    </row>
    <row r="46" spans="5:6" ht="12.75" customHeight="1" thickBot="1" x14ac:dyDescent="0.25">
      <c r="E46" s="600" t="s">
        <v>123</v>
      </c>
      <c r="F46" s="600"/>
    </row>
    <row r="47" spans="5:6" x14ac:dyDescent="0.2">
      <c r="E47" s="14" t="s">
        <v>124</v>
      </c>
      <c r="F47" s="36">
        <v>46298</v>
      </c>
    </row>
    <row r="48" spans="5:6" ht="13.5" thickBot="1" x14ac:dyDescent="0.25">
      <c r="E48" s="29" t="s">
        <v>125</v>
      </c>
      <c r="F48" s="38">
        <v>46449</v>
      </c>
    </row>
    <row r="49" spans="5:6" ht="16.5" thickBot="1" x14ac:dyDescent="0.25">
      <c r="E49" s="8"/>
    </row>
    <row r="50" spans="5:6" ht="12.75" customHeight="1" thickBot="1" x14ac:dyDescent="0.25">
      <c r="E50" s="600" t="s">
        <v>126</v>
      </c>
      <c r="F50" s="600"/>
    </row>
    <row r="51" spans="5:6" x14ac:dyDescent="0.2">
      <c r="E51" s="14" t="s">
        <v>108</v>
      </c>
      <c r="F51" s="39"/>
    </row>
    <row r="52" spans="5:6" x14ac:dyDescent="0.2">
      <c r="E52" s="18" t="s">
        <v>127</v>
      </c>
      <c r="F52" s="19"/>
    </row>
    <row r="53" spans="5:6" x14ac:dyDescent="0.2">
      <c r="E53" s="18" t="s">
        <v>128</v>
      </c>
      <c r="F53" s="19"/>
    </row>
    <row r="54" spans="5:6" ht="13.5" thickBot="1" x14ac:dyDescent="0.25">
      <c r="E54" s="22" t="s">
        <v>129</v>
      </c>
      <c r="F54" s="40"/>
    </row>
    <row r="55" spans="5:6" x14ac:dyDescent="0.2">
      <c r="F55" s="31"/>
    </row>
    <row r="57" spans="5:6" ht="15.75" x14ac:dyDescent="0.2">
      <c r="E57" s="8" t="s">
        <v>130</v>
      </c>
    </row>
    <row r="58" spans="5:6" ht="16.5" thickBot="1" x14ac:dyDescent="0.25">
      <c r="E58" s="8"/>
    </row>
    <row r="59" spans="5:6" ht="15.75" thickBot="1" x14ac:dyDescent="0.25">
      <c r="E59" s="600" t="s">
        <v>131</v>
      </c>
      <c r="F59" s="600"/>
    </row>
    <row r="60" spans="5:6" x14ac:dyDescent="0.2">
      <c r="E60" s="14" t="s">
        <v>108</v>
      </c>
      <c r="F60" s="39"/>
    </row>
    <row r="61" spans="5:6" ht="13.5" thickBot="1" x14ac:dyDescent="0.25">
      <c r="E61" s="29" t="s">
        <v>132</v>
      </c>
      <c r="F61" s="41"/>
    </row>
  </sheetData>
  <sheetProtection algorithmName="SHA-512" hashValue="pE5+lbOt9PY8LUZdjH9wrkODF7e0YpoT+yvMi37mhZKjcIm6w/vaHa7+hywyYDeraKwAUTlBoE6ZHnu+npQC/Q==" saltValue="eVuJ0Ef350nel5xXp7U/eA==" spinCount="100000" sheet="1" objects="1" scenarios="1" autoFilter="0"/>
  <mergeCells count="9">
    <mergeCell ref="E50:F50"/>
    <mergeCell ref="E59:F59"/>
    <mergeCell ref="L1:AR1"/>
    <mergeCell ref="E3:F3"/>
    <mergeCell ref="E15:F15"/>
    <mergeCell ref="E21:F21"/>
    <mergeCell ref="E27:F27"/>
    <mergeCell ref="E35:F35"/>
    <mergeCell ref="E46:F46"/>
  </mergeCells>
  <phoneticPr fontId="38" type="noConversion"/>
  <conditionalFormatting sqref="E57:F58">
    <cfRule type="expression" dxfId="130" priority="2" stopIfTrue="1">
      <formula>CAIXA.Modo=FALSE</formula>
    </cfRule>
  </conditionalFormatting>
  <conditionalFormatting sqref="E59:F61">
    <cfRule type="expression" dxfId="129" priority="3" stopIfTrue="1">
      <formula>CAIXA.Modo=FALSE</formula>
    </cfRule>
  </conditionalFormatting>
  <dataValidations count="7">
    <dataValidation type="date" allowBlank="1" showErrorMessage="1" errorTitle="Dados inválidos" error="Digite somente datas válidas no formato mm/aaaa." sqref="F19 F25 F36 F41 F47:F48" xr:uid="{00000000-0002-0000-0100-000000000000}">
      <formula1>36526</formula1>
      <formula2>72686</formula2>
    </dataValidation>
    <dataValidation type="list" allowBlank="1" showErrorMessage="1" sqref="F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F11 F13:F14" xr:uid="{00000000-0002-0000-0100-000002000000}">
      <formula1>0</formula1>
      <formula2>1</formula2>
    </dataValidation>
    <dataValidation type="list" allowBlank="1" showErrorMessage="1" sqref="F4" xr:uid="{00000000-0002-0000-0100-000003000000}">
      <formula1>"(SELECIONAR),OGU,FGTS"</formula1>
      <formula2>0</formula2>
    </dataValidation>
    <dataValidation type="decimal" operator="greaterThan" allowBlank="1" showErrorMessage="1" error="Digite um valor maior do que 0." sqref="F12" xr:uid="{00000000-0002-0000-0100-000004000000}">
      <formula1>0</formula1>
      <formula2>0</formula2>
    </dataValidation>
    <dataValidation type="list" allowBlank="1" showErrorMessage="1" sqref="F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F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63"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38" activePane="bottomLeft" state="frozen"/>
      <selection activeCell="E1" sqref="E1"/>
      <selection pane="bottomLeft" activeCell="J84" sqref="J84"/>
    </sheetView>
  </sheetViews>
  <sheetFormatPr defaultRowHeight="12.75" x14ac:dyDescent="0.2"/>
  <cols>
    <col min="1" max="4" width="5.7109375" style="50" hidden="1" customWidth="1"/>
    <col min="5" max="5" width="11.28515625" style="50" hidden="1" customWidth="1"/>
    <col min="6" max="6" width="11.42578125" style="50" hidden="1" customWidth="1"/>
    <col min="7" max="7" width="11.85546875" style="50" hidden="1" customWidth="1"/>
    <col min="8" max="8" width="10.7109375" customWidth="1"/>
    <col min="9" max="9" width="3.7109375" customWidth="1"/>
    <col min="10" max="15" width="10.7109375" style="50" customWidth="1"/>
    <col min="16" max="16" width="12.85546875" style="50" customWidth="1"/>
    <col min="17" max="19" width="10.7109375" style="50" customWidth="1"/>
  </cols>
  <sheetData>
    <row r="1" spans="1:19" ht="15.75" x14ac:dyDescent="0.25">
      <c r="E1" s="51" t="s">
        <v>137</v>
      </c>
      <c r="F1" s="51" t="s">
        <v>138</v>
      </c>
      <c r="G1" s="51" t="s">
        <v>139</v>
      </c>
      <c r="O1" s="52" t="str">
        <f>"Quadro de Composição do BDI"</f>
        <v>Quadro de Composição do BDI</v>
      </c>
      <c r="R1" s="626" t="s">
        <v>140</v>
      </c>
      <c r="S1" s="626"/>
    </row>
    <row r="2" spans="1:19" x14ac:dyDescent="0.2">
      <c r="A2" s="50" t="s">
        <v>141</v>
      </c>
      <c r="B2" s="54" t="s">
        <v>142</v>
      </c>
      <c r="C2" s="50" t="str">
        <f t="shared" ref="C2:C49" si="0">CONCATENATE(A2,"-",B2)</f>
        <v>Construção e Reforma de Edifícios-AC</v>
      </c>
      <c r="E2" s="55">
        <v>0.03</v>
      </c>
      <c r="F2" s="55">
        <v>0.04</v>
      </c>
      <c r="G2" s="55">
        <v>5.5E-2</v>
      </c>
      <c r="R2" s="627" t="s">
        <v>143</v>
      </c>
      <c r="S2" s="627"/>
    </row>
    <row r="3" spans="1:19" x14ac:dyDescent="0.2">
      <c r="A3" s="50" t="str">
        <f>A2</f>
        <v>Construção e Reforma de Edifícios</v>
      </c>
      <c r="B3" s="54" t="s">
        <v>144</v>
      </c>
      <c r="C3" s="50" t="str">
        <f t="shared" si="0"/>
        <v>Construção e Reforma de Edifícios-SG</v>
      </c>
      <c r="E3" s="55">
        <v>8.0000000000000002E-3</v>
      </c>
      <c r="F3" s="55">
        <v>8.0000000000000002E-3</v>
      </c>
      <c r="G3" s="55">
        <v>0.01</v>
      </c>
    </row>
    <row r="4" spans="1:19" x14ac:dyDescent="0.2">
      <c r="A4" s="50" t="str">
        <f>A3</f>
        <v>Construção e Reforma de Edifícios</v>
      </c>
      <c r="B4" s="54" t="s">
        <v>145</v>
      </c>
      <c r="C4" s="50" t="str">
        <f t="shared" si="0"/>
        <v>Construção e Reforma de Edifícios-R</v>
      </c>
      <c r="E4" s="55">
        <v>9.7000000000000003E-3</v>
      </c>
      <c r="F4" s="55">
        <v>1.2699999999999999E-2</v>
      </c>
      <c r="G4" s="55">
        <v>1.2699999999999999E-2</v>
      </c>
      <c r="J4" s="622" t="s">
        <v>146</v>
      </c>
      <c r="K4" s="622"/>
      <c r="L4" s="622" t="s">
        <v>435</v>
      </c>
      <c r="M4" s="622"/>
      <c r="N4" s="622" t="s">
        <v>147</v>
      </c>
      <c r="O4" s="622"/>
      <c r="P4" s="622"/>
      <c r="Q4" s="622"/>
      <c r="R4" s="622"/>
      <c r="S4" s="622"/>
    </row>
    <row r="5" spans="1:19" ht="12.75" customHeight="1" x14ac:dyDescent="0.2">
      <c r="A5" s="50" t="str">
        <f>A4</f>
        <v>Construção e Reforma de Edifícios</v>
      </c>
      <c r="B5" s="54" t="s">
        <v>148</v>
      </c>
      <c r="C5" s="50" t="str">
        <f t="shared" si="0"/>
        <v>Construção e Reforma de Edifícios-DF</v>
      </c>
      <c r="E5" s="55">
        <v>5.8999999999999999E-3</v>
      </c>
      <c r="F5" s="55">
        <v>1.23E-2</v>
      </c>
      <c r="G5" s="55">
        <v>1.3899999999999999E-2</v>
      </c>
      <c r="J5" s="625">
        <f>Import.CR</f>
        <v>0</v>
      </c>
      <c r="K5" s="625"/>
      <c r="L5" s="625">
        <f>Import.TransfereGOV</f>
        <v>0</v>
      </c>
      <c r="M5" s="625"/>
      <c r="N5" s="625" t="str">
        <f>Import.Proponente</f>
        <v>Secretario Diego Salini</v>
      </c>
      <c r="O5" s="625"/>
      <c r="P5" s="625"/>
      <c r="Q5" s="625"/>
      <c r="R5" s="625"/>
      <c r="S5" s="625"/>
    </row>
    <row r="6" spans="1:19" x14ac:dyDescent="0.2">
      <c r="A6" s="50" t="str">
        <f>A5</f>
        <v>Construção e Reforma de Edifícios</v>
      </c>
      <c r="B6" s="54" t="s">
        <v>149</v>
      </c>
      <c r="C6" s="50" t="str">
        <f t="shared" si="0"/>
        <v>Construção e Reforma de Edifícios-L</v>
      </c>
      <c r="E6" s="55">
        <v>6.1600000000000002E-2</v>
      </c>
      <c r="F6" s="55">
        <v>7.400000000000001E-2</v>
      </c>
      <c r="G6" s="55">
        <v>8.9600000000000013E-2</v>
      </c>
      <c r="I6" s="615" t="s">
        <v>208</v>
      </c>
      <c r="J6" s="58"/>
      <c r="K6" s="58"/>
      <c r="L6" s="58"/>
      <c r="M6" s="58"/>
      <c r="N6" s="58"/>
      <c r="O6" s="58"/>
      <c r="P6" s="58"/>
      <c r="Q6" s="58"/>
      <c r="R6" s="58"/>
      <c r="S6" s="58"/>
    </row>
    <row r="7" spans="1:19" ht="25.5" x14ac:dyDescent="0.2">
      <c r="A7" s="50" t="str">
        <f>A6</f>
        <v>Construção e Reforma de Edifícios</v>
      </c>
      <c r="B7" s="59" t="s">
        <v>150</v>
      </c>
      <c r="C7" s="50" t="str">
        <f t="shared" si="0"/>
        <v>Construção e Reforma de Edifícios-BDI PAD</v>
      </c>
      <c r="E7" s="55">
        <v>0.2034</v>
      </c>
      <c r="F7" s="55">
        <v>0.22120000000000001</v>
      </c>
      <c r="G7" s="55">
        <v>0.25</v>
      </c>
      <c r="I7" s="615"/>
      <c r="J7" s="622" t="s">
        <v>151</v>
      </c>
      <c r="K7" s="622"/>
      <c r="L7" s="622"/>
      <c r="M7" s="622"/>
      <c r="N7" s="622"/>
      <c r="O7" s="622"/>
      <c r="P7" s="622"/>
      <c r="Q7" s="622"/>
      <c r="R7" s="622"/>
      <c r="S7" s="622"/>
    </row>
    <row r="8" spans="1:19" x14ac:dyDescent="0.2">
      <c r="A8" s="50" t="s">
        <v>152</v>
      </c>
      <c r="B8" s="54" t="s">
        <v>142</v>
      </c>
      <c r="C8" s="50" t="str">
        <f t="shared" si="0"/>
        <v>Construção de Praças Urbanas, Rodovias, Ferrovias e recapeamento e pavimentação de vias urbanas-AC</v>
      </c>
      <c r="E8" s="55">
        <v>3.7999999999999999E-2</v>
      </c>
      <c r="F8" s="55">
        <v>4.0099999999999997E-2</v>
      </c>
      <c r="G8" s="55">
        <v>4.6699999999999998E-2</v>
      </c>
      <c r="I8" s="615"/>
      <c r="J8" s="630" t="str">
        <f>Import.Apelido&amp;" / "&amp;Import.DescLote</f>
        <v>ANEXO I TR - MANUTENÇÃO ABRIGO PASSAGEIROS ÔNIBUS E TÁXI / REGISTRO DE PREÇOS PARA SERVIÇOS COMUNS DE ENGENHARIA P/ MANUTNEÇÃO ABRIGOS PASSAGEIROS ONIBUS TAXI</v>
      </c>
      <c r="K8" s="630"/>
      <c r="L8" s="630"/>
      <c r="M8" s="630"/>
      <c r="N8" s="630"/>
      <c r="O8" s="630"/>
      <c r="P8" s="630"/>
      <c r="Q8" s="630"/>
      <c r="R8" s="630"/>
      <c r="S8" s="630"/>
    </row>
    <row r="9" spans="1:19" x14ac:dyDescent="0.2">
      <c r="A9" s="50" t="s">
        <v>152</v>
      </c>
      <c r="B9" s="54" t="s">
        <v>144</v>
      </c>
      <c r="C9" s="50" t="str">
        <f t="shared" si="0"/>
        <v>Construção de Praças Urbanas, Rodovias, Ferrovias e recapeamento e pavimentação de vias urbanas-SG</v>
      </c>
      <c r="E9" s="55">
        <v>3.2000000000000002E-3</v>
      </c>
      <c r="F9" s="55">
        <v>4.0000000000000001E-3</v>
      </c>
      <c r="G9" s="55">
        <v>7.4000000000000003E-3</v>
      </c>
      <c r="I9" s="615"/>
      <c r="J9" s="58"/>
      <c r="K9" s="58"/>
      <c r="L9" s="58"/>
      <c r="M9" s="58"/>
      <c r="N9" s="58"/>
      <c r="O9" s="58"/>
      <c r="P9" s="58"/>
      <c r="Q9" s="58"/>
      <c r="R9" s="58"/>
      <c r="S9" s="58"/>
    </row>
    <row r="10" spans="1:19" ht="12.75" customHeight="1" x14ac:dyDescent="0.2">
      <c r="A10" s="50" t="s">
        <v>152</v>
      </c>
      <c r="B10" s="54" t="s">
        <v>145</v>
      </c>
      <c r="C10" s="50" t="str">
        <f t="shared" si="0"/>
        <v>Construção de Praças Urbanas, Rodovias, Ferrovias e recapeamento e pavimentação de vias urbanas-R</v>
      </c>
      <c r="E10" s="55">
        <v>5.0000000000000001E-3</v>
      </c>
      <c r="F10" s="55">
        <v>5.6000000000000008E-3</v>
      </c>
      <c r="G10" s="55">
        <v>9.7000000000000003E-3</v>
      </c>
      <c r="I10" s="615"/>
      <c r="J10" s="631" t="s">
        <v>153</v>
      </c>
      <c r="K10" s="631"/>
      <c r="L10" s="631"/>
      <c r="M10" s="631"/>
      <c r="N10" s="631"/>
      <c r="O10" s="631"/>
      <c r="P10" s="631"/>
      <c r="Q10" s="631"/>
      <c r="R10" s="629">
        <v>0.45</v>
      </c>
      <c r="S10" s="629"/>
    </row>
    <row r="11" spans="1:19" ht="12.75" customHeight="1" x14ac:dyDescent="0.2">
      <c r="A11" s="50" t="s">
        <v>152</v>
      </c>
      <c r="B11" s="54" t="s">
        <v>148</v>
      </c>
      <c r="C11" s="50" t="str">
        <f t="shared" si="0"/>
        <v>Construção de Praças Urbanas, Rodovias, Ferrovias e recapeamento e pavimentação de vias urbanas-DF</v>
      </c>
      <c r="E11" s="55">
        <v>1.0200000000000001E-2</v>
      </c>
      <c r="F11" s="55">
        <v>1.11E-2</v>
      </c>
      <c r="G11" s="55">
        <v>1.21E-2</v>
      </c>
      <c r="I11" s="108" t="s">
        <v>216</v>
      </c>
      <c r="J11" s="628" t="s">
        <v>154</v>
      </c>
      <c r="K11" s="628"/>
      <c r="L11" s="628"/>
      <c r="M11" s="628"/>
      <c r="N11" s="628"/>
      <c r="O11" s="628"/>
      <c r="P11" s="628"/>
      <c r="Q11" s="628"/>
      <c r="R11" s="629">
        <v>0.03</v>
      </c>
      <c r="S11" s="629"/>
    </row>
    <row r="12" spans="1:19" x14ac:dyDescent="0.2">
      <c r="A12" s="50" t="s">
        <v>152</v>
      </c>
      <c r="B12" s="54" t="s">
        <v>149</v>
      </c>
      <c r="C12" s="50" t="str">
        <f t="shared" si="0"/>
        <v>Construção de Praças Urbanas, Rodovias, Ferrovias e recapeamento e pavimentação de vias urbanas-L</v>
      </c>
      <c r="E12" s="55">
        <v>6.6400000000000001E-2</v>
      </c>
      <c r="F12" s="55">
        <v>7.2999999999999995E-2</v>
      </c>
      <c r="G12" s="55">
        <v>8.6899999999999991E-2</v>
      </c>
      <c r="I12" t="s">
        <v>245</v>
      </c>
      <c r="J12" s="60"/>
      <c r="K12" s="60"/>
      <c r="L12" s="60"/>
      <c r="M12" s="60"/>
      <c r="N12" s="60"/>
      <c r="O12" s="60"/>
      <c r="P12" s="60"/>
      <c r="Q12" s="60"/>
      <c r="R12" s="60"/>
      <c r="S12" s="60"/>
    </row>
    <row r="13" spans="1:19" ht="15" customHeight="1" x14ac:dyDescent="0.2">
      <c r="A13" s="50" t="s">
        <v>152</v>
      </c>
      <c r="B13" s="59" t="s">
        <v>150</v>
      </c>
      <c r="C13" s="50" t="str">
        <f t="shared" si="0"/>
        <v>Construção de Praças Urbanas, Rodovias, Ferrovias e recapeamento e pavimentação de vias urbanas-BDI PAD</v>
      </c>
      <c r="E13" s="55">
        <v>0.19600000000000001</v>
      </c>
      <c r="F13" s="55">
        <v>0.2097</v>
      </c>
      <c r="G13" s="55">
        <v>0.24230000000000002</v>
      </c>
      <c r="I13" t="s">
        <v>245</v>
      </c>
    </row>
    <row r="14" spans="1:19" ht="15.75" x14ac:dyDescent="0.25">
      <c r="A14" s="50" t="s">
        <v>155</v>
      </c>
      <c r="B14" s="54" t="s">
        <v>142</v>
      </c>
      <c r="C14" s="50" t="str">
        <f t="shared" si="0"/>
        <v>Construção de Redes de Abastecimento de Água, Coleta de Esgoto-AC</v>
      </c>
      <c r="E14" s="55">
        <v>3.4300000000000004E-2</v>
      </c>
      <c r="F14" s="55">
        <v>4.9299999999999997E-2</v>
      </c>
      <c r="G14" s="55">
        <v>6.7099999999999993E-2</v>
      </c>
      <c r="I14" t="s">
        <v>245</v>
      </c>
      <c r="J14" s="624" t="s">
        <v>156</v>
      </c>
      <c r="K14" s="624"/>
      <c r="L14" s="624"/>
      <c r="M14" s="624"/>
      <c r="N14" s="624"/>
      <c r="O14" s="624"/>
      <c r="P14" s="624"/>
      <c r="Q14" s="624"/>
      <c r="R14" s="624"/>
      <c r="S14" s="624"/>
    </row>
    <row r="15" spans="1:19" x14ac:dyDescent="0.2">
      <c r="A15" s="50" t="str">
        <f>A14</f>
        <v>Construção de Redes de Abastecimento de Água, Coleta de Esgoto</v>
      </c>
      <c r="B15" s="54" t="s">
        <v>144</v>
      </c>
      <c r="C15" s="50" t="str">
        <f t="shared" si="0"/>
        <v>Construção de Redes de Abastecimento de Água, Coleta de Esgoto-SG</v>
      </c>
      <c r="E15" s="55">
        <v>2.8000000000000004E-3</v>
      </c>
      <c r="F15" s="55">
        <v>4.8999999999999998E-3</v>
      </c>
      <c r="G15" s="55">
        <v>7.4999999999999997E-3</v>
      </c>
      <c r="I15" t="s">
        <v>245</v>
      </c>
    </row>
    <row r="16" spans="1:19" x14ac:dyDescent="0.2">
      <c r="A16" s="50" t="str">
        <f>A15</f>
        <v>Construção de Redes de Abastecimento de Água, Coleta de Esgoto</v>
      </c>
      <c r="B16" s="54" t="s">
        <v>145</v>
      </c>
      <c r="C16" s="50" t="str">
        <f t="shared" si="0"/>
        <v>Construção de Redes de Abastecimento de Água, Coleta de Esgoto-R</v>
      </c>
      <c r="E16" s="55">
        <v>0.01</v>
      </c>
      <c r="F16" s="55">
        <v>1.3899999999999999E-2</v>
      </c>
      <c r="G16" s="55">
        <v>1.7399999999999999E-2</v>
      </c>
      <c r="I16" t="s">
        <v>245</v>
      </c>
      <c r="J16" s="622" t="s">
        <v>157</v>
      </c>
      <c r="K16" s="622"/>
      <c r="L16" s="622"/>
      <c r="M16" s="622"/>
      <c r="N16" s="622"/>
      <c r="O16" s="622"/>
      <c r="P16" s="622"/>
      <c r="Q16" s="622"/>
      <c r="R16" s="622"/>
      <c r="S16" s="622"/>
    </row>
    <row r="17" spans="1:26" x14ac:dyDescent="0.2">
      <c r="A17" s="50" t="str">
        <f>A16</f>
        <v>Construção de Redes de Abastecimento de Água, Coleta de Esgoto</v>
      </c>
      <c r="B17" s="54" t="s">
        <v>148</v>
      </c>
      <c r="C17" s="50" t="str">
        <f t="shared" si="0"/>
        <v>Construção de Redes de Abastecimento de Água, Coleta de Esgoto-DF</v>
      </c>
      <c r="E17" s="55">
        <v>9.3999999999999986E-3</v>
      </c>
      <c r="F17" s="55">
        <v>9.8999999999999991E-3</v>
      </c>
      <c r="G17" s="55">
        <v>1.1699999999999999E-2</v>
      </c>
      <c r="I17" t="s">
        <v>245</v>
      </c>
      <c r="J17" s="623" t="s">
        <v>141</v>
      </c>
      <c r="K17" s="623"/>
      <c r="L17" s="623"/>
      <c r="M17" s="623"/>
      <c r="N17" s="623"/>
      <c r="O17" s="623"/>
      <c r="P17" s="623"/>
      <c r="Q17" s="623"/>
      <c r="R17" s="623"/>
      <c r="S17" s="623"/>
    </row>
    <row r="18" spans="1:26" x14ac:dyDescent="0.2">
      <c r="A18" s="50" t="str">
        <f>A17</f>
        <v>Construção de Redes de Abastecimento de Água, Coleta de Esgoto</v>
      </c>
      <c r="B18" s="54" t="s">
        <v>149</v>
      </c>
      <c r="C18" s="50" t="str">
        <f t="shared" si="0"/>
        <v>Construção de Redes de Abastecimento de Água, Coleta de Esgoto-L</v>
      </c>
      <c r="E18" s="55">
        <v>6.7400000000000002E-2</v>
      </c>
      <c r="F18" s="55">
        <v>8.0399999999999985E-2</v>
      </c>
      <c r="G18" s="55">
        <v>9.4E-2</v>
      </c>
      <c r="I18" t="s">
        <v>245</v>
      </c>
    </row>
    <row r="19" spans="1:26" ht="12.75" customHeight="1" x14ac:dyDescent="0.2">
      <c r="A19" s="50" t="str">
        <f>A18</f>
        <v>Construção de Redes de Abastecimento de Água, Coleta de Esgoto</v>
      </c>
      <c r="B19" s="59" t="s">
        <v>150</v>
      </c>
      <c r="C19" s="50" t="str">
        <f t="shared" si="0"/>
        <v>Construção de Redes de Abastecimento de Água, Coleta de Esgoto-BDI PAD</v>
      </c>
      <c r="E19" s="55">
        <v>0.20760000000000001</v>
      </c>
      <c r="F19" s="55">
        <v>0.24179999999999999</v>
      </c>
      <c r="G19" s="55">
        <v>0.26440000000000002</v>
      </c>
      <c r="I19" t="s">
        <v>245</v>
      </c>
      <c r="J19" s="621" t="s">
        <v>158</v>
      </c>
      <c r="K19" s="621"/>
      <c r="L19" s="621"/>
      <c r="M19" s="621"/>
      <c r="N19" s="621"/>
      <c r="O19" s="621"/>
      <c r="P19" s="621"/>
      <c r="Q19" s="621"/>
      <c r="R19" s="621" t="s">
        <v>159</v>
      </c>
      <c r="S19" s="612" t="s">
        <v>160</v>
      </c>
      <c r="U19" s="612" t="s">
        <v>161</v>
      </c>
      <c r="V19" s="612"/>
      <c r="W19" s="612"/>
      <c r="X19" s="620" t="s">
        <v>162</v>
      </c>
      <c r="Y19" s="620" t="s">
        <v>163</v>
      </c>
      <c r="Z19" s="620" t="s">
        <v>164</v>
      </c>
    </row>
    <row r="20" spans="1:26" ht="12.75" customHeight="1" x14ac:dyDescent="0.2">
      <c r="A20" s="50" t="s">
        <v>165</v>
      </c>
      <c r="B20" s="54" t="s">
        <v>142</v>
      </c>
      <c r="C20" s="50" t="str">
        <f t="shared" si="0"/>
        <v>Construção e Manutenção de Estações e Redes de Distribuição de Energia Elétrica-AC</v>
      </c>
      <c r="E20" s="55">
        <v>5.2900000000000003E-2</v>
      </c>
      <c r="F20" s="55">
        <v>5.9200000000000003E-2</v>
      </c>
      <c r="G20" s="55">
        <v>7.9299999999999995E-2</v>
      </c>
      <c r="I20" t="s">
        <v>245</v>
      </c>
      <c r="J20" s="621"/>
      <c r="K20" s="621"/>
      <c r="L20" s="621"/>
      <c r="M20" s="621"/>
      <c r="N20" s="621"/>
      <c r="O20" s="621"/>
      <c r="P20" s="621"/>
      <c r="Q20" s="621"/>
      <c r="R20" s="621"/>
      <c r="S20" s="612"/>
      <c r="U20" s="612"/>
      <c r="V20" s="612"/>
      <c r="W20" s="612"/>
      <c r="X20" s="620"/>
      <c r="Y20" s="620"/>
      <c r="Z20" s="620"/>
    </row>
    <row r="21" spans="1:26" ht="15" customHeight="1" x14ac:dyDescent="0.2">
      <c r="A21" s="50" t="str">
        <f>A20</f>
        <v>Construção e Manutenção de Estações e Redes de Distribuição de Energia Elétrica</v>
      </c>
      <c r="B21" s="54" t="s">
        <v>144</v>
      </c>
      <c r="C21" s="50" t="str">
        <f t="shared" si="0"/>
        <v>Construção e Manutenção de Estações e Redes de Distribuição de Energia Elétrica-SG</v>
      </c>
      <c r="E21" s="55">
        <v>2.5000000000000001E-3</v>
      </c>
      <c r="F21" s="55">
        <v>5.1000000000000004E-3</v>
      </c>
      <c r="G21" s="55">
        <v>5.6000000000000008E-3</v>
      </c>
      <c r="I21" t="s">
        <v>245</v>
      </c>
      <c r="J21" s="610" t="str">
        <f>IF($J$17=$A$146,"Encargos Sociais incidentes sobre a mão de obra","Administração Central")</f>
        <v>Administração Central</v>
      </c>
      <c r="K21" s="610"/>
      <c r="L21" s="610"/>
      <c r="M21" s="610"/>
      <c r="N21" s="610"/>
      <c r="O21" s="610"/>
      <c r="P21" s="610"/>
      <c r="Q21" s="610"/>
      <c r="R21" s="61" t="str">
        <f>IF($J17=$A$146,"K1","AC")</f>
        <v>AC</v>
      </c>
      <c r="S21" s="62">
        <v>0.04</v>
      </c>
      <c r="U21" s="611" t="s">
        <v>166</v>
      </c>
      <c r="V21" s="611"/>
      <c r="W21" s="611"/>
      <c r="X21" s="63">
        <f>VLOOKUP(CONCATENATE(J17,"-",R21),$C$2:$G$136,3,FALSE)</f>
        <v>0.03</v>
      </c>
      <c r="Y21" s="63">
        <f>VLOOKUP(CONCATENATE(J17,"-",R21),$C$2:$G$136,4,FALSE)</f>
        <v>0.04</v>
      </c>
      <c r="Z21" s="63">
        <f>VLOOKUP(CONCATENATE(J17,"-",R21),$C$2:$G$136,5,FALSE)</f>
        <v>5.5E-2</v>
      </c>
    </row>
    <row r="22" spans="1:26" ht="15" customHeight="1" x14ac:dyDescent="0.2">
      <c r="A22" s="50" t="str">
        <f>A21</f>
        <v>Construção e Manutenção de Estações e Redes de Distribuição de Energia Elétrica</v>
      </c>
      <c r="B22" s="54" t="s">
        <v>145</v>
      </c>
      <c r="C22" s="50" t="str">
        <f t="shared" si="0"/>
        <v>Construção e Manutenção de Estações e Redes de Distribuição de Energia Elétrica-R</v>
      </c>
      <c r="E22" s="55">
        <v>0.01</v>
      </c>
      <c r="F22" s="55">
        <v>1.4800000000000001E-2</v>
      </c>
      <c r="G22" s="55">
        <v>1.9699999999999999E-2</v>
      </c>
      <c r="I22" t="s">
        <v>245</v>
      </c>
      <c r="J22" s="610" t="str">
        <f>IF($J$17=$A$146,"Administração Central da empresa ou consultoria - overhead","Seguro e Garantia")</f>
        <v>Seguro e Garantia</v>
      </c>
      <c r="K22" s="610"/>
      <c r="L22" s="610"/>
      <c r="M22" s="610"/>
      <c r="N22" s="610"/>
      <c r="O22" s="610"/>
      <c r="P22" s="610"/>
      <c r="Q22" s="610"/>
      <c r="R22" s="61" t="str">
        <f>IF($J17=$A$146,"K2","SG")</f>
        <v>SG</v>
      </c>
      <c r="S22" s="62">
        <v>8.0000000000000002E-3</v>
      </c>
      <c r="U22" s="611" t="s">
        <v>166</v>
      </c>
      <c r="V22" s="611"/>
      <c r="W22" s="611"/>
      <c r="X22" s="63">
        <f>VLOOKUP(CONCATENATE(J17,"-",R22),$C$2:$G$136,3,FALSE)</f>
        <v>8.0000000000000002E-3</v>
      </c>
      <c r="Y22" s="63">
        <f>VLOOKUP(CONCATENATE(J17,"-",R22),$C$2:$G$136,4,FALSE)</f>
        <v>8.0000000000000002E-3</v>
      </c>
      <c r="Z22" s="63">
        <f>VLOOKUP(CONCATENATE(J17,"-",R22),$C$2:$G$136,5,FALSE)</f>
        <v>0.01</v>
      </c>
    </row>
    <row r="23" spans="1:26" ht="15" customHeight="1" x14ac:dyDescent="0.2">
      <c r="A23" s="50" t="str">
        <f>A22</f>
        <v>Construção e Manutenção de Estações e Redes de Distribuição de Energia Elétrica</v>
      </c>
      <c r="B23" s="54" t="s">
        <v>148</v>
      </c>
      <c r="C23" s="50" t="str">
        <f t="shared" si="0"/>
        <v>Construção e Manutenção de Estações e Redes de Distribuição de Energia Elétrica-DF</v>
      </c>
      <c r="E23" s="55">
        <v>1.01E-2</v>
      </c>
      <c r="F23" s="55">
        <v>1.0700000000000001E-2</v>
      </c>
      <c r="G23" s="55">
        <v>1.11E-2</v>
      </c>
      <c r="I23" t="s">
        <v>245</v>
      </c>
      <c r="J23" s="610" t="str">
        <f>IF($J$17=$A$146,"","Risco")</f>
        <v>Risco</v>
      </c>
      <c r="K23" s="610"/>
      <c r="L23" s="610"/>
      <c r="M23" s="610"/>
      <c r="N23" s="610"/>
      <c r="O23" s="610"/>
      <c r="P23" s="610"/>
      <c r="Q23" s="610"/>
      <c r="R23" s="61" t="str">
        <f>IF($J17=$A$146,"","R")</f>
        <v>R</v>
      </c>
      <c r="S23" s="62">
        <v>1.2699999999999999E-2</v>
      </c>
      <c r="U23" s="611" t="s">
        <v>166</v>
      </c>
      <c r="V23" s="611"/>
      <c r="W23" s="611"/>
      <c r="X23" s="63">
        <f>VLOOKUP(CONCATENATE(J17,"-",R23),$C$2:$G$136,3,FALSE)</f>
        <v>9.7000000000000003E-3</v>
      </c>
      <c r="Y23" s="63">
        <f>VLOOKUP(CONCATENATE(J17,"-",R23),$C$2:$G$136,4,FALSE)</f>
        <v>1.2699999999999999E-2</v>
      </c>
      <c r="Z23" s="63">
        <f>VLOOKUP(CONCATENATE(J17,"-",R23),$C$2:$G$136,5,FALSE)</f>
        <v>1.2699999999999999E-2</v>
      </c>
    </row>
    <row r="24" spans="1:26" ht="15" customHeight="1" x14ac:dyDescent="0.2">
      <c r="A24" s="50" t="str">
        <f>A23</f>
        <v>Construção e Manutenção de Estações e Redes de Distribuição de Energia Elétrica</v>
      </c>
      <c r="B24" s="54" t="s">
        <v>149</v>
      </c>
      <c r="C24" s="50" t="str">
        <f t="shared" si="0"/>
        <v>Construção e Manutenção de Estações e Redes de Distribuição de Energia Elétrica-L</v>
      </c>
      <c r="E24" s="55">
        <v>0.08</v>
      </c>
      <c r="F24" s="55">
        <v>8.3100000000000007E-2</v>
      </c>
      <c r="G24" s="55">
        <v>9.5100000000000004E-2</v>
      </c>
      <c r="I24" t="s">
        <v>245</v>
      </c>
      <c r="J24" s="610" t="str">
        <f>IF($J$17=$A$146,"","Despesas Financeiras")</f>
        <v>Despesas Financeiras</v>
      </c>
      <c r="K24" s="610"/>
      <c r="L24" s="610"/>
      <c r="M24" s="610"/>
      <c r="N24" s="610"/>
      <c r="O24" s="610"/>
      <c r="P24" s="610"/>
      <c r="Q24" s="610"/>
      <c r="R24" s="61" t="str">
        <f>IF($J17=$A$146,"","DF")</f>
        <v>DF</v>
      </c>
      <c r="S24" s="62">
        <v>1.23E-2</v>
      </c>
      <c r="U24" s="611" t="s">
        <v>166</v>
      </c>
      <c r="V24" s="611"/>
      <c r="W24" s="611"/>
      <c r="X24" s="63">
        <f>VLOOKUP(CONCATENATE(J17,"-",R24),$C$2:$G$136,3,FALSE)</f>
        <v>5.8999999999999999E-3</v>
      </c>
      <c r="Y24" s="63">
        <f>VLOOKUP(CONCATENATE(J17,"-",R24),$C$2:$G$136,4,FALSE)</f>
        <v>1.23E-2</v>
      </c>
      <c r="Z24" s="63">
        <f>VLOOKUP(CONCATENATE(J17,"-",R24),$C$2:$G$136,5,FALSE)</f>
        <v>1.3899999999999999E-2</v>
      </c>
    </row>
    <row r="25" spans="1:26" ht="15" customHeight="1" x14ac:dyDescent="0.2">
      <c r="A25" s="50" t="str">
        <f>A24</f>
        <v>Construção e Manutenção de Estações e Redes de Distribuição de Energia Elétrica</v>
      </c>
      <c r="B25" s="59" t="s">
        <v>150</v>
      </c>
      <c r="C25" s="50" t="str">
        <f t="shared" si="0"/>
        <v>Construção e Manutenção de Estações e Redes de Distribuição de Energia Elétrica-BDI PAD</v>
      </c>
      <c r="E25" s="55">
        <v>0.24</v>
      </c>
      <c r="F25" s="55">
        <v>0.25840000000000002</v>
      </c>
      <c r="G25" s="55">
        <v>0.27860000000000001</v>
      </c>
      <c r="I25" t="s">
        <v>245</v>
      </c>
      <c r="J25" s="610" t="str">
        <f>IF($J$17=$A$146,"Margem bruta da empresa de consultoria","Lucro")</f>
        <v>Lucro</v>
      </c>
      <c r="K25" s="610"/>
      <c r="L25" s="610"/>
      <c r="M25" s="610"/>
      <c r="N25" s="610"/>
      <c r="O25" s="610"/>
      <c r="P25" s="610"/>
      <c r="Q25" s="610"/>
      <c r="R25" s="61" t="str">
        <f>IF($J17=$A$146,"K3","L")</f>
        <v>L</v>
      </c>
      <c r="S25" s="62">
        <v>7.3999999999999996E-2</v>
      </c>
      <c r="U25" s="611" t="s">
        <v>166</v>
      </c>
      <c r="V25" s="611"/>
      <c r="W25" s="611"/>
      <c r="X25" s="63">
        <f>VLOOKUP(CONCATENATE(J17,"-",R25),$C$2:$G$136,3,FALSE)</f>
        <v>6.1600000000000002E-2</v>
      </c>
      <c r="Y25" s="63">
        <f>VLOOKUP(CONCATENATE(J17,"-",R25),$C$2:$G$136,4,FALSE)</f>
        <v>7.400000000000001E-2</v>
      </c>
      <c r="Z25" s="63">
        <f>VLOOKUP(CONCATENATE(J17,"-",R25),$C$2:$G$136,5,FALSE)</f>
        <v>8.9600000000000013E-2</v>
      </c>
    </row>
    <row r="26" spans="1:26" ht="15" customHeight="1" x14ac:dyDescent="0.2">
      <c r="A26" s="50" t="s">
        <v>167</v>
      </c>
      <c r="B26" s="54" t="s">
        <v>142</v>
      </c>
      <c r="C26" s="50" t="str">
        <f t="shared" si="0"/>
        <v>Obras Portuárias, Marítimas e Fluviais-AC</v>
      </c>
      <c r="E26" s="55">
        <v>0.04</v>
      </c>
      <c r="F26" s="55">
        <v>5.5199999999999999E-2</v>
      </c>
      <c r="G26" s="55">
        <v>7.85E-2</v>
      </c>
      <c r="I26" t="s">
        <v>245</v>
      </c>
      <c r="J26" s="610" t="s">
        <v>168</v>
      </c>
      <c r="K26" s="610"/>
      <c r="L26" s="610"/>
      <c r="M26" s="610"/>
      <c r="N26" s="610"/>
      <c r="O26" s="610"/>
      <c r="P26" s="610"/>
      <c r="Q26" s="610"/>
      <c r="R26" s="61" t="s">
        <v>169</v>
      </c>
      <c r="S26" s="62">
        <v>3.6499999999999998E-2</v>
      </c>
      <c r="U26" s="611" t="s">
        <v>166</v>
      </c>
      <c r="V26" s="611"/>
      <c r="W26" s="611"/>
      <c r="X26" s="63">
        <v>3.6499999999999998E-2</v>
      </c>
      <c r="Y26" s="63">
        <v>3.6499999999999998E-2</v>
      </c>
      <c r="Z26" s="63">
        <v>3.6499999999999998E-2</v>
      </c>
    </row>
    <row r="27" spans="1:26" ht="15" customHeight="1" x14ac:dyDescent="0.2">
      <c r="A27" s="50" t="str">
        <f>A26</f>
        <v>Obras Portuárias, Marítimas e Fluviais</v>
      </c>
      <c r="B27" s="54" t="s">
        <v>144</v>
      </c>
      <c r="C27" s="50" t="str">
        <f t="shared" si="0"/>
        <v>Obras Portuárias, Marítimas e Fluviais-SG</v>
      </c>
      <c r="E27" s="55">
        <v>8.1000000000000013E-3</v>
      </c>
      <c r="F27" s="55">
        <v>1.2199999999999999E-2</v>
      </c>
      <c r="G27" s="55">
        <v>1.9900000000000001E-2</v>
      </c>
      <c r="I27" t="s">
        <v>245</v>
      </c>
      <c r="J27" s="610" t="s">
        <v>170</v>
      </c>
      <c r="K27" s="610"/>
      <c r="L27" s="610"/>
      <c r="M27" s="610"/>
      <c r="N27" s="610"/>
      <c r="O27" s="610"/>
      <c r="P27" s="610"/>
      <c r="Q27" s="610"/>
      <c r="R27" s="61" t="s">
        <v>171</v>
      </c>
      <c r="S27" s="63">
        <f ca="1">IF(AND($J17&lt;&gt;$A$145,COUNTA(OFFSET(S20,1,0,6))&gt;0),$R$11*$R$10,0)</f>
        <v>1.35E-2</v>
      </c>
      <c r="U27" s="611" t="s">
        <v>166</v>
      </c>
      <c r="V27" s="611"/>
      <c r="W27" s="611"/>
      <c r="X27" s="63">
        <v>0</v>
      </c>
      <c r="Y27" s="63">
        <v>2.5000000000000001E-2</v>
      </c>
      <c r="Z27" s="63">
        <v>0.05</v>
      </c>
    </row>
    <row r="28" spans="1:26" ht="15" customHeight="1" x14ac:dyDescent="0.2">
      <c r="A28" s="50" t="str">
        <f>A27</f>
        <v>Obras Portuárias, Marítimas e Fluviais</v>
      </c>
      <c r="B28" s="54" t="s">
        <v>145</v>
      </c>
      <c r="C28" s="50" t="str">
        <f t="shared" si="0"/>
        <v>Obras Portuárias, Marítimas e Fluviais-R</v>
      </c>
      <c r="E28" s="55">
        <v>1.46E-2</v>
      </c>
      <c r="F28" s="55">
        <v>2.3199999999999998E-2</v>
      </c>
      <c r="G28" s="55">
        <v>3.1600000000000003E-2</v>
      </c>
      <c r="I28" t="s">
        <v>245</v>
      </c>
      <c r="J28" s="610" t="s">
        <v>437</v>
      </c>
      <c r="K28" s="610"/>
      <c r="L28" s="610"/>
      <c r="M28" s="610"/>
      <c r="N28" s="610"/>
      <c r="O28" s="610"/>
      <c r="P28" s="610"/>
      <c r="Q28" s="610"/>
      <c r="R28" s="61" t="s">
        <v>172</v>
      </c>
      <c r="S28" s="63" cm="1">
        <f t="array" aca="1" ref="S28" ca="1">IF(BDI.Opcao&lt;&gt;"Desonerado",0,IF(AND($J17&lt;&gt;$A$145,COUNTA(OFFSET(S20,1,0,6))&gt;0),IF(YEAR(Import.DataBase)&lt;2025,4.5%,IF(YEAR(Import.DataBase)=2025,3.6%,IF(YEAR(Import.DataBase)=2026,2.7%,IF(YEAR(Import.DataBase)=2027,1.8%,0%)))),0%))</f>
        <v>0</v>
      </c>
      <c r="U28" s="611" t="s">
        <v>166</v>
      </c>
      <c r="V28" s="611"/>
      <c r="W28" s="611"/>
      <c r="X28" s="64">
        <f ca="1">$S28</f>
        <v>0</v>
      </c>
      <c r="Y28" s="64">
        <f ca="1">$S28</f>
        <v>0</v>
      </c>
      <c r="Z28" s="64">
        <f ca="1">$S28</f>
        <v>0</v>
      </c>
    </row>
    <row r="29" spans="1:26" ht="15" customHeight="1" x14ac:dyDescent="0.2">
      <c r="A29" s="50" t="str">
        <f>A28</f>
        <v>Obras Portuárias, Marítimas e Fluviais</v>
      </c>
      <c r="B29" s="54" t="s">
        <v>148</v>
      </c>
      <c r="C29" s="50" t="str">
        <f t="shared" si="0"/>
        <v>Obras Portuárias, Marítimas e Fluviais-DF</v>
      </c>
      <c r="E29" s="55">
        <v>9.3999999999999986E-3</v>
      </c>
      <c r="F29" s="55">
        <v>1.0200000000000001E-2</v>
      </c>
      <c r="G29" s="55">
        <v>1.3300000000000001E-2</v>
      </c>
      <c r="I29" t="s">
        <v>245</v>
      </c>
      <c r="J29" s="610" t="s">
        <v>173</v>
      </c>
      <c r="K29" s="610"/>
      <c r="L29" s="610"/>
      <c r="M29" s="610"/>
      <c r="N29" s="610"/>
      <c r="O29" s="610"/>
      <c r="P29" s="610"/>
      <c r="Q29" s="610"/>
      <c r="R29" s="65" t="s">
        <v>150</v>
      </c>
      <c r="S29" s="63">
        <f ca="1">IF($J17=$A$145,0,ROUND((((1+S21+S22+S23)*(1+S24)*(1+S25)/(1-(S26+S27)))-1),4))</f>
        <v>0.21390000000000001</v>
      </c>
      <c r="U29" s="612" t="str">
        <f ca="1">IF(OR($J$17=$A$146,$J$17=$A$145,AND(S29&gt;=X29,S29&lt;=Z29)),"OK","FORA DO INTERVALO")</f>
        <v>OK</v>
      </c>
      <c r="V29" s="612"/>
      <c r="W29" s="612"/>
      <c r="X29" s="63">
        <f>IF($J17=$A$145,0,VLOOKUP(CONCATENATE($J17,"-",$R29),$C$2:$G$136,3,FALSE))</f>
        <v>0.2034</v>
      </c>
      <c r="Y29" s="63">
        <f>IF($J17=$A$145,0,VLOOKUP(CONCATENATE($J17,"-",$R29),$C$2:$G$136,4,FALSE))</f>
        <v>0.22120000000000001</v>
      </c>
      <c r="Z29" s="63">
        <f>IF($J17=$A$145,0,VLOOKUP(CONCATENATE($J17,"-",$R29),$C$2:$G$136,5,FALSE))</f>
        <v>0.25</v>
      </c>
    </row>
    <row r="30" spans="1:26" ht="15" customHeight="1" x14ac:dyDescent="0.2">
      <c r="A30" s="50" t="str">
        <f>A29</f>
        <v>Obras Portuárias, Marítimas e Fluviais</v>
      </c>
      <c r="B30" s="54" t="s">
        <v>149</v>
      </c>
      <c r="C30" s="50" t="str">
        <f t="shared" si="0"/>
        <v>Obras Portuárias, Marítimas e Fluviais-L</v>
      </c>
      <c r="E30" s="55">
        <v>7.1399999999999991E-2</v>
      </c>
      <c r="F30" s="55">
        <v>8.4000000000000005E-2</v>
      </c>
      <c r="G30" s="55">
        <v>0.1043</v>
      </c>
      <c r="I30" t="s">
        <v>245</v>
      </c>
      <c r="J30" s="613" t="s">
        <v>174</v>
      </c>
      <c r="K30" s="613"/>
      <c r="L30" s="613"/>
      <c r="M30" s="613"/>
      <c r="N30" s="613"/>
      <c r="O30" s="613"/>
      <c r="P30" s="613"/>
      <c r="Q30" s="613"/>
      <c r="R30" s="66" t="s">
        <v>175</v>
      </c>
      <c r="S30" s="67">
        <f ca="1">IF($J17=$A$145,0,ROUND((((1+S21+S22+S23)*(1+S24)*(1+S25)/(1-(S26+S27+S28)))-1),4))</f>
        <v>0.21390000000000001</v>
      </c>
    </row>
    <row r="31" spans="1:26" ht="15" customHeight="1" x14ac:dyDescent="0.2">
      <c r="A31" s="50" t="str">
        <f>A30</f>
        <v>Obras Portuárias, Marítimas e Fluviais</v>
      </c>
      <c r="B31" s="59" t="s">
        <v>150</v>
      </c>
      <c r="C31" s="50" t="str">
        <f t="shared" si="0"/>
        <v>Obras Portuárias, Marítimas e Fluviais-BDI PAD</v>
      </c>
      <c r="E31" s="55">
        <v>0.22800000000000001</v>
      </c>
      <c r="F31" s="55">
        <v>0.27479999999999999</v>
      </c>
      <c r="G31" s="55">
        <v>0.3095</v>
      </c>
      <c r="I31" t="s">
        <v>245</v>
      </c>
    </row>
    <row r="32" spans="1:26" ht="15.75" x14ac:dyDescent="0.2">
      <c r="A32" s="50" t="s">
        <v>176</v>
      </c>
      <c r="B32" s="54" t="s">
        <v>142</v>
      </c>
      <c r="C32" s="50" t="str">
        <f t="shared" si="0"/>
        <v>Fornecimento de Materiais e Equipamentos (aquisição indireta - em conjunto com licitação de obras)-AC</v>
      </c>
      <c r="E32" s="55">
        <v>1.4999999999999999E-2</v>
      </c>
      <c r="F32" s="55">
        <v>3.4500000000000003E-2</v>
      </c>
      <c r="G32" s="55">
        <v>4.4900000000000002E-2</v>
      </c>
      <c r="I32" t="s">
        <v>245</v>
      </c>
      <c r="J32" s="68" t="str">
        <f ca="1">IF(U29&lt;&gt;"ok","X","")</f>
        <v/>
      </c>
      <c r="K32" s="614" t="str">
        <f ca="1">IF(U29&lt;&gt;"ok","Anexo: Relatório Técnico Circunstanciado justificando a adoção do percentual de cada parcela do BDI.","")</f>
        <v/>
      </c>
      <c r="L32" s="614"/>
      <c r="M32" s="614"/>
      <c r="N32" s="614"/>
      <c r="O32" s="614"/>
      <c r="P32" s="614"/>
      <c r="Q32" s="614"/>
      <c r="R32" s="614"/>
      <c r="S32" s="614"/>
    </row>
    <row r="33" spans="1:19" x14ac:dyDescent="0.2">
      <c r="A33" s="50" t="str">
        <f>A32</f>
        <v>Fornecimento de Materiais e Equipamentos (aquisição indireta - em conjunto com licitação de obras)</v>
      </c>
      <c r="B33" s="54" t="s">
        <v>144</v>
      </c>
      <c r="C33" s="50" t="str">
        <f t="shared" si="0"/>
        <v>Fornecimento de Materiais e Equipamentos (aquisição indireta - em conjunto com licitação de obras)-SG</v>
      </c>
      <c r="E33" s="55">
        <v>3.0000000000000001E-3</v>
      </c>
      <c r="F33" s="55">
        <v>4.7999999999999996E-3</v>
      </c>
      <c r="G33" s="55">
        <v>8.199999999999999E-3</v>
      </c>
      <c r="I33" t="s">
        <v>245</v>
      </c>
    </row>
    <row r="34" spans="1:19" x14ac:dyDescent="0.2">
      <c r="A34" s="50" t="str">
        <f>A33</f>
        <v>Fornecimento de Materiais e Equipamentos (aquisição indireta - em conjunto com licitação de obras)</v>
      </c>
      <c r="B34" s="54" t="s">
        <v>145</v>
      </c>
      <c r="C34" s="50" t="str">
        <f t="shared" si="0"/>
        <v>Fornecimento de Materiais e Equipamentos (aquisição indireta - em conjunto com licitação de obras)-R</v>
      </c>
      <c r="E34" s="55">
        <v>5.6000000000000008E-3</v>
      </c>
      <c r="F34" s="55">
        <v>8.5000000000000006E-3</v>
      </c>
      <c r="G34" s="55">
        <v>8.8999999999999999E-3</v>
      </c>
      <c r="I34" t="s">
        <v>245</v>
      </c>
      <c r="J34" s="616" t="s">
        <v>177</v>
      </c>
      <c r="K34" s="616"/>
      <c r="L34" s="616"/>
      <c r="M34" s="616"/>
      <c r="N34" s="616"/>
      <c r="O34" s="616"/>
      <c r="P34" s="616"/>
      <c r="Q34" s="616"/>
      <c r="R34" s="616"/>
      <c r="S34" s="616"/>
    </row>
    <row r="35" spans="1:19" ht="15.75" x14ac:dyDescent="0.25">
      <c r="A35" s="50" t="str">
        <f>A34</f>
        <v>Fornecimento de Materiais e Equipamentos (aquisição indireta - em conjunto com licitação de obras)</v>
      </c>
      <c r="B35" s="54" t="s">
        <v>148</v>
      </c>
      <c r="C35" s="50" t="str">
        <f t="shared" si="0"/>
        <v>Fornecimento de Materiais e Equipamentos (aquisição indireta - em conjunto com licitação de obras)-DF</v>
      </c>
      <c r="E35" s="55">
        <v>8.5000000000000006E-3</v>
      </c>
      <c r="F35" s="55">
        <v>8.5000000000000006E-3</v>
      </c>
      <c r="G35" s="55">
        <v>1.11E-2</v>
      </c>
      <c r="I35" t="s">
        <v>245</v>
      </c>
      <c r="J35" s="69"/>
      <c r="K35" s="69"/>
      <c r="L35" s="69"/>
      <c r="M35" s="617" t="s">
        <v>178</v>
      </c>
      <c r="N35" s="618" t="str">
        <f>IF($J17=$A$146,"(1+K1+K2)*(1+K3)","(1+AC + S + R + G)*(1 + DF)*(1+L)")</f>
        <v>(1+AC + S + R + G)*(1 + DF)*(1+L)</v>
      </c>
      <c r="O35" s="618"/>
      <c r="P35" s="618"/>
      <c r="Q35" s="619" t="s">
        <v>179</v>
      </c>
      <c r="R35" s="69"/>
      <c r="S35" s="69"/>
    </row>
    <row r="36" spans="1:19" ht="15.75" x14ac:dyDescent="0.2">
      <c r="A36" s="50" t="str">
        <f>A35</f>
        <v>Fornecimento de Materiais e Equipamentos (aquisição indireta - em conjunto com licitação de obras)</v>
      </c>
      <c r="B36" s="54" t="s">
        <v>149</v>
      </c>
      <c r="C36" s="50" t="str">
        <f t="shared" si="0"/>
        <v>Fornecimento de Materiais e Equipamentos (aquisição indireta - em conjunto com licitação de obras)-L</v>
      </c>
      <c r="E36" s="55">
        <v>3.5000000000000003E-2</v>
      </c>
      <c r="F36" s="55">
        <v>5.1100000000000007E-2</v>
      </c>
      <c r="G36" s="55">
        <v>6.2199999999999998E-2</v>
      </c>
      <c r="I36" t="s">
        <v>245</v>
      </c>
      <c r="J36" s="69"/>
      <c r="K36" s="69"/>
      <c r="L36" s="69"/>
      <c r="M36" s="617"/>
      <c r="N36" s="609" t="s">
        <v>180</v>
      </c>
      <c r="O36" s="609"/>
      <c r="P36" s="609"/>
      <c r="Q36" s="619"/>
      <c r="R36" s="69"/>
      <c r="S36" s="69"/>
    </row>
    <row r="37" spans="1:19" ht="15" customHeight="1" x14ac:dyDescent="0.2">
      <c r="A37" s="50" t="str">
        <f>A36</f>
        <v>Fornecimento de Materiais e Equipamentos (aquisição indireta - em conjunto com licitação de obras)</v>
      </c>
      <c r="B37" s="59" t="s">
        <v>150</v>
      </c>
      <c r="C37" s="50" t="str">
        <f t="shared" si="0"/>
        <v>Fornecimento de Materiais e Equipamentos (aquisição indireta - em conjunto com licitação de obras)-BDI PAD</v>
      </c>
      <c r="E37" s="55">
        <v>0.111</v>
      </c>
      <c r="F37" s="55">
        <v>0.14019999999999999</v>
      </c>
      <c r="G37" s="55">
        <v>0.16800000000000001</v>
      </c>
      <c r="I37" t="s">
        <v>245</v>
      </c>
      <c r="J37" s="73"/>
      <c r="K37" s="73"/>
      <c r="L37" s="73"/>
      <c r="M37" s="73"/>
      <c r="N37" s="73"/>
      <c r="O37" s="73"/>
      <c r="P37" s="73"/>
      <c r="Q37" s="73"/>
      <c r="R37" s="73"/>
      <c r="S37" s="73"/>
    </row>
    <row r="38" spans="1:19" ht="50.1" customHeight="1" x14ac:dyDescent="0.2">
      <c r="A38" s="50" t="s">
        <v>181</v>
      </c>
      <c r="B38" s="59" t="s">
        <v>142</v>
      </c>
      <c r="C38" s="50" t="str">
        <f t="shared" si="0"/>
        <v>Fornecimento de Materiais e Equipamentos (aquisição direta)-AC</v>
      </c>
      <c r="E38" s="55" t="s">
        <v>166</v>
      </c>
      <c r="F38" s="55" t="s">
        <v>166</v>
      </c>
      <c r="G38" s="55" t="s">
        <v>166</v>
      </c>
      <c r="I38" t="s">
        <v>245</v>
      </c>
      <c r="J3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38" s="603"/>
      <c r="L38" s="603"/>
      <c r="M38" s="603"/>
      <c r="N38" s="603"/>
      <c r="O38" s="603"/>
      <c r="P38" s="603"/>
      <c r="Q38" s="603"/>
      <c r="R38" s="603"/>
      <c r="S38" s="603"/>
    </row>
    <row r="39" spans="1:19" x14ac:dyDescent="0.2">
      <c r="A39" s="50" t="s">
        <v>181</v>
      </c>
      <c r="B39" s="59" t="s">
        <v>144</v>
      </c>
      <c r="C39" s="50" t="str">
        <f t="shared" si="0"/>
        <v>Fornecimento de Materiais e Equipamentos (aquisição direta)-SG</v>
      </c>
      <c r="E39" s="55" t="s">
        <v>166</v>
      </c>
      <c r="F39" s="55" t="s">
        <v>166</v>
      </c>
      <c r="G39" s="55" t="s">
        <v>166</v>
      </c>
      <c r="I39" t="s">
        <v>245</v>
      </c>
    </row>
    <row r="40" spans="1:19" ht="50.1" customHeight="1" x14ac:dyDescent="0.2">
      <c r="A40" s="50" t="s">
        <v>181</v>
      </c>
      <c r="B40" s="59" t="s">
        <v>145</v>
      </c>
      <c r="C40" s="50" t="str">
        <f t="shared" si="0"/>
        <v>Fornecimento de Materiais e Equipamentos (aquisição direta)-R</v>
      </c>
      <c r="E40" s="55" t="s">
        <v>166</v>
      </c>
      <c r="F40" s="55" t="s">
        <v>166</v>
      </c>
      <c r="G40" s="55" t="s">
        <v>166</v>
      </c>
      <c r="I40" t="s">
        <v>245</v>
      </c>
      <c r="J4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03"/>
      <c r="L40" s="603"/>
      <c r="M40" s="603"/>
      <c r="N40" s="603"/>
      <c r="O40" s="603"/>
      <c r="P40" s="603"/>
      <c r="Q40" s="603"/>
      <c r="R40" s="603"/>
      <c r="S40" s="603"/>
    </row>
    <row r="41" spans="1:19" x14ac:dyDescent="0.2">
      <c r="A41" s="50" t="s">
        <v>181</v>
      </c>
      <c r="B41" s="59" t="s">
        <v>148</v>
      </c>
      <c r="C41" s="50" t="str">
        <f t="shared" si="0"/>
        <v>Fornecimento de Materiais e Equipamentos (aquisição direta)-DF</v>
      </c>
      <c r="E41" s="55" t="s">
        <v>166</v>
      </c>
      <c r="F41" s="55" t="s">
        <v>166</v>
      </c>
      <c r="G41" s="55" t="s">
        <v>166</v>
      </c>
      <c r="I41" t="s">
        <v>245</v>
      </c>
    </row>
    <row r="42" spans="1:19" x14ac:dyDescent="0.2">
      <c r="A42" s="50" t="s">
        <v>181</v>
      </c>
      <c r="B42" s="59" t="s">
        <v>149</v>
      </c>
      <c r="C42" s="50" t="str">
        <f t="shared" si="0"/>
        <v>Fornecimento de Materiais e Equipamentos (aquisição direta)-L</v>
      </c>
      <c r="E42" s="55" t="s">
        <v>166</v>
      </c>
      <c r="F42" s="55" t="s">
        <v>166</v>
      </c>
      <c r="G42" s="55" t="s">
        <v>166</v>
      </c>
      <c r="I42" t="s">
        <v>245</v>
      </c>
      <c r="J42" s="50" t="s">
        <v>186</v>
      </c>
    </row>
    <row r="43" spans="1:19" ht="99.95" customHeight="1" x14ac:dyDescent="0.2">
      <c r="A43" s="50" t="s">
        <v>181</v>
      </c>
      <c r="B43" s="59" t="s">
        <v>150</v>
      </c>
      <c r="C43" s="50" t="str">
        <f t="shared" si="0"/>
        <v>Fornecimento de Materiais e Equipamentos (aquisição direta)-BDI PAD</v>
      </c>
      <c r="E43" s="55" t="s">
        <v>166</v>
      </c>
      <c r="F43" s="55" t="s">
        <v>166</v>
      </c>
      <c r="G43" s="55" t="s">
        <v>166</v>
      </c>
      <c r="I43" t="s">
        <v>245</v>
      </c>
      <c r="J43" s="604" t="s">
        <v>504</v>
      </c>
      <c r="K43" s="604"/>
      <c r="L43" s="604"/>
      <c r="M43" s="604"/>
      <c r="N43" s="604"/>
      <c r="O43" s="604"/>
      <c r="P43" s="604"/>
      <c r="Q43" s="604"/>
      <c r="R43" s="604"/>
      <c r="S43" s="604"/>
    </row>
    <row r="44" spans="1:19" x14ac:dyDescent="0.2">
      <c r="A44" s="50" t="s">
        <v>182</v>
      </c>
      <c r="B44" s="54" t="s">
        <v>183</v>
      </c>
      <c r="C44" s="50" t="str">
        <f t="shared" si="0"/>
        <v>Estudos e Projetos, Planos e Gerenciamento e outros correlatos-K1</v>
      </c>
      <c r="E44" s="55" t="s">
        <v>166</v>
      </c>
      <c r="F44" s="55" t="s">
        <v>166</v>
      </c>
      <c r="G44" s="55" t="s">
        <v>166</v>
      </c>
      <c r="I44" t="s">
        <v>245</v>
      </c>
    </row>
    <row r="45" spans="1:19" x14ac:dyDescent="0.2">
      <c r="A45" s="50" t="str">
        <f>A44</f>
        <v>Estudos e Projetos, Planos e Gerenciamento e outros correlatos</v>
      </c>
      <c r="B45" s="54" t="s">
        <v>184</v>
      </c>
      <c r="C45" s="50" t="str">
        <f t="shared" si="0"/>
        <v>Estudos e Projetos, Planos e Gerenciamento e outros correlatos-K2</v>
      </c>
      <c r="E45" s="55" t="s">
        <v>166</v>
      </c>
      <c r="F45" s="55">
        <v>0.2</v>
      </c>
      <c r="G45" s="55" t="s">
        <v>166</v>
      </c>
      <c r="I45" t="s">
        <v>245</v>
      </c>
      <c r="J45" s="605" t="str">
        <f>Import.Município</f>
        <v>Bento Gonçalves</v>
      </c>
      <c r="K45" s="605"/>
      <c r="L45" s="605"/>
      <c r="M45" s="605"/>
      <c r="P45" s="606">
        <f>DADOS!$F$25</f>
        <v>0</v>
      </c>
      <c r="Q45" s="606"/>
      <c r="R45" s="606"/>
      <c r="S45" s="606"/>
    </row>
    <row r="46" spans="1:19" x14ac:dyDescent="0.2">
      <c r="A46" s="50" t="str">
        <f>A45</f>
        <v>Estudos e Projetos, Planos e Gerenciamento e outros correlatos</v>
      </c>
      <c r="B46" s="54"/>
      <c r="C46" s="50" t="str">
        <f t="shared" si="0"/>
        <v>Estudos e Projetos, Planos e Gerenciamento e outros correlatos-</v>
      </c>
      <c r="E46" s="55" t="s">
        <v>166</v>
      </c>
      <c r="F46" s="55" t="s">
        <v>166</v>
      </c>
      <c r="G46" s="55" t="s">
        <v>166</v>
      </c>
      <c r="I46" t="s">
        <v>245</v>
      </c>
      <c r="J46" s="607" t="s">
        <v>187</v>
      </c>
      <c r="K46" s="607"/>
      <c r="L46" s="607"/>
      <c r="M46" s="607"/>
      <c r="O46" s="74"/>
      <c r="P46" s="75" t="s">
        <v>188</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166</v>
      </c>
      <c r="F47" s="55" t="s">
        <v>166</v>
      </c>
      <c r="G47" s="55" t="s">
        <v>166</v>
      </c>
      <c r="I47" t="s">
        <v>245</v>
      </c>
    </row>
    <row r="48" spans="1:19" ht="15" x14ac:dyDescent="0.2">
      <c r="A48" s="50" t="str">
        <f>A47</f>
        <v>Estudos e Projetos, Planos e Gerenciamento e outros correlatos</v>
      </c>
      <c r="B48" s="54" t="s">
        <v>185</v>
      </c>
      <c r="C48" s="50" t="str">
        <f t="shared" si="0"/>
        <v>Estudos e Projetos, Planos e Gerenciamento e outros correlatos-K3</v>
      </c>
      <c r="E48" s="55" t="s">
        <v>166</v>
      </c>
      <c r="F48" s="55">
        <v>0.12</v>
      </c>
      <c r="G48" s="55" t="s">
        <v>166</v>
      </c>
      <c r="I48" t="s">
        <v>245</v>
      </c>
      <c r="J48" s="608"/>
      <c r="K48" s="608"/>
      <c r="L48" s="608"/>
      <c r="M48" s="608"/>
      <c r="N48" s="77"/>
    </row>
    <row r="49" spans="1:26" ht="12.75" customHeight="1" x14ac:dyDescent="0.2">
      <c r="A49" s="50" t="str">
        <f>A48</f>
        <v>Estudos e Projetos, Planos e Gerenciamento e outros correlatos</v>
      </c>
      <c r="B49" s="59" t="s">
        <v>150</v>
      </c>
      <c r="C49" s="50" t="str">
        <f t="shared" si="0"/>
        <v>Estudos e Projetos, Planos e Gerenciamento e outros correlatos-BDI PAD</v>
      </c>
      <c r="E49" s="55" t="s">
        <v>166</v>
      </c>
      <c r="F49" s="55" t="s">
        <v>166</v>
      </c>
      <c r="G49" s="55" t="s">
        <v>166</v>
      </c>
      <c r="I49" t="s">
        <v>245</v>
      </c>
      <c r="J49" s="602" t="s">
        <v>189</v>
      </c>
      <c r="K49" s="602"/>
      <c r="L49" s="602"/>
      <c r="M49" s="602"/>
    </row>
    <row r="50" spans="1:26" ht="14.25" x14ac:dyDescent="0.2">
      <c r="B50" s="59"/>
      <c r="E50" s="55"/>
      <c r="F50" s="55"/>
      <c r="G50" s="55"/>
      <c r="I50" t="s">
        <v>245</v>
      </c>
      <c r="J50" s="78" t="s">
        <v>108</v>
      </c>
      <c r="K50" s="79">
        <f t="array" ref="K50:K52">Import.RespOrçamento</f>
        <v>0</v>
      </c>
      <c r="L50" s="80"/>
      <c r="M50" s="80"/>
      <c r="N50" s="77"/>
    </row>
    <row r="51" spans="1:26" ht="14.25" x14ac:dyDescent="0.2">
      <c r="A51"/>
      <c r="B51"/>
      <c r="C51"/>
      <c r="D51"/>
      <c r="E51"/>
      <c r="F51"/>
      <c r="G51"/>
      <c r="I51" t="s">
        <v>245</v>
      </c>
      <c r="J51" s="78" t="s">
        <v>109</v>
      </c>
      <c r="K51" s="79">
        <v>0</v>
      </c>
      <c r="L51" s="80"/>
      <c r="M51" s="80"/>
      <c r="N51" s="77"/>
    </row>
    <row r="52" spans="1:26" ht="14.25" x14ac:dyDescent="0.2">
      <c r="A52"/>
      <c r="B52"/>
      <c r="C52"/>
      <c r="D52"/>
      <c r="E52"/>
      <c r="F52"/>
      <c r="G52"/>
      <c r="I52" t="s">
        <v>245</v>
      </c>
      <c r="J52" s="78" t="s">
        <v>110</v>
      </c>
      <c r="K52" s="79">
        <v>0</v>
      </c>
      <c r="L52" s="80"/>
      <c r="M52" s="80"/>
      <c r="N52" s="77"/>
    </row>
    <row r="53" spans="1:26" ht="14.25" x14ac:dyDescent="0.2">
      <c r="A53"/>
      <c r="B53"/>
      <c r="C53"/>
      <c r="D53"/>
      <c r="E53"/>
      <c r="F53"/>
      <c r="G53"/>
      <c r="I53" t="s">
        <v>245</v>
      </c>
      <c r="J53" s="78"/>
      <c r="K53" s="81"/>
      <c r="L53" s="80"/>
      <c r="M53" s="80"/>
      <c r="N53" s="77"/>
    </row>
    <row r="54" spans="1:26" ht="15.75" x14ac:dyDescent="0.25">
      <c r="A54"/>
      <c r="B54"/>
      <c r="C54"/>
      <c r="D54"/>
      <c r="E54"/>
      <c r="F54"/>
      <c r="G54"/>
      <c r="I54" t="str">
        <f ca="1">IF($S$69=0,"","F")</f>
        <v>F</v>
      </c>
      <c r="J54" s="624" t="s">
        <v>190</v>
      </c>
      <c r="K54" s="624"/>
      <c r="L54" s="624"/>
      <c r="M54" s="624"/>
      <c r="N54" s="624"/>
      <c r="O54" s="624"/>
      <c r="P54" s="624"/>
      <c r="Q54" s="624"/>
      <c r="R54" s="624"/>
      <c r="S54" s="624"/>
    </row>
    <row r="55" spans="1:26" x14ac:dyDescent="0.2">
      <c r="A55"/>
      <c r="B55"/>
      <c r="C55"/>
      <c r="D55"/>
      <c r="E55"/>
      <c r="F55"/>
      <c r="G55"/>
      <c r="I55" t="str">
        <f t="shared" ref="I55:I93" ca="1" si="1">IF($S$69=0,"","F")</f>
        <v>F</v>
      </c>
    </row>
    <row r="56" spans="1:26" x14ac:dyDescent="0.2">
      <c r="A56"/>
      <c r="B56"/>
      <c r="C56"/>
      <c r="D56"/>
      <c r="E56"/>
      <c r="F56"/>
      <c r="G56"/>
      <c r="I56" t="str">
        <f t="shared" ca="1" si="1"/>
        <v>F</v>
      </c>
      <c r="J56" s="622" t="s">
        <v>157</v>
      </c>
      <c r="K56" s="622"/>
      <c r="L56" s="622"/>
      <c r="M56" s="622"/>
      <c r="N56" s="622"/>
      <c r="O56" s="622"/>
      <c r="P56" s="622"/>
      <c r="Q56" s="622"/>
      <c r="R56" s="622"/>
      <c r="S56" s="622"/>
    </row>
    <row r="57" spans="1:26" x14ac:dyDescent="0.2">
      <c r="A57"/>
      <c r="B57"/>
      <c r="C57"/>
      <c r="D57"/>
      <c r="E57"/>
      <c r="F57"/>
      <c r="G57"/>
      <c r="I57" t="str">
        <f t="shared" ca="1" si="1"/>
        <v>F</v>
      </c>
      <c r="J57" s="623" t="s">
        <v>176</v>
      </c>
      <c r="K57" s="623"/>
      <c r="L57" s="623"/>
      <c r="M57" s="623"/>
      <c r="N57" s="623"/>
      <c r="O57" s="623"/>
      <c r="P57" s="623"/>
      <c r="Q57" s="623"/>
      <c r="R57" s="623"/>
      <c r="S57" s="623"/>
    </row>
    <row r="58" spans="1:26" x14ac:dyDescent="0.2">
      <c r="A58"/>
      <c r="B58"/>
      <c r="C58"/>
      <c r="D58"/>
      <c r="E58"/>
      <c r="F58"/>
      <c r="G58"/>
      <c r="I58" t="str">
        <f t="shared" ca="1" si="1"/>
        <v>F</v>
      </c>
    </row>
    <row r="59" spans="1:26" ht="12.75" customHeight="1" x14ac:dyDescent="0.2">
      <c r="A59"/>
      <c r="B59"/>
      <c r="C59"/>
      <c r="D59"/>
      <c r="E59"/>
      <c r="F59"/>
      <c r="G59"/>
      <c r="I59" t="str">
        <f t="shared" ca="1" si="1"/>
        <v>F</v>
      </c>
      <c r="J59" s="621" t="s">
        <v>158</v>
      </c>
      <c r="K59" s="621"/>
      <c r="L59" s="621"/>
      <c r="M59" s="621"/>
      <c r="N59" s="621"/>
      <c r="O59" s="621"/>
      <c r="P59" s="621"/>
      <c r="Q59" s="621"/>
      <c r="R59" s="621" t="s">
        <v>159</v>
      </c>
      <c r="S59" s="612" t="s">
        <v>160</v>
      </c>
      <c r="U59" s="612" t="s">
        <v>161</v>
      </c>
      <c r="V59" s="612"/>
      <c r="W59" s="612"/>
      <c r="X59" s="620" t="s">
        <v>162</v>
      </c>
      <c r="Y59" s="620" t="s">
        <v>163</v>
      </c>
      <c r="Z59" s="620" t="s">
        <v>164</v>
      </c>
    </row>
    <row r="60" spans="1:26" ht="12.75" customHeight="1" x14ac:dyDescent="0.2">
      <c r="A60"/>
      <c r="B60"/>
      <c r="C60"/>
      <c r="D60"/>
      <c r="E60"/>
      <c r="F60"/>
      <c r="G60"/>
      <c r="I60" t="str">
        <f t="shared" ca="1" si="1"/>
        <v>F</v>
      </c>
      <c r="J60" s="621"/>
      <c r="K60" s="621"/>
      <c r="L60" s="621"/>
      <c r="M60" s="621"/>
      <c r="N60" s="621"/>
      <c r="O60" s="621"/>
      <c r="P60" s="621"/>
      <c r="Q60" s="621"/>
      <c r="R60" s="621"/>
      <c r="S60" s="612"/>
      <c r="U60" s="612"/>
      <c r="V60" s="612"/>
      <c r="W60" s="612"/>
      <c r="X60" s="620"/>
      <c r="Y60" s="620"/>
      <c r="Z60" s="620"/>
    </row>
    <row r="61" spans="1:26" ht="15" customHeight="1" x14ac:dyDescent="0.2">
      <c r="A61"/>
      <c r="B61"/>
      <c r="C61"/>
      <c r="D61"/>
      <c r="E61"/>
      <c r="F61"/>
      <c r="G61"/>
      <c r="I61" t="str">
        <f t="shared" ca="1" si="1"/>
        <v>F</v>
      </c>
      <c r="J61" s="610" t="str">
        <f>IF($J$17=$A$146,"Encargos Sociais incidentes sobre a mão de obra","Administração Central")</f>
        <v>Administração Central</v>
      </c>
      <c r="K61" s="610"/>
      <c r="L61" s="610"/>
      <c r="M61" s="610"/>
      <c r="N61" s="610"/>
      <c r="O61" s="610"/>
      <c r="P61" s="610"/>
      <c r="Q61" s="610"/>
      <c r="R61" s="61" t="str">
        <f>IF($J57=$A$146,"K1","AC")</f>
        <v>AC</v>
      </c>
      <c r="S61" s="62">
        <v>3.4500000000000003E-2</v>
      </c>
      <c r="U61" s="611" t="s">
        <v>166</v>
      </c>
      <c r="V61" s="611"/>
      <c r="W61" s="611"/>
      <c r="X61" s="63">
        <f>VLOOKUP(CONCATENATE(J57,"-",R61),$C$2:$G$136,3,FALSE)</f>
        <v>1.4999999999999999E-2</v>
      </c>
      <c r="Y61" s="63">
        <f>VLOOKUP(CONCATENATE(J57,"-",R61),$C$2:$G$136,4,FALSE)</f>
        <v>3.4500000000000003E-2</v>
      </c>
      <c r="Z61" s="63">
        <f>VLOOKUP(CONCATENATE(J57,"-",R61),$C$2:$G$136,5,FALSE)</f>
        <v>4.4900000000000002E-2</v>
      </c>
    </row>
    <row r="62" spans="1:26" ht="15" customHeight="1" x14ac:dyDescent="0.2">
      <c r="A62"/>
      <c r="B62"/>
      <c r="C62"/>
      <c r="D62"/>
      <c r="E62"/>
      <c r="F62"/>
      <c r="G62"/>
      <c r="I62" t="str">
        <f t="shared" ca="1" si="1"/>
        <v>F</v>
      </c>
      <c r="J62" s="610" t="str">
        <f>IF($J$17=$A$146,"Administração Central da empresa ou consultoria - overhead","Seguro e Garantia")</f>
        <v>Seguro e Garantia</v>
      </c>
      <c r="K62" s="610"/>
      <c r="L62" s="610"/>
      <c r="M62" s="610"/>
      <c r="N62" s="610"/>
      <c r="O62" s="610"/>
      <c r="P62" s="610"/>
      <c r="Q62" s="610"/>
      <c r="R62" s="61" t="str">
        <f>IF($J57=$A$146,"K2","SG")</f>
        <v>SG</v>
      </c>
      <c r="S62" s="62">
        <v>4.7999999999999996E-3</v>
      </c>
      <c r="U62" s="611" t="s">
        <v>166</v>
      </c>
      <c r="V62" s="611"/>
      <c r="W62" s="611"/>
      <c r="X62" s="63">
        <f>VLOOKUP(CONCATENATE(J57,"-",R62),$C$2:$G$136,3,FALSE)</f>
        <v>3.0000000000000001E-3</v>
      </c>
      <c r="Y62" s="63">
        <f>VLOOKUP(CONCATENATE(J57,"-",R62),$C$2:$G$136,4,FALSE)</f>
        <v>4.7999999999999996E-3</v>
      </c>
      <c r="Z62" s="63">
        <f>VLOOKUP(CONCATENATE(J57,"-",R62),$C$2:$G$136,5,FALSE)</f>
        <v>8.199999999999999E-3</v>
      </c>
    </row>
    <row r="63" spans="1:26" ht="15" customHeight="1" x14ac:dyDescent="0.2">
      <c r="A63"/>
      <c r="B63"/>
      <c r="C63"/>
      <c r="D63"/>
      <c r="E63"/>
      <c r="F63"/>
      <c r="G63"/>
      <c r="I63" t="str">
        <f t="shared" ca="1" si="1"/>
        <v>F</v>
      </c>
      <c r="J63" s="610" t="str">
        <f>IF($J$17=$A$146,"","Risco")</f>
        <v>Risco</v>
      </c>
      <c r="K63" s="610"/>
      <c r="L63" s="610"/>
      <c r="M63" s="610"/>
      <c r="N63" s="610"/>
      <c r="O63" s="610"/>
      <c r="P63" s="610"/>
      <c r="Q63" s="610"/>
      <c r="R63" s="61" t="str">
        <f>IF($J57=$A$146,"","R")</f>
        <v>R</v>
      </c>
      <c r="S63" s="62">
        <v>8.5000000000000006E-3</v>
      </c>
      <c r="U63" s="611" t="s">
        <v>166</v>
      </c>
      <c r="V63" s="611"/>
      <c r="W63" s="611"/>
      <c r="X63" s="63">
        <f>VLOOKUP(CONCATENATE(J57,"-",R63),$C$2:$G$136,3,FALSE)</f>
        <v>5.6000000000000008E-3</v>
      </c>
      <c r="Y63" s="63">
        <f>VLOOKUP(CONCATENATE(J57,"-",R63),$C$2:$G$136,4,FALSE)</f>
        <v>8.5000000000000006E-3</v>
      </c>
      <c r="Z63" s="63">
        <f>VLOOKUP(CONCATENATE(J57,"-",R63),$C$2:$G$136,5,FALSE)</f>
        <v>8.8999999999999999E-3</v>
      </c>
    </row>
    <row r="64" spans="1:26" ht="15" customHeight="1" x14ac:dyDescent="0.2">
      <c r="A64"/>
      <c r="B64"/>
      <c r="C64"/>
      <c r="D64"/>
      <c r="E64"/>
      <c r="F64"/>
      <c r="G64"/>
      <c r="I64" t="str">
        <f t="shared" ca="1" si="1"/>
        <v>F</v>
      </c>
      <c r="J64" s="610" t="str">
        <f>IF($J$17=$A$146,"","Despesas Financeiras")</f>
        <v>Despesas Financeiras</v>
      </c>
      <c r="K64" s="610"/>
      <c r="L64" s="610"/>
      <c r="M64" s="610"/>
      <c r="N64" s="610"/>
      <c r="O64" s="610"/>
      <c r="P64" s="610"/>
      <c r="Q64" s="610"/>
      <c r="R64" s="61" t="str">
        <f>IF($J57=$A$146,"","DF")</f>
        <v>DF</v>
      </c>
      <c r="S64" s="62">
        <v>8.5000000000000006E-3</v>
      </c>
      <c r="U64" s="611" t="s">
        <v>166</v>
      </c>
      <c r="V64" s="611"/>
      <c r="W64" s="611"/>
      <c r="X64" s="63">
        <f>VLOOKUP(CONCATENATE(J57,"-",R64),$C$2:$G$136,3,FALSE)</f>
        <v>8.5000000000000006E-3</v>
      </c>
      <c r="Y64" s="63">
        <f>VLOOKUP(CONCATENATE(J57,"-",R64),$C$2:$G$136,4,FALSE)</f>
        <v>8.5000000000000006E-3</v>
      </c>
      <c r="Z64" s="63">
        <f>VLOOKUP(CONCATENATE(J57,"-",R64),$C$2:$G$136,5,FALSE)</f>
        <v>1.11E-2</v>
      </c>
    </row>
    <row r="65" spans="1:26" ht="15" customHeight="1" x14ac:dyDescent="0.2">
      <c r="A65"/>
      <c r="B65"/>
      <c r="C65"/>
      <c r="D65"/>
      <c r="E65"/>
      <c r="F65"/>
      <c r="G65"/>
      <c r="I65" t="str">
        <f t="shared" ca="1" si="1"/>
        <v>F</v>
      </c>
      <c r="J65" s="610" t="str">
        <f>IF($J$17=$A$146,"Margem bruta da empresa de consultoria","Lucro")</f>
        <v>Lucro</v>
      </c>
      <c r="K65" s="610"/>
      <c r="L65" s="610"/>
      <c r="M65" s="610"/>
      <c r="N65" s="610"/>
      <c r="O65" s="610"/>
      <c r="P65" s="610"/>
      <c r="Q65" s="610"/>
      <c r="R65" s="61" t="str">
        <f>IF($J57=$A$146,"K3","L")</f>
        <v>L</v>
      </c>
      <c r="S65" s="62">
        <v>0.05</v>
      </c>
      <c r="U65" s="611" t="s">
        <v>166</v>
      </c>
      <c r="V65" s="611"/>
      <c r="W65" s="611"/>
      <c r="X65" s="63">
        <f>VLOOKUP(CONCATENATE(J57,"-",R65),$C$2:$G$136,3,FALSE)</f>
        <v>3.5000000000000003E-2</v>
      </c>
      <c r="Y65" s="63">
        <f>VLOOKUP(CONCATENATE(J57,"-",R65),$C$2:$G$136,4,FALSE)</f>
        <v>5.1100000000000007E-2</v>
      </c>
      <c r="Z65" s="63">
        <f>VLOOKUP(CONCATENATE(J57,"-",R65),$C$2:$G$136,5,FALSE)</f>
        <v>6.2199999999999998E-2</v>
      </c>
    </row>
    <row r="66" spans="1:26" ht="15" customHeight="1" x14ac:dyDescent="0.2">
      <c r="A66"/>
      <c r="B66"/>
      <c r="C66"/>
      <c r="D66"/>
      <c r="E66"/>
      <c r="F66"/>
      <c r="G66"/>
      <c r="I66" t="str">
        <f t="shared" ca="1" si="1"/>
        <v>F</v>
      </c>
      <c r="J66" s="610" t="s">
        <v>168</v>
      </c>
      <c r="K66" s="610"/>
      <c r="L66" s="610"/>
      <c r="M66" s="610"/>
      <c r="N66" s="610"/>
      <c r="O66" s="610"/>
      <c r="P66" s="610"/>
      <c r="Q66" s="610"/>
      <c r="R66" s="61" t="s">
        <v>169</v>
      </c>
      <c r="S66" s="62">
        <v>3.6499999999999998E-2</v>
      </c>
      <c r="U66" s="611" t="s">
        <v>166</v>
      </c>
      <c r="V66" s="611"/>
      <c r="W66" s="611"/>
      <c r="X66" s="63">
        <v>3.6499999999999998E-2</v>
      </c>
      <c r="Y66" s="63">
        <v>3.6499999999999998E-2</v>
      </c>
      <c r="Z66" s="63">
        <v>3.6499999999999998E-2</v>
      </c>
    </row>
    <row r="67" spans="1:26" ht="15" customHeight="1" x14ac:dyDescent="0.2">
      <c r="A67"/>
      <c r="B67"/>
      <c r="C67"/>
      <c r="D67"/>
      <c r="E67"/>
      <c r="F67"/>
      <c r="G67"/>
      <c r="I67" t="str">
        <f t="shared" ca="1" si="1"/>
        <v>F</v>
      </c>
      <c r="J67" s="610" t="s">
        <v>170</v>
      </c>
      <c r="K67" s="610"/>
      <c r="L67" s="610"/>
      <c r="M67" s="610"/>
      <c r="N67" s="610"/>
      <c r="O67" s="610"/>
      <c r="P67" s="610"/>
      <c r="Q67" s="610"/>
      <c r="R67" s="61" t="s">
        <v>171</v>
      </c>
      <c r="S67" s="63">
        <f ca="1">IF(AND($J57&lt;&gt;$A$145,COUNTA(OFFSET(S60,1,0,6))&gt;0),$R$11*$R$10,0)</f>
        <v>1.35E-2</v>
      </c>
      <c r="U67" s="611" t="s">
        <v>166</v>
      </c>
      <c r="V67" s="611"/>
      <c r="W67" s="611"/>
      <c r="X67" s="63">
        <v>0</v>
      </c>
      <c r="Y67" s="63">
        <v>2.5000000000000001E-2</v>
      </c>
      <c r="Z67" s="63">
        <v>0.05</v>
      </c>
    </row>
    <row r="68" spans="1:26" ht="15" customHeight="1" x14ac:dyDescent="0.2">
      <c r="A68"/>
      <c r="B68"/>
      <c r="C68"/>
      <c r="D68"/>
      <c r="E68"/>
      <c r="F68"/>
      <c r="G68"/>
      <c r="I68" t="str">
        <f t="shared" ca="1" si="1"/>
        <v>F</v>
      </c>
      <c r="J68" s="610" t="s">
        <v>437</v>
      </c>
      <c r="K68" s="610"/>
      <c r="L68" s="610"/>
      <c r="M68" s="610"/>
      <c r="N68" s="610"/>
      <c r="O68" s="610"/>
      <c r="P68" s="610"/>
      <c r="Q68" s="610"/>
      <c r="R68" s="61" t="s">
        <v>172</v>
      </c>
      <c r="S68" s="63" cm="1">
        <f t="array" aca="1" ref="S68" ca="1">IF(BDI.Opcao&lt;&gt;"Desonerado",0,IF(AND($J57&lt;&gt;$A$145,COUNTA(OFFSET(S60,1,0,6))&gt;0),IF(YEAR(Import.DataBase)&lt;2025,4.5%,IF(YEAR(Import.DataBase)=2025,3.6%,IF(YEAR(Import.DataBase)=2026,2.7%,IF(YEAR(Import.DataBase)=2027,1.8%,0%)))),0%))</f>
        <v>0</v>
      </c>
      <c r="U68" s="611" t="s">
        <v>166</v>
      </c>
      <c r="V68" s="611"/>
      <c r="W68" s="611"/>
      <c r="X68" s="64">
        <f ca="1">$S68</f>
        <v>0</v>
      </c>
      <c r="Y68" s="64">
        <f ca="1">$S68</f>
        <v>0</v>
      </c>
      <c r="Z68" s="64">
        <f ca="1">$S68</f>
        <v>0</v>
      </c>
    </row>
    <row r="69" spans="1:26" ht="15" customHeight="1" x14ac:dyDescent="0.2">
      <c r="A69"/>
      <c r="B69"/>
      <c r="C69"/>
      <c r="D69"/>
      <c r="E69"/>
      <c r="F69"/>
      <c r="G69"/>
      <c r="I69" t="str">
        <f t="shared" ca="1" si="1"/>
        <v>F</v>
      </c>
      <c r="J69" s="610" t="s">
        <v>173</v>
      </c>
      <c r="K69" s="610"/>
      <c r="L69" s="610"/>
      <c r="M69" s="610"/>
      <c r="N69" s="610"/>
      <c r="O69" s="610"/>
      <c r="P69" s="610"/>
      <c r="Q69" s="610"/>
      <c r="R69" s="65" t="s">
        <v>150</v>
      </c>
      <c r="S69" s="63">
        <f ca="1">IF($J57=$A$145,0,ROUND((((1+S61+S62+S63)*(1+S64)*(1+S65)/(1-(S66+S67)))-1),4))</f>
        <v>0.16789999999999999</v>
      </c>
      <c r="U69" s="612" t="str">
        <f ca="1">IF(OR($J$17=$A$146,$J$17=$A$145,AND(S69&gt;=X69,S69&lt;=Z69)),"OK","FORA DO INTERVALO")</f>
        <v>OK</v>
      </c>
      <c r="V69" s="612"/>
      <c r="W69" s="612"/>
      <c r="X69" s="63">
        <f>IF($J57=$A$145,0,VLOOKUP(CONCATENATE($J57,"-",$R69),$C$2:$G$136,3,FALSE))</f>
        <v>0.111</v>
      </c>
      <c r="Y69" s="63">
        <f>IF($J57=$A$145,0,VLOOKUP(CONCATENATE($J57,"-",$R69),$C$2:$G$136,4,FALSE))</f>
        <v>0.14019999999999999</v>
      </c>
      <c r="Z69" s="63">
        <f>IF($J57=$A$145,0,VLOOKUP(CONCATENATE($J57,"-",$R69),$C$2:$G$136,5,FALSE))</f>
        <v>0.16800000000000001</v>
      </c>
    </row>
    <row r="70" spans="1:26" ht="15" customHeight="1" x14ac:dyDescent="0.2">
      <c r="A70"/>
      <c r="B70"/>
      <c r="C70"/>
      <c r="D70"/>
      <c r="E70"/>
      <c r="F70"/>
      <c r="G70"/>
      <c r="I70" t="str">
        <f t="shared" ca="1" si="1"/>
        <v>F</v>
      </c>
      <c r="J70" s="613" t="s">
        <v>174</v>
      </c>
      <c r="K70" s="613"/>
      <c r="L70" s="613"/>
      <c r="M70" s="613"/>
      <c r="N70" s="613"/>
      <c r="O70" s="613"/>
      <c r="P70" s="613"/>
      <c r="Q70" s="613"/>
      <c r="R70" s="66" t="s">
        <v>175</v>
      </c>
      <c r="S70" s="67">
        <f ca="1">IF($J57=$A$145,0,ROUND((((1+S61+S62+S63)*(1+S64)*(1+S65)/(1-(S66+S67+S68)))-1),4))</f>
        <v>0.16789999999999999</v>
      </c>
    </row>
    <row r="71" spans="1:26" ht="15" customHeight="1" x14ac:dyDescent="0.2">
      <c r="A71"/>
      <c r="B71"/>
      <c r="C71"/>
      <c r="D71"/>
      <c r="E71"/>
      <c r="F71"/>
      <c r="G71"/>
      <c r="I71" t="str">
        <f t="shared" ca="1" si="1"/>
        <v>F</v>
      </c>
    </row>
    <row r="72" spans="1:26" ht="15.75" x14ac:dyDescent="0.2">
      <c r="A72"/>
      <c r="B72"/>
      <c r="C72"/>
      <c r="D72"/>
      <c r="E72"/>
      <c r="F72"/>
      <c r="G72"/>
      <c r="I72" t="str">
        <f t="shared" ca="1" si="1"/>
        <v>F</v>
      </c>
      <c r="J72" s="68" t="str">
        <f ca="1">IF(U69&lt;&gt;"ok","X","")</f>
        <v/>
      </c>
      <c r="K72" s="614" t="str">
        <f ca="1">IF(U69&lt;&gt;"ok","Anexo: Relatório Técnico Circunstanciado justificando a adoção do percentual de cada parcela do BDI.","")</f>
        <v/>
      </c>
      <c r="L72" s="614"/>
      <c r="M72" s="614"/>
      <c r="N72" s="614"/>
      <c r="O72" s="614"/>
      <c r="P72" s="614"/>
      <c r="Q72" s="614"/>
      <c r="R72" s="614"/>
      <c r="S72" s="614"/>
    </row>
    <row r="73" spans="1:26" x14ac:dyDescent="0.2">
      <c r="A73"/>
      <c r="B73"/>
      <c r="C73"/>
      <c r="D73"/>
      <c r="E73"/>
      <c r="F73"/>
      <c r="G73"/>
      <c r="I73" t="str">
        <f t="shared" ca="1" si="1"/>
        <v>F</v>
      </c>
    </row>
    <row r="74" spans="1:26" x14ac:dyDescent="0.2">
      <c r="A74"/>
      <c r="B74"/>
      <c r="C74"/>
      <c r="D74"/>
      <c r="E74"/>
      <c r="F74"/>
      <c r="G74"/>
      <c r="I74" t="str">
        <f t="shared" ca="1" si="1"/>
        <v>F</v>
      </c>
      <c r="J74" s="616" t="s">
        <v>177</v>
      </c>
      <c r="K74" s="616"/>
      <c r="L74" s="616"/>
      <c r="M74" s="616"/>
      <c r="N74" s="616"/>
      <c r="O74" s="616"/>
      <c r="P74" s="616"/>
      <c r="Q74" s="616"/>
      <c r="R74" s="616"/>
      <c r="S74" s="616"/>
    </row>
    <row r="75" spans="1:26" ht="15.75" x14ac:dyDescent="0.25">
      <c r="A75"/>
      <c r="B75"/>
      <c r="C75"/>
      <c r="D75"/>
      <c r="E75"/>
      <c r="F75"/>
      <c r="G75"/>
      <c r="I75" t="str">
        <f t="shared" ca="1" si="1"/>
        <v>F</v>
      </c>
      <c r="J75" s="69"/>
      <c r="K75" s="69"/>
      <c r="L75" s="69"/>
      <c r="M75" s="617" t="s">
        <v>178</v>
      </c>
      <c r="N75" s="618" t="str">
        <f>IF($J57=$A$146,"(1+K1+K2)*(1+K3)","(1+AC + S + R + G)*(1 + DF)*(1+L)")</f>
        <v>(1+AC + S + R + G)*(1 + DF)*(1+L)</v>
      </c>
      <c r="O75" s="618"/>
      <c r="P75" s="618"/>
      <c r="Q75" s="619" t="s">
        <v>179</v>
      </c>
      <c r="R75" s="69"/>
      <c r="S75" s="69"/>
    </row>
    <row r="76" spans="1:26" ht="15.75" x14ac:dyDescent="0.2">
      <c r="A76"/>
      <c r="B76"/>
      <c r="C76"/>
      <c r="D76"/>
      <c r="E76"/>
      <c r="F76"/>
      <c r="G76"/>
      <c r="I76" t="str">
        <f t="shared" ca="1" si="1"/>
        <v>F</v>
      </c>
      <c r="J76" s="69"/>
      <c r="K76" s="69"/>
      <c r="L76" s="69"/>
      <c r="M76" s="617"/>
      <c r="N76" s="609" t="s">
        <v>180</v>
      </c>
      <c r="O76" s="609"/>
      <c r="P76" s="609"/>
      <c r="Q76" s="619"/>
      <c r="R76" s="69"/>
      <c r="S76" s="69"/>
    </row>
    <row r="77" spans="1:26" ht="15" customHeight="1" x14ac:dyDescent="0.2">
      <c r="A77"/>
      <c r="B77"/>
      <c r="C77"/>
      <c r="D77"/>
      <c r="E77"/>
      <c r="F77"/>
      <c r="G77"/>
      <c r="I77" t="str">
        <f t="shared" ca="1" si="1"/>
        <v>F</v>
      </c>
      <c r="J77" s="69"/>
      <c r="K77" s="69"/>
      <c r="L77" s="69"/>
      <c r="M77" s="70"/>
      <c r="N77" s="72"/>
      <c r="O77" s="72"/>
      <c r="P77" s="72"/>
      <c r="Q77" s="71"/>
      <c r="R77" s="69"/>
      <c r="S77" s="69"/>
    </row>
    <row r="78" spans="1:26" ht="50.1" customHeight="1" x14ac:dyDescent="0.2">
      <c r="A78"/>
      <c r="B78"/>
      <c r="C78"/>
      <c r="D78"/>
      <c r="E78"/>
      <c r="F78"/>
      <c r="G78"/>
      <c r="I78" t="str">
        <f t="shared" ca="1" si="1"/>
        <v>F</v>
      </c>
      <c r="J7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78" s="603"/>
      <c r="L78" s="603"/>
      <c r="M78" s="603"/>
      <c r="N78" s="603"/>
      <c r="O78" s="603"/>
      <c r="P78" s="603"/>
      <c r="Q78" s="603"/>
      <c r="R78" s="603"/>
      <c r="S78" s="603"/>
    </row>
    <row r="79" spans="1:26" x14ac:dyDescent="0.2">
      <c r="A79"/>
      <c r="B79"/>
      <c r="C79"/>
      <c r="D79"/>
      <c r="E79"/>
      <c r="F79"/>
      <c r="G79"/>
      <c r="I79" t="str">
        <f t="shared" ca="1" si="1"/>
        <v>F</v>
      </c>
    </row>
    <row r="80" spans="1:26" ht="50.1" customHeight="1" x14ac:dyDescent="0.2">
      <c r="A80"/>
      <c r="B80"/>
      <c r="C80"/>
      <c r="D80"/>
      <c r="E80"/>
      <c r="F80"/>
      <c r="G80"/>
      <c r="I80" t="str">
        <f t="shared" ca="1" si="1"/>
        <v>F</v>
      </c>
      <c r="J8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03"/>
      <c r="L80" s="603"/>
      <c r="M80" s="603"/>
      <c r="N80" s="603"/>
      <c r="O80" s="603"/>
      <c r="P80" s="603"/>
      <c r="Q80" s="603"/>
      <c r="R80" s="603"/>
      <c r="S80" s="603"/>
    </row>
    <row r="81" spans="1:19" x14ac:dyDescent="0.2">
      <c r="A81"/>
      <c r="B81"/>
      <c r="C81"/>
      <c r="D81"/>
      <c r="E81"/>
      <c r="F81"/>
      <c r="G81"/>
      <c r="I81" t="str">
        <f t="shared" ca="1" si="1"/>
        <v>F</v>
      </c>
    </row>
    <row r="82" spans="1:19" x14ac:dyDescent="0.2">
      <c r="A82"/>
      <c r="B82"/>
      <c r="C82"/>
      <c r="D82"/>
      <c r="E82"/>
      <c r="F82"/>
      <c r="G82"/>
      <c r="I82" t="str">
        <f t="shared" ca="1" si="1"/>
        <v>F</v>
      </c>
      <c r="J82" s="50" t="s">
        <v>186</v>
      </c>
    </row>
    <row r="83" spans="1:19" ht="99.95" customHeight="1" x14ac:dyDescent="0.2">
      <c r="A83"/>
      <c r="B83"/>
      <c r="C83"/>
      <c r="D83"/>
      <c r="E83"/>
      <c r="F83"/>
      <c r="G83"/>
      <c r="I83" t="str">
        <f t="shared" ca="1" si="1"/>
        <v>F</v>
      </c>
      <c r="J83" s="604" t="s">
        <v>504</v>
      </c>
      <c r="K83" s="604"/>
      <c r="L83" s="604"/>
      <c r="M83" s="604"/>
      <c r="N83" s="604"/>
      <c r="O83" s="604"/>
      <c r="P83" s="604"/>
      <c r="Q83" s="604"/>
      <c r="R83" s="604"/>
      <c r="S83" s="604"/>
    </row>
    <row r="84" spans="1:19" x14ac:dyDescent="0.2">
      <c r="A84"/>
      <c r="B84"/>
      <c r="C84"/>
      <c r="D84"/>
      <c r="E84"/>
      <c r="F84"/>
      <c r="G84"/>
      <c r="I84" t="str">
        <f t="shared" ca="1" si="1"/>
        <v>F</v>
      </c>
    </row>
    <row r="85" spans="1:19" x14ac:dyDescent="0.2">
      <c r="A85"/>
      <c r="B85"/>
      <c r="C85"/>
      <c r="D85"/>
      <c r="E85"/>
      <c r="F85"/>
      <c r="G85"/>
      <c r="I85" t="str">
        <f t="shared" ca="1" si="1"/>
        <v>F</v>
      </c>
      <c r="J85" s="605" t="str">
        <f>Import.Município</f>
        <v>Bento Gonçalves</v>
      </c>
      <c r="K85" s="605"/>
      <c r="L85" s="605"/>
      <c r="M85" s="605"/>
      <c r="P85" s="606">
        <f>DADOS!$F$25</f>
        <v>0</v>
      </c>
      <c r="Q85" s="606"/>
      <c r="R85" s="606"/>
      <c r="S85" s="606"/>
    </row>
    <row r="86" spans="1:19" x14ac:dyDescent="0.2">
      <c r="A86"/>
      <c r="B86"/>
      <c r="C86"/>
      <c r="D86"/>
      <c r="E86"/>
      <c r="F86"/>
      <c r="G86"/>
      <c r="I86" t="str">
        <f t="shared" ca="1" si="1"/>
        <v>F</v>
      </c>
      <c r="J86" s="607" t="s">
        <v>187</v>
      </c>
      <c r="K86" s="607"/>
      <c r="L86" s="607"/>
      <c r="M86" s="607"/>
      <c r="O86" s="74"/>
      <c r="P86" s="75" t="s">
        <v>188</v>
      </c>
      <c r="Q86" s="76"/>
      <c r="R86" s="76"/>
      <c r="S86" s="76"/>
    </row>
    <row r="87" spans="1:19" ht="30" customHeight="1" x14ac:dyDescent="0.2">
      <c r="A87"/>
      <c r="B87"/>
      <c r="C87"/>
      <c r="D87"/>
      <c r="E87"/>
      <c r="F87"/>
      <c r="G87"/>
      <c r="I87" t="str">
        <f t="shared" ca="1" si="1"/>
        <v>F</v>
      </c>
    </row>
    <row r="88" spans="1:19" ht="15" x14ac:dyDescent="0.2">
      <c r="A88"/>
      <c r="B88"/>
      <c r="C88"/>
      <c r="D88"/>
      <c r="E88"/>
      <c r="F88"/>
      <c r="G88"/>
      <c r="I88" t="str">
        <f t="shared" ca="1" si="1"/>
        <v>F</v>
      </c>
      <c r="J88" s="608"/>
      <c r="K88" s="608"/>
      <c r="L88" s="608"/>
      <c r="M88" s="608"/>
      <c r="N88" s="77"/>
    </row>
    <row r="89" spans="1:19" x14ac:dyDescent="0.2">
      <c r="A89"/>
      <c r="B89"/>
      <c r="C89"/>
      <c r="D89"/>
      <c r="E89"/>
      <c r="F89"/>
      <c r="G89"/>
      <c r="I89" t="str">
        <f t="shared" ca="1" si="1"/>
        <v>F</v>
      </c>
      <c r="J89" s="602" t="s">
        <v>189</v>
      </c>
      <c r="K89" s="602"/>
      <c r="L89" s="602"/>
      <c r="M89" s="602"/>
    </row>
    <row r="90" spans="1:19" ht="14.25" x14ac:dyDescent="0.2">
      <c r="A90"/>
      <c r="B90"/>
      <c r="C90"/>
      <c r="D90"/>
      <c r="E90"/>
      <c r="F90"/>
      <c r="G90"/>
      <c r="I90" t="str">
        <f t="shared" ca="1" si="1"/>
        <v>F</v>
      </c>
      <c r="J90" s="78" t="s">
        <v>108</v>
      </c>
      <c r="K90" s="79">
        <f t="array" ref="K90:K92">Import.RespOrçamento</f>
        <v>0</v>
      </c>
      <c r="L90" s="80"/>
      <c r="M90" s="80"/>
      <c r="N90" s="77"/>
    </row>
    <row r="91" spans="1:19" ht="14.25" x14ac:dyDescent="0.2">
      <c r="A91"/>
      <c r="B91"/>
      <c r="C91"/>
      <c r="D91"/>
      <c r="E91"/>
      <c r="F91"/>
      <c r="G91"/>
      <c r="I91" t="str">
        <f t="shared" ca="1" si="1"/>
        <v>F</v>
      </c>
      <c r="J91" s="78" t="s">
        <v>109</v>
      </c>
      <c r="K91" s="79">
        <v>0</v>
      </c>
      <c r="L91" s="80"/>
      <c r="M91" s="80"/>
      <c r="N91" s="77"/>
    </row>
    <row r="92" spans="1:19" ht="14.25" x14ac:dyDescent="0.2">
      <c r="A92"/>
      <c r="B92"/>
      <c r="C92"/>
      <c r="D92"/>
      <c r="E92"/>
      <c r="F92"/>
      <c r="G92"/>
      <c r="I92" t="str">
        <f t="shared" ca="1" si="1"/>
        <v>F</v>
      </c>
      <c r="J92" s="78" t="s">
        <v>110</v>
      </c>
      <c r="K92" s="79">
        <v>0</v>
      </c>
      <c r="L92" s="80"/>
      <c r="M92" s="80"/>
      <c r="N92" s="77"/>
    </row>
    <row r="93" spans="1:19" ht="14.25" x14ac:dyDescent="0.2">
      <c r="A93"/>
      <c r="B93"/>
      <c r="C93"/>
      <c r="D93"/>
      <c r="E93"/>
      <c r="F93"/>
      <c r="G93"/>
      <c r="I93" t="str">
        <f t="shared" ca="1" si="1"/>
        <v>F</v>
      </c>
      <c r="J93" s="78"/>
      <c r="K93" s="81"/>
      <c r="L93" s="80"/>
      <c r="M93" s="80"/>
      <c r="N93" s="77"/>
    </row>
    <row r="94" spans="1:19" ht="15.75" hidden="1" x14ac:dyDescent="0.25">
      <c r="A94"/>
      <c r="B94"/>
      <c r="C94"/>
      <c r="D94"/>
      <c r="E94"/>
      <c r="F94"/>
      <c r="G94"/>
      <c r="I94" t="str">
        <f ca="1">IF($S$109=0,"","F")</f>
        <v/>
      </c>
      <c r="J94" s="624" t="s">
        <v>191</v>
      </c>
      <c r="K94" s="624"/>
      <c r="L94" s="624"/>
      <c r="M94" s="624"/>
      <c r="N94" s="624"/>
      <c r="O94" s="624"/>
      <c r="P94" s="624"/>
      <c r="Q94" s="624"/>
      <c r="R94" s="624"/>
      <c r="S94" s="624"/>
    </row>
    <row r="95" spans="1:19" hidden="1" x14ac:dyDescent="0.2">
      <c r="A95"/>
      <c r="B95"/>
      <c r="C95"/>
      <c r="D95"/>
      <c r="E95"/>
      <c r="F95"/>
      <c r="G95"/>
      <c r="I95" t="str">
        <f t="shared" ref="I95:I132" ca="1" si="2">IF($S$109=0,"","F")</f>
        <v/>
      </c>
    </row>
    <row r="96" spans="1:19" hidden="1" x14ac:dyDescent="0.2">
      <c r="A96"/>
      <c r="B96"/>
      <c r="C96"/>
      <c r="D96"/>
      <c r="E96"/>
      <c r="F96"/>
      <c r="G96"/>
      <c r="I96" t="str">
        <f t="shared" ca="1" si="2"/>
        <v/>
      </c>
      <c r="J96" s="622" t="s">
        <v>157</v>
      </c>
      <c r="K96" s="622"/>
      <c r="L96" s="622"/>
      <c r="M96" s="622"/>
      <c r="N96" s="622"/>
      <c r="O96" s="622"/>
      <c r="P96" s="622"/>
      <c r="Q96" s="622"/>
      <c r="R96" s="622"/>
      <c r="S96" s="622"/>
    </row>
    <row r="97" spans="1:26" hidden="1" x14ac:dyDescent="0.2">
      <c r="A97"/>
      <c r="B97"/>
      <c r="C97"/>
      <c r="D97"/>
      <c r="E97"/>
      <c r="F97"/>
      <c r="G97"/>
      <c r="I97" t="str">
        <f t="shared" ca="1" si="2"/>
        <v/>
      </c>
      <c r="J97" s="623" t="s">
        <v>400</v>
      </c>
      <c r="K97" s="623"/>
      <c r="L97" s="623"/>
      <c r="M97" s="623"/>
      <c r="N97" s="623"/>
      <c r="O97" s="623"/>
      <c r="P97" s="623"/>
      <c r="Q97" s="623"/>
      <c r="R97" s="623"/>
      <c r="S97" s="623"/>
    </row>
    <row r="98" spans="1:26" hidden="1" x14ac:dyDescent="0.2">
      <c r="A98"/>
      <c r="B98"/>
      <c r="C98"/>
      <c r="D98"/>
      <c r="E98"/>
      <c r="F98"/>
      <c r="G98"/>
      <c r="I98" t="str">
        <f t="shared" ca="1" si="2"/>
        <v/>
      </c>
    </row>
    <row r="99" spans="1:26" ht="12.75" hidden="1" customHeight="1" x14ac:dyDescent="0.2">
      <c r="A99"/>
      <c r="B99"/>
      <c r="C99"/>
      <c r="D99"/>
      <c r="E99"/>
      <c r="F99"/>
      <c r="G99"/>
      <c r="I99" t="str">
        <f t="shared" ca="1" si="2"/>
        <v/>
      </c>
      <c r="J99" s="621" t="s">
        <v>158</v>
      </c>
      <c r="K99" s="621"/>
      <c r="L99" s="621"/>
      <c r="M99" s="621"/>
      <c r="N99" s="621"/>
      <c r="O99" s="621"/>
      <c r="P99" s="621"/>
      <c r="Q99" s="621"/>
      <c r="R99" s="621" t="s">
        <v>159</v>
      </c>
      <c r="S99" s="612" t="s">
        <v>160</v>
      </c>
      <c r="U99" s="612" t="s">
        <v>161</v>
      </c>
      <c r="V99" s="612"/>
      <c r="W99" s="612"/>
      <c r="X99" s="620" t="s">
        <v>162</v>
      </c>
      <c r="Y99" s="620" t="s">
        <v>163</v>
      </c>
      <c r="Z99" s="620" t="s">
        <v>164</v>
      </c>
    </row>
    <row r="100" spans="1:26" ht="12.75" hidden="1" customHeight="1" x14ac:dyDescent="0.2">
      <c r="A100"/>
      <c r="B100"/>
      <c r="C100"/>
      <c r="D100"/>
      <c r="E100"/>
      <c r="F100"/>
      <c r="G100"/>
      <c r="I100" t="str">
        <f t="shared" ca="1" si="2"/>
        <v/>
      </c>
      <c r="J100" s="621"/>
      <c r="K100" s="621"/>
      <c r="L100" s="621"/>
      <c r="M100" s="621"/>
      <c r="N100" s="621"/>
      <c r="O100" s="621"/>
      <c r="P100" s="621"/>
      <c r="Q100" s="621"/>
      <c r="R100" s="621"/>
      <c r="S100" s="612"/>
      <c r="U100" s="612"/>
      <c r="V100" s="612"/>
      <c r="W100" s="612"/>
      <c r="X100" s="620"/>
      <c r="Y100" s="620"/>
      <c r="Z100" s="620"/>
    </row>
    <row r="101" spans="1:26" ht="15" hidden="1" customHeight="1" x14ac:dyDescent="0.2">
      <c r="A101"/>
      <c r="B101"/>
      <c r="C101"/>
      <c r="D101"/>
      <c r="E101"/>
      <c r="F101"/>
      <c r="G101"/>
      <c r="I101" t="str">
        <f t="shared" ca="1" si="2"/>
        <v/>
      </c>
      <c r="J101" s="610" t="str">
        <f>IF($J$17=$A$146,"Encargos Sociais incidentes sobre a mão de obra","Administração Central")</f>
        <v>Administração Central</v>
      </c>
      <c r="K101" s="610"/>
      <c r="L101" s="610"/>
      <c r="M101" s="610"/>
      <c r="N101" s="610"/>
      <c r="O101" s="610"/>
      <c r="P101" s="610"/>
      <c r="Q101" s="610"/>
      <c r="R101" s="61" t="str">
        <f>IF($J97=$A$146,"K1","AC")</f>
        <v>AC</v>
      </c>
      <c r="S101" s="62"/>
      <c r="U101" s="611" t="s">
        <v>166</v>
      </c>
      <c r="V101" s="611"/>
      <c r="W101" s="611"/>
      <c r="X101" s="63" t="e">
        <f>VLOOKUP(CONCATENATE(J97,"-",R101),$C$2:$G$136,3,FALSE)</f>
        <v>#N/A</v>
      </c>
      <c r="Y101" s="63" t="e">
        <f>VLOOKUP(CONCATENATE(J97,"-",R101),$C$2:$G$136,4,FALSE)</f>
        <v>#N/A</v>
      </c>
      <c r="Z101" s="63" t="e">
        <f>VLOOKUP(CONCATENATE(J97,"-",R101),$C$2:$G$136,5,FALSE)</f>
        <v>#N/A</v>
      </c>
    </row>
    <row r="102" spans="1:26" ht="15" hidden="1" customHeight="1" x14ac:dyDescent="0.2">
      <c r="A102"/>
      <c r="B102"/>
      <c r="C102"/>
      <c r="D102"/>
      <c r="E102"/>
      <c r="F102"/>
      <c r="G102"/>
      <c r="I102" t="str">
        <f t="shared" ca="1" si="2"/>
        <v/>
      </c>
      <c r="J102" s="610" t="str">
        <f>IF($J$17=$A$146,"Administração Central da empresa ou consultoria - overhead","Seguro e Garantia")</f>
        <v>Seguro e Garantia</v>
      </c>
      <c r="K102" s="610"/>
      <c r="L102" s="610"/>
      <c r="M102" s="610"/>
      <c r="N102" s="610"/>
      <c r="O102" s="610"/>
      <c r="P102" s="610"/>
      <c r="Q102" s="610"/>
      <c r="R102" s="61" t="str">
        <f>IF($J97=$A$146,"K2","SG")</f>
        <v>SG</v>
      </c>
      <c r="S102" s="62"/>
      <c r="U102" s="611" t="s">
        <v>166</v>
      </c>
      <c r="V102" s="611"/>
      <c r="W102" s="611"/>
      <c r="X102" s="63" t="e">
        <f>VLOOKUP(CONCATENATE(J97,"-",R102),$C$2:$G$136,3,FALSE)</f>
        <v>#N/A</v>
      </c>
      <c r="Y102" s="63" t="e">
        <f>VLOOKUP(CONCATENATE(J97,"-",R102),$C$2:$G$136,4,FALSE)</f>
        <v>#N/A</v>
      </c>
      <c r="Z102" s="63" t="e">
        <f>VLOOKUP(CONCATENATE(J97,"-",R102),$C$2:$G$136,5,FALSE)</f>
        <v>#N/A</v>
      </c>
    </row>
    <row r="103" spans="1:26" ht="15" hidden="1" customHeight="1" x14ac:dyDescent="0.2">
      <c r="A103"/>
      <c r="B103"/>
      <c r="C103"/>
      <c r="D103"/>
      <c r="E103"/>
      <c r="F103"/>
      <c r="G103"/>
      <c r="I103" t="str">
        <f t="shared" ca="1" si="2"/>
        <v/>
      </c>
      <c r="J103" s="610" t="str">
        <f>IF($J$17=$A$146,"","Risco")</f>
        <v>Risco</v>
      </c>
      <c r="K103" s="610"/>
      <c r="L103" s="610"/>
      <c r="M103" s="610"/>
      <c r="N103" s="610"/>
      <c r="O103" s="610"/>
      <c r="P103" s="610"/>
      <c r="Q103" s="610"/>
      <c r="R103" s="61" t="str">
        <f>IF($J97=$A$146,"","R")</f>
        <v>R</v>
      </c>
      <c r="S103" s="62"/>
      <c r="U103" s="611" t="s">
        <v>166</v>
      </c>
      <c r="V103" s="611"/>
      <c r="W103" s="611"/>
      <c r="X103" s="63" t="e">
        <f>VLOOKUP(CONCATENATE(J97,"-",R103),$C$2:$G$136,3,FALSE)</f>
        <v>#N/A</v>
      </c>
      <c r="Y103" s="63" t="e">
        <f>VLOOKUP(CONCATENATE(J97,"-",R103),$C$2:$G$136,4,FALSE)</f>
        <v>#N/A</v>
      </c>
      <c r="Z103" s="63" t="e">
        <f>VLOOKUP(CONCATENATE(J97,"-",R103),$C$2:$G$136,5,FALSE)</f>
        <v>#N/A</v>
      </c>
    </row>
    <row r="104" spans="1:26" ht="15" hidden="1" customHeight="1" x14ac:dyDescent="0.2">
      <c r="A104"/>
      <c r="B104"/>
      <c r="C104"/>
      <c r="D104"/>
      <c r="E104"/>
      <c r="F104"/>
      <c r="G104"/>
      <c r="I104" t="str">
        <f t="shared" ca="1" si="2"/>
        <v/>
      </c>
      <c r="J104" s="610" t="str">
        <f>IF($J$17=$A$146,"","Despesas Financeiras")</f>
        <v>Despesas Financeiras</v>
      </c>
      <c r="K104" s="610"/>
      <c r="L104" s="610"/>
      <c r="M104" s="610"/>
      <c r="N104" s="610"/>
      <c r="O104" s="610"/>
      <c r="P104" s="610"/>
      <c r="Q104" s="610"/>
      <c r="R104" s="61" t="str">
        <f>IF($J97=$A$146,"","DF")</f>
        <v>DF</v>
      </c>
      <c r="S104" s="62"/>
      <c r="U104" s="611" t="s">
        <v>166</v>
      </c>
      <c r="V104" s="611"/>
      <c r="W104" s="611"/>
      <c r="X104" s="63" t="e">
        <f>VLOOKUP(CONCATENATE(J97,"-",R104),$C$2:$G$136,3,FALSE)</f>
        <v>#N/A</v>
      </c>
      <c r="Y104" s="63" t="e">
        <f>VLOOKUP(CONCATENATE(J97,"-",R104),$C$2:$G$136,4,FALSE)</f>
        <v>#N/A</v>
      </c>
      <c r="Z104" s="63" t="e">
        <f>VLOOKUP(CONCATENATE(J97,"-",R104),$C$2:$G$136,5,FALSE)</f>
        <v>#N/A</v>
      </c>
    </row>
    <row r="105" spans="1:26" ht="15" hidden="1" customHeight="1" x14ac:dyDescent="0.2">
      <c r="A105"/>
      <c r="B105"/>
      <c r="C105"/>
      <c r="D105"/>
      <c r="E105"/>
      <c r="F105"/>
      <c r="G105"/>
      <c r="I105" t="str">
        <f t="shared" ca="1" si="2"/>
        <v/>
      </c>
      <c r="J105" s="610" t="str">
        <f>IF($J$17=$A$146,"Margem bruta da empresa de consultoria","Lucro")</f>
        <v>Lucro</v>
      </c>
      <c r="K105" s="610"/>
      <c r="L105" s="610"/>
      <c r="M105" s="610"/>
      <c r="N105" s="610"/>
      <c r="O105" s="610"/>
      <c r="P105" s="610"/>
      <c r="Q105" s="610"/>
      <c r="R105" s="61" t="str">
        <f>IF($J97=$A$146,"K3","L")</f>
        <v>L</v>
      </c>
      <c r="S105" s="62"/>
      <c r="U105" s="611" t="s">
        <v>166</v>
      </c>
      <c r="V105" s="611"/>
      <c r="W105" s="611"/>
      <c r="X105" s="63" t="e">
        <f>VLOOKUP(CONCATENATE(J97,"-",R105),$C$2:$G$136,3,FALSE)</f>
        <v>#N/A</v>
      </c>
      <c r="Y105" s="63" t="e">
        <f>VLOOKUP(CONCATENATE(J97,"-",R105),$C$2:$G$136,4,FALSE)</f>
        <v>#N/A</v>
      </c>
      <c r="Z105" s="63" t="e">
        <f>VLOOKUP(CONCATENATE(J97,"-",R105),$C$2:$G$136,5,FALSE)</f>
        <v>#N/A</v>
      </c>
    </row>
    <row r="106" spans="1:26" ht="15" hidden="1" customHeight="1" x14ac:dyDescent="0.2">
      <c r="A106"/>
      <c r="B106"/>
      <c r="C106"/>
      <c r="D106"/>
      <c r="E106"/>
      <c r="F106"/>
      <c r="G106"/>
      <c r="I106" t="str">
        <f t="shared" ca="1" si="2"/>
        <v/>
      </c>
      <c r="J106" s="610" t="s">
        <v>168</v>
      </c>
      <c r="K106" s="610"/>
      <c r="L106" s="610"/>
      <c r="M106" s="610"/>
      <c r="N106" s="610"/>
      <c r="O106" s="610"/>
      <c r="P106" s="610"/>
      <c r="Q106" s="610"/>
      <c r="R106" s="61" t="s">
        <v>169</v>
      </c>
      <c r="S106" s="62"/>
      <c r="U106" s="611" t="s">
        <v>166</v>
      </c>
      <c r="V106" s="611"/>
      <c r="W106" s="611"/>
      <c r="X106" s="63">
        <v>3.6499999999999998E-2</v>
      </c>
      <c r="Y106" s="63">
        <v>3.6499999999999998E-2</v>
      </c>
      <c r="Z106" s="63">
        <v>3.6499999999999998E-2</v>
      </c>
    </row>
    <row r="107" spans="1:26" ht="15" hidden="1" customHeight="1" x14ac:dyDescent="0.2">
      <c r="A107"/>
      <c r="B107"/>
      <c r="C107"/>
      <c r="D107"/>
      <c r="E107"/>
      <c r="F107"/>
      <c r="G107"/>
      <c r="I107" t="str">
        <f t="shared" ca="1" si="2"/>
        <v/>
      </c>
      <c r="J107" s="610" t="s">
        <v>170</v>
      </c>
      <c r="K107" s="610"/>
      <c r="L107" s="610"/>
      <c r="M107" s="610"/>
      <c r="N107" s="610"/>
      <c r="O107" s="610"/>
      <c r="P107" s="610"/>
      <c r="Q107" s="610"/>
      <c r="R107" s="61" t="s">
        <v>171</v>
      </c>
      <c r="S107" s="63">
        <f ca="1">IF(AND($J97&lt;&gt;$A$145,COUNTA(OFFSET(S100,1,0,6))&gt;0),$R$11*$R$10,0)</f>
        <v>0</v>
      </c>
      <c r="U107" s="611" t="s">
        <v>166</v>
      </c>
      <c r="V107" s="611"/>
      <c r="W107" s="611"/>
      <c r="X107" s="63">
        <v>0</v>
      </c>
      <c r="Y107" s="63">
        <v>2.5000000000000001E-2</v>
      </c>
      <c r="Z107" s="63">
        <v>0.05</v>
      </c>
    </row>
    <row r="108" spans="1:26" ht="15" hidden="1" customHeight="1" x14ac:dyDescent="0.2">
      <c r="A108"/>
      <c r="B108"/>
      <c r="C108"/>
      <c r="D108"/>
      <c r="E108"/>
      <c r="F108"/>
      <c r="G108"/>
      <c r="I108" t="str">
        <f t="shared" ca="1" si="2"/>
        <v/>
      </c>
      <c r="J108" s="610" t="s">
        <v>437</v>
      </c>
      <c r="K108" s="610"/>
      <c r="L108" s="610"/>
      <c r="M108" s="610"/>
      <c r="N108" s="610"/>
      <c r="O108" s="610"/>
      <c r="P108" s="610"/>
      <c r="Q108" s="610"/>
      <c r="R108" s="61" t="s">
        <v>172</v>
      </c>
      <c r="S108" s="63" cm="1">
        <f t="array" aca="1" ref="S108" ca="1">IF(BDI.Opcao&lt;&gt;"Desonerado",0,IF(AND($J97&lt;&gt;$A$145,COUNTA(OFFSET(S100,1,0,6))&gt;0),IF(YEAR(Import.DataBase)&lt;2025,4.5%,IF(YEAR(Import.DataBase)=2025,3.6%,IF(YEAR(Import.DataBase)=2026,2.7%,IF(YEAR(Import.DataBase)=2027,1.8%,0%)))),0%))</f>
        <v>0</v>
      </c>
      <c r="U108" s="611" t="s">
        <v>166</v>
      </c>
      <c r="V108" s="611"/>
      <c r="W108" s="611"/>
      <c r="X108" s="64">
        <f ca="1">$S108</f>
        <v>0</v>
      </c>
      <c r="Y108" s="64">
        <f ca="1">$S108</f>
        <v>0</v>
      </c>
      <c r="Z108" s="64">
        <f ca="1">$S108</f>
        <v>0</v>
      </c>
    </row>
    <row r="109" spans="1:26" ht="15" hidden="1" customHeight="1" x14ac:dyDescent="0.2">
      <c r="A109"/>
      <c r="B109"/>
      <c r="C109"/>
      <c r="D109"/>
      <c r="E109"/>
      <c r="F109"/>
      <c r="G109"/>
      <c r="I109" t="str">
        <f t="shared" ca="1" si="2"/>
        <v/>
      </c>
      <c r="J109" s="610" t="s">
        <v>173</v>
      </c>
      <c r="K109" s="610"/>
      <c r="L109" s="610"/>
      <c r="M109" s="610"/>
      <c r="N109" s="610"/>
      <c r="O109" s="610"/>
      <c r="P109" s="610"/>
      <c r="Q109" s="610"/>
      <c r="R109" s="65" t="s">
        <v>150</v>
      </c>
      <c r="S109" s="63">
        <f ca="1">IF($J97=$A$145,0,ROUND((((1+S101+S102+S103)*(1+S104)*(1+S105)/(1-(S106+S107)))-1),4))</f>
        <v>0</v>
      </c>
      <c r="U109" s="612" t="e">
        <f ca="1">IF(OR($J$17=$A$146,$J$17=$A$145,AND(S109&gt;=X109,S109&lt;=Z109)),"OK","FORA DO INTERVALO")</f>
        <v>#N/A</v>
      </c>
      <c r="V109" s="612"/>
      <c r="W109" s="612"/>
      <c r="X109" s="63" t="e">
        <f>IF($J97=$A$145,0,VLOOKUP(CONCATENATE($J97,"-",$R109),$C$2:$G$136,3,FALSE))</f>
        <v>#N/A</v>
      </c>
      <c r="Y109" s="63" t="e">
        <f>IF($J97=$A$145,0,VLOOKUP(CONCATENATE($J97,"-",$R109),$C$2:$G$136,4,FALSE))</f>
        <v>#N/A</v>
      </c>
      <c r="Z109" s="63" t="e">
        <f>IF($J97=$A$145,0,VLOOKUP(CONCATENATE($J97,"-",$R109),$C$2:$G$136,5,FALSE))</f>
        <v>#N/A</v>
      </c>
    </row>
    <row r="110" spans="1:26" ht="15" hidden="1" customHeight="1" x14ac:dyDescent="0.2">
      <c r="A110"/>
      <c r="B110"/>
      <c r="C110"/>
      <c r="D110"/>
      <c r="E110"/>
      <c r="F110"/>
      <c r="G110"/>
      <c r="I110" t="str">
        <f t="shared" ca="1" si="2"/>
        <v/>
      </c>
      <c r="J110" s="613" t="s">
        <v>174</v>
      </c>
      <c r="K110" s="613"/>
      <c r="L110" s="613"/>
      <c r="M110" s="613"/>
      <c r="N110" s="613"/>
      <c r="O110" s="613"/>
      <c r="P110" s="613"/>
      <c r="Q110" s="613"/>
      <c r="R110" s="66" t="s">
        <v>175</v>
      </c>
      <c r="S110" s="67">
        <f ca="1">IF($J97=$A$145,0,ROUND((((1+S101+S102+S103)*(1+S104)*(1+S105)/(1-(S106+S107+S108)))-1),4))</f>
        <v>0</v>
      </c>
    </row>
    <row r="111" spans="1:26" ht="15" hidden="1" customHeight="1" x14ac:dyDescent="0.2">
      <c r="A111"/>
      <c r="B111"/>
      <c r="C111"/>
      <c r="D111"/>
      <c r="E111"/>
      <c r="F111"/>
      <c r="G111"/>
      <c r="I111" t="str">
        <f t="shared" ca="1" si="2"/>
        <v/>
      </c>
    </row>
    <row r="112" spans="1:26" ht="15.75" hidden="1" x14ac:dyDescent="0.2">
      <c r="A112"/>
      <c r="B112"/>
      <c r="C112"/>
      <c r="D112"/>
      <c r="E112"/>
      <c r="F112"/>
      <c r="G112"/>
      <c r="I112" t="str">
        <f t="shared" ca="1" si="2"/>
        <v/>
      </c>
      <c r="J112" s="68" t="e">
        <f ca="1">IF(U109&lt;&gt;"ok","X","")</f>
        <v>#N/A</v>
      </c>
      <c r="K112" s="614" t="e">
        <f ca="1">IF(U109&lt;&gt;"ok","Anexo: Relatório Técnico Circunstanciado justificando a adoção do percentual de cada parcela do BDI.","")</f>
        <v>#N/A</v>
      </c>
      <c r="L112" s="614"/>
      <c r="M112" s="614"/>
      <c r="N112" s="614"/>
      <c r="O112" s="614"/>
      <c r="P112" s="614"/>
      <c r="Q112" s="614"/>
      <c r="R112" s="614"/>
      <c r="S112" s="614"/>
    </row>
    <row r="113" spans="1:19" hidden="1" x14ac:dyDescent="0.2">
      <c r="A113"/>
      <c r="B113"/>
      <c r="C113"/>
      <c r="D113"/>
      <c r="E113"/>
      <c r="F113"/>
      <c r="G113"/>
      <c r="I113" t="str">
        <f t="shared" ca="1" si="2"/>
        <v/>
      </c>
    </row>
    <row r="114" spans="1:19" hidden="1" x14ac:dyDescent="0.2">
      <c r="A114"/>
      <c r="B114"/>
      <c r="C114"/>
      <c r="D114"/>
      <c r="E114"/>
      <c r="F114"/>
      <c r="G114"/>
      <c r="I114" t="str">
        <f t="shared" ca="1" si="2"/>
        <v/>
      </c>
      <c r="J114" s="616" t="s">
        <v>177</v>
      </c>
      <c r="K114" s="616"/>
      <c r="L114" s="616"/>
      <c r="M114" s="616"/>
      <c r="N114" s="616"/>
      <c r="O114" s="616"/>
      <c r="P114" s="616"/>
      <c r="Q114" s="616"/>
      <c r="R114" s="616"/>
      <c r="S114" s="616"/>
    </row>
    <row r="115" spans="1:19" ht="15.75" hidden="1" x14ac:dyDescent="0.25">
      <c r="A115"/>
      <c r="B115"/>
      <c r="C115"/>
      <c r="D115"/>
      <c r="E115"/>
      <c r="F115"/>
      <c r="G115"/>
      <c r="I115" t="str">
        <f t="shared" ca="1" si="2"/>
        <v/>
      </c>
      <c r="J115" s="69"/>
      <c r="K115" s="69"/>
      <c r="L115" s="69"/>
      <c r="M115" s="617" t="s">
        <v>178</v>
      </c>
      <c r="N115" s="618" t="str">
        <f>IF($J97=$A$146,"(1+K1+K2)*(1+K3)","(1+AC + S + R + G)*(1 + DF)*(1+L)")</f>
        <v>(1+AC + S + R + G)*(1 + DF)*(1+L)</v>
      </c>
      <c r="O115" s="618"/>
      <c r="P115" s="618"/>
      <c r="Q115" s="619" t="s">
        <v>179</v>
      </c>
      <c r="R115" s="69"/>
      <c r="S115" s="69"/>
    </row>
    <row r="116" spans="1:19" ht="15.75" hidden="1" x14ac:dyDescent="0.2">
      <c r="A116"/>
      <c r="B116"/>
      <c r="C116"/>
      <c r="D116"/>
      <c r="E116"/>
      <c r="F116"/>
      <c r="G116"/>
      <c r="I116" t="str">
        <f t="shared" ca="1" si="2"/>
        <v/>
      </c>
      <c r="J116" s="69"/>
      <c r="K116" s="69"/>
      <c r="L116" s="69"/>
      <c r="M116" s="617"/>
      <c r="N116" s="609" t="s">
        <v>180</v>
      </c>
      <c r="O116" s="609"/>
      <c r="P116" s="609"/>
      <c r="Q116" s="619"/>
      <c r="R116" s="69"/>
      <c r="S116" s="69"/>
    </row>
    <row r="117" spans="1:19" ht="15" hidden="1" customHeight="1" x14ac:dyDescent="0.2">
      <c r="A117"/>
      <c r="B117"/>
      <c r="C117"/>
      <c r="D117"/>
      <c r="E117"/>
      <c r="F117"/>
      <c r="G117"/>
      <c r="I117" t="str">
        <f t="shared" ca="1" si="2"/>
        <v/>
      </c>
      <c r="J117" s="69"/>
      <c r="K117" s="69"/>
      <c r="L117" s="69"/>
      <c r="M117" s="70"/>
      <c r="N117" s="72"/>
      <c r="O117" s="72"/>
      <c r="P117" s="72"/>
      <c r="Q117" s="71"/>
      <c r="R117" s="69"/>
      <c r="S117" s="69"/>
    </row>
    <row r="118" spans="1:19" ht="50.1" hidden="1" customHeight="1" x14ac:dyDescent="0.2">
      <c r="A118"/>
      <c r="B118"/>
      <c r="C118"/>
      <c r="D118"/>
      <c r="E118"/>
      <c r="F118"/>
      <c r="G118"/>
      <c r="I118" t="str">
        <f t="shared" ca="1" si="2"/>
        <v/>
      </c>
      <c r="J118" s="60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118" s="603"/>
      <c r="L118" s="603"/>
      <c r="M118" s="603"/>
      <c r="N118" s="603"/>
      <c r="O118" s="603"/>
      <c r="P118" s="603"/>
      <c r="Q118" s="603"/>
      <c r="R118" s="603"/>
      <c r="S118" s="603"/>
    </row>
    <row r="119" spans="1:19" hidden="1" x14ac:dyDescent="0.2">
      <c r="A119"/>
      <c r="B119"/>
      <c r="C119"/>
      <c r="D119"/>
      <c r="E119"/>
      <c r="F119"/>
      <c r="G119"/>
      <c r="I119" t="str">
        <f t="shared" ca="1" si="2"/>
        <v/>
      </c>
    </row>
    <row r="120" spans="1:19" ht="50.1" hidden="1" customHeight="1" x14ac:dyDescent="0.2">
      <c r="A120"/>
      <c r="B120"/>
      <c r="C120"/>
      <c r="D120"/>
      <c r="E120"/>
      <c r="F120"/>
      <c r="G120"/>
      <c r="I120" t="str">
        <f t="shared" ca="1" si="2"/>
        <v/>
      </c>
      <c r="J120" s="60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03"/>
      <c r="L120" s="603"/>
      <c r="M120" s="603"/>
      <c r="N120" s="603"/>
      <c r="O120" s="603"/>
      <c r="P120" s="603"/>
      <c r="Q120" s="603"/>
      <c r="R120" s="603"/>
      <c r="S120" s="603"/>
    </row>
    <row r="121" spans="1:19" hidden="1" x14ac:dyDescent="0.2">
      <c r="A121"/>
      <c r="B121"/>
      <c r="C121"/>
      <c r="D121"/>
      <c r="E121"/>
      <c r="F121"/>
      <c r="G121"/>
      <c r="I121" t="str">
        <f t="shared" ca="1" si="2"/>
        <v/>
      </c>
    </row>
    <row r="122" spans="1:19" hidden="1" x14ac:dyDescent="0.2">
      <c r="A122"/>
      <c r="B122"/>
      <c r="C122"/>
      <c r="D122"/>
      <c r="E122"/>
      <c r="F122"/>
      <c r="G122"/>
      <c r="I122" t="str">
        <f t="shared" ca="1" si="2"/>
        <v/>
      </c>
      <c r="J122" s="50" t="s">
        <v>186</v>
      </c>
    </row>
    <row r="123" spans="1:19" ht="110.1" hidden="1" customHeight="1" x14ac:dyDescent="0.2">
      <c r="A123"/>
      <c r="B123"/>
      <c r="C123"/>
      <c r="D123"/>
      <c r="E123"/>
      <c r="F123"/>
      <c r="G123"/>
      <c r="I123" t="str">
        <f t="shared" ca="1" si="2"/>
        <v/>
      </c>
      <c r="J123" s="604"/>
      <c r="K123" s="604"/>
      <c r="L123" s="604"/>
      <c r="M123" s="604"/>
      <c r="N123" s="604"/>
      <c r="O123" s="604"/>
      <c r="P123" s="604"/>
      <c r="Q123" s="604"/>
      <c r="R123" s="604"/>
      <c r="S123" s="604"/>
    </row>
    <row r="124" spans="1:19" hidden="1" x14ac:dyDescent="0.2">
      <c r="A124"/>
      <c r="B124"/>
      <c r="C124"/>
      <c r="D124"/>
      <c r="E124"/>
      <c r="F124"/>
      <c r="G124"/>
      <c r="I124" t="str">
        <f t="shared" ca="1" si="2"/>
        <v/>
      </c>
    </row>
    <row r="125" spans="1:19" hidden="1" x14ac:dyDescent="0.2">
      <c r="A125"/>
      <c r="B125"/>
      <c r="C125"/>
      <c r="D125"/>
      <c r="E125"/>
      <c r="F125"/>
      <c r="G125"/>
      <c r="I125" t="str">
        <f t="shared" ca="1" si="2"/>
        <v/>
      </c>
      <c r="J125" s="605" t="str">
        <f>Import.Município</f>
        <v>Bento Gonçalves</v>
      </c>
      <c r="K125" s="605"/>
      <c r="L125" s="605"/>
      <c r="M125" s="605"/>
      <c r="P125" s="606">
        <f>DADOS!$F$25</f>
        <v>0</v>
      </c>
      <c r="Q125" s="606"/>
      <c r="R125" s="606"/>
      <c r="S125" s="606"/>
    </row>
    <row r="126" spans="1:19" hidden="1" x14ac:dyDescent="0.2">
      <c r="A126"/>
      <c r="B126"/>
      <c r="C126"/>
      <c r="D126"/>
      <c r="E126"/>
      <c r="F126"/>
      <c r="G126"/>
      <c r="I126" t="str">
        <f t="shared" ca="1" si="2"/>
        <v/>
      </c>
      <c r="J126" s="607" t="s">
        <v>187</v>
      </c>
      <c r="K126" s="607"/>
      <c r="L126" s="607"/>
      <c r="M126" s="607"/>
      <c r="O126" s="74"/>
      <c r="P126" s="75" t="s">
        <v>188</v>
      </c>
      <c r="Q126" s="76"/>
      <c r="R126" s="76"/>
      <c r="S126" s="76"/>
    </row>
    <row r="127" spans="1:19" ht="30" hidden="1" customHeight="1" x14ac:dyDescent="0.2">
      <c r="A127"/>
      <c r="B127"/>
      <c r="C127"/>
      <c r="D127"/>
      <c r="E127"/>
      <c r="F127"/>
      <c r="G127"/>
      <c r="I127" t="str">
        <f t="shared" ca="1" si="2"/>
        <v/>
      </c>
    </row>
    <row r="128" spans="1:19" ht="15" hidden="1" x14ac:dyDescent="0.2">
      <c r="A128"/>
      <c r="B128"/>
      <c r="C128"/>
      <c r="D128"/>
      <c r="E128"/>
      <c r="F128"/>
      <c r="G128"/>
      <c r="I128" t="str">
        <f t="shared" ca="1" si="2"/>
        <v/>
      </c>
      <c r="J128" s="608"/>
      <c r="K128" s="608"/>
      <c r="L128" s="608"/>
      <c r="M128" s="608"/>
      <c r="N128" s="77"/>
    </row>
    <row r="129" spans="1:14" hidden="1" x14ac:dyDescent="0.2">
      <c r="A129"/>
      <c r="B129"/>
      <c r="C129"/>
      <c r="D129"/>
      <c r="E129"/>
      <c r="F129"/>
      <c r="G129"/>
      <c r="I129" t="str">
        <f t="shared" ca="1" si="2"/>
        <v/>
      </c>
      <c r="J129" s="602" t="s">
        <v>189</v>
      </c>
      <c r="K129" s="602"/>
      <c r="L129" s="602"/>
      <c r="M129" s="602"/>
    </row>
    <row r="130" spans="1:14" ht="14.25" hidden="1" x14ac:dyDescent="0.2">
      <c r="A130"/>
      <c r="B130"/>
      <c r="C130"/>
      <c r="D130"/>
      <c r="E130"/>
      <c r="F130"/>
      <c r="G130"/>
      <c r="I130" t="str">
        <f t="shared" ca="1" si="2"/>
        <v/>
      </c>
      <c r="J130" s="78" t="s">
        <v>108</v>
      </c>
      <c r="K130" s="79">
        <f t="array" ref="K130:K132">Import.RespOrçamento</f>
        <v>0</v>
      </c>
      <c r="L130" s="80"/>
      <c r="M130" s="80"/>
      <c r="N130" s="77"/>
    </row>
    <row r="131" spans="1:14" ht="14.25" hidden="1" x14ac:dyDescent="0.2">
      <c r="A131"/>
      <c r="B131"/>
      <c r="C131"/>
      <c r="D131"/>
      <c r="E131"/>
      <c r="F131"/>
      <c r="G131"/>
      <c r="I131" t="str">
        <f t="shared" ca="1" si="2"/>
        <v/>
      </c>
      <c r="J131" s="78" t="s">
        <v>109</v>
      </c>
      <c r="K131" s="79">
        <v>0</v>
      </c>
      <c r="L131" s="80"/>
      <c r="M131" s="80"/>
      <c r="N131" s="77"/>
    </row>
    <row r="132" spans="1:14" ht="14.25" hidden="1" x14ac:dyDescent="0.2">
      <c r="A132"/>
      <c r="B132"/>
      <c r="C132"/>
      <c r="D132"/>
      <c r="E132"/>
      <c r="F132"/>
      <c r="G132"/>
      <c r="I132" t="str">
        <f t="shared" ca="1" si="2"/>
        <v/>
      </c>
      <c r="J132" s="78" t="s">
        <v>110</v>
      </c>
      <c r="K132" s="79">
        <v>0</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400</v>
      </c>
    </row>
    <row r="139" spans="1:14" x14ac:dyDescent="0.2">
      <c r="A139" s="50" t="s">
        <v>141</v>
      </c>
    </row>
    <row r="140" spans="1:14" x14ac:dyDescent="0.2">
      <c r="A140" s="50" t="s">
        <v>152</v>
      </c>
    </row>
    <row r="141" spans="1:14" x14ac:dyDescent="0.2">
      <c r="A141" s="50" t="s">
        <v>155</v>
      </c>
    </row>
    <row r="142" spans="1:14" x14ac:dyDescent="0.2">
      <c r="A142" s="50" t="s">
        <v>165</v>
      </c>
    </row>
    <row r="143" spans="1:14" x14ac:dyDescent="0.2">
      <c r="A143" s="50" t="s">
        <v>167</v>
      </c>
    </row>
    <row r="144" spans="1:14" x14ac:dyDescent="0.2">
      <c r="A144" s="50" t="s">
        <v>176</v>
      </c>
    </row>
    <row r="145" spans="1:1" x14ac:dyDescent="0.2">
      <c r="A145" s="50" t="s">
        <v>181</v>
      </c>
    </row>
    <row r="146" spans="1:1" x14ac:dyDescent="0.2">
      <c r="A146" s="50" t="s">
        <v>182</v>
      </c>
    </row>
  </sheetData>
  <sheetProtection algorithmName="SHA-512" hashValue="0Rr74hI+1H+tMGVE9bHMkvYkAG3Mumbc3RnvOb+WXPENERJ3uUsN62F8vDfmOa0tLax7qQP3Zo1pz1HBSr0UeA==" saltValue="S0MD3MsLU+r6libGb0sk2A=="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28" priority="2" stopIfTrue="1">
      <formula>DESONERACAO="não"</formula>
    </cfRule>
  </conditionalFormatting>
  <conditionalFormatting sqref="U29:W29 U69:W69 U109:W109">
    <cfRule type="expression" dxfId="127" priority="3" stopIfTrue="1">
      <formula>AND(U29&lt;&gt;"OK",U29&lt;&gt;"-",U29&lt;&gt;"")</formula>
    </cfRule>
    <cfRule type="cellIs" dxfId="126" priority="4" stopIfTrue="1" operator="equal">
      <formula>"OK"</formula>
    </cfRule>
  </conditionalFormatting>
  <conditionalFormatting sqref="S29 S69 S109">
    <cfRule type="expression" dxfId="125"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rintOptions horizontalCentered="1"/>
  <pageMargins left="0.39370078740157483" right="0.39370078740157483" top="0.51181102362204722" bottom="0" header="0.31496062992125984" footer="0.31496062992125984"/>
  <pageSetup paperSize="9" scale="89"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53"/>
  <sheetViews>
    <sheetView showGridLines="0" zoomScaleNormal="100" zoomScaleSheetLayoutView="90" workbookViewId="0">
      <pane xSplit="19" ySplit="15" topLeftCell="T31" activePane="bottomRight" state="frozen"/>
      <selection activeCell="L1" sqref="L1"/>
      <selection pane="topRight" activeCell="T1" sqref="T1"/>
      <selection pane="bottomLeft" activeCell="L16" sqref="L16"/>
      <selection pane="bottomRight" activeCell="M13" sqref="M13"/>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82"/>
      <c r="N1" s="82"/>
      <c r="R1" s="83" t="s">
        <v>192</v>
      </c>
      <c r="T1" s="83"/>
      <c r="X1" s="53" t="s">
        <v>140</v>
      </c>
      <c r="Y1" s="7"/>
      <c r="Z1" s="7"/>
      <c r="AA1" s="7"/>
      <c r="AB1" s="7"/>
    </row>
    <row r="2" spans="1:40" ht="15" x14ac:dyDescent="0.2">
      <c r="D2" t="s">
        <v>193</v>
      </c>
      <c r="E2" t="s">
        <v>194</v>
      </c>
      <c r="F2" t="s">
        <v>195</v>
      </c>
      <c r="G2" t="s">
        <v>196</v>
      </c>
      <c r="H2" t="s">
        <v>197</v>
      </c>
      <c r="I2" t="s">
        <v>198</v>
      </c>
      <c r="R2" s="84" t="str">
        <f>IF(TIPOORCAMENTO="licitado","Orçamento Licitado","Orçamento Base para Licitação")&amp;" - "&amp;import.recurso</f>
        <v>Orçamento Base para Licitação - (SELECIONAR)</v>
      </c>
      <c r="X2" s="12" t="s">
        <v>143</v>
      </c>
      <c r="Y2" s="85"/>
      <c r="Z2" s="85"/>
      <c r="AA2" s="85"/>
      <c r="AB2" s="85"/>
    </row>
    <row r="3" spans="1:40" x14ac:dyDescent="0.2">
      <c r="H3" s="86"/>
      <c r="R3" s="87"/>
    </row>
    <row r="4" spans="1:40" x14ac:dyDescent="0.2">
      <c r="A4" t="s">
        <v>200</v>
      </c>
      <c r="F4" t="s">
        <v>156</v>
      </c>
      <c r="G4" t="s">
        <v>190</v>
      </c>
      <c r="H4" t="s">
        <v>191</v>
      </c>
      <c r="I4" s="88">
        <v>0</v>
      </c>
      <c r="O4" s="622" t="s">
        <v>146</v>
      </c>
      <c r="P4" s="622"/>
      <c r="Q4" s="89" t="s">
        <v>432</v>
      </c>
      <c r="R4" s="89" t="s">
        <v>147</v>
      </c>
      <c r="S4" s="622" t="s">
        <v>201</v>
      </c>
      <c r="T4" s="622"/>
      <c r="U4" s="622"/>
      <c r="V4" s="622"/>
      <c r="W4" s="622"/>
      <c r="X4" s="622"/>
      <c r="Y4" s="78"/>
      <c r="Z4" s="78"/>
      <c r="AA4" s="78"/>
      <c r="AB4" s="78"/>
    </row>
    <row r="5" spans="1:40" ht="12.75" customHeight="1" x14ac:dyDescent="0.2">
      <c r="A5" s="7">
        <f ca="1">MAX($C$15:$C$36)</f>
        <v>2</v>
      </c>
      <c r="B5" s="7"/>
      <c r="C5" s="7"/>
      <c r="F5" s="88">
        <f ca="1">IF(BDI.Opcao="DESONERADO",BDI!$S$30,BDI!$S$29)</f>
        <v>0.21390000000000001</v>
      </c>
      <c r="G5" s="88">
        <f ca="1">IF(BDI.Opcao="DESONERADO",BDI!$S$70,BDI!$S$69)</f>
        <v>0.16789999999999999</v>
      </c>
      <c r="H5" s="88">
        <f ca="1">IF(BDI.Opcao="DESONERADO",BDI!$S$110,BDI!$S$109)</f>
        <v>0</v>
      </c>
      <c r="O5" s="625">
        <f>Import.CR</f>
        <v>0</v>
      </c>
      <c r="P5" s="625"/>
      <c r="Q5" s="92" cm="1">
        <f t="array" ref="Q5">Import.TransfereGOV</f>
        <v>0</v>
      </c>
      <c r="R5" s="93" t="str">
        <f>Import.Proponente</f>
        <v>Secretario Diego Salini</v>
      </c>
      <c r="S5" s="625" t="str">
        <f>Import.Apelido</f>
        <v>ANEXO I TR - MANUTENÇÃO ABRIGO PASSAGEIROS ÔNIBUS E TÁXI</v>
      </c>
      <c r="T5" s="625"/>
      <c r="U5" s="625"/>
      <c r="V5" s="625"/>
      <c r="W5" s="625"/>
      <c r="X5" s="625"/>
      <c r="Y5" s="94"/>
      <c r="Z5" s="94"/>
      <c r="AA5" s="94"/>
      <c r="AB5" s="94"/>
      <c r="AE5" s="632" t="s">
        <v>199</v>
      </c>
      <c r="AF5" s="632"/>
    </row>
    <row r="6" spans="1:40" ht="5.0999999999999996"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622" t="s">
        <v>203</v>
      </c>
      <c r="P7" s="622"/>
      <c r="Q7" s="89" t="s">
        <v>204</v>
      </c>
      <c r="R7" s="89" t="str">
        <f>IF(TIPOORCAMENTO="Licitado","NOME DA EMPRESA","DESCRIÇÃO DO LOTE")</f>
        <v>DESCRIÇÃO DO LOTE</v>
      </c>
      <c r="S7" s="633" t="str">
        <f>IF(TIPOORCAMENTO="Licitado","REGIME DE EXECUÇÃO","MUNICÍPIO / UF")</f>
        <v>MUNICÍPIO / UF</v>
      </c>
      <c r="T7" s="633"/>
      <c r="U7" s="633"/>
      <c r="V7" s="99" t="str">
        <f>IF(TIPOORCAMENTO="Licitado","","BDI 1")</f>
        <v>BDI 1</v>
      </c>
      <c r="W7" s="99" t="str">
        <f>IF(TIPOORCAMENTO="Licitado","","BDI 2")</f>
        <v>BDI 2</v>
      </c>
      <c r="X7" s="100" t="str">
        <f>IF(TIPOORCAMENTO="Licitado","Nº CTEF","BDI 3")</f>
        <v>BDI 3</v>
      </c>
      <c r="Y7" s="99"/>
      <c r="Z7" s="99"/>
      <c r="AE7" s="90" t="s">
        <v>202</v>
      </c>
      <c r="AF7" s="91" t="b">
        <v>1</v>
      </c>
      <c r="AJ7" s="636" t="s">
        <v>206</v>
      </c>
      <c r="AL7" s="634" t="s">
        <v>207</v>
      </c>
    </row>
    <row r="8" spans="1:40" ht="12.75" customHeight="1" x14ac:dyDescent="0.2">
      <c r="A8" s="7"/>
      <c r="B8" s="7"/>
      <c r="C8" s="7"/>
      <c r="F8" s="637" t="str">
        <f ca="1">IF(LEN(INFO("release"))&gt;5,"'Referência "&amp;Excel_BuiltIn_Database&amp;".xlsm'#Banco.$a5:$a$65536","'[Referência "&amp;Excel_BuiltIn_Database&amp;".xlsm]Banco'!$a5:$a$65536")</f>
        <v>'[Referência 03-Sunday.xlsm]Banco'!$a5:$a$65536</v>
      </c>
      <c r="G8" s="637"/>
      <c r="H8" s="637"/>
      <c r="I8" s="637"/>
      <c r="J8" s="637"/>
      <c r="K8" s="637"/>
      <c r="L8" s="615" t="s">
        <v>208</v>
      </c>
      <c r="O8" s="625" t="str">
        <f ca="1">IF(ISERROR(INDIRECT($F$9)),"(N/D: 'Referência "&amp;Excel_BuiltIn_Database&amp;".xlsm)",INDIRECT($F$9))</f>
        <v>(N/D: 'Referência 03-Sunday.xlsm)</v>
      </c>
      <c r="P8" s="625"/>
      <c r="Q8" s="101" t="str">
        <f ca="1">TEXT(Import.DataBase,"mm-aa")&amp;IF(DESONERACAO="Sim"," (DES.)"," (N DES.)")</f>
        <v>03-aa (N DES.)</v>
      </c>
      <c r="R8" s="93" t="str">
        <f>IF(TIPOORCAMENTO="Licitado",Import.empresa,Import.DescLote)</f>
        <v>REGISTRO DE PREÇOS PARA SERVIÇOS COMUNS DE ENGENHARIA P/ MANUTNEÇÃO ABRIGOS PASSAGEIROS ONIBUS TAXI</v>
      </c>
      <c r="S8" s="638" t="str">
        <f>IF(TIPOORCAMENTO="Licitado",Import.RegimeExecução,Import.Município)</f>
        <v>Bento Gonçalves</v>
      </c>
      <c r="T8" s="638"/>
      <c r="U8" s="638"/>
      <c r="V8" s="102" t="str">
        <f ca="1">IF(TIPOORCAMENTO="Licitado","",TEXT(F5,"0,00%"))</f>
        <v>021%</v>
      </c>
      <c r="W8" s="102" t="str">
        <f ca="1">IF(TIPOORCAMENTO="Licitado","",TEXT(G5,"0,00%"))</f>
        <v>017%</v>
      </c>
      <c r="X8" s="103" t="str">
        <f ca="1">IF(TIPOORCAMENTO="Licitado",Import.CTEF,TEXT(H5,"0,00%"))</f>
        <v>000%</v>
      </c>
      <c r="Y8" s="615" t="s">
        <v>209</v>
      </c>
      <c r="Z8" s="615" t="s">
        <v>210</v>
      </c>
      <c r="AA8" s="104"/>
      <c r="AB8" s="104"/>
      <c r="AE8" s="90" t="s">
        <v>205</v>
      </c>
      <c r="AF8" s="91" t="b">
        <v>1</v>
      </c>
      <c r="AJ8" s="636"/>
      <c r="AL8" s="634"/>
    </row>
    <row r="9" spans="1:40" ht="12.75" customHeight="1" x14ac:dyDescent="0.2">
      <c r="F9" s="637" t="str">
        <f ca="1">IF(LEN(INFO("release"))&gt;5,"'Referência "&amp;Excel_BuiltIn_Database&amp;".xlsm'#Banco.$d$3","'[Referência "&amp;Excel_BuiltIn_Database&amp;".xlsm]Banco'!$d$3")</f>
        <v>'[Referência 03-Sunday.xlsm]Banco'!$d$3</v>
      </c>
      <c r="G9" s="637"/>
      <c r="H9" s="637"/>
      <c r="I9" s="637"/>
      <c r="J9" s="637"/>
      <c r="K9" s="637"/>
      <c r="L9" s="615"/>
      <c r="Y9" s="615"/>
      <c r="Z9" s="615"/>
      <c r="AE9" s="90" t="s">
        <v>211</v>
      </c>
      <c r="AF9" s="91" t="b">
        <v>1</v>
      </c>
      <c r="AJ9" s="636"/>
      <c r="AL9" s="634"/>
    </row>
    <row r="10" spans="1:40" x14ac:dyDescent="0.2">
      <c r="G10" s="86"/>
      <c r="H10" s="86"/>
      <c r="L10" s="615"/>
      <c r="Y10" s="615"/>
      <c r="Z10" s="615"/>
      <c r="AC10" s="105" t="s">
        <v>213</v>
      </c>
      <c r="AE10" s="90" t="s">
        <v>212</v>
      </c>
      <c r="AF10" s="91" t="b">
        <v>1</v>
      </c>
      <c r="AJ10" s="636"/>
      <c r="AL10" s="634"/>
    </row>
    <row r="11" spans="1:40" x14ac:dyDescent="0.2">
      <c r="G11" s="86"/>
      <c r="H11" s="106"/>
      <c r="L11" s="615"/>
      <c r="Y11" s="615"/>
      <c r="Z11" s="615"/>
      <c r="AC11" s="107" t="str">
        <f ca="1">IF(COUNTIF($AC$15:OFFSET($AC$36,-1,0),"DESCRIÇÃO")+COUNTIF($AC$15:OFFSET($AC$36,-1,0),"UNIDADE")+COUNTIF($AC$15:OFFSET($AC$36,-1,0),"SEM VALOR")&gt;0,"NÃO OK","OK")</f>
        <v>OK</v>
      </c>
      <c r="AE11" s="90" t="s">
        <v>214</v>
      </c>
      <c r="AF11" s="91" t="b">
        <v>1</v>
      </c>
      <c r="AJ11" s="636"/>
      <c r="AL11" s="634"/>
    </row>
    <row r="12" spans="1:40" x14ac:dyDescent="0.2">
      <c r="G12" s="86"/>
      <c r="H12" s="86"/>
      <c r="L12" s="615"/>
      <c r="Y12" s="615"/>
      <c r="Z12" s="615"/>
      <c r="AA12" s="635" t="s">
        <v>215</v>
      </c>
      <c r="AB12" s="635"/>
      <c r="AJ12" s="108" t="s">
        <v>216</v>
      </c>
      <c r="AL12" s="529" t="s">
        <v>216</v>
      </c>
    </row>
    <row r="13" spans="1:40" ht="35.1" customHeight="1" x14ac:dyDescent="0.2">
      <c r="A13" s="109" t="s">
        <v>217</v>
      </c>
      <c r="B13" s="109" t="s">
        <v>218</v>
      </c>
      <c r="C13" s="109" t="s">
        <v>219</v>
      </c>
      <c r="D13" s="109" t="s">
        <v>220</v>
      </c>
      <c r="E13" s="109" t="s">
        <v>221</v>
      </c>
      <c r="F13" s="109" t="s">
        <v>222</v>
      </c>
      <c r="G13" s="109" t="s">
        <v>223</v>
      </c>
      <c r="H13" s="109" t="s">
        <v>224</v>
      </c>
      <c r="I13" s="109" t="s">
        <v>225</v>
      </c>
      <c r="J13" s="109" t="s">
        <v>226</v>
      </c>
      <c r="K13" s="109" t="s">
        <v>227</v>
      </c>
      <c r="L13" s="108" t="s">
        <v>216</v>
      </c>
      <c r="M13" s="109" t="s">
        <v>228</v>
      </c>
      <c r="N13" s="110" t="s">
        <v>229</v>
      </c>
      <c r="O13" s="109" t="s">
        <v>230</v>
      </c>
      <c r="P13" s="109" t="s">
        <v>231</v>
      </c>
      <c r="Q13" s="109" t="s">
        <v>232</v>
      </c>
      <c r="R13" s="109" t="s">
        <v>233</v>
      </c>
      <c r="S13" s="111" t="s">
        <v>234</v>
      </c>
      <c r="T13" s="109" t="s">
        <v>202</v>
      </c>
      <c r="U13" s="109" t="str">
        <f>IF(TIPOORCAMENTO="Licitado","","Custo Unitário (sem BDI) (R$)")</f>
        <v>Custo Unitário (sem BDI) (R$)</v>
      </c>
      <c r="V13" s="109" t="str">
        <f>IF(TIPOORCAMENTO="Licitado","","BDI
(%)")</f>
        <v>BDI
(%)</v>
      </c>
      <c r="W13" s="109" t="s">
        <v>235</v>
      </c>
      <c r="X13" s="109" t="s">
        <v>236</v>
      </c>
      <c r="Y13" s="108" t="s">
        <v>216</v>
      </c>
      <c r="Z13" s="108" t="s">
        <v>216</v>
      </c>
      <c r="AA13" s="112" t="s">
        <v>237</v>
      </c>
      <c r="AB13" s="113" t="s">
        <v>238</v>
      </c>
      <c r="AC13" s="109" t="s">
        <v>239</v>
      </c>
      <c r="AD13" s="114" t="s">
        <v>240</v>
      </c>
      <c r="AE13" s="114" t="s">
        <v>241</v>
      </c>
      <c r="AF13" s="114" t="s">
        <v>242</v>
      </c>
      <c r="AG13" s="168" t="s">
        <v>409</v>
      </c>
      <c r="AH13" s="484" t="str">
        <f>IF(TIPOORCAMENTO="LICITADO","Valor BDI Edital","Valor BDI")</f>
        <v>Valor BDI</v>
      </c>
      <c r="AJ13" s="335" t="s">
        <v>202</v>
      </c>
      <c r="AL13" s="335" t="s">
        <v>235</v>
      </c>
      <c r="AM13" s="168" t="s">
        <v>243</v>
      </c>
      <c r="AN13" s="169" t="s">
        <v>405</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IF(OR($C14="S",$C14=0),0,MATCH(0,OFFSET($D14,1,$C14,ROW($C$36)-ROW($C14)),0))</f>
        <v>0</v>
      </c>
      <c r="K14">
        <f ca="1">IF(OR($C14="S",$C14=0),0,MATCH(OFFSET($D14,0,$C14)+IF($C14&lt;&gt;1,1,COUNTIF(QCI!$A$13:$A$24,ORÇAMENTO!E14)),OFFSET($D14,1,$C14,ROW($C$36)-ROW($C14)),0))</f>
        <v>0</v>
      </c>
      <c r="L14" s="116" t="str">
        <f ca="1">IF(OR($X14&gt;0,$C14=1,$C14=2,$C14=3,$C14=4),"F","")</f>
        <v/>
      </c>
      <c r="M14" s="117" t="s">
        <v>198</v>
      </c>
      <c r="N14" s="118" t="str">
        <f ca="1">CHOOSE(1+LOG(1+2*(C14=1)+4*(C14=2)+8*(C14=3)+16*(C14=4)+32*(C14="S"),2),"","Meta","Nível 2","Nível 3","Nível 4","Serviço")</f>
        <v>Serviço</v>
      </c>
      <c r="O14" s="119" t="str">
        <f ca="1">IF(OR($C14=0,$L14=""),"-",CONCATENATE(E14&amp;".",IF(AND($A$5&gt;=2,$C14&gt;=2),F14&amp;".",""),IF(AND($A$5&gt;=3,$C14&gt;=3),G14&amp;".",""),IF(AND($A$5&gt;=4,$C14&gt;=4),H14&amp;".",""),IF($C14="S",I14&amp;".","")))</f>
        <v>-</v>
      </c>
      <c r="P14" s="120" t="s">
        <v>246</v>
      </c>
      <c r="Q14" s="121"/>
      <c r="R14" s="122" t="str">
        <f ca="1">IF($C14="S",REFERENCIA.Descricao,"(digite a descrição aqui)")</f>
        <v>(abra o arquivo 'Referência 03-Sunday.xlsm)</v>
      </c>
      <c r="S14" s="123" t="str">
        <f ca="1">REFERENCIA.Unidade</f>
        <v>-</v>
      </c>
      <c r="T14" s="124">
        <f ca="1">OFFSET(CÁLCULO!H$15,ROW($T14)-ROW(T$15),0)</f>
        <v>0</v>
      </c>
      <c r="U14" s="125"/>
      <c r="V14" s="126" t="s">
        <v>156</v>
      </c>
      <c r="W14" s="124">
        <f ca="1">IF($C14="S",ROUND(IF(TIPOORCAMENTO="Proposto",ORÇAMENTO.CustoUnitario*(1+$AH14),ORÇAMENTO.PrecoUnitarioLicitado),15-13*$AF$10),0)</f>
        <v>0</v>
      </c>
      <c r="X14" s="127">
        <f ca="1">IF($C14="S",IF(Import.TipoArredondamento&lt;&gt;"TransfereGOV",VTOTAL1,SUM(OFFSET(CÁLCULO!$AI$15,ROW($X14)-ROW($X$15),1):OFFSET(CÁLCULO!$BB$15,ROW($X14)-ROW($X$15),-1))),IF($C14=0,0,ROUND(SomaAgrup,15-13*$AF$11)))</f>
        <v>0</v>
      </c>
      <c r="Y14" s="128" t="s">
        <v>244</v>
      </c>
      <c r="Z14" t="str">
        <f ca="1">IF(AND($C14="S",$X14&gt;0),IF(ISBLANK($Y14),"RA",LEFT($Y14,2)),"")</f>
        <v/>
      </c>
      <c r="AA14" s="129">
        <f ca="1">IF($C14="S",IF($Z14="CP",$X14,IF($Z14="RA",(($X14)*QCI!$AA$3),0)),SomaAgrup)</f>
        <v>0</v>
      </c>
      <c r="AB14" s="130">
        <f ca="1">IF($C14="S",IF($Z14="OU",ROUND($X14,2),0),SomaAgrup)</f>
        <v>0</v>
      </c>
      <c r="AC14" s="131" t="str">
        <f ca="1">IF($N14="","",IF(ORÇAMENTO.Descricao="","DESCRIÇÃO",IF(AND($C14="S",ORÇAMENTO.Unidade=""),"UNIDADE",IF($X14&lt;0,"VALOR NEGATIVO",IF(OR(AND(TIPOORCAMENTO="Proposto",$AG14&lt;&gt;"",$AG14&gt;0,ORÇAMENTO.CustoUnitario&gt;$AG14),AND(TIPOORCAMENTO="LICITADO",ORÇAMENTO.PrecoUnitarioLicitado&gt;$AN14)),"ACIMA REF.","")))))</f>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03-Sunday.xlsm)</v>
      </c>
      <c r="AG14" s="485">
        <f ca="1">ROUND(IF(DESONERACAO="sim",REFERENCIA.Desonerado,REFERENCIA.NaoDesonerado),2)</f>
        <v>0</v>
      </c>
      <c r="AH14" s="486">
        <f ca="1">ROUND(IF(ISNUMBER(ORÇAMENTO.OpcaoBDI),ORÇAMENTO.OpcaoBDI,IF(LEFT(ORÇAMENTO.OpcaoBDI,3)="BDI",HLOOKUP(ORÇAMENTO.OpcaoBDI,$F$4:$H$5,2,FALSE),0)),15-11*$AF$9)</f>
        <v>0.21390000000000001</v>
      </c>
      <c r="AJ14" s="488"/>
      <c r="AL14" s="505"/>
      <c r="AM14" s="379">
        <f t="shared" ref="AM14:AM35" ca="1" si="0">$X14</f>
        <v>0</v>
      </c>
      <c r="AN14" s="543">
        <f ca="1">ROUND(ORÇAMENTO.CustoUnitario*(1+$AH14),2)</f>
        <v>0</v>
      </c>
    </row>
    <row r="15" spans="1:40" x14ac:dyDescent="0.2">
      <c r="A15">
        <v>0</v>
      </c>
      <c r="C15" t="s">
        <v>149</v>
      </c>
      <c r="D15">
        <f ca="1">COUNTA(OFFSET(D15,1,0):D$36)</f>
        <v>20</v>
      </c>
      <c r="E15">
        <v>0</v>
      </c>
      <c r="L15" s="116" t="s">
        <v>245</v>
      </c>
      <c r="M15" s="132" t="str">
        <f>IF(TIPOORCAMENTO="LICITADO","CTEF","LOTE")</f>
        <v>LOTE</v>
      </c>
      <c r="N15" s="132" t="str">
        <f>IF(TIPOORCAMENTO="LICITADO","CTEF","LOTE")</f>
        <v>LOTE</v>
      </c>
      <c r="O15" s="640" t="str">
        <f>Import.DescLote</f>
        <v>REGISTRO DE PREÇOS PARA SERVIÇOS COMUNS DE ENGENHARIA P/ MANUTNEÇÃO ABRIGOS PASSAGEIROS ONIBUS TAXI</v>
      </c>
      <c r="P15" s="640"/>
      <c r="Q15" s="640"/>
      <c r="R15" s="640"/>
      <c r="S15" s="133"/>
      <c r="T15" s="134"/>
      <c r="U15" s="134"/>
      <c r="V15" s="135"/>
      <c r="W15" s="134"/>
      <c r="X15" s="136">
        <f ca="1">SUMIF(OFFSET($C15,1,0,ROW(X36)-ROW(X15)-1),"S",OFFSET(X15,1,0,ROW(X36)-ROW(X15)-1))</f>
        <v>0</v>
      </c>
      <c r="Y15" s="7"/>
      <c r="Z15" t="str">
        <f ca="1">IF(AND($C15="S",$X15&gt;0),LEFT($Y15,2),"")</f>
        <v/>
      </c>
      <c r="AA15" s="483">
        <f ca="1">SUMIF(OFFSET($C15,1,0,ROW(AA36)-ROW(AA15)-1),"S",OFFSET(AA15,1,0,ROW(AA36)-ROW(AA15)-1))</f>
        <v>0</v>
      </c>
      <c r="AB15" s="137">
        <f ca="1">SUMIF(OFFSET($C15,1,0,ROW(AB36)-ROW(AB15)-1),"S",OFFSET(AB15,1,0,ROW(AB36)-ROW(AB15)-1))</f>
        <v>0</v>
      </c>
      <c r="AC15" s="131"/>
      <c r="AG15" s="507"/>
      <c r="AH15" s="508"/>
      <c r="AJ15" s="487"/>
      <c r="AL15" s="506"/>
      <c r="AM15" s="544">
        <f t="shared" ca="1" si="0"/>
        <v>0</v>
      </c>
      <c r="AN15" s="545"/>
    </row>
    <row r="16" spans="1:40" x14ac:dyDescent="0.2">
      <c r="A16">
        <f t="shared" ref="A16:A35" si="1">CHOOSE(1+LOG(1+2*(ORÇAMENTO.Nivel="Meta")+4*(ORÇAMENTO.Nivel="Nível 2")+8*(ORÇAMENTO.Nivel="Nível 3")+16*(ORÇAMENTO.Nivel="Nível 4")+32*(ORÇAMENTO.Nivel="Serviço"),2),0,1,2,3,4,"S")</f>
        <v>1</v>
      </c>
      <c r="B16">
        <f t="shared" ref="B16:B35" ca="1" si="2">IF(OR(C16="s",C16=0),OFFSET(B16,-1,0),C16)</f>
        <v>1</v>
      </c>
      <c r="C16">
        <f t="shared" ref="C16:C35" ca="1" si="3">IF(OFFSET(C16,-1,0)="L",1,IF(OFFSET(C16,-1,0)=1,2,IF(OR(A16="s",A16=0),"S",IF(AND(OFFSET(C16,-1,0)=2,A16=4),3,IF(AND(OR(OFFSET(C16,-1,0)="s",OFFSET(C16,-1,0)=0),A16&lt;&gt;"s",A16&gt;OFFSET(B16,-1,0)),OFFSET(B16,-1,0),A16)))))</f>
        <v>1</v>
      </c>
      <c r="D16">
        <f t="shared" ref="D16:D35" ca="1" si="4">IF(OR(C16="S",C16=0),0,IF(ISERROR(K16),J16,SMALL(J16:K16,1)))</f>
        <v>20</v>
      </c>
      <c r="E16">
        <f ca="1">IF($C16=1,OFFSET(E16,-1,0)+MAX(1,COUNTIF(QCI!$A$13:$A$24,OFFSET(ORÇAMENTO!E16,-1,0))),OFFSET(E16,-1,0))</f>
        <v>1</v>
      </c>
      <c r="F16">
        <f t="shared" ref="F16:F35" ca="1" si="5">IF($C16=1,0,IF($C16=2,OFFSET(F16,-1,0)+1,OFFSET(F16,-1,0)))</f>
        <v>0</v>
      </c>
      <c r="G16">
        <f t="shared" ref="G16:G35" ca="1" si="6">IF(AND($C16&lt;=2,$C16&lt;&gt;0),0,IF($C16=3,OFFSET(G16,-1,0)+1,OFFSET(G16,-1,0)))</f>
        <v>0</v>
      </c>
      <c r="H16">
        <f t="shared" ref="H16:H35" ca="1" si="7">IF(AND($C16&lt;=3,$C16&lt;&gt;0),0,IF($C16=4,OFFSET(H16,-1,0)+1,OFFSET(H16,-1,0)))</f>
        <v>0</v>
      </c>
      <c r="I16">
        <f t="shared" ref="I16:I35" ca="1" si="8">IF(AND($C16&lt;=4,$C16&lt;&gt;0),0,IF(AND($C16="S",$X16&gt;0),OFFSET(I16,-1,0)+1,OFFSET(I16,-1,0)))</f>
        <v>0</v>
      </c>
      <c r="J16">
        <f t="shared" ref="J16:J35" ca="1" si="9">IF(OR($C16="S",$C16=0),0,MATCH(0,OFFSET($D16,1,$C16,ROW($C$36)-ROW($C16)),0))</f>
        <v>20</v>
      </c>
      <c r="K16" t="e">
        <f ca="1">IF(OR($C16="S",$C16=0),0,MATCH(OFFSET($D16,0,$C16)+IF($C16&lt;&gt;1,1,COUNTIF(QCI!$A$13:$A$24,ORÇAMENTO!E16)),OFFSET($D16,1,$C16,ROW($C$36)-ROW($C16)),0))</f>
        <v>#N/A</v>
      </c>
      <c r="L16" s="116" t="str">
        <f t="shared" ref="L16:L35" ca="1" si="10">IF(OR($X16&gt;0,$C16=1,$C16=2,$C16=3,$C16=4),"F","")</f>
        <v>F</v>
      </c>
      <c r="M16" s="117" t="s">
        <v>194</v>
      </c>
      <c r="N16" s="118" t="str">
        <f t="shared" ref="N16:N35" ca="1" si="11">CHOOSE(1+LOG(1+2*(C16=1)+4*(C16=2)+8*(C16=3)+16*(C16=4)+32*(C16="S"),2),"","Meta","Nível 2","Nível 3","Nível 4","Serviço")</f>
        <v>Meta</v>
      </c>
      <c r="O16" s="119" t="str">
        <f t="shared" ref="O16:O35" ca="1" si="12">IF(OR($C16=0,$L16=""),"-",CONCATENATE(E16&amp;".",IF(AND($A$5&gt;=2,$C16&gt;=2),F16&amp;".",""),IF(AND($A$5&gt;=3,$C16&gt;=3),G16&amp;".",""),IF(AND($A$5&gt;=4,$C16&gt;=4),H16&amp;".",""),IF($C16="S",I16&amp;".","")))</f>
        <v>1.</v>
      </c>
      <c r="P16" s="120" t="s">
        <v>246</v>
      </c>
      <c r="Q16" s="121"/>
      <c r="R16" s="122" t="s">
        <v>503</v>
      </c>
      <c r="S16" s="123" t="str">
        <f ca="1">REFERENCIA.Unidade</f>
        <v>-</v>
      </c>
      <c r="T16" s="124">
        <f ca="1">OFFSET(CÁLCULO!H$15,ROW($T16)-ROW(T$15),0)</f>
        <v>0</v>
      </c>
      <c r="U16" s="125"/>
      <c r="V16" s="126" t="s">
        <v>156</v>
      </c>
      <c r="W16" s="124">
        <f ca="1">IF($C16="S",ROUND(IF(TIPOORCAMENTO="Proposto",ORÇAMENTO.CustoUnitario*(1+$AH16),ORÇAMENTO.PrecoUnitarioLicitado),15-13*$AF$10),0)</f>
        <v>0</v>
      </c>
      <c r="X16" s="127">
        <f ca="1">IF($C16="S",IF(Import.TipoArredondamento&lt;&gt;"TransfereGOV",VTOTAL1,SUM(OFFSET(CÁLCULO!$AI$15,ROW($X16)-ROW($X$15),1):OFFSET(CÁLCULO!$BB$15,ROW($X16)-ROW($X$15),-1))),IF($C16=0,0,ROUND(SomaAgrup,15-13*$AF$11)))</f>
        <v>0</v>
      </c>
      <c r="Y16" s="128" t="s">
        <v>244</v>
      </c>
      <c r="Z16" t="str">
        <f t="shared" ref="Z16:Z35" ca="1" si="13">IF(AND($C16="S",$X16&gt;0),IF(ISBLANK($Y16),"RA",LEFT($Y16,2)),"")</f>
        <v/>
      </c>
      <c r="AA16" s="129">
        <f ca="1">IF($C16="S",IF($Z16="CP",$X16,IF($Z16="RA",(($X16)*QCI!$AA$3),0)),SomaAgrup)</f>
        <v>0</v>
      </c>
      <c r="AB16" s="130">
        <f t="shared" ref="AB16:AB35" ca="1" si="14">IF($C16="S",IF($Z16="OU",ROUND($X16,2),0),SomaAgrup)</f>
        <v>0</v>
      </c>
      <c r="AC16" s="131" t="str">
        <f ca="1">IF($N16="","",IF(ORÇAMENTO.Descricao="","DESCRIÇÃO",IF(AND($C16="S",ORÇAMENTO.Unidade=""),"UNIDADE",IF($X16&lt;0,"VALOR NEGATIVO",IF(OR(AND(TIPOORCAMENTO="Proposto",$AG16&lt;&gt;"",$AG16&gt;0,ORÇAMENTO.CustoUnitario&gt;$AG16),AND(TIPOORCAMENTO="LICITADO",ORÇAMENTO.PrecoUnitarioLicitado&gt;$AN16)),"ACIMA REF.","")))))</f>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03-Sunday.xlsm)</v>
      </c>
      <c r="AG16" s="485">
        <f ca="1">ROUND(IF(DESONERACAO="sim",REFERENCIA.Desonerado,REFERENCIA.NaoDesonerado),2)</f>
        <v>0</v>
      </c>
      <c r="AH16" s="486">
        <f t="shared" ref="AH16:AH35" ca="1" si="15">ROUND(IF(ISNUMBER(ORÇAMENTO.OpcaoBDI),ORÇAMENTO.OpcaoBDI,IF(LEFT(ORÇAMENTO.OpcaoBDI,3)="BDI",HLOOKUP(ORÇAMENTO.OpcaoBDI,$F$4:$H$5,2,FALSE),0)),15-11*$AF$9)</f>
        <v>0.21390000000000001</v>
      </c>
      <c r="AJ16" s="488"/>
      <c r="AL16" s="505"/>
      <c r="AM16" s="379">
        <f t="shared" ca="1" si="0"/>
        <v>0</v>
      </c>
      <c r="AN16" s="543">
        <f t="shared" ref="AN16:AN35" ca="1" si="16">ROUND(ORÇAMENTO.CustoUnitario*(1+$AH16),2)</f>
        <v>0</v>
      </c>
    </row>
    <row r="17" spans="1:40" x14ac:dyDescent="0.2">
      <c r="A17">
        <f t="shared" si="1"/>
        <v>2</v>
      </c>
      <c r="B17">
        <f t="shared" ca="1" si="2"/>
        <v>2</v>
      </c>
      <c r="C17">
        <f t="shared" ca="1" si="3"/>
        <v>2</v>
      </c>
      <c r="D17">
        <f t="shared" ca="1" si="4"/>
        <v>19</v>
      </c>
      <c r="E17">
        <f ca="1">IF($C17=1,OFFSET(E17,-1,0)+MAX(1,COUNTIF(QCI!$A$13:$A$24,OFFSET(ORÇAMENTO!E17,-1,0))),OFFSET(E17,-1,0))</f>
        <v>1</v>
      </c>
      <c r="F17">
        <f t="shared" ca="1" si="5"/>
        <v>1</v>
      </c>
      <c r="G17">
        <f t="shared" ca="1" si="6"/>
        <v>0</v>
      </c>
      <c r="H17">
        <f t="shared" ca="1" si="7"/>
        <v>0</v>
      </c>
      <c r="I17">
        <f t="shared" ca="1" si="8"/>
        <v>0</v>
      </c>
      <c r="J17">
        <f t="shared" ca="1" si="9"/>
        <v>19</v>
      </c>
      <c r="K17" t="e">
        <f ca="1">IF(OR($C17="S",$C17=0),0,MATCH(OFFSET($D17,0,$C17)+IF($C17&lt;&gt;1,1,COUNTIF(QCI!$A$13:$A$24,ORÇAMENTO!E17)),OFFSET($D17,1,$C17,ROW($C$36)-ROW($C17)),0))</f>
        <v>#N/A</v>
      </c>
      <c r="L17" s="116" t="str">
        <f t="shared" ca="1" si="10"/>
        <v>F</v>
      </c>
      <c r="M17" s="117" t="s">
        <v>195</v>
      </c>
      <c r="N17" s="118" t="str">
        <f t="shared" ca="1" si="11"/>
        <v>Nível 2</v>
      </c>
      <c r="O17" s="119" t="str">
        <f t="shared" ca="1" si="12"/>
        <v>1.1.</v>
      </c>
      <c r="P17" s="120" t="s">
        <v>246</v>
      </c>
      <c r="Q17" s="121"/>
      <c r="R17" s="122" t="s">
        <v>480</v>
      </c>
      <c r="S17" s="123" t="str">
        <f ca="1">REFERENCIA.Unidade</f>
        <v>-</v>
      </c>
      <c r="T17" s="124">
        <f ca="1">OFFSET(CÁLCULO!H$15,ROW($T17)-ROW(T$15),0)</f>
        <v>0</v>
      </c>
      <c r="U17" s="125"/>
      <c r="V17" s="126" t="s">
        <v>156</v>
      </c>
      <c r="W17" s="124">
        <f ca="1">IF($C17="S",ROUND(IF(TIPOORCAMENTO="Proposto",ORÇAMENTO.CustoUnitario*(1+$AH17),ORÇAMENTO.PrecoUnitarioLicitado),15-13*$AF$10),0)</f>
        <v>0</v>
      </c>
      <c r="X17" s="127">
        <f ca="1">IF($C17="S",IF(Import.TipoArredondamento&lt;&gt;"TransfereGOV",VTOTAL1,SUM(OFFSET(CÁLCULO!$AI$15,ROW($X17)-ROW($X$15),1):OFFSET(CÁLCULO!$BB$15,ROW($X17)-ROW($X$15),-1))),IF($C17=0,0,ROUND(SomaAgrup,15-13*$AF$11)))</f>
        <v>0</v>
      </c>
      <c r="Y17" s="128" t="s">
        <v>244</v>
      </c>
      <c r="Z17" t="str">
        <f t="shared" ca="1" si="13"/>
        <v/>
      </c>
      <c r="AA17" s="129">
        <f ca="1">IF($C17="S",IF($Z17="CP",$X17,IF($Z17="RA",(($X17)*QCI!$AA$3),0)),SomaAgrup)</f>
        <v>0</v>
      </c>
      <c r="AB17" s="130">
        <f t="shared" ca="1" si="14"/>
        <v>0</v>
      </c>
      <c r="AC17" s="131" t="str">
        <f ca="1">IF($N17="","",IF(ORÇAMENTO.Descricao="","DESCRIÇÃO",IF(AND($C17="S",ORÇAMENTO.Unidade=""),"UNIDADE",IF($X17&lt;0,"VALOR NEGATIVO",IF(OR(AND(TIPOORCAMENTO="Proposto",$AG17&lt;&gt;"",$AG17&gt;0,ORÇAMENTO.CustoUnitario&gt;$AG17),AND(TIPOORCAMENTO="LICITADO",ORÇAMENTO.PrecoUnitarioLicitado&gt;$AN17)),"ACIMA REF.","")))))</f>
        <v/>
      </c>
      <c r="AD17" t="str">
        <f ca="1">IF(C17&lt;=CRONO.NivelExibicao,MAX($AD$15:OFFSET(AD17,-1,0))+IF($C17&lt;&gt;1,1,MAX(1,COUNTIF(QCI!$A$13:$A$24,OFFSET($E17,-1,0)))),"")</f>
        <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03-Sunday.xlsm)</v>
      </c>
      <c r="AG17" s="485">
        <f ca="1">ROUND(IF(DESONERACAO="sim",REFERENCIA.Desonerado,REFERENCIA.NaoDesonerado),2)</f>
        <v>0</v>
      </c>
      <c r="AH17" s="486">
        <f t="shared" ca="1" si="15"/>
        <v>0.21390000000000001</v>
      </c>
      <c r="AJ17" s="488"/>
      <c r="AL17" s="505"/>
      <c r="AM17" s="379">
        <f t="shared" ca="1" si="0"/>
        <v>0</v>
      </c>
      <c r="AN17" s="543">
        <f t="shared" ca="1" si="16"/>
        <v>0</v>
      </c>
    </row>
    <row r="18" spans="1:40" ht="25.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IF(OR($C18="S",$C18=0),0,MATCH(OFFSET($D18,0,$C18)+IF($C18&lt;&gt;1,1,COUNTIF(QCI!$A$13:$A$24,ORÇAMENTO!E18)),OFFSET($D18,1,$C18,ROW($C$36)-ROW($C18)),0))</f>
        <v>0</v>
      </c>
      <c r="L18" s="116" t="str">
        <f t="shared" ca="1" si="10"/>
        <v/>
      </c>
      <c r="M18" s="117" t="s">
        <v>198</v>
      </c>
      <c r="N18" s="118" t="str">
        <f t="shared" ca="1" si="11"/>
        <v>Serviço</v>
      </c>
      <c r="O18" s="119" t="str">
        <f t="shared" ca="1" si="12"/>
        <v>-</v>
      </c>
      <c r="P18" s="120" t="s">
        <v>484</v>
      </c>
      <c r="Q18" s="121" t="s">
        <v>485</v>
      </c>
      <c r="R18" s="122" t="str">
        <f ca="1">IF($C18="S",REFERENCIA.Descricao,"(digite a descrição aqui)")</f>
        <v>(abra o arquivo 'Referência 03-Sunday.xlsm)</v>
      </c>
      <c r="S18" s="123" t="str">
        <f ca="1">REFERENCIA.Unidade</f>
        <v>-</v>
      </c>
      <c r="T18" s="124">
        <f ca="1">OFFSET(CÁLCULO!H$15,ROW($T18)-ROW(T$15),0)</f>
        <v>100</v>
      </c>
      <c r="U18" s="125">
        <f ca="1">AG18</f>
        <v>0</v>
      </c>
      <c r="V18" s="126" t="s">
        <v>156</v>
      </c>
      <c r="W18" s="124">
        <f ca="1">IF($C18="S",ROUND(IF(TIPOORCAMENTO="Proposto",ORÇAMENTO.CustoUnitario*(1+$AH18),ORÇAMENTO.PrecoUnitarioLicitado),15-13*$AF$10),0)</f>
        <v>0</v>
      </c>
      <c r="X18" s="127">
        <f ca="1">IF($C18="S",IF(Import.TipoArredondamento&lt;&gt;"TransfereGOV",VTOTAL1,SUM(OFFSET(CÁLCULO!$AI$15,ROW($X18)-ROW($X$15),1):OFFSET(CÁLCULO!$BB$15,ROW($X18)-ROW($X$15),-1))),IF($C18=0,0,ROUND(SomaAgrup,15-13*$AF$11)))</f>
        <v>0</v>
      </c>
      <c r="Y18" s="128" t="s">
        <v>244</v>
      </c>
      <c r="Z18" t="str">
        <f t="shared" ca="1" si="13"/>
        <v/>
      </c>
      <c r="AA18" s="129">
        <f ca="1">IF($C18="S",IF($Z18="CP",$X18,IF($Z18="RA",(($X18)*QCI!$AA$3),0)),SomaAgrup)</f>
        <v>0</v>
      </c>
      <c r="AB18" s="130">
        <f t="shared" ca="1" si="14"/>
        <v>0</v>
      </c>
      <c r="AC18" s="131" t="str">
        <f ca="1">IF($N18="","",IF(ORÇAMENTO.Descricao="","DESCRIÇÃO",IF(AND($C18="S",ORÇAMENTO.Unidade=""),"UNIDADE",IF($X18&lt;0,"VALOR NEGATIVO",IF(OR(AND(TIPOORCAMENTO="Proposto",$AG18&lt;&gt;"",$AG18&gt;0,ORÇAMENTO.CustoUnitario&gt;$AG18),AND(TIPOORCAMENTO="LICITADO",ORÇAMENTO.PrecoUnitarioLicitado&gt;$AN18)),"ACIMA REF.","")))))</f>
        <v/>
      </c>
      <c r="AD18" t="str">
        <f ca="1">IF(C18&lt;=CRONO.NivelExibicao,MAX($AD$15:OFFSET(AD18,-1,0))+IF($C18&lt;&gt;1,1,MAX(1,COUNTIF(QCI!$A$13:$A$24,OFFSET($E18,-1,0)))),"")</f>
        <v/>
      </c>
      <c r="AE18" s="7" t="str">
        <f ca="1">IF(AND($C18="S",ORÇAMENTO.CodBarra&lt;&gt;""),IF(ORÇAMENTO.Fonte="",ORÇAMENTO.CodBarra,CONCATENATE(ORÇAMENTO.Fonte," ",ORÇAMENTO.CodBarra)))</f>
        <v>PM BENTO 01</v>
      </c>
      <c r="AF18" s="13"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03-Sunday.xlsm)</v>
      </c>
      <c r="AG18" s="485">
        <f ca="1">ROUND(IF(DESONERACAO="sim",REFERENCIA.Desonerado,REFERENCIA.NaoDesonerado),2)</f>
        <v>0</v>
      </c>
      <c r="AH18" s="486">
        <f t="shared" ca="1" si="15"/>
        <v>0.21390000000000001</v>
      </c>
      <c r="AJ18" s="488"/>
      <c r="AL18" s="505"/>
      <c r="AM18" s="379">
        <f t="shared" ca="1" si="0"/>
        <v>0</v>
      </c>
      <c r="AN18" s="543">
        <f t="shared" ca="1" si="16"/>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IF(OR($C19="S",$C19=0),0,MATCH(OFFSET($D19,0,$C19)+IF($C19&lt;&gt;1,1,COUNTIF(QCI!$A$13:$A$24,ORÇAMENTO!E19)),OFFSET($D19,1,$C19,ROW($C$36)-ROW($C19)),0))</f>
        <v>0</v>
      </c>
      <c r="L19" s="116" t="str">
        <f t="shared" ca="1" si="10"/>
        <v/>
      </c>
      <c r="M19" s="117" t="s">
        <v>198</v>
      </c>
      <c r="N19" s="118" t="str">
        <f t="shared" ca="1" si="11"/>
        <v>Serviço</v>
      </c>
      <c r="O19" s="119" t="str">
        <f t="shared" ca="1" si="12"/>
        <v>-</v>
      </c>
      <c r="P19" s="120" t="s">
        <v>484</v>
      </c>
      <c r="Q19" s="121" t="s">
        <v>486</v>
      </c>
      <c r="R19" s="122" t="str">
        <f ca="1">IF($C19="S",REFERENCIA.Descricao,"(digite a descrição aqui)")</f>
        <v>(abra o arquivo 'Referência 03-Sunday.xlsm)</v>
      </c>
      <c r="S19" s="123" t="str">
        <f ca="1">REFERENCIA.Unidade</f>
        <v>-</v>
      </c>
      <c r="T19" s="124">
        <f ca="1">OFFSET(CÁLCULO!H$15,ROW($T19)-ROW(T$15),0)</f>
        <v>880</v>
      </c>
      <c r="U19" s="125">
        <f t="shared" ref="U19:U35" ca="1" si="17">AG19</f>
        <v>0</v>
      </c>
      <c r="V19" s="126" t="s">
        <v>156</v>
      </c>
      <c r="W19" s="124">
        <f ca="1">IF($C19="S",ROUND(IF(TIPOORCAMENTO="Proposto",ORÇAMENTO.CustoUnitario*(1+$AH19),ORÇAMENTO.PrecoUnitarioLicitado),15-13*$AF$10),0)</f>
        <v>0</v>
      </c>
      <c r="X19" s="127">
        <f ca="1">IF($C19="S",IF(Import.TipoArredondamento&lt;&gt;"TransfereGOV",VTOTAL1,SUM(OFFSET(CÁLCULO!$AI$15,ROW($X19)-ROW($X$15),1):OFFSET(CÁLCULO!$BB$15,ROW($X19)-ROW($X$15),-1))),IF($C19=0,0,ROUND(SomaAgrup,15-13*$AF$11)))</f>
        <v>0</v>
      </c>
      <c r="Y19" s="128" t="s">
        <v>244</v>
      </c>
      <c r="Z19" t="str">
        <f t="shared" ca="1" si="13"/>
        <v/>
      </c>
      <c r="AA19" s="129">
        <f ca="1">IF($C19="S",IF($Z19="CP",$X19,IF($Z19="RA",(($X19)*QCI!$AA$3),0)),SomaAgrup)</f>
        <v>0</v>
      </c>
      <c r="AB19" s="130">
        <f t="shared" ca="1" si="14"/>
        <v>0</v>
      </c>
      <c r="AC19" s="131" t="str">
        <f ca="1">IF($N19="","",IF(ORÇAMENTO.Descricao="","DESCRIÇÃO",IF(AND($C19="S",ORÇAMENTO.Unidade=""),"UNIDADE",IF($X19&lt;0,"VALOR NEGATIVO",IF(OR(AND(TIPOORCAMENTO="Proposto",$AG19&lt;&gt;"",$AG19&gt;0,ORÇAMENTO.CustoUnitario&gt;$AG19),AND(TIPOORCAMENTO="LICITADO",ORÇAMENTO.PrecoUnitarioLicitado&gt;$AN19)),"ACIMA REF.","")))))</f>
        <v/>
      </c>
      <c r="AD19" t="str">
        <f ca="1">IF(C19&lt;=CRONO.NivelExibicao,MAX($AD$15:OFFSET(AD19,-1,0))+IF($C19&lt;&gt;1,1,MAX(1,COUNTIF(QCI!$A$13:$A$24,OFFSET($E19,-1,0)))),"")</f>
        <v/>
      </c>
      <c r="AE19" s="7" t="str">
        <f ca="1">IF(AND($C19="S",ORÇAMENTO.CodBarra&lt;&gt;""),IF(ORÇAMENTO.Fonte="",ORÇAMENTO.CodBarra,CONCATENATE(ORÇAMENTO.Fonte," ",ORÇAMENTO.CodBarra)))</f>
        <v>PM BENTO 02</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03-Sunday.xlsm)</v>
      </c>
      <c r="AG19" s="485">
        <f ca="1">ROUND(IF(DESONERACAO="sim",REFERENCIA.Desonerado,REFERENCIA.NaoDesonerado),2)</f>
        <v>0</v>
      </c>
      <c r="AH19" s="486">
        <f t="shared" ca="1" si="15"/>
        <v>0.21390000000000001</v>
      </c>
      <c r="AJ19" s="488"/>
      <c r="AL19" s="505"/>
      <c r="AM19" s="379">
        <f t="shared" ca="1" si="0"/>
        <v>0</v>
      </c>
      <c r="AN19" s="543">
        <f t="shared" ca="1" si="16"/>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IF(OR($C20="S",$C20=0),0,MATCH(OFFSET($D20,0,$C20)+IF($C20&lt;&gt;1,1,COUNTIF(QCI!$A$13:$A$24,ORÇAMENTO!E20)),OFFSET($D20,1,$C20,ROW($C$36)-ROW($C20)),0))</f>
        <v>0</v>
      </c>
      <c r="L20" s="116" t="str">
        <f t="shared" ca="1" si="10"/>
        <v/>
      </c>
      <c r="M20" s="117" t="s">
        <v>198</v>
      </c>
      <c r="N20" s="118" t="str">
        <f t="shared" ca="1" si="11"/>
        <v>Serviço</v>
      </c>
      <c r="O20" s="119" t="str">
        <f t="shared" ca="1" si="12"/>
        <v>-</v>
      </c>
      <c r="P20" s="120" t="s">
        <v>484</v>
      </c>
      <c r="Q20" s="121" t="s">
        <v>487</v>
      </c>
      <c r="R20" s="122" t="str">
        <f ca="1">IF($C20="S",REFERENCIA.Descricao,"(digite a descrição aqui)")</f>
        <v>(abra o arquivo 'Referência 03-Sunday.xlsm)</v>
      </c>
      <c r="S20" s="123" t="str">
        <f ca="1">REFERENCIA.Unidade</f>
        <v>-</v>
      </c>
      <c r="T20" s="124">
        <f ca="1">OFFSET(CÁLCULO!H$15,ROW($T20)-ROW(T$15),0)</f>
        <v>600</v>
      </c>
      <c r="U20" s="125">
        <f t="shared" ca="1" si="17"/>
        <v>0</v>
      </c>
      <c r="V20" s="126" t="s">
        <v>156</v>
      </c>
      <c r="W20" s="124">
        <f ca="1">IF($C20="S",ROUND(IF(TIPOORCAMENTO="Proposto",ORÇAMENTO.CustoUnitario*(1+$AH20),ORÇAMENTO.PrecoUnitarioLicitado),15-13*$AF$10),0)</f>
        <v>0</v>
      </c>
      <c r="X20" s="127">
        <f ca="1">IF($C20="S",IF(Import.TipoArredondamento&lt;&gt;"TransfereGOV",VTOTAL1,SUM(OFFSET(CÁLCULO!$AI$15,ROW($X20)-ROW($X$15),1):OFFSET(CÁLCULO!$BB$15,ROW($X20)-ROW($X$15),-1))),IF($C20=0,0,ROUND(SomaAgrup,15-13*$AF$11)))</f>
        <v>0</v>
      </c>
      <c r="Y20" s="128" t="s">
        <v>244</v>
      </c>
      <c r="Z20" t="str">
        <f t="shared" ca="1" si="13"/>
        <v/>
      </c>
      <c r="AA20" s="129">
        <f ca="1">IF($C20="S",IF($Z20="CP",$X20,IF($Z20="RA",(($X20)*QCI!$AA$3),0)),SomaAgrup)</f>
        <v>0</v>
      </c>
      <c r="AB20" s="130">
        <f t="shared" ca="1" si="14"/>
        <v>0</v>
      </c>
      <c r="AC20" s="131" t="str">
        <f ca="1">IF($N20="","",IF(ORÇAMENTO.Descricao="","DESCRIÇÃO",IF(AND($C20="S",ORÇAMENTO.Unidade=""),"UNIDADE",IF($X20&lt;0,"VALOR NEGATIVO",IF(OR(AND(TIPOORCAMENTO="Proposto",$AG20&lt;&gt;"",$AG20&gt;0,ORÇAMENTO.CustoUnitario&gt;$AG20),AND(TIPOORCAMENTO="LICITADO",ORÇAMENTO.PrecoUnitarioLicitado&gt;$AN20)),"ACIMA REF.","")))))</f>
        <v/>
      </c>
      <c r="AD20" t="str">
        <f ca="1">IF(C20&lt;=CRONO.NivelExibicao,MAX($AD$15:OFFSET(AD20,-1,0))+IF($C20&lt;&gt;1,1,MAX(1,COUNTIF(QCI!$A$13:$A$24,OFFSET($E20,-1,0)))),"")</f>
        <v/>
      </c>
      <c r="AE20" s="7" t="str">
        <f ca="1">IF(AND($C20="S",ORÇAMENTO.CodBarra&lt;&gt;""),IF(ORÇAMENTO.Fonte="",ORÇAMENTO.CodBarra,CONCATENATE(ORÇAMENTO.Fonte," ",ORÇAMENTO.CodBarra)))</f>
        <v>PM BENTO 03</v>
      </c>
      <c r="AF20" s="13"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03-Sunday.xlsm)</v>
      </c>
      <c r="AG20" s="485">
        <f ca="1">ROUND(IF(DESONERACAO="sim",REFERENCIA.Desonerado,REFERENCIA.NaoDesonerado),2)</f>
        <v>0</v>
      </c>
      <c r="AH20" s="486">
        <f t="shared" ca="1" si="15"/>
        <v>0.21390000000000001</v>
      </c>
      <c r="AJ20" s="488"/>
      <c r="AL20" s="505"/>
      <c r="AM20" s="379">
        <f t="shared" ca="1" si="0"/>
        <v>0</v>
      </c>
      <c r="AN20" s="543">
        <f t="shared" ca="1" si="16"/>
        <v>0</v>
      </c>
    </row>
    <row r="21" spans="1:40" ht="51" x14ac:dyDescent="0.2">
      <c r="A21" t="str">
        <f t="shared" si="1"/>
        <v>S</v>
      </c>
      <c r="B21">
        <f t="shared" ca="1" si="2"/>
        <v>2</v>
      </c>
      <c r="C21" t="str">
        <f t="shared" ca="1" si="3"/>
        <v>S</v>
      </c>
      <c r="D21">
        <f t="shared" ca="1" si="4"/>
        <v>0</v>
      </c>
      <c r="E21">
        <f ca="1">IF($C21=1,OFFSET(E21,-1,0)+MAX(1,COUNTIF(QCI!$A$13:$A$24,OFFSET(ORÇAMENTO!E21,-1,0))),OFFSET(E21,-1,0))</f>
        <v>1</v>
      </c>
      <c r="F21">
        <f t="shared" ca="1" si="5"/>
        <v>1</v>
      </c>
      <c r="G21">
        <f t="shared" ca="1" si="6"/>
        <v>0</v>
      </c>
      <c r="H21">
        <f t="shared" ca="1" si="7"/>
        <v>0</v>
      </c>
      <c r="I21">
        <f t="shared" ca="1" si="8"/>
        <v>0</v>
      </c>
      <c r="J21">
        <f t="shared" ca="1" si="9"/>
        <v>0</v>
      </c>
      <c r="K21">
        <f ca="1">IF(OR($C21="S",$C21=0),0,MATCH(OFFSET($D21,0,$C21)+IF($C21&lt;&gt;1,1,COUNTIF(QCI!$A$13:$A$24,ORÇAMENTO!E21)),OFFSET($D21,1,$C21,ROW($C$36)-ROW($C21)),0))</f>
        <v>0</v>
      </c>
      <c r="L21" s="116" t="str">
        <f t="shared" ca="1" si="10"/>
        <v/>
      </c>
      <c r="M21" s="117" t="s">
        <v>198</v>
      </c>
      <c r="N21" s="118" t="str">
        <f t="shared" ca="1" si="11"/>
        <v>Serviço</v>
      </c>
      <c r="O21" s="119" t="str">
        <f t="shared" ca="1" si="12"/>
        <v>-</v>
      </c>
      <c r="P21" s="120" t="s">
        <v>484</v>
      </c>
      <c r="Q21" s="121" t="s">
        <v>488</v>
      </c>
      <c r="R21" s="122" t="str">
        <f ca="1">IF($C21="S",REFERENCIA.Descricao,"(digite a descrição aqui)")</f>
        <v>(abra o arquivo 'Referência 03-Sunday.xlsm)</v>
      </c>
      <c r="S21" s="123" t="str">
        <f ca="1">REFERENCIA.Unidade</f>
        <v>-</v>
      </c>
      <c r="T21" s="124">
        <f ca="1">OFFSET(CÁLCULO!H$15,ROW($T21)-ROW(T$15),0)</f>
        <v>100</v>
      </c>
      <c r="U21" s="125">
        <f t="shared" ca="1" si="17"/>
        <v>0</v>
      </c>
      <c r="V21" s="126" t="s">
        <v>156</v>
      </c>
      <c r="W21" s="124">
        <f ca="1">IF($C21="S",ROUND(IF(TIPOORCAMENTO="Proposto",ORÇAMENTO.CustoUnitario*(1+$AH21),ORÇAMENTO.PrecoUnitarioLicitado),15-13*$AF$10),0)</f>
        <v>0</v>
      </c>
      <c r="X21" s="127">
        <f ca="1">IF($C21="S",IF(Import.TipoArredondamento&lt;&gt;"TransfereGOV",VTOTAL1,SUM(OFFSET(CÁLCULO!$AI$15,ROW($X21)-ROW($X$15),1):OFFSET(CÁLCULO!$BB$15,ROW($X21)-ROW($X$15),-1))),IF($C21=0,0,ROUND(SomaAgrup,15-13*$AF$11)))</f>
        <v>0</v>
      </c>
      <c r="Y21" s="128" t="s">
        <v>244</v>
      </c>
      <c r="Z21" t="str">
        <f t="shared" ca="1" si="13"/>
        <v/>
      </c>
      <c r="AA21" s="129">
        <f ca="1">IF($C21="S",IF($Z21="CP",$X21,IF($Z21="RA",(($X21)*QCI!$AA$3),0)),SomaAgrup)</f>
        <v>0</v>
      </c>
      <c r="AB21" s="130">
        <f t="shared" ca="1" si="14"/>
        <v>0</v>
      </c>
      <c r="AC21" s="131" t="str">
        <f ca="1">IF($N21="","",IF(ORÇAMENTO.Descricao="","DESCRIÇÃO",IF(AND($C21="S",ORÇAMENTO.Unidade=""),"UNIDADE",IF($X21&lt;0,"VALOR NEGATIVO",IF(OR(AND(TIPOORCAMENTO="Proposto",$AG21&lt;&gt;"",$AG21&gt;0,ORÇAMENTO.CustoUnitario&gt;$AG21),AND(TIPOORCAMENTO="LICITADO",ORÇAMENTO.PrecoUnitarioLicitado&gt;$AN21)),"ACIMA REF.","")))))</f>
        <v/>
      </c>
      <c r="AD21" t="str">
        <f ca="1">IF(C21&lt;=CRONO.NivelExibicao,MAX($AD$15:OFFSET(AD21,-1,0))+IF($C21&lt;&gt;1,1,MAX(1,COUNTIF(QCI!$A$13:$A$24,OFFSET($E21,-1,0)))),"")</f>
        <v/>
      </c>
      <c r="AE21" s="7" t="str">
        <f ca="1">IF(AND($C21="S",ORÇAMENTO.CodBarra&lt;&gt;""),IF(ORÇAMENTO.Fonte="",ORÇAMENTO.CodBarra,CONCATENATE(ORÇAMENTO.Fonte," ",ORÇAMENTO.CodBarra)))</f>
        <v>PM BENTO 04</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03-Sunday.xlsm)</v>
      </c>
      <c r="AG21" s="485">
        <f ca="1">ROUND(IF(DESONERACAO="sim",REFERENCIA.Desonerado,REFERENCIA.NaoDesonerado),2)</f>
        <v>0</v>
      </c>
      <c r="AH21" s="486">
        <f t="shared" ca="1" si="15"/>
        <v>0.21390000000000001</v>
      </c>
      <c r="AJ21" s="488"/>
      <c r="AL21" s="505"/>
      <c r="AM21" s="379">
        <f t="shared" ca="1" si="0"/>
        <v>0</v>
      </c>
      <c r="AN21" s="543">
        <f t="shared" ca="1" si="16"/>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1</v>
      </c>
      <c r="G22">
        <f t="shared" ca="1" si="6"/>
        <v>0</v>
      </c>
      <c r="H22">
        <f t="shared" ca="1" si="7"/>
        <v>0</v>
      </c>
      <c r="I22">
        <f t="shared" ca="1" si="8"/>
        <v>0</v>
      </c>
      <c r="J22">
        <f t="shared" ca="1" si="9"/>
        <v>0</v>
      </c>
      <c r="K22">
        <f ca="1">IF(OR($C22="S",$C22=0),0,MATCH(OFFSET($D22,0,$C22)+IF($C22&lt;&gt;1,1,COUNTIF(QCI!$A$13:$A$24,ORÇAMENTO!E22)),OFFSET($D22,1,$C22,ROW($C$36)-ROW($C22)),0))</f>
        <v>0</v>
      </c>
      <c r="L22" s="116" t="str">
        <f t="shared" ca="1" si="10"/>
        <v/>
      </c>
      <c r="M22" s="117" t="s">
        <v>198</v>
      </c>
      <c r="N22" s="118" t="str">
        <f t="shared" ca="1" si="11"/>
        <v>Serviço</v>
      </c>
      <c r="O22" s="119" t="str">
        <f t="shared" ca="1" si="12"/>
        <v>-</v>
      </c>
      <c r="P22" s="120" t="s">
        <v>484</v>
      </c>
      <c r="Q22" s="121" t="s">
        <v>489</v>
      </c>
      <c r="R22" s="122" t="str">
        <f ca="1">IF($C22="S",REFERENCIA.Descricao,"(digite a descrição aqui)")</f>
        <v>(abra o arquivo 'Referência 03-Sunday.xlsm)</v>
      </c>
      <c r="S22" s="123" t="str">
        <f ca="1">REFERENCIA.Unidade</f>
        <v>-</v>
      </c>
      <c r="T22" s="124">
        <f ca="1">OFFSET(CÁLCULO!H$15,ROW($T22)-ROW(T$15),0)</f>
        <v>12</v>
      </c>
      <c r="U22" s="125">
        <f t="shared" ca="1" si="17"/>
        <v>0</v>
      </c>
      <c r="V22" s="126" t="s">
        <v>156</v>
      </c>
      <c r="W22" s="124">
        <f ca="1">IF($C22="S",ROUND(IF(TIPOORCAMENTO="Proposto",ORÇAMENTO.CustoUnitario*(1+$AH22),ORÇAMENTO.PrecoUnitarioLicitado),15-13*$AF$10),0)</f>
        <v>0</v>
      </c>
      <c r="X22" s="127">
        <f ca="1">IF($C22="S",IF(Import.TipoArredondamento&lt;&gt;"TransfereGOV",VTOTAL1,SUM(OFFSET(CÁLCULO!$AI$15,ROW($X22)-ROW($X$15),1):OFFSET(CÁLCULO!$BB$15,ROW($X22)-ROW($X$15),-1))),IF($C22=0,0,ROUND(SomaAgrup,15-13*$AF$11)))</f>
        <v>0</v>
      </c>
      <c r="Y22" s="128" t="s">
        <v>244</v>
      </c>
      <c r="Z22" t="str">
        <f t="shared" ca="1" si="13"/>
        <v/>
      </c>
      <c r="AA22" s="129">
        <f ca="1">IF($C22="S",IF($Z22="CP",$X22,IF($Z22="RA",(($X22)*QCI!$AA$3),0)),SomaAgrup)</f>
        <v>0</v>
      </c>
      <c r="AB22" s="130">
        <f t="shared" ca="1" si="14"/>
        <v>0</v>
      </c>
      <c r="AC22" s="131" t="str">
        <f ca="1">IF($N22="","",IF(ORÇAMENTO.Descricao="","DESCRIÇÃO",IF(AND($C22="S",ORÇAMENTO.Unidade=""),"UNIDADE",IF($X22&lt;0,"VALOR NEGATIVO",IF(OR(AND(TIPOORCAMENTO="Proposto",$AG22&lt;&gt;"",$AG22&gt;0,ORÇAMENTO.CustoUnitario&gt;$AG22),AND(TIPOORCAMENTO="LICITADO",ORÇAMENTO.PrecoUnitarioLicitado&gt;$AN22)),"ACIMA REF.","")))))</f>
        <v/>
      </c>
      <c r="AD22" t="str">
        <f ca="1">IF(C22&lt;=CRONO.NivelExibicao,MAX($AD$15:OFFSET(AD22,-1,0))+IF($C22&lt;&gt;1,1,MAX(1,COUNTIF(QCI!$A$13:$A$24,OFFSET($E22,-1,0)))),"")</f>
        <v/>
      </c>
      <c r="AE22" s="7" t="str">
        <f ca="1">IF(AND($C22="S",ORÇAMENTO.CodBarra&lt;&gt;""),IF(ORÇAMENTO.Fonte="",ORÇAMENTO.CodBarra,CONCATENATE(ORÇAMENTO.Fonte," ",ORÇAMENTO.CodBarra)))</f>
        <v>PM BENTO 05</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03-Sunday.xlsm)</v>
      </c>
      <c r="AG22" s="485">
        <f ca="1">ROUND(IF(DESONERACAO="sim",REFERENCIA.Desonerado,REFERENCIA.NaoDesonerado),2)</f>
        <v>0</v>
      </c>
      <c r="AH22" s="486">
        <f t="shared" ca="1" si="15"/>
        <v>0.21390000000000001</v>
      </c>
      <c r="AJ22" s="488"/>
      <c r="AL22" s="505"/>
      <c r="AM22" s="379">
        <f t="shared" ca="1" si="0"/>
        <v>0</v>
      </c>
      <c r="AN22" s="543">
        <f t="shared" ca="1" si="16"/>
        <v>0</v>
      </c>
    </row>
    <row r="23" spans="1:40" ht="38.25" x14ac:dyDescent="0.2">
      <c r="A23" t="str">
        <f t="shared" si="1"/>
        <v>S</v>
      </c>
      <c r="B23">
        <f t="shared" ca="1" si="2"/>
        <v>2</v>
      </c>
      <c r="C23" t="str">
        <f t="shared" ca="1" si="3"/>
        <v>S</v>
      </c>
      <c r="D23">
        <f t="shared" ca="1" si="4"/>
        <v>0</v>
      </c>
      <c r="E23">
        <f ca="1">IF($C23=1,OFFSET(E23,-1,0)+MAX(1,COUNTIF(QCI!$A$13:$A$24,OFFSET(ORÇAMENTO!E23,-1,0))),OFFSET(E23,-1,0))</f>
        <v>1</v>
      </c>
      <c r="F23">
        <f t="shared" ca="1" si="5"/>
        <v>1</v>
      </c>
      <c r="G23">
        <f t="shared" ca="1" si="6"/>
        <v>0</v>
      </c>
      <c r="H23">
        <f t="shared" ca="1" si="7"/>
        <v>0</v>
      </c>
      <c r="I23">
        <f t="shared" ca="1" si="8"/>
        <v>0</v>
      </c>
      <c r="J23">
        <f t="shared" ca="1" si="9"/>
        <v>0</v>
      </c>
      <c r="K23">
        <f ca="1">IF(OR($C23="S",$C23=0),0,MATCH(OFFSET($D23,0,$C23)+IF($C23&lt;&gt;1,1,COUNTIF(QCI!$A$13:$A$24,ORÇAMENTO!E23)),OFFSET($D23,1,$C23,ROW($C$36)-ROW($C23)),0))</f>
        <v>0</v>
      </c>
      <c r="L23" s="116" t="str">
        <f t="shared" ca="1" si="10"/>
        <v/>
      </c>
      <c r="M23" s="117" t="s">
        <v>198</v>
      </c>
      <c r="N23" s="118" t="str">
        <f t="shared" ca="1" si="11"/>
        <v>Serviço</v>
      </c>
      <c r="O23" s="119" t="str">
        <f t="shared" ca="1" si="12"/>
        <v>-</v>
      </c>
      <c r="P23" s="120" t="s">
        <v>484</v>
      </c>
      <c r="Q23" s="121" t="s">
        <v>490</v>
      </c>
      <c r="R23" s="122" t="str">
        <f ca="1">IF($C23="S",REFERENCIA.Descricao,"(digite a descrição aqui)")</f>
        <v>(abra o arquivo 'Referência 03-Sunday.xlsm)</v>
      </c>
      <c r="S23" s="123" t="str">
        <f ca="1">REFERENCIA.Unidade</f>
        <v>-</v>
      </c>
      <c r="T23" s="124">
        <f ca="1">OFFSET(CÁLCULO!H$15,ROW($T23)-ROW(T$15),0)</f>
        <v>100</v>
      </c>
      <c r="U23" s="125">
        <f t="shared" ca="1" si="17"/>
        <v>0</v>
      </c>
      <c r="V23" s="126" t="s">
        <v>156</v>
      </c>
      <c r="W23" s="124">
        <f ca="1">IF($C23="S",ROUND(IF(TIPOORCAMENTO="Proposto",ORÇAMENTO.CustoUnitario*(1+$AH23),ORÇAMENTO.PrecoUnitarioLicitado),15-13*$AF$10),0)</f>
        <v>0</v>
      </c>
      <c r="X23" s="127">
        <f ca="1">IF($C23="S",IF(Import.TipoArredondamento&lt;&gt;"TransfereGOV",VTOTAL1,SUM(OFFSET(CÁLCULO!$AI$15,ROW($X23)-ROW($X$15),1):OFFSET(CÁLCULO!$BB$15,ROW($X23)-ROW($X$15),-1))),IF($C23=0,0,ROUND(SomaAgrup,15-13*$AF$11)))</f>
        <v>0</v>
      </c>
      <c r="Y23" s="128" t="s">
        <v>244</v>
      </c>
      <c r="Z23" t="str">
        <f t="shared" ca="1" si="13"/>
        <v/>
      </c>
      <c r="AA23" s="129">
        <f ca="1">IF($C23="S",IF($Z23="CP",$X23,IF($Z23="RA",(($X23)*QCI!$AA$3),0)),SomaAgrup)</f>
        <v>0</v>
      </c>
      <c r="AB23" s="130">
        <f t="shared" ca="1" si="14"/>
        <v>0</v>
      </c>
      <c r="AC23" s="131" t="str">
        <f ca="1">IF($N23="","",IF(ORÇAMENTO.Descricao="","DESCRIÇÃO",IF(AND($C23="S",ORÇAMENTO.Unidade=""),"UNIDADE",IF($X23&lt;0,"VALOR NEGATIVO",IF(OR(AND(TIPOORCAMENTO="Proposto",$AG23&lt;&gt;"",$AG23&gt;0,ORÇAMENTO.CustoUnitario&gt;$AG23),AND(TIPOORCAMENTO="LICITADO",ORÇAMENTO.PrecoUnitarioLicitado&gt;$AN23)),"ACIMA REF.","")))))</f>
        <v/>
      </c>
      <c r="AD23" t="str">
        <f ca="1">IF(C23&lt;=CRONO.NivelExibicao,MAX($AD$15:OFFSET(AD23,-1,0))+IF($C23&lt;&gt;1,1,MAX(1,COUNTIF(QCI!$A$13:$A$24,OFFSET($E23,-1,0)))),"")</f>
        <v/>
      </c>
      <c r="AE23" s="7" t="str">
        <f ca="1">IF(AND($C23="S",ORÇAMENTO.CodBarra&lt;&gt;""),IF(ORÇAMENTO.Fonte="",ORÇAMENTO.CodBarra,CONCATENATE(ORÇAMENTO.Fonte," ",ORÇAMENTO.CodBarra)))</f>
        <v>PM BENTO 06</v>
      </c>
      <c r="AF23" s="13"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03-Sunday.xlsm)</v>
      </c>
      <c r="AG23" s="485">
        <f ca="1">ROUND(IF(DESONERACAO="sim",REFERENCIA.Desonerado,REFERENCIA.NaoDesonerado),2)</f>
        <v>0</v>
      </c>
      <c r="AH23" s="486">
        <f t="shared" ca="1" si="15"/>
        <v>0.21390000000000001</v>
      </c>
      <c r="AJ23" s="488"/>
      <c r="AL23" s="505"/>
      <c r="AM23" s="379">
        <f t="shared" ca="1" si="0"/>
        <v>0</v>
      </c>
      <c r="AN23" s="543">
        <f t="shared" ca="1" si="16"/>
        <v>0</v>
      </c>
    </row>
    <row r="24" spans="1:40" ht="25.5" x14ac:dyDescent="0.2">
      <c r="A24" t="str">
        <f t="shared" si="1"/>
        <v>S</v>
      </c>
      <c r="B24">
        <f t="shared" ca="1" si="2"/>
        <v>2</v>
      </c>
      <c r="C24" t="str">
        <f t="shared" ca="1" si="3"/>
        <v>S</v>
      </c>
      <c r="D24">
        <f t="shared" ca="1" si="4"/>
        <v>0</v>
      </c>
      <c r="E24">
        <f ca="1">IF($C24=1,OFFSET(E24,-1,0)+MAX(1,COUNTIF(QCI!$A$13:$A$24,OFFSET(ORÇAMENTO!E24,-1,0))),OFFSET(E24,-1,0))</f>
        <v>1</v>
      </c>
      <c r="F24">
        <f t="shared" ca="1" si="5"/>
        <v>1</v>
      </c>
      <c r="G24">
        <f t="shared" ca="1" si="6"/>
        <v>0</v>
      </c>
      <c r="H24">
        <f t="shared" ca="1" si="7"/>
        <v>0</v>
      </c>
      <c r="I24">
        <f t="shared" ca="1" si="8"/>
        <v>0</v>
      </c>
      <c r="J24">
        <f t="shared" ca="1" si="9"/>
        <v>0</v>
      </c>
      <c r="K24">
        <f ca="1">IF(OR($C24="S",$C24=0),0,MATCH(OFFSET($D24,0,$C24)+IF($C24&lt;&gt;1,1,COUNTIF(QCI!$A$13:$A$24,ORÇAMENTO!E24)),OFFSET($D24,1,$C24,ROW($C$36)-ROW($C24)),0))</f>
        <v>0</v>
      </c>
      <c r="L24" s="116" t="str">
        <f t="shared" ca="1" si="10"/>
        <v/>
      </c>
      <c r="M24" s="117" t="s">
        <v>198</v>
      </c>
      <c r="N24" s="118" t="str">
        <f t="shared" ca="1" si="11"/>
        <v>Serviço</v>
      </c>
      <c r="O24" s="119" t="str">
        <f t="shared" ca="1" si="12"/>
        <v>-</v>
      </c>
      <c r="P24" s="120" t="s">
        <v>484</v>
      </c>
      <c r="Q24" s="121" t="s">
        <v>491</v>
      </c>
      <c r="R24" s="122" t="str">
        <f ca="1">IF($C24="S",REFERENCIA.Descricao,"(digite a descrição aqui)")</f>
        <v>(abra o arquivo 'Referência 03-Sunday.xlsm)</v>
      </c>
      <c r="S24" s="123" t="str">
        <f ca="1">REFERENCIA.Unidade</f>
        <v>-</v>
      </c>
      <c r="T24" s="124">
        <f ca="1">OFFSET(CÁLCULO!H$15,ROW($T24)-ROW(T$15),0)</f>
        <v>7000</v>
      </c>
      <c r="U24" s="125">
        <f t="shared" ca="1" si="17"/>
        <v>0</v>
      </c>
      <c r="V24" s="126" t="s">
        <v>156</v>
      </c>
      <c r="W24" s="124">
        <f ca="1">IF($C24="S",ROUND(IF(TIPOORCAMENTO="Proposto",ORÇAMENTO.CustoUnitario*(1+$AH24),ORÇAMENTO.PrecoUnitarioLicitado),15-13*$AF$10),0)</f>
        <v>0</v>
      </c>
      <c r="X24" s="127">
        <f ca="1">IF($C24="S",IF(Import.TipoArredondamento&lt;&gt;"TransfereGOV",VTOTAL1,SUM(OFFSET(CÁLCULO!$AI$15,ROW($X24)-ROW($X$15),1):OFFSET(CÁLCULO!$BB$15,ROW($X24)-ROW($X$15),-1))),IF($C24=0,0,ROUND(SomaAgrup,15-13*$AF$11)))</f>
        <v>0</v>
      </c>
      <c r="Y24" s="128" t="s">
        <v>244</v>
      </c>
      <c r="Z24" t="str">
        <f t="shared" ca="1" si="13"/>
        <v/>
      </c>
      <c r="AA24" s="129">
        <f ca="1">IF($C24="S",IF($Z24="CP",$X24,IF($Z24="RA",(($X24)*QCI!$AA$3),0)),SomaAgrup)</f>
        <v>0</v>
      </c>
      <c r="AB24" s="130">
        <f t="shared" ca="1" si="14"/>
        <v>0</v>
      </c>
      <c r="AC24" s="131" t="str">
        <f ca="1">IF($N24="","",IF(ORÇAMENTO.Descricao="","DESCRIÇÃO",IF(AND($C24="S",ORÇAMENTO.Unidade=""),"UNIDADE",IF($X24&lt;0,"VALOR NEGATIVO",IF(OR(AND(TIPOORCAMENTO="Proposto",$AG24&lt;&gt;"",$AG24&gt;0,ORÇAMENTO.CustoUnitario&gt;$AG24),AND(TIPOORCAMENTO="LICITADO",ORÇAMENTO.PrecoUnitarioLicitado&gt;$AN24)),"ACIMA REF.","")))))</f>
        <v/>
      </c>
      <c r="AD24" t="str">
        <f ca="1">IF(C24&lt;=CRONO.NivelExibicao,MAX($AD$15:OFFSET(AD24,-1,0))+IF($C24&lt;&gt;1,1,MAX(1,COUNTIF(QCI!$A$13:$A$24,OFFSET($E24,-1,0)))),"")</f>
        <v/>
      </c>
      <c r="AE24" s="7" t="str">
        <f ca="1">IF(AND($C24="S",ORÇAMENTO.CodBarra&lt;&gt;""),IF(ORÇAMENTO.Fonte="",ORÇAMENTO.CodBarra,CONCATENATE(ORÇAMENTO.Fonte," ",ORÇAMENTO.CodBarra)))</f>
        <v>PM BENTO 07</v>
      </c>
      <c r="AF24" s="13"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03-Sunday.xlsm)</v>
      </c>
      <c r="AG24" s="485">
        <f ca="1">ROUND(IF(DESONERACAO="sim",REFERENCIA.Desonerado,REFERENCIA.NaoDesonerado),2)</f>
        <v>0</v>
      </c>
      <c r="AH24" s="486">
        <f t="shared" ca="1" si="15"/>
        <v>0.21390000000000001</v>
      </c>
      <c r="AJ24" s="488"/>
      <c r="AL24" s="505"/>
      <c r="AM24" s="379">
        <f t="shared" ca="1" si="0"/>
        <v>0</v>
      </c>
      <c r="AN24" s="543">
        <f t="shared" ca="1" si="16"/>
        <v>0</v>
      </c>
    </row>
    <row r="25" spans="1:40" ht="38.25" x14ac:dyDescent="0.2">
      <c r="A25" t="str">
        <f t="shared" si="1"/>
        <v>S</v>
      </c>
      <c r="B25">
        <f t="shared" ca="1" si="2"/>
        <v>2</v>
      </c>
      <c r="C25" t="str">
        <f t="shared" ca="1" si="3"/>
        <v>S</v>
      </c>
      <c r="D25">
        <f t="shared" ca="1" si="4"/>
        <v>0</v>
      </c>
      <c r="E25">
        <f ca="1">IF($C25=1,OFFSET(E25,-1,0)+MAX(1,COUNTIF(QCI!$A$13:$A$24,OFFSET(ORÇAMENTO!E25,-1,0))),OFFSET(E25,-1,0))</f>
        <v>1</v>
      </c>
      <c r="F25">
        <f t="shared" ca="1" si="5"/>
        <v>1</v>
      </c>
      <c r="G25">
        <f t="shared" ca="1" si="6"/>
        <v>0</v>
      </c>
      <c r="H25">
        <f t="shared" ca="1" si="7"/>
        <v>0</v>
      </c>
      <c r="I25">
        <f t="shared" ca="1" si="8"/>
        <v>0</v>
      </c>
      <c r="J25">
        <f t="shared" ca="1" si="9"/>
        <v>0</v>
      </c>
      <c r="K25">
        <f ca="1">IF(OR($C25="S",$C25=0),0,MATCH(OFFSET($D25,0,$C25)+IF($C25&lt;&gt;1,1,COUNTIF(QCI!$A$13:$A$24,ORÇAMENTO!E25)),OFFSET($D25,1,$C25,ROW($C$36)-ROW($C25)),0))</f>
        <v>0</v>
      </c>
      <c r="L25" s="116" t="str">
        <f t="shared" ca="1" si="10"/>
        <v/>
      </c>
      <c r="M25" s="117" t="s">
        <v>198</v>
      </c>
      <c r="N25" s="118" t="str">
        <f t="shared" ca="1" si="11"/>
        <v>Serviço</v>
      </c>
      <c r="O25" s="119" t="str">
        <f t="shared" ca="1" si="12"/>
        <v>-</v>
      </c>
      <c r="P25" s="120" t="s">
        <v>484</v>
      </c>
      <c r="Q25" s="121" t="s">
        <v>492</v>
      </c>
      <c r="R25" s="122" t="str">
        <f ca="1">IF($C25="S",REFERENCIA.Descricao,"(digite a descrição aqui)")</f>
        <v>(abra o arquivo 'Referência 03-Sunday.xlsm)</v>
      </c>
      <c r="S25" s="123" t="str">
        <f ca="1">REFERENCIA.Unidade</f>
        <v>-</v>
      </c>
      <c r="T25" s="124">
        <f ca="1">OFFSET(CÁLCULO!H$15,ROW($T25)-ROW(T$15),0)</f>
        <v>1200</v>
      </c>
      <c r="U25" s="125">
        <f t="shared" ca="1" si="17"/>
        <v>0</v>
      </c>
      <c r="V25" s="126" t="s">
        <v>156</v>
      </c>
      <c r="W25" s="124">
        <f ca="1">IF($C25="S",ROUND(IF(TIPOORCAMENTO="Proposto",ORÇAMENTO.CustoUnitario*(1+$AH25),ORÇAMENTO.PrecoUnitarioLicitado),15-13*$AF$10),0)</f>
        <v>0</v>
      </c>
      <c r="X25" s="127">
        <f ca="1">IF($C25="S",IF(Import.TipoArredondamento&lt;&gt;"TransfereGOV",VTOTAL1,SUM(OFFSET(CÁLCULO!$AI$15,ROW($X25)-ROW($X$15),1):OFFSET(CÁLCULO!$BB$15,ROW($X25)-ROW($X$15),-1))),IF($C25=0,0,ROUND(SomaAgrup,15-13*$AF$11)))</f>
        <v>0</v>
      </c>
      <c r="Y25" s="128" t="s">
        <v>244</v>
      </c>
      <c r="Z25" t="str">
        <f t="shared" ca="1" si="13"/>
        <v/>
      </c>
      <c r="AA25" s="129">
        <f ca="1">IF($C25="S",IF($Z25="CP",$X25,IF($Z25="RA",(($X25)*QCI!$AA$3),0)),SomaAgrup)</f>
        <v>0</v>
      </c>
      <c r="AB25" s="130">
        <f t="shared" ca="1" si="14"/>
        <v>0</v>
      </c>
      <c r="AC25" s="131" t="str">
        <f ca="1">IF($N25="","",IF(ORÇAMENTO.Descricao="","DESCRIÇÃO",IF(AND($C25="S",ORÇAMENTO.Unidade=""),"UNIDADE",IF($X25&lt;0,"VALOR NEGATIVO",IF(OR(AND(TIPOORCAMENTO="Proposto",$AG25&lt;&gt;"",$AG25&gt;0,ORÇAMENTO.CustoUnitario&gt;$AG25),AND(TIPOORCAMENTO="LICITADO",ORÇAMENTO.PrecoUnitarioLicitado&gt;$AN25)),"ACIMA REF.","")))))</f>
        <v/>
      </c>
      <c r="AD25" t="str">
        <f ca="1">IF(C25&lt;=CRONO.NivelExibicao,MAX($AD$15:OFFSET(AD25,-1,0))+IF($C25&lt;&gt;1,1,MAX(1,COUNTIF(QCI!$A$13:$A$24,OFFSET($E25,-1,0)))),"")</f>
        <v/>
      </c>
      <c r="AE25" s="7" t="str">
        <f ca="1">IF(AND($C25="S",ORÇAMENTO.CodBarra&lt;&gt;""),IF(ORÇAMENTO.Fonte="",ORÇAMENTO.CodBarra,CONCATENATE(ORÇAMENTO.Fonte," ",ORÇAMENTO.CodBarra)))</f>
        <v>PM BENTO 08</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03-Sunday.xlsm)</v>
      </c>
      <c r="AG25" s="485">
        <f ca="1">ROUND(IF(DESONERACAO="sim",REFERENCIA.Desonerado,REFERENCIA.NaoDesonerado),2)</f>
        <v>0</v>
      </c>
      <c r="AH25" s="486">
        <f t="shared" ca="1" si="15"/>
        <v>0.21390000000000001</v>
      </c>
      <c r="AJ25" s="488"/>
      <c r="AL25" s="505"/>
      <c r="AM25" s="379">
        <f t="shared" ca="1" si="0"/>
        <v>0</v>
      </c>
      <c r="AN25" s="543">
        <f t="shared" ca="1" si="16"/>
        <v>0</v>
      </c>
    </row>
    <row r="26" spans="1:40" ht="25.5" x14ac:dyDescent="0.2">
      <c r="A26" t="str">
        <f t="shared" si="1"/>
        <v>S</v>
      </c>
      <c r="B26">
        <f t="shared" ca="1" si="2"/>
        <v>2</v>
      </c>
      <c r="C26" t="str">
        <f t="shared" ca="1" si="3"/>
        <v>S</v>
      </c>
      <c r="D26">
        <f t="shared" ca="1" si="4"/>
        <v>0</v>
      </c>
      <c r="E26">
        <f ca="1">IF($C26=1,OFFSET(E26,-1,0)+MAX(1,COUNTIF(QCI!$A$13:$A$24,OFFSET(ORÇAMENTO!E26,-1,0))),OFFSET(E26,-1,0))</f>
        <v>1</v>
      </c>
      <c r="F26">
        <f t="shared" ca="1" si="5"/>
        <v>1</v>
      </c>
      <c r="G26">
        <f t="shared" ca="1" si="6"/>
        <v>0</v>
      </c>
      <c r="H26">
        <f t="shared" ca="1" si="7"/>
        <v>0</v>
      </c>
      <c r="I26">
        <f t="shared" ca="1" si="8"/>
        <v>0</v>
      </c>
      <c r="J26">
        <f t="shared" ca="1" si="9"/>
        <v>0</v>
      </c>
      <c r="K26">
        <f ca="1">IF(OR($C26="S",$C26=0),0,MATCH(OFFSET($D26,0,$C26)+IF($C26&lt;&gt;1,1,COUNTIF(QCI!$A$13:$A$24,ORÇAMENTO!E26)),OFFSET($D26,1,$C26,ROW($C$36)-ROW($C26)),0))</f>
        <v>0</v>
      </c>
      <c r="L26" s="116" t="str">
        <f t="shared" ca="1" si="10"/>
        <v/>
      </c>
      <c r="M26" s="117" t="s">
        <v>198</v>
      </c>
      <c r="N26" s="118" t="str">
        <f t="shared" ca="1" si="11"/>
        <v>Serviço</v>
      </c>
      <c r="O26" s="119" t="str">
        <f t="shared" ca="1" si="12"/>
        <v>-</v>
      </c>
      <c r="P26" s="120" t="s">
        <v>484</v>
      </c>
      <c r="Q26" s="121" t="s">
        <v>493</v>
      </c>
      <c r="R26" s="122" t="str">
        <f ca="1">IF($C26="S",REFERENCIA.Descricao,"(digite a descrição aqui)")</f>
        <v>(abra o arquivo 'Referência 03-Sunday.xlsm)</v>
      </c>
      <c r="S26" s="123" t="str">
        <f ca="1">REFERENCIA.Unidade</f>
        <v>-</v>
      </c>
      <c r="T26" s="124">
        <f ca="1">OFFSET(CÁLCULO!H$15,ROW($T26)-ROW(T$15),0)</f>
        <v>1200</v>
      </c>
      <c r="U26" s="125">
        <f t="shared" ca="1" si="17"/>
        <v>0</v>
      </c>
      <c r="V26" s="126" t="s">
        <v>156</v>
      </c>
      <c r="W26" s="124">
        <f ca="1">IF($C26="S",ROUND(IF(TIPOORCAMENTO="Proposto",ORÇAMENTO.CustoUnitario*(1+$AH26),ORÇAMENTO.PrecoUnitarioLicitado),15-13*$AF$10),0)</f>
        <v>0</v>
      </c>
      <c r="X26" s="127">
        <f ca="1">IF($C26="S",IF(Import.TipoArredondamento&lt;&gt;"TransfereGOV",VTOTAL1,SUM(OFFSET(CÁLCULO!$AI$15,ROW($X26)-ROW($X$15),1):OFFSET(CÁLCULO!$BB$15,ROW($X26)-ROW($X$15),-1))),IF($C26=0,0,ROUND(SomaAgrup,15-13*$AF$11)))</f>
        <v>0</v>
      </c>
      <c r="Y26" s="128" t="s">
        <v>244</v>
      </c>
      <c r="Z26" t="str">
        <f t="shared" ca="1" si="13"/>
        <v/>
      </c>
      <c r="AA26" s="129">
        <f ca="1">IF($C26="S",IF($Z26="CP",$X26,IF($Z26="RA",(($X26)*QCI!$AA$3),0)),SomaAgrup)</f>
        <v>0</v>
      </c>
      <c r="AB26" s="130">
        <f t="shared" ca="1" si="14"/>
        <v>0</v>
      </c>
      <c r="AC26" s="131" t="str">
        <f ca="1">IF($N26="","",IF(ORÇAMENTO.Descricao="","DESCRIÇÃO",IF(AND($C26="S",ORÇAMENTO.Unidade=""),"UNIDADE",IF($X26&lt;0,"VALOR NEGATIVO",IF(OR(AND(TIPOORCAMENTO="Proposto",$AG26&lt;&gt;"",$AG26&gt;0,ORÇAMENTO.CustoUnitario&gt;$AG26),AND(TIPOORCAMENTO="LICITADO",ORÇAMENTO.PrecoUnitarioLicitado&gt;$AN26)),"ACIMA REF.","")))))</f>
        <v/>
      </c>
      <c r="AD26" t="str">
        <f ca="1">IF(C26&lt;=CRONO.NivelExibicao,MAX($AD$15:OFFSET(AD26,-1,0))+IF($C26&lt;&gt;1,1,MAX(1,COUNTIF(QCI!$A$13:$A$24,OFFSET($E26,-1,0)))),"")</f>
        <v/>
      </c>
      <c r="AE26" s="7" t="str">
        <f ca="1">IF(AND($C26="S",ORÇAMENTO.CodBarra&lt;&gt;""),IF(ORÇAMENTO.Fonte="",ORÇAMENTO.CodBarra,CONCATENATE(ORÇAMENTO.Fonte," ",ORÇAMENTO.CodBarra)))</f>
        <v>PM BENTO 09</v>
      </c>
      <c r="AF26" s="13"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03-Sunday.xlsm)</v>
      </c>
      <c r="AG26" s="485">
        <f ca="1">ROUND(IF(DESONERACAO="sim",REFERENCIA.Desonerado,REFERENCIA.NaoDesonerado),2)</f>
        <v>0</v>
      </c>
      <c r="AH26" s="486">
        <f t="shared" ca="1" si="15"/>
        <v>0.21390000000000001</v>
      </c>
      <c r="AJ26" s="488"/>
      <c r="AL26" s="505"/>
      <c r="AM26" s="379">
        <f t="shared" ca="1" si="0"/>
        <v>0</v>
      </c>
      <c r="AN26" s="543">
        <f t="shared" ca="1" si="16"/>
        <v>0</v>
      </c>
    </row>
    <row r="27" spans="1:40" ht="51" x14ac:dyDescent="0.2">
      <c r="A27" t="str">
        <f t="shared" si="1"/>
        <v>S</v>
      </c>
      <c r="B27">
        <f t="shared" ca="1" si="2"/>
        <v>2</v>
      </c>
      <c r="C27" t="str">
        <f t="shared" ca="1" si="3"/>
        <v>S</v>
      </c>
      <c r="D27">
        <f t="shared" ca="1" si="4"/>
        <v>0</v>
      </c>
      <c r="E27">
        <f ca="1">IF($C27=1,OFFSET(E27,-1,0)+MAX(1,COUNTIF(QCI!$A$13:$A$24,OFFSET(ORÇAMENTO!E27,-1,0))),OFFSET(E27,-1,0))</f>
        <v>1</v>
      </c>
      <c r="F27">
        <f t="shared" ca="1" si="5"/>
        <v>1</v>
      </c>
      <c r="G27">
        <f t="shared" ca="1" si="6"/>
        <v>0</v>
      </c>
      <c r="H27">
        <f t="shared" ca="1" si="7"/>
        <v>0</v>
      </c>
      <c r="I27">
        <f t="shared" ca="1" si="8"/>
        <v>0</v>
      </c>
      <c r="J27">
        <f t="shared" ca="1" si="9"/>
        <v>0</v>
      </c>
      <c r="K27">
        <f ca="1">IF(OR($C27="S",$C27=0),0,MATCH(OFFSET($D27,0,$C27)+IF($C27&lt;&gt;1,1,COUNTIF(QCI!$A$13:$A$24,ORÇAMENTO!E27)),OFFSET($D27,1,$C27,ROW($C$36)-ROW($C27)),0))</f>
        <v>0</v>
      </c>
      <c r="L27" s="116" t="str">
        <f t="shared" ca="1" si="10"/>
        <v/>
      </c>
      <c r="M27" s="117" t="s">
        <v>198</v>
      </c>
      <c r="N27" s="118" t="str">
        <f t="shared" ca="1" si="11"/>
        <v>Serviço</v>
      </c>
      <c r="O27" s="119" t="str">
        <f t="shared" ca="1" si="12"/>
        <v>-</v>
      </c>
      <c r="P27" s="120" t="s">
        <v>484</v>
      </c>
      <c r="Q27" s="121" t="s">
        <v>494</v>
      </c>
      <c r="R27" s="122" t="str">
        <f ca="1">IF($C27="S",REFERENCIA.Descricao,"(digite a descrição aqui)")</f>
        <v>(abra o arquivo 'Referência 03-Sunday.xlsm)</v>
      </c>
      <c r="S27" s="123" t="str">
        <f ca="1">REFERENCIA.Unidade</f>
        <v>-</v>
      </c>
      <c r="T27" s="124">
        <f ca="1">OFFSET(CÁLCULO!H$15,ROW($T27)-ROW(T$15),0)</f>
        <v>880</v>
      </c>
      <c r="U27" s="125">
        <f t="shared" ca="1" si="17"/>
        <v>0</v>
      </c>
      <c r="V27" s="126" t="s">
        <v>190</v>
      </c>
      <c r="W27" s="124">
        <f ca="1">IF($C27="S",ROUND(IF(TIPOORCAMENTO="Proposto",ORÇAMENTO.CustoUnitario*(1+$AH27),ORÇAMENTO.PrecoUnitarioLicitado),15-13*$AF$10),0)</f>
        <v>0</v>
      </c>
      <c r="X27" s="127">
        <f ca="1">IF($C27="S",IF(Import.TipoArredondamento&lt;&gt;"TransfereGOV",VTOTAL1,SUM(OFFSET(CÁLCULO!$AI$15,ROW($X27)-ROW($X$15),1):OFFSET(CÁLCULO!$BB$15,ROW($X27)-ROW($X$15),-1))),IF($C27=0,0,ROUND(SomaAgrup,15-13*$AF$11)))</f>
        <v>0</v>
      </c>
      <c r="Y27" s="128" t="s">
        <v>244</v>
      </c>
      <c r="Z27" t="str">
        <f t="shared" ca="1" si="13"/>
        <v/>
      </c>
      <c r="AA27" s="129">
        <f ca="1">IF($C27="S",IF($Z27="CP",$X27,IF($Z27="RA",(($X27)*QCI!$AA$3),0)),SomaAgrup)</f>
        <v>0</v>
      </c>
      <c r="AB27" s="130">
        <f t="shared" ca="1" si="14"/>
        <v>0</v>
      </c>
      <c r="AC27" s="131" t="str">
        <f ca="1">IF($N27="","",IF(ORÇAMENTO.Descricao="","DESCRIÇÃO",IF(AND($C27="S",ORÇAMENTO.Unidade=""),"UNIDADE",IF($X27&lt;0,"VALOR NEGATIVO",IF(OR(AND(TIPOORCAMENTO="Proposto",$AG27&lt;&gt;"",$AG27&gt;0,ORÇAMENTO.CustoUnitario&gt;$AG27),AND(TIPOORCAMENTO="LICITADO",ORÇAMENTO.PrecoUnitarioLicitado&gt;$AN27)),"ACIMA REF.","")))))</f>
        <v/>
      </c>
      <c r="AD27" t="str">
        <f ca="1">IF(C27&lt;=CRONO.NivelExibicao,MAX($AD$15:OFFSET(AD27,-1,0))+IF($C27&lt;&gt;1,1,MAX(1,COUNTIF(QCI!$A$13:$A$24,OFFSET($E27,-1,0)))),"")</f>
        <v/>
      </c>
      <c r="AE27" s="7" t="str">
        <f ca="1">IF(AND($C27="S",ORÇAMENTO.CodBarra&lt;&gt;""),IF(ORÇAMENTO.Fonte="",ORÇAMENTO.CodBarra,CONCATENATE(ORÇAMENTO.Fonte," ",ORÇAMENTO.CodBarra)))</f>
        <v>PM BENTO 10</v>
      </c>
      <c r="AF27" s="13"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03-Sunday.xlsm)</v>
      </c>
      <c r="AG27" s="485">
        <f ca="1">ROUND(IF(DESONERACAO="sim",REFERENCIA.Desonerado,REFERENCIA.NaoDesonerado),2)</f>
        <v>0</v>
      </c>
      <c r="AH27" s="486">
        <f t="shared" ca="1" si="15"/>
        <v>0.16789999999999999</v>
      </c>
      <c r="AJ27" s="488"/>
      <c r="AL27" s="505"/>
      <c r="AM27" s="379">
        <f t="shared" ca="1" si="0"/>
        <v>0</v>
      </c>
      <c r="AN27" s="543">
        <f t="shared" ca="1" si="16"/>
        <v>0</v>
      </c>
    </row>
    <row r="28" spans="1:40" ht="38.25" x14ac:dyDescent="0.2">
      <c r="A28" t="str">
        <f t="shared" si="1"/>
        <v>S</v>
      </c>
      <c r="B28">
        <f t="shared" ca="1" si="2"/>
        <v>2</v>
      </c>
      <c r="C28" t="str">
        <f t="shared" ca="1" si="3"/>
        <v>S</v>
      </c>
      <c r="D28">
        <f t="shared" ca="1" si="4"/>
        <v>0</v>
      </c>
      <c r="E28">
        <f ca="1">IF($C28=1,OFFSET(E28,-1,0)+MAX(1,COUNTIF(QCI!$A$13:$A$24,OFFSET(ORÇAMENTO!E28,-1,0))),OFFSET(E28,-1,0))</f>
        <v>1</v>
      </c>
      <c r="F28">
        <f t="shared" ca="1" si="5"/>
        <v>1</v>
      </c>
      <c r="G28">
        <f t="shared" ca="1" si="6"/>
        <v>0</v>
      </c>
      <c r="H28">
        <f t="shared" ca="1" si="7"/>
        <v>0</v>
      </c>
      <c r="I28">
        <f t="shared" ca="1" si="8"/>
        <v>0</v>
      </c>
      <c r="J28">
        <f t="shared" ca="1" si="9"/>
        <v>0</v>
      </c>
      <c r="K28">
        <f ca="1">IF(OR($C28="S",$C28=0),0,MATCH(OFFSET($D28,0,$C28)+IF($C28&lt;&gt;1,1,COUNTIF(QCI!$A$13:$A$24,ORÇAMENTO!E28)),OFFSET($D28,1,$C28,ROW($C$36)-ROW($C28)),0))</f>
        <v>0</v>
      </c>
      <c r="L28" s="116" t="str">
        <f t="shared" ca="1" si="10"/>
        <v/>
      </c>
      <c r="M28" s="117" t="s">
        <v>198</v>
      </c>
      <c r="N28" s="118" t="str">
        <f t="shared" ca="1" si="11"/>
        <v>Serviço</v>
      </c>
      <c r="O28" s="119" t="str">
        <f t="shared" ca="1" si="12"/>
        <v>-</v>
      </c>
      <c r="P28" s="120" t="s">
        <v>484</v>
      </c>
      <c r="Q28" s="121" t="s">
        <v>495</v>
      </c>
      <c r="R28" s="122" t="str">
        <f ca="1">IF($C28="S",REFERENCIA.Descricao,"(digite a descrição aqui)")</f>
        <v>(abra o arquivo 'Referência 03-Sunday.xlsm)</v>
      </c>
      <c r="S28" s="123" t="str">
        <f ca="1">REFERENCIA.Unidade</f>
        <v>-</v>
      </c>
      <c r="T28" s="124">
        <f ca="1">OFFSET(CÁLCULO!H$15,ROW($T28)-ROW(T$15),0)</f>
        <v>600</v>
      </c>
      <c r="U28" s="125">
        <f t="shared" ca="1" si="17"/>
        <v>0</v>
      </c>
      <c r="V28" s="126" t="s">
        <v>190</v>
      </c>
      <c r="W28" s="124">
        <f ca="1">IF($C28="S",ROUND(IF(TIPOORCAMENTO="Proposto",ORÇAMENTO.CustoUnitario*(1+$AH28),ORÇAMENTO.PrecoUnitarioLicitado),15-13*$AF$10),0)</f>
        <v>0</v>
      </c>
      <c r="X28" s="127">
        <f ca="1">IF($C28="S",IF(Import.TipoArredondamento&lt;&gt;"TransfereGOV",VTOTAL1,SUM(OFFSET(CÁLCULO!$AI$15,ROW($X28)-ROW($X$15),1):OFFSET(CÁLCULO!$BB$15,ROW($X28)-ROW($X$15),-1))),IF($C28=0,0,ROUND(SomaAgrup,15-13*$AF$11)))</f>
        <v>0</v>
      </c>
      <c r="Y28" s="128" t="s">
        <v>244</v>
      </c>
      <c r="Z28" t="str">
        <f t="shared" ca="1" si="13"/>
        <v/>
      </c>
      <c r="AA28" s="129">
        <f ca="1">IF($C28="S",IF($Z28="CP",$X28,IF($Z28="RA",(($X28)*QCI!$AA$3),0)),SomaAgrup)</f>
        <v>0</v>
      </c>
      <c r="AB28" s="130">
        <f t="shared" ca="1" si="14"/>
        <v>0</v>
      </c>
      <c r="AC28" s="131" t="str">
        <f ca="1">IF($N28="","",IF(ORÇAMENTO.Descricao="","DESCRIÇÃO",IF(AND($C28="S",ORÇAMENTO.Unidade=""),"UNIDADE",IF($X28&lt;0,"VALOR NEGATIVO",IF(OR(AND(TIPOORCAMENTO="Proposto",$AG28&lt;&gt;"",$AG28&gt;0,ORÇAMENTO.CustoUnitario&gt;$AG28),AND(TIPOORCAMENTO="LICITADO",ORÇAMENTO.PrecoUnitarioLicitado&gt;$AN28)),"ACIMA REF.","")))))</f>
        <v/>
      </c>
      <c r="AD28" t="str">
        <f ca="1">IF(C28&lt;=CRONO.NivelExibicao,MAX($AD$15:OFFSET(AD28,-1,0))+IF($C28&lt;&gt;1,1,MAX(1,COUNTIF(QCI!$A$13:$A$24,OFFSET($E28,-1,0)))),"")</f>
        <v/>
      </c>
      <c r="AE28" s="7" t="str">
        <f ca="1">IF(AND($C28="S",ORÇAMENTO.CodBarra&lt;&gt;""),IF(ORÇAMENTO.Fonte="",ORÇAMENTO.CodBarra,CONCATENATE(ORÇAMENTO.Fonte," ",ORÇAMENTO.CodBarra)))</f>
        <v>PM BENTO 11</v>
      </c>
      <c r="AF28" s="13"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03-Sunday.xlsm)</v>
      </c>
      <c r="AG28" s="485">
        <f ca="1">ROUND(IF(DESONERACAO="sim",REFERENCIA.Desonerado,REFERENCIA.NaoDesonerado),2)</f>
        <v>0</v>
      </c>
      <c r="AH28" s="486">
        <f t="shared" ca="1" si="15"/>
        <v>0.16789999999999999</v>
      </c>
      <c r="AJ28" s="488"/>
      <c r="AL28" s="505"/>
      <c r="AM28" s="379">
        <f t="shared" ca="1" si="0"/>
        <v>0</v>
      </c>
      <c r="AN28" s="543">
        <f t="shared" ca="1" si="16"/>
        <v>0</v>
      </c>
    </row>
    <row r="29" spans="1:40" ht="38.25" x14ac:dyDescent="0.2">
      <c r="A29" t="str">
        <f t="shared" si="1"/>
        <v>S</v>
      </c>
      <c r="B29">
        <f t="shared" ca="1" si="2"/>
        <v>2</v>
      </c>
      <c r="C29" t="str">
        <f t="shared" ca="1" si="3"/>
        <v>S</v>
      </c>
      <c r="D29">
        <f t="shared" ca="1" si="4"/>
        <v>0</v>
      </c>
      <c r="E29">
        <f ca="1">IF($C29=1,OFFSET(E29,-1,0)+MAX(1,COUNTIF(QCI!$A$13:$A$24,OFFSET(ORÇAMENTO!E29,-1,0))),OFFSET(E29,-1,0))</f>
        <v>1</v>
      </c>
      <c r="F29">
        <f t="shared" ca="1" si="5"/>
        <v>1</v>
      </c>
      <c r="G29">
        <f t="shared" ca="1" si="6"/>
        <v>0</v>
      </c>
      <c r="H29">
        <f t="shared" ca="1" si="7"/>
        <v>0</v>
      </c>
      <c r="I29">
        <f t="shared" ca="1" si="8"/>
        <v>0</v>
      </c>
      <c r="J29">
        <f t="shared" ca="1" si="9"/>
        <v>0</v>
      </c>
      <c r="K29">
        <f ca="1">IF(OR($C29="S",$C29=0),0,MATCH(OFFSET($D29,0,$C29)+IF($C29&lt;&gt;1,1,COUNTIF(QCI!$A$13:$A$24,ORÇAMENTO!E29)),OFFSET($D29,1,$C29,ROW($C$36)-ROW($C29)),0))</f>
        <v>0</v>
      </c>
      <c r="L29" s="116" t="str">
        <f t="shared" ca="1" si="10"/>
        <v/>
      </c>
      <c r="M29" s="117" t="s">
        <v>198</v>
      </c>
      <c r="N29" s="118" t="str">
        <f t="shared" ca="1" si="11"/>
        <v>Serviço</v>
      </c>
      <c r="O29" s="119" t="str">
        <f t="shared" ca="1" si="12"/>
        <v>-</v>
      </c>
      <c r="P29" s="120" t="s">
        <v>484</v>
      </c>
      <c r="Q29" s="121" t="s">
        <v>496</v>
      </c>
      <c r="R29" s="122" t="str">
        <f ca="1">IF($C29="S",REFERENCIA.Descricao,"(digite a descrição aqui)")</f>
        <v>(abra o arquivo 'Referência 03-Sunday.xlsm)</v>
      </c>
      <c r="S29" s="123" t="str">
        <f ca="1">REFERENCIA.Unidade</f>
        <v>-</v>
      </c>
      <c r="T29" s="124">
        <f ca="1">OFFSET(CÁLCULO!H$15,ROW($T29)-ROW(T$15),0)</f>
        <v>300</v>
      </c>
      <c r="U29" s="125">
        <f t="shared" ca="1" si="17"/>
        <v>0</v>
      </c>
      <c r="V29" s="126" t="s">
        <v>190</v>
      </c>
      <c r="W29" s="124">
        <f ca="1">IF($C29="S",ROUND(IF(TIPOORCAMENTO="Proposto",ORÇAMENTO.CustoUnitario*(1+$AH29),ORÇAMENTO.PrecoUnitarioLicitado),15-13*$AF$10),0)</f>
        <v>0</v>
      </c>
      <c r="X29" s="127">
        <f ca="1">IF($C29="S",IF(Import.TipoArredondamento&lt;&gt;"TransfereGOV",VTOTAL1,SUM(OFFSET(CÁLCULO!$AI$15,ROW($X29)-ROW($X$15),1):OFFSET(CÁLCULO!$BB$15,ROW($X29)-ROW($X$15),-1))),IF($C29=0,0,ROUND(SomaAgrup,15-13*$AF$11)))</f>
        <v>0</v>
      </c>
      <c r="Y29" s="128" t="s">
        <v>244</v>
      </c>
      <c r="Z29" t="str">
        <f t="shared" ca="1" si="13"/>
        <v/>
      </c>
      <c r="AA29" s="129">
        <f ca="1">IF($C29="S",IF($Z29="CP",$X29,IF($Z29="RA",(($X29)*QCI!$AA$3),0)),SomaAgrup)</f>
        <v>0</v>
      </c>
      <c r="AB29" s="130">
        <f t="shared" ca="1" si="14"/>
        <v>0</v>
      </c>
      <c r="AC29" s="131" t="str">
        <f ca="1">IF($N29="","",IF(ORÇAMENTO.Descricao="","DESCRIÇÃO",IF(AND($C29="S",ORÇAMENTO.Unidade=""),"UNIDADE",IF($X29&lt;0,"VALOR NEGATIVO",IF(OR(AND(TIPOORCAMENTO="Proposto",$AG29&lt;&gt;"",$AG29&gt;0,ORÇAMENTO.CustoUnitario&gt;$AG29),AND(TIPOORCAMENTO="LICITADO",ORÇAMENTO.PrecoUnitarioLicitado&gt;$AN29)),"ACIMA REF.","")))))</f>
        <v/>
      </c>
      <c r="AD29" t="str">
        <f ca="1">IF(C29&lt;=CRONO.NivelExibicao,MAX($AD$15:OFFSET(AD29,-1,0))+IF($C29&lt;&gt;1,1,MAX(1,COUNTIF(QCI!$A$13:$A$24,OFFSET($E29,-1,0)))),"")</f>
        <v/>
      </c>
      <c r="AE29" s="7" t="str">
        <f ca="1">IF(AND($C29="S",ORÇAMENTO.CodBarra&lt;&gt;""),IF(ORÇAMENTO.Fonte="",ORÇAMENTO.CodBarra,CONCATENATE(ORÇAMENTO.Fonte," ",ORÇAMENTO.CodBarra)))</f>
        <v>PM BENTO 12</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03-Sunday.xlsm)</v>
      </c>
      <c r="AG29" s="485">
        <f ca="1">ROUND(IF(DESONERACAO="sim",REFERENCIA.Desonerado,REFERENCIA.NaoDesonerado),2)</f>
        <v>0</v>
      </c>
      <c r="AH29" s="486">
        <f t="shared" ca="1" si="15"/>
        <v>0.16789999999999999</v>
      </c>
      <c r="AJ29" s="488"/>
      <c r="AL29" s="505"/>
      <c r="AM29" s="379">
        <f t="shared" ca="1" si="0"/>
        <v>0</v>
      </c>
      <c r="AN29" s="543">
        <f t="shared" ca="1" si="16"/>
        <v>0</v>
      </c>
    </row>
    <row r="30" spans="1:40" ht="38.25" x14ac:dyDescent="0.2">
      <c r="A30" t="str">
        <f t="shared" si="1"/>
        <v>S</v>
      </c>
      <c r="B30">
        <f t="shared" ca="1" si="2"/>
        <v>2</v>
      </c>
      <c r="C30" t="str">
        <f t="shared" ca="1" si="3"/>
        <v>S</v>
      </c>
      <c r="D30">
        <f t="shared" ca="1" si="4"/>
        <v>0</v>
      </c>
      <c r="E30">
        <f ca="1">IF($C30=1,OFFSET(E30,-1,0)+MAX(1,COUNTIF(QCI!$A$13:$A$24,OFFSET(ORÇAMENTO!E30,-1,0))),OFFSET(E30,-1,0))</f>
        <v>1</v>
      </c>
      <c r="F30">
        <f t="shared" ca="1" si="5"/>
        <v>1</v>
      </c>
      <c r="G30">
        <f t="shared" ca="1" si="6"/>
        <v>0</v>
      </c>
      <c r="H30">
        <f t="shared" ca="1" si="7"/>
        <v>0</v>
      </c>
      <c r="I30">
        <f t="shared" ca="1" si="8"/>
        <v>0</v>
      </c>
      <c r="J30">
        <f t="shared" ca="1" si="9"/>
        <v>0</v>
      </c>
      <c r="K30">
        <f ca="1">IF(OR($C30="S",$C30=0),0,MATCH(OFFSET($D30,0,$C30)+IF($C30&lt;&gt;1,1,COUNTIF(QCI!$A$13:$A$24,ORÇAMENTO!E30)),OFFSET($D30,1,$C30,ROW($C$36)-ROW($C30)),0))</f>
        <v>0</v>
      </c>
      <c r="L30" s="116" t="str">
        <f t="shared" ca="1" si="10"/>
        <v/>
      </c>
      <c r="M30" s="117" t="s">
        <v>198</v>
      </c>
      <c r="N30" s="118" t="str">
        <f t="shared" ca="1" si="11"/>
        <v>Serviço</v>
      </c>
      <c r="O30" s="119" t="str">
        <f t="shared" ca="1" si="12"/>
        <v>-</v>
      </c>
      <c r="P30" s="120" t="s">
        <v>484</v>
      </c>
      <c r="Q30" s="121" t="s">
        <v>497</v>
      </c>
      <c r="R30" s="122" t="str">
        <f ca="1">IF($C30="S",REFERENCIA.Descricao,"(digite a descrição aqui)")</f>
        <v>(abra o arquivo 'Referência 03-Sunday.xlsm)</v>
      </c>
      <c r="S30" s="123" t="str">
        <f ca="1">REFERENCIA.Unidade</f>
        <v>-</v>
      </c>
      <c r="T30" s="124">
        <f ca="1">OFFSET(CÁLCULO!H$15,ROW($T30)-ROW(T$15),0)</f>
        <v>600</v>
      </c>
      <c r="U30" s="125">
        <f t="shared" ca="1" si="17"/>
        <v>0</v>
      </c>
      <c r="V30" s="126" t="s">
        <v>156</v>
      </c>
      <c r="W30" s="124">
        <f ca="1">IF($C30="S",ROUND(IF(TIPOORCAMENTO="Proposto",ORÇAMENTO.CustoUnitario*(1+$AH30),ORÇAMENTO.PrecoUnitarioLicitado),15-13*$AF$10),0)</f>
        <v>0</v>
      </c>
      <c r="X30" s="127">
        <f ca="1">IF($C30="S",IF(Import.TipoArredondamento&lt;&gt;"TransfereGOV",VTOTAL1,SUM(OFFSET(CÁLCULO!$AI$15,ROW($X30)-ROW($X$15),1):OFFSET(CÁLCULO!$BB$15,ROW($X30)-ROW($X$15),-1))),IF($C30=0,0,ROUND(SomaAgrup,15-13*$AF$11)))</f>
        <v>0</v>
      </c>
      <c r="Y30" s="128" t="s">
        <v>244</v>
      </c>
      <c r="Z30" t="str">
        <f t="shared" ca="1" si="13"/>
        <v/>
      </c>
      <c r="AA30" s="129">
        <f ca="1">IF($C30="S",IF($Z30="CP",$X30,IF($Z30="RA",(($X30)*QCI!$AA$3),0)),SomaAgrup)</f>
        <v>0</v>
      </c>
      <c r="AB30" s="130">
        <f t="shared" ca="1" si="14"/>
        <v>0</v>
      </c>
      <c r="AC30" s="131" t="str">
        <f ca="1">IF($N30="","",IF(ORÇAMENTO.Descricao="","DESCRIÇÃO",IF(AND($C30="S",ORÇAMENTO.Unidade=""),"UNIDADE",IF($X30&lt;0,"VALOR NEGATIVO",IF(OR(AND(TIPOORCAMENTO="Proposto",$AG30&lt;&gt;"",$AG30&gt;0,ORÇAMENTO.CustoUnitario&gt;$AG30),AND(TIPOORCAMENTO="LICITADO",ORÇAMENTO.PrecoUnitarioLicitado&gt;$AN30)),"ACIMA REF.","")))))</f>
        <v/>
      </c>
      <c r="AD30" t="str">
        <f ca="1">IF(C30&lt;=CRONO.NivelExibicao,MAX($AD$15:OFFSET(AD30,-1,0))+IF($C30&lt;&gt;1,1,MAX(1,COUNTIF(QCI!$A$13:$A$24,OFFSET($E30,-1,0)))),"")</f>
        <v/>
      </c>
      <c r="AE30" s="7" t="str">
        <f ca="1">IF(AND($C30="S",ORÇAMENTO.CodBarra&lt;&gt;""),IF(ORÇAMENTO.Fonte="",ORÇAMENTO.CodBarra,CONCATENATE(ORÇAMENTO.Fonte," ",ORÇAMENTO.CodBarra)))</f>
        <v>PM BENTO 13</v>
      </c>
      <c r="AF30" s="13"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03-Sunday.xlsm)</v>
      </c>
      <c r="AG30" s="485">
        <f ca="1">ROUND(IF(DESONERACAO="sim",REFERENCIA.Desonerado,REFERENCIA.NaoDesonerado),2)</f>
        <v>0</v>
      </c>
      <c r="AH30" s="486">
        <f t="shared" ca="1" si="15"/>
        <v>0.21390000000000001</v>
      </c>
      <c r="AJ30" s="488"/>
      <c r="AL30" s="505"/>
      <c r="AM30" s="379">
        <f t="shared" ca="1" si="0"/>
        <v>0</v>
      </c>
      <c r="AN30" s="543">
        <f t="shared" ca="1" si="16"/>
        <v>0</v>
      </c>
    </row>
    <row r="31" spans="1:40" ht="38.25" x14ac:dyDescent="0.2">
      <c r="A31" t="str">
        <f t="shared" si="1"/>
        <v>S</v>
      </c>
      <c r="B31">
        <f t="shared" ca="1" si="2"/>
        <v>2</v>
      </c>
      <c r="C31" t="str">
        <f t="shared" ca="1" si="3"/>
        <v>S</v>
      </c>
      <c r="D31">
        <f t="shared" ca="1" si="4"/>
        <v>0</v>
      </c>
      <c r="E31">
        <f ca="1">IF($C31=1,OFFSET(E31,-1,0)+MAX(1,COUNTIF(QCI!$A$13:$A$24,OFFSET(ORÇAMENTO!E31,-1,0))),OFFSET(E31,-1,0))</f>
        <v>1</v>
      </c>
      <c r="F31">
        <f t="shared" ca="1" si="5"/>
        <v>1</v>
      </c>
      <c r="G31">
        <f t="shared" ca="1" si="6"/>
        <v>0</v>
      </c>
      <c r="H31">
        <f t="shared" ca="1" si="7"/>
        <v>0</v>
      </c>
      <c r="I31">
        <f t="shared" ca="1" si="8"/>
        <v>0</v>
      </c>
      <c r="J31">
        <f t="shared" ca="1" si="9"/>
        <v>0</v>
      </c>
      <c r="K31">
        <f ca="1">IF(OR($C31="S",$C31=0),0,MATCH(OFFSET($D31,0,$C31)+IF($C31&lt;&gt;1,1,COUNTIF(QCI!$A$13:$A$24,ORÇAMENTO!E31)),OFFSET($D31,1,$C31,ROW($C$36)-ROW($C31)),0))</f>
        <v>0</v>
      </c>
      <c r="L31" s="116" t="str">
        <f t="shared" ca="1" si="10"/>
        <v/>
      </c>
      <c r="M31" s="117" t="s">
        <v>198</v>
      </c>
      <c r="N31" s="118" t="str">
        <f t="shared" ca="1" si="11"/>
        <v>Serviço</v>
      </c>
      <c r="O31" s="119" t="str">
        <f t="shared" ca="1" si="12"/>
        <v>-</v>
      </c>
      <c r="P31" s="120" t="s">
        <v>484</v>
      </c>
      <c r="Q31" s="121" t="s">
        <v>498</v>
      </c>
      <c r="R31" s="122" t="str">
        <f ca="1">IF($C31="S",REFERENCIA.Descricao,"(digite a descrição aqui)")</f>
        <v>(abra o arquivo 'Referência 03-Sunday.xlsm)</v>
      </c>
      <c r="S31" s="123" t="str">
        <f ca="1">REFERENCIA.Unidade</f>
        <v>-</v>
      </c>
      <c r="T31" s="124">
        <f ca="1">OFFSET(CÁLCULO!H$15,ROW($T31)-ROW(T$15),0)</f>
        <v>8</v>
      </c>
      <c r="U31" s="125">
        <f t="shared" ca="1" si="17"/>
        <v>0</v>
      </c>
      <c r="V31" s="126" t="s">
        <v>156</v>
      </c>
      <c r="W31" s="124">
        <f ca="1">IF($C31="S",ROUND(IF(TIPOORCAMENTO="Proposto",ORÇAMENTO.CustoUnitario*(1+$AH31),ORÇAMENTO.PrecoUnitarioLicitado),15-13*$AF$10),0)</f>
        <v>0</v>
      </c>
      <c r="X31" s="127">
        <f ca="1">IF($C31="S",IF(Import.TipoArredondamento&lt;&gt;"TransfereGOV",VTOTAL1,SUM(OFFSET(CÁLCULO!$AI$15,ROW($X31)-ROW($X$15),1):OFFSET(CÁLCULO!$BB$15,ROW($X31)-ROW($X$15),-1))),IF($C31=0,0,ROUND(SomaAgrup,15-13*$AF$11)))</f>
        <v>0</v>
      </c>
      <c r="Y31" s="128" t="s">
        <v>244</v>
      </c>
      <c r="Z31" t="str">
        <f t="shared" ca="1" si="13"/>
        <v/>
      </c>
      <c r="AA31" s="129">
        <f ca="1">IF($C31="S",IF($Z31="CP",$X31,IF($Z31="RA",(($X31)*QCI!$AA$3),0)),SomaAgrup)</f>
        <v>0</v>
      </c>
      <c r="AB31" s="130">
        <f t="shared" ca="1" si="14"/>
        <v>0</v>
      </c>
      <c r="AC31" s="131" t="str">
        <f ca="1">IF($N31="","",IF(ORÇAMENTO.Descricao="","DESCRIÇÃO",IF(AND($C31="S",ORÇAMENTO.Unidade=""),"UNIDADE",IF($X31&lt;0,"VALOR NEGATIVO",IF(OR(AND(TIPOORCAMENTO="Proposto",$AG31&lt;&gt;"",$AG31&gt;0,ORÇAMENTO.CustoUnitario&gt;$AG31),AND(TIPOORCAMENTO="LICITADO",ORÇAMENTO.PrecoUnitarioLicitado&gt;$AN31)),"ACIMA REF.","")))))</f>
        <v/>
      </c>
      <c r="AD31" t="str">
        <f ca="1">IF(C31&lt;=CRONO.NivelExibicao,MAX($AD$15:OFFSET(AD31,-1,0))+IF($C31&lt;&gt;1,1,MAX(1,COUNTIF(QCI!$A$13:$A$24,OFFSET($E31,-1,0)))),"")</f>
        <v/>
      </c>
      <c r="AE31" s="7" t="str">
        <f ca="1">IF(AND($C31="S",ORÇAMENTO.CodBarra&lt;&gt;""),IF(ORÇAMENTO.Fonte="",ORÇAMENTO.CodBarra,CONCATENATE(ORÇAMENTO.Fonte," ",ORÇAMENTO.CodBarra)))</f>
        <v>PM BENTO 14</v>
      </c>
      <c r="AF31" s="13"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03-Sunday.xlsm)</v>
      </c>
      <c r="AG31" s="485">
        <f ca="1">ROUND(IF(DESONERACAO="sim",REFERENCIA.Desonerado,REFERENCIA.NaoDesonerado),2)</f>
        <v>0</v>
      </c>
      <c r="AH31" s="486">
        <f t="shared" ca="1" si="15"/>
        <v>0.21390000000000001</v>
      </c>
      <c r="AJ31" s="488"/>
      <c r="AL31" s="505"/>
      <c r="AM31" s="379">
        <f t="shared" ca="1" si="0"/>
        <v>0</v>
      </c>
      <c r="AN31" s="543">
        <f t="shared" ca="1" si="16"/>
        <v>0</v>
      </c>
    </row>
    <row r="32" spans="1:40" ht="25.5" x14ac:dyDescent="0.2">
      <c r="A32" t="str">
        <f t="shared" si="1"/>
        <v>S</v>
      </c>
      <c r="B32">
        <f t="shared" ca="1" si="2"/>
        <v>2</v>
      </c>
      <c r="C32" t="str">
        <f t="shared" ca="1" si="3"/>
        <v>S</v>
      </c>
      <c r="D32">
        <f t="shared" ca="1" si="4"/>
        <v>0</v>
      </c>
      <c r="E32">
        <f ca="1">IF($C32=1,OFFSET(E32,-1,0)+MAX(1,COUNTIF(QCI!$A$13:$A$24,OFFSET(ORÇAMENTO!E32,-1,0))),OFFSET(E32,-1,0))</f>
        <v>1</v>
      </c>
      <c r="F32">
        <f t="shared" ca="1" si="5"/>
        <v>1</v>
      </c>
      <c r="G32">
        <f t="shared" ca="1" si="6"/>
        <v>0</v>
      </c>
      <c r="H32">
        <f t="shared" ca="1" si="7"/>
        <v>0</v>
      </c>
      <c r="I32">
        <f t="shared" ca="1" si="8"/>
        <v>0</v>
      </c>
      <c r="J32">
        <f t="shared" ca="1" si="9"/>
        <v>0</v>
      </c>
      <c r="K32">
        <f ca="1">IF(OR($C32="S",$C32=0),0,MATCH(OFFSET($D32,0,$C32)+IF($C32&lt;&gt;1,1,COUNTIF(QCI!$A$13:$A$24,ORÇAMENTO!E32)),OFFSET($D32,1,$C32,ROW($C$36)-ROW($C32)),0))</f>
        <v>0</v>
      </c>
      <c r="L32" s="116" t="str">
        <f t="shared" ca="1" si="10"/>
        <v/>
      </c>
      <c r="M32" s="117" t="s">
        <v>198</v>
      </c>
      <c r="N32" s="118" t="str">
        <f t="shared" ca="1" si="11"/>
        <v>Serviço</v>
      </c>
      <c r="O32" s="119" t="str">
        <f t="shared" ca="1" si="12"/>
        <v>-</v>
      </c>
      <c r="P32" s="120" t="s">
        <v>484</v>
      </c>
      <c r="Q32" s="121" t="s">
        <v>499</v>
      </c>
      <c r="R32" s="122" t="str">
        <f ca="1">IF($C32="S",REFERENCIA.Descricao,"(digite a descrição aqui)")</f>
        <v>(abra o arquivo 'Referência 03-Sunday.xlsm)</v>
      </c>
      <c r="S32" s="123" t="str">
        <f ca="1">REFERENCIA.Unidade</f>
        <v>-</v>
      </c>
      <c r="T32" s="124">
        <f ca="1">OFFSET(CÁLCULO!H$15,ROW($T32)-ROW(T$15),0)</f>
        <v>8</v>
      </c>
      <c r="U32" s="125">
        <f t="shared" ca="1" si="17"/>
        <v>0</v>
      </c>
      <c r="V32" s="126" t="s">
        <v>156</v>
      </c>
      <c r="W32" s="124">
        <f ca="1">IF($C32="S",ROUND(IF(TIPOORCAMENTO="Proposto",ORÇAMENTO.CustoUnitario*(1+$AH32),ORÇAMENTO.PrecoUnitarioLicitado),15-13*$AF$10),0)</f>
        <v>0</v>
      </c>
      <c r="X32" s="127">
        <f ca="1">IF($C32="S",IF(Import.TipoArredondamento&lt;&gt;"TransfereGOV",VTOTAL1,SUM(OFFSET(CÁLCULO!$AI$15,ROW($X32)-ROW($X$15),1):OFFSET(CÁLCULO!$BB$15,ROW($X32)-ROW($X$15),-1))),IF($C32=0,0,ROUND(SomaAgrup,15-13*$AF$11)))</f>
        <v>0</v>
      </c>
      <c r="Y32" s="128" t="s">
        <v>244</v>
      </c>
      <c r="Z32" t="str">
        <f t="shared" ca="1" si="13"/>
        <v/>
      </c>
      <c r="AA32" s="129">
        <f ca="1">IF($C32="S",IF($Z32="CP",$X32,IF($Z32="RA",(($X32)*QCI!$AA$3),0)),SomaAgrup)</f>
        <v>0</v>
      </c>
      <c r="AB32" s="130">
        <f t="shared" ca="1" si="14"/>
        <v>0</v>
      </c>
      <c r="AC32" s="131" t="str">
        <f ca="1">IF($N32="","",IF(ORÇAMENTO.Descricao="","DESCRIÇÃO",IF(AND($C32="S",ORÇAMENTO.Unidade=""),"UNIDADE",IF($X32&lt;0,"VALOR NEGATIVO",IF(OR(AND(TIPOORCAMENTO="Proposto",$AG32&lt;&gt;"",$AG32&gt;0,ORÇAMENTO.CustoUnitario&gt;$AG32),AND(TIPOORCAMENTO="LICITADO",ORÇAMENTO.PrecoUnitarioLicitado&gt;$AN32)),"ACIMA REF.","")))))</f>
        <v/>
      </c>
      <c r="AD32" t="str">
        <f ca="1">IF(C32&lt;=CRONO.NivelExibicao,MAX($AD$15:OFFSET(AD32,-1,0))+IF($C32&lt;&gt;1,1,MAX(1,COUNTIF(QCI!$A$13:$A$24,OFFSET($E32,-1,0)))),"")</f>
        <v/>
      </c>
      <c r="AE32" s="7" t="str">
        <f ca="1">IF(AND($C32="S",ORÇAMENTO.CodBarra&lt;&gt;""),IF(ORÇAMENTO.Fonte="",ORÇAMENTO.CodBarra,CONCATENATE(ORÇAMENTO.Fonte," ",ORÇAMENTO.CodBarra)))</f>
        <v>PM BENTO 15</v>
      </c>
      <c r="AF32" s="13"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03-Sunday.xlsm)</v>
      </c>
      <c r="AG32" s="485">
        <f ca="1">ROUND(IF(DESONERACAO="sim",REFERENCIA.Desonerado,REFERENCIA.NaoDesonerado),2)</f>
        <v>0</v>
      </c>
      <c r="AH32" s="486">
        <f t="shared" ca="1" si="15"/>
        <v>0.21390000000000001</v>
      </c>
      <c r="AJ32" s="488"/>
      <c r="AL32" s="505"/>
      <c r="AM32" s="379">
        <f t="shared" ca="1" si="0"/>
        <v>0</v>
      </c>
      <c r="AN32" s="543">
        <f t="shared" ca="1" si="16"/>
        <v>0</v>
      </c>
    </row>
    <row r="33" spans="1:40" ht="38.25" x14ac:dyDescent="0.2">
      <c r="A33" t="str">
        <f t="shared" si="1"/>
        <v>S</v>
      </c>
      <c r="B33">
        <f t="shared" ca="1" si="2"/>
        <v>2</v>
      </c>
      <c r="C33" t="str">
        <f t="shared" ca="1" si="3"/>
        <v>S</v>
      </c>
      <c r="D33">
        <f t="shared" ca="1" si="4"/>
        <v>0</v>
      </c>
      <c r="E33">
        <f ca="1">IF($C33=1,OFFSET(E33,-1,0)+MAX(1,COUNTIF(QCI!$A$13:$A$24,OFFSET(ORÇAMENTO!E33,-1,0))),OFFSET(E33,-1,0))</f>
        <v>1</v>
      </c>
      <c r="F33">
        <f t="shared" ca="1" si="5"/>
        <v>1</v>
      </c>
      <c r="G33">
        <f t="shared" ca="1" si="6"/>
        <v>0</v>
      </c>
      <c r="H33">
        <f t="shared" ca="1" si="7"/>
        <v>0</v>
      </c>
      <c r="I33">
        <f t="shared" ca="1" si="8"/>
        <v>0</v>
      </c>
      <c r="J33">
        <f t="shared" ca="1" si="9"/>
        <v>0</v>
      </c>
      <c r="K33">
        <f ca="1">IF(OR($C33="S",$C33=0),0,MATCH(OFFSET($D33,0,$C33)+IF($C33&lt;&gt;1,1,COUNTIF(QCI!$A$13:$A$24,ORÇAMENTO!E33)),OFFSET($D33,1,$C33,ROW($C$36)-ROW($C33)),0))</f>
        <v>0</v>
      </c>
      <c r="L33" s="116" t="str">
        <f t="shared" ca="1" si="10"/>
        <v/>
      </c>
      <c r="M33" s="117" t="s">
        <v>198</v>
      </c>
      <c r="N33" s="118" t="str">
        <f t="shared" ca="1" si="11"/>
        <v>Serviço</v>
      </c>
      <c r="O33" s="119" t="str">
        <f t="shared" ca="1" si="12"/>
        <v>-</v>
      </c>
      <c r="P33" s="120" t="s">
        <v>484</v>
      </c>
      <c r="Q33" s="121" t="s">
        <v>500</v>
      </c>
      <c r="R33" s="122" t="str">
        <f ca="1">IF($C33="S",REFERENCIA.Descricao,"(digite a descrição aqui)")</f>
        <v>(abra o arquivo 'Referência 03-Sunday.xlsm)</v>
      </c>
      <c r="S33" s="123" t="str">
        <f ca="1">REFERENCIA.Unidade</f>
        <v>-</v>
      </c>
      <c r="T33" s="124">
        <f ca="1">OFFSET(CÁLCULO!H$15,ROW($T33)-ROW(T$15),0)</f>
        <v>800</v>
      </c>
      <c r="U33" s="125">
        <f t="shared" ca="1" si="17"/>
        <v>0</v>
      </c>
      <c r="V33" s="126" t="s">
        <v>156</v>
      </c>
      <c r="W33" s="124">
        <f ca="1">IF($C33="S",ROUND(IF(TIPOORCAMENTO="Proposto",ORÇAMENTO.CustoUnitario*(1+$AH33),ORÇAMENTO.PrecoUnitarioLicitado),15-13*$AF$10),0)</f>
        <v>0</v>
      </c>
      <c r="X33" s="127">
        <f ca="1">IF($C33="S",IF(Import.TipoArredondamento&lt;&gt;"TransfereGOV",VTOTAL1,SUM(OFFSET(CÁLCULO!$AI$15,ROW($X33)-ROW($X$15),1):OFFSET(CÁLCULO!$BB$15,ROW($X33)-ROW($X$15),-1))),IF($C33=0,0,ROUND(SomaAgrup,15-13*$AF$11)))</f>
        <v>0</v>
      </c>
      <c r="Y33" s="128" t="s">
        <v>244</v>
      </c>
      <c r="Z33" t="str">
        <f t="shared" ca="1" si="13"/>
        <v/>
      </c>
      <c r="AA33" s="129">
        <f ca="1">IF($C33="S",IF($Z33="CP",$X33,IF($Z33="RA",(($X33)*QCI!$AA$3),0)),SomaAgrup)</f>
        <v>0</v>
      </c>
      <c r="AB33" s="130">
        <f t="shared" ca="1" si="14"/>
        <v>0</v>
      </c>
      <c r="AC33" s="131" t="str">
        <f ca="1">IF($N33="","",IF(ORÇAMENTO.Descricao="","DESCRIÇÃO",IF(AND($C33="S",ORÇAMENTO.Unidade=""),"UNIDADE",IF($X33&lt;0,"VALOR NEGATIVO",IF(OR(AND(TIPOORCAMENTO="Proposto",$AG33&lt;&gt;"",$AG33&gt;0,ORÇAMENTO.CustoUnitario&gt;$AG33),AND(TIPOORCAMENTO="LICITADO",ORÇAMENTO.PrecoUnitarioLicitado&gt;$AN33)),"ACIMA REF.","")))))</f>
        <v/>
      </c>
      <c r="AD33" t="str">
        <f ca="1">IF(C33&lt;=CRONO.NivelExibicao,MAX($AD$15:OFFSET(AD33,-1,0))+IF($C33&lt;&gt;1,1,MAX(1,COUNTIF(QCI!$A$13:$A$24,OFFSET($E33,-1,0)))),"")</f>
        <v/>
      </c>
      <c r="AE33" s="7" t="str">
        <f ca="1">IF(AND($C33="S",ORÇAMENTO.CodBarra&lt;&gt;""),IF(ORÇAMENTO.Fonte="",ORÇAMENTO.CodBarra,CONCATENATE(ORÇAMENTO.Fonte," ",ORÇAMENTO.CodBarra)))</f>
        <v>PM BENTO 16</v>
      </c>
      <c r="AF33" s="13"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03-Sunday.xlsm)</v>
      </c>
      <c r="AG33" s="485">
        <f ca="1">ROUND(IF(DESONERACAO="sim",REFERENCIA.Desonerado,REFERENCIA.NaoDesonerado),2)</f>
        <v>0</v>
      </c>
      <c r="AH33" s="486">
        <f t="shared" ca="1" si="15"/>
        <v>0.21390000000000001</v>
      </c>
      <c r="AJ33" s="488"/>
      <c r="AL33" s="505"/>
      <c r="AM33" s="379">
        <f t="shared" ca="1" si="0"/>
        <v>0</v>
      </c>
      <c r="AN33" s="543">
        <f t="shared" ca="1" si="16"/>
        <v>0</v>
      </c>
    </row>
    <row r="34" spans="1:40" ht="51" x14ac:dyDescent="0.2">
      <c r="A34" t="str">
        <f t="shared" si="1"/>
        <v>S</v>
      </c>
      <c r="B34">
        <f t="shared" ca="1" si="2"/>
        <v>2</v>
      </c>
      <c r="C34" t="str">
        <f t="shared" ca="1" si="3"/>
        <v>S</v>
      </c>
      <c r="D34">
        <f t="shared" ca="1" si="4"/>
        <v>0</v>
      </c>
      <c r="E34">
        <f ca="1">IF($C34=1,OFFSET(E34,-1,0)+MAX(1,COUNTIF(QCI!$A$13:$A$24,OFFSET(ORÇAMENTO!E34,-1,0))),OFFSET(E34,-1,0))</f>
        <v>1</v>
      </c>
      <c r="F34">
        <f t="shared" ca="1" si="5"/>
        <v>1</v>
      </c>
      <c r="G34">
        <f t="shared" ca="1" si="6"/>
        <v>0</v>
      </c>
      <c r="H34">
        <f t="shared" ca="1" si="7"/>
        <v>0</v>
      </c>
      <c r="I34">
        <f t="shared" ca="1" si="8"/>
        <v>0</v>
      </c>
      <c r="J34">
        <f t="shared" ca="1" si="9"/>
        <v>0</v>
      </c>
      <c r="K34">
        <f ca="1">IF(OR($C34="S",$C34=0),0,MATCH(OFFSET($D34,0,$C34)+IF($C34&lt;&gt;1,1,COUNTIF(QCI!$A$13:$A$24,ORÇAMENTO!E34)),OFFSET($D34,1,$C34,ROW($C$36)-ROW($C34)),0))</f>
        <v>0</v>
      </c>
      <c r="L34" s="116" t="str">
        <f t="shared" ca="1" si="10"/>
        <v/>
      </c>
      <c r="M34" s="117" t="s">
        <v>198</v>
      </c>
      <c r="N34" s="118" t="str">
        <f t="shared" ca="1" si="11"/>
        <v>Serviço</v>
      </c>
      <c r="O34" s="119" t="str">
        <f t="shared" ca="1" si="12"/>
        <v>-</v>
      </c>
      <c r="P34" s="120" t="s">
        <v>484</v>
      </c>
      <c r="Q34" s="121" t="s">
        <v>501</v>
      </c>
      <c r="R34" s="122" t="str">
        <f ca="1">IF($C34="S",REFERENCIA.Descricao,"(digite a descrição aqui)")</f>
        <v>(abra o arquivo 'Referência 03-Sunday.xlsm)</v>
      </c>
      <c r="S34" s="123" t="str">
        <f ca="1">REFERENCIA.Unidade</f>
        <v>-</v>
      </c>
      <c r="T34" s="124">
        <f ca="1">OFFSET(CÁLCULO!H$15,ROW($T34)-ROW(T$15),0)</f>
        <v>3000</v>
      </c>
      <c r="U34" s="125">
        <f t="shared" ca="1" si="17"/>
        <v>0</v>
      </c>
      <c r="V34" s="126" t="s">
        <v>156</v>
      </c>
      <c r="W34" s="124">
        <f ca="1">IF($C34="S",ROUND(IF(TIPOORCAMENTO="Proposto",ORÇAMENTO.CustoUnitario*(1+$AH34),ORÇAMENTO.PrecoUnitarioLicitado),15-13*$AF$10),0)</f>
        <v>0</v>
      </c>
      <c r="X34" s="127">
        <f ca="1">IF($C34="S",IF(Import.TipoArredondamento&lt;&gt;"TransfereGOV",VTOTAL1,SUM(OFFSET(CÁLCULO!$AI$15,ROW($X34)-ROW($X$15),1):OFFSET(CÁLCULO!$BB$15,ROW($X34)-ROW($X$15),-1))),IF($C34=0,0,ROUND(SomaAgrup,15-13*$AF$11)))</f>
        <v>0</v>
      </c>
      <c r="Y34" s="128" t="s">
        <v>244</v>
      </c>
      <c r="Z34" t="str">
        <f t="shared" ca="1" si="13"/>
        <v/>
      </c>
      <c r="AA34" s="129">
        <f ca="1">IF($C34="S",IF($Z34="CP",$X34,IF($Z34="RA",(($X34)*QCI!$AA$3),0)),SomaAgrup)</f>
        <v>0</v>
      </c>
      <c r="AB34" s="130">
        <f t="shared" ca="1" si="14"/>
        <v>0</v>
      </c>
      <c r="AC34" s="131" t="str">
        <f ca="1">IF($N34="","",IF(ORÇAMENTO.Descricao="","DESCRIÇÃO",IF(AND($C34="S",ORÇAMENTO.Unidade=""),"UNIDADE",IF($X34&lt;0,"VALOR NEGATIVO",IF(OR(AND(TIPOORCAMENTO="Proposto",$AG34&lt;&gt;"",$AG34&gt;0,ORÇAMENTO.CustoUnitario&gt;$AG34),AND(TIPOORCAMENTO="LICITADO",ORÇAMENTO.PrecoUnitarioLicitado&gt;$AN34)),"ACIMA REF.","")))))</f>
        <v/>
      </c>
      <c r="AD34" t="str">
        <f ca="1">IF(C34&lt;=CRONO.NivelExibicao,MAX($AD$15:OFFSET(AD34,-1,0))+IF($C34&lt;&gt;1,1,MAX(1,COUNTIF(QCI!$A$13:$A$24,OFFSET($E34,-1,0)))),"")</f>
        <v/>
      </c>
      <c r="AE34" s="7" t="str">
        <f ca="1">IF(AND($C34="S",ORÇAMENTO.CodBarra&lt;&gt;""),IF(ORÇAMENTO.Fonte="",ORÇAMENTO.CodBarra,CONCATENATE(ORÇAMENTO.Fonte," ",ORÇAMENTO.CodBarra)))</f>
        <v>PM BENTO 17</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03-Sunday.xlsm)</v>
      </c>
      <c r="AG34" s="485">
        <f ca="1">ROUND(IF(DESONERACAO="sim",REFERENCIA.Desonerado,REFERENCIA.NaoDesonerado),2)</f>
        <v>0</v>
      </c>
      <c r="AH34" s="486">
        <f t="shared" ca="1" si="15"/>
        <v>0.21390000000000001</v>
      </c>
      <c r="AJ34" s="488"/>
      <c r="AL34" s="505"/>
      <c r="AM34" s="379">
        <f t="shared" ca="1" si="0"/>
        <v>0</v>
      </c>
      <c r="AN34" s="543">
        <f t="shared" ca="1" si="16"/>
        <v>0</v>
      </c>
    </row>
    <row r="35" spans="1:40" ht="51" x14ac:dyDescent="0.2">
      <c r="A35" t="str">
        <f t="shared" si="1"/>
        <v>S</v>
      </c>
      <c r="B35">
        <f t="shared" ca="1" si="2"/>
        <v>2</v>
      </c>
      <c r="C35" t="str">
        <f t="shared" ca="1" si="3"/>
        <v>S</v>
      </c>
      <c r="D35">
        <f t="shared" ca="1" si="4"/>
        <v>0</v>
      </c>
      <c r="E35">
        <f ca="1">IF($C35=1,OFFSET(E35,-1,0)+MAX(1,COUNTIF(QCI!$A$13:$A$24,OFFSET(ORÇAMENTO!E35,-1,0))),OFFSET(E35,-1,0))</f>
        <v>1</v>
      </c>
      <c r="F35">
        <f t="shared" ca="1" si="5"/>
        <v>1</v>
      </c>
      <c r="G35">
        <f t="shared" ca="1" si="6"/>
        <v>0</v>
      </c>
      <c r="H35">
        <f t="shared" ca="1" si="7"/>
        <v>0</v>
      </c>
      <c r="I35">
        <f t="shared" ca="1" si="8"/>
        <v>0</v>
      </c>
      <c r="J35">
        <f t="shared" ca="1" si="9"/>
        <v>0</v>
      </c>
      <c r="K35">
        <f ca="1">IF(OR($C35="S",$C35=0),0,MATCH(OFFSET($D35,0,$C35)+IF($C35&lt;&gt;1,1,COUNTIF(QCI!$A$13:$A$24,ORÇAMENTO!E35)),OFFSET($D35,1,$C35,ROW($C$36)-ROW($C35)),0))</f>
        <v>0</v>
      </c>
      <c r="L35" s="116" t="str">
        <f t="shared" ca="1" si="10"/>
        <v/>
      </c>
      <c r="M35" s="117" t="s">
        <v>198</v>
      </c>
      <c r="N35" s="118" t="str">
        <f t="shared" ca="1" si="11"/>
        <v>Serviço</v>
      </c>
      <c r="O35" s="119" t="str">
        <f t="shared" ca="1" si="12"/>
        <v>-</v>
      </c>
      <c r="P35" s="120" t="s">
        <v>484</v>
      </c>
      <c r="Q35" s="121" t="s">
        <v>502</v>
      </c>
      <c r="R35" s="122" t="str">
        <f ca="1">IF($C35="S",REFERENCIA.Descricao,"(digite a descrição aqui)")</f>
        <v>(abra o arquivo 'Referência 03-Sunday.xlsm)</v>
      </c>
      <c r="S35" s="123" t="str">
        <f ca="1">REFERENCIA.Unidade</f>
        <v>-</v>
      </c>
      <c r="T35" s="124">
        <f ca="1">OFFSET(CÁLCULO!H$15,ROW($T35)-ROW(T$15),0)</f>
        <v>880</v>
      </c>
      <c r="U35" s="125">
        <f t="shared" ca="1" si="17"/>
        <v>0</v>
      </c>
      <c r="V35" s="126" t="s">
        <v>190</v>
      </c>
      <c r="W35" s="124">
        <f ca="1">IF($C35="S",ROUND(IF(TIPOORCAMENTO="Proposto",ORÇAMENTO.CustoUnitario*(1+$AH35),ORÇAMENTO.PrecoUnitarioLicitado),15-13*$AF$10),0)</f>
        <v>0</v>
      </c>
      <c r="X35" s="127">
        <f ca="1">IF($C35="S",IF(Import.TipoArredondamento&lt;&gt;"TransfereGOV",VTOTAL1,SUM(OFFSET(CÁLCULO!$AI$15,ROW($X35)-ROW($X$15),1):OFFSET(CÁLCULO!$BB$15,ROW($X35)-ROW($X$15),-1))),IF($C35=0,0,ROUND(SomaAgrup,15-13*$AF$11)))</f>
        <v>0</v>
      </c>
      <c r="Y35" s="128" t="s">
        <v>244</v>
      </c>
      <c r="Z35" t="str">
        <f t="shared" ca="1" si="13"/>
        <v/>
      </c>
      <c r="AA35" s="129">
        <f ca="1">IF($C35="S",IF($Z35="CP",$X35,IF($Z35="RA",(($X35)*QCI!$AA$3),0)),SomaAgrup)</f>
        <v>0</v>
      </c>
      <c r="AB35" s="130">
        <f t="shared" ca="1" si="14"/>
        <v>0</v>
      </c>
      <c r="AC35" s="131" t="str">
        <f ca="1">IF($N35="","",IF(ORÇAMENTO.Descricao="","DESCRIÇÃO",IF(AND($C35="S",ORÇAMENTO.Unidade=""),"UNIDADE",IF($X35&lt;0,"VALOR NEGATIVO",IF(OR(AND(TIPOORCAMENTO="Proposto",$AG35&lt;&gt;"",$AG35&gt;0,ORÇAMENTO.CustoUnitario&gt;$AG35),AND(TIPOORCAMENTO="LICITADO",ORÇAMENTO.PrecoUnitarioLicitado&gt;$AN35)),"ACIMA REF.","")))))</f>
        <v/>
      </c>
      <c r="AD35" t="str">
        <f ca="1">IF(C35&lt;=CRONO.NivelExibicao,MAX($AD$15:OFFSET(AD35,-1,0))+IF($C35&lt;&gt;1,1,MAX(1,COUNTIF(QCI!$A$13:$A$24,OFFSET($E35,-1,0)))),"")</f>
        <v/>
      </c>
      <c r="AE35" s="7" t="str">
        <f ca="1">IF(AND($C35="S",ORÇAMENTO.CodBarra&lt;&gt;""),IF(ORÇAMENTO.Fonte="",ORÇAMENTO.CodBarra,CONCATENATE(ORÇAMENTO.Fonte," ",ORÇAMENTO.CodBarra)))</f>
        <v>PM BENTO 18</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03-Sunday.xlsm)</v>
      </c>
      <c r="AG35" s="485">
        <f ca="1">ROUND(IF(DESONERACAO="sim",REFERENCIA.Desonerado,REFERENCIA.NaoDesonerado),2)</f>
        <v>0</v>
      </c>
      <c r="AH35" s="486">
        <f t="shared" ca="1" si="15"/>
        <v>0.16789999999999999</v>
      </c>
      <c r="AJ35" s="488"/>
      <c r="AL35" s="505"/>
      <c r="AM35" s="379">
        <f t="shared" ca="1" si="0"/>
        <v>0</v>
      </c>
      <c r="AN35" s="543">
        <f t="shared" ca="1" si="16"/>
        <v>0</v>
      </c>
    </row>
    <row r="36" spans="1:40" ht="5.0999999999999996" customHeight="1" x14ac:dyDescent="0.2">
      <c r="A36">
        <v>-1</v>
      </c>
      <c r="C36">
        <v>-1</v>
      </c>
      <c r="E36">
        <v>0</v>
      </c>
      <c r="F36">
        <v>0</v>
      </c>
      <c r="G36">
        <v>0</v>
      </c>
      <c r="H36">
        <v>0</v>
      </c>
      <c r="I36">
        <v>0</v>
      </c>
      <c r="L36" s="116" t="s">
        <v>245</v>
      </c>
      <c r="M36" s="479"/>
      <c r="N36" s="480"/>
      <c r="O36" s="479"/>
      <c r="P36" s="481"/>
      <c r="Q36" s="481"/>
      <c r="R36" s="481"/>
      <c r="S36" s="481"/>
      <c r="T36" s="481"/>
      <c r="U36" s="481"/>
      <c r="V36" s="481"/>
      <c r="W36" s="481"/>
      <c r="X36" s="480"/>
      <c r="AG36" s="471"/>
      <c r="AH36" s="473"/>
      <c r="AJ36" s="482"/>
      <c r="AL36" s="471"/>
      <c r="AM36" s="472"/>
      <c r="AN36" s="473"/>
    </row>
    <row r="39" spans="1:40" ht="14.25" x14ac:dyDescent="0.2">
      <c r="O39" s="140" t="s">
        <v>247</v>
      </c>
      <c r="Q39" s="641" t="s">
        <v>248</v>
      </c>
      <c r="R39" s="641"/>
      <c r="S39" s="641"/>
      <c r="T39" s="641"/>
      <c r="U39" s="641"/>
      <c r="V39" s="641"/>
      <c r="W39" s="641"/>
      <c r="X39" s="641"/>
    </row>
    <row r="41" spans="1:40" ht="14.25" x14ac:dyDescent="0.2">
      <c r="O41" s="141" t="s">
        <v>186</v>
      </c>
      <c r="X41" s="4"/>
    </row>
    <row r="42" spans="1:40" ht="12.75" customHeight="1" x14ac:dyDescent="0.2">
      <c r="O42" s="642" t="s">
        <v>505</v>
      </c>
      <c r="P42" s="642"/>
      <c r="Q42" s="642"/>
      <c r="R42" s="642"/>
      <c r="S42" s="642"/>
      <c r="T42" s="642"/>
      <c r="U42" s="642"/>
      <c r="V42" s="642"/>
      <c r="W42" s="642"/>
      <c r="X42" s="642"/>
    </row>
    <row r="43" spans="1:40" x14ac:dyDescent="0.2">
      <c r="O43" s="642"/>
      <c r="P43" s="642"/>
      <c r="Q43" s="642"/>
      <c r="R43" s="642"/>
      <c r="S43" s="642"/>
      <c r="T43" s="642"/>
      <c r="U43" s="642"/>
      <c r="V43" s="642"/>
      <c r="W43" s="642"/>
      <c r="X43" s="642"/>
    </row>
    <row r="44" spans="1:40" x14ac:dyDescent="0.2">
      <c r="O44" s="642"/>
      <c r="P44" s="642"/>
      <c r="Q44" s="642"/>
      <c r="R44" s="642"/>
      <c r="S44" s="642"/>
      <c r="T44" s="642"/>
      <c r="U44" s="642"/>
      <c r="V44" s="642"/>
      <c r="W44" s="642"/>
      <c r="X44" s="642"/>
    </row>
    <row r="45" spans="1:40" ht="14.25" x14ac:dyDescent="0.2">
      <c r="O45" s="512"/>
      <c r="P45" s="512"/>
      <c r="Q45" s="512"/>
      <c r="R45" s="512"/>
      <c r="S45" s="512"/>
      <c r="T45" s="512"/>
      <c r="U45" s="512"/>
      <c r="V45" s="512"/>
      <c r="W45" s="512"/>
      <c r="X45" s="512"/>
      <c r="Y45" s="512"/>
      <c r="Z45" s="142"/>
      <c r="AA45" s="142"/>
      <c r="AB45" s="142"/>
    </row>
    <row r="46" spans="1:40" ht="15" x14ac:dyDescent="0.25">
      <c r="O46" s="64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46" s="643"/>
      <c r="Q46" s="643"/>
      <c r="R46" s="643"/>
      <c r="S46" s="643"/>
      <c r="T46" s="643"/>
      <c r="U46" s="643"/>
      <c r="V46" s="643"/>
      <c r="W46" s="643"/>
      <c r="X46" s="643"/>
      <c r="Y46" s="143"/>
      <c r="Z46" s="143"/>
      <c r="AA46" s="143"/>
      <c r="AB46" s="143"/>
    </row>
    <row r="47" spans="1:40" ht="15" customHeight="1" x14ac:dyDescent="0.25">
      <c r="O47" s="645" t="s">
        <v>249</v>
      </c>
      <c r="P47" s="645"/>
      <c r="Q47" s="645"/>
      <c r="R47" s="645"/>
      <c r="S47" s="645"/>
      <c r="T47" s="645"/>
      <c r="U47" s="645"/>
      <c r="V47" s="645"/>
      <c r="W47" s="645"/>
      <c r="X47" s="645"/>
      <c r="Y47" s="143"/>
      <c r="Z47" s="143"/>
      <c r="AA47" s="143"/>
      <c r="AB47" s="143"/>
    </row>
    <row r="49" spans="15:23" ht="30" customHeight="1" x14ac:dyDescent="0.2">
      <c r="O49" s="644" t="str">
        <f>Import.Município</f>
        <v>Bento Gonçalves</v>
      </c>
      <c r="P49" s="644"/>
      <c r="Q49" s="644"/>
      <c r="S49" s="531"/>
      <c r="T49" s="531"/>
      <c r="U49" s="531"/>
      <c r="V49" s="531"/>
      <c r="W49" s="466"/>
    </row>
    <row r="50" spans="15:23" x14ac:dyDescent="0.2">
      <c r="O50" s="10" t="s">
        <v>187</v>
      </c>
      <c r="S50" s="195" t="s">
        <v>189</v>
      </c>
      <c r="T50" s="195"/>
      <c r="U50" s="195"/>
      <c r="V50" s="195"/>
    </row>
    <row r="51" spans="15:23" x14ac:dyDescent="0.2">
      <c r="S51" s="78" t="s">
        <v>108</v>
      </c>
      <c r="T51" s="79">
        <f t="array" ref="T51:T53">Import.RespOrçamento</f>
        <v>0</v>
      </c>
      <c r="V51" s="80"/>
    </row>
    <row r="52" spans="15:23" x14ac:dyDescent="0.2">
      <c r="O52" s="639">
        <f>DADOS!$F$25</f>
        <v>0</v>
      </c>
      <c r="P52" s="639"/>
      <c r="Q52" s="639"/>
      <c r="S52" s="78" t="s">
        <v>109</v>
      </c>
      <c r="T52" s="79">
        <v>0</v>
      </c>
      <c r="U52" s="80"/>
      <c r="V52" s="80"/>
    </row>
    <row r="53" spans="15:23" x14ac:dyDescent="0.2">
      <c r="O53" s="146" t="s">
        <v>188</v>
      </c>
      <c r="P53" s="1"/>
      <c r="Q53" s="1"/>
      <c r="S53" s="78" t="s">
        <v>110</v>
      </c>
      <c r="T53" s="79">
        <v>0</v>
      </c>
      <c r="U53" s="80"/>
      <c r="V53" s="80"/>
    </row>
  </sheetData>
  <sheetProtection algorithmName="SHA-512" hashValue="nmH09Pcvsy264y0oQWuXwaBQ66IfHwrRC/urupI+VqjDAwM3TeGgidggVrc9P8hhQCj1Lh/j7gZtE+tOzkRZ0Q==" saltValue="UvFz3hyqZiAQK0WwiX4fUA==" spinCount="100000" sheet="1" objects="1" scenarios="1" autoFilter="0"/>
  <autoFilter ref="L15:L36" xr:uid="{00000000-0001-0000-0400-000000000000}"/>
  <mergeCells count="24">
    <mergeCell ref="O52:Q52"/>
    <mergeCell ref="O15:R15"/>
    <mergeCell ref="Q39:X39"/>
    <mergeCell ref="O42:X44"/>
    <mergeCell ref="O46:X46"/>
    <mergeCell ref="O49:Q49"/>
    <mergeCell ref="O47:X47"/>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16:M22 M32:M35">
    <cfRule type="cellIs" dxfId="124" priority="11770" stopIfTrue="1" operator="notEqual">
      <formula>$N14</formula>
    </cfRule>
  </conditionalFormatting>
  <conditionalFormatting sqref="N14:O14 R14 W14:X14 N16:O22 R16:R22 W16:X22 N32:O35 R32:R35 W32:X35">
    <cfRule type="expression" dxfId="123" priority="11771" stopIfTrue="1">
      <formula>$C14=1</formula>
    </cfRule>
    <cfRule type="expression" dxfId="122" priority="11772" stopIfTrue="1">
      <formula>OR($C14=0,$C14=2,$C14=3,$C14=4)</formula>
    </cfRule>
  </conditionalFormatting>
  <conditionalFormatting sqref="U14:V14 U16:V22 U32:V35">
    <cfRule type="expression" dxfId="121" priority="11773" stopIfTrue="1">
      <formula>$C14=1</formula>
    </cfRule>
    <cfRule type="expression" dxfId="120" priority="11774" stopIfTrue="1">
      <formula>OR($C14=0,$C14=2,$C14=3,$C14=4)</formula>
    </cfRule>
    <cfRule type="expression" dxfId="119" priority="11775" stopIfTrue="1">
      <formula>AND(TIPOORCAMENTO="Licitado",$C14&lt;&gt;"L",$C14&lt;&gt;-1)</formula>
    </cfRule>
  </conditionalFormatting>
  <conditionalFormatting sqref="P14:Q14 S14:T14 Y14 AG14:AH14 P16:Q22 S16:T22 Y16:Y22 AG16:AH22 P32:Q35 S32:T35 Y32:Y35 AG32:AH35">
    <cfRule type="expression" dxfId="118" priority="11776" stopIfTrue="1">
      <formula>$C14=1</formula>
    </cfRule>
    <cfRule type="expression" dxfId="117" priority="11777" stopIfTrue="1">
      <formula>OR($C14=0,$C14=2,$C14=3,$C14=4)</formula>
    </cfRule>
  </conditionalFormatting>
  <conditionalFormatting sqref="AJ7:AJ36">
    <cfRule type="expression" dxfId="116" priority="11778" stopIfTrue="1">
      <formula>OR(ACOMPANHAMENTO&lt;&gt;"BM",TIPOORCAMENTO="Licitado")</formula>
    </cfRule>
    <cfRule type="expression" dxfId="115" priority="11779" stopIfTrue="1">
      <formula>$C7=1</formula>
    </cfRule>
    <cfRule type="expression" dxfId="114" priority="11780" stopIfTrue="1">
      <formula>OR(AND(ISNUMBER($C7),$C7=0),$C7=2,$C7=3,$C7=4)</formula>
    </cfRule>
  </conditionalFormatting>
  <conditionalFormatting sqref="AL7:AL36">
    <cfRule type="expression" dxfId="113" priority="11781" stopIfTrue="1">
      <formula>TIPOORCAMENTO="PROPOSTO"</formula>
    </cfRule>
    <cfRule type="expression" dxfId="112" priority="11782" stopIfTrue="1">
      <formula>$C7=1</formula>
    </cfRule>
    <cfRule type="expression" dxfId="111" priority="11783" stopIfTrue="1">
      <formula>OR(AND(ISNUMBER($C7),$C7=0),$C7=2,$C7=3,$C7=4)</formula>
    </cfRule>
  </conditionalFormatting>
  <conditionalFormatting sqref="O8:P8">
    <cfRule type="expression" dxfId="110" priority="11787" stopIfTrue="1">
      <formula>ISERROR(INDIRECT($F$9))</formula>
    </cfRule>
  </conditionalFormatting>
  <conditionalFormatting sqref="S7:V8">
    <cfRule type="expression" dxfId="109" priority="11788" stopIfTrue="1">
      <formula>TIPOORCAMENTO="Proposto"</formula>
    </cfRule>
  </conditionalFormatting>
  <conditionalFormatting sqref="S9:V9">
    <cfRule type="expression" dxfId="108" priority="11735" stopIfTrue="1">
      <formula>TIPOORCAMENTO="Proposto"</formula>
    </cfRule>
  </conditionalFormatting>
  <conditionalFormatting sqref="AM7:AN36">
    <cfRule type="expression" dxfId="107" priority="11784" stopIfTrue="1">
      <formula>TIPOORCAMENTO="PROPOSTO"</formula>
    </cfRule>
    <cfRule type="expression" dxfId="106" priority="11785" stopIfTrue="1">
      <formula>$C7=1</formula>
    </cfRule>
    <cfRule type="expression" dxfId="105" priority="11786" stopIfTrue="1">
      <formula>OR(AND(ISNUMBER($C7),$C7=0),$C7=2,$C7=3,$C7=4)</formula>
    </cfRule>
  </conditionalFormatting>
  <conditionalFormatting sqref="M23:M31">
    <cfRule type="cellIs" dxfId="104" priority="209" stopIfTrue="1" operator="notEqual">
      <formula>$N23</formula>
    </cfRule>
  </conditionalFormatting>
  <conditionalFormatting sqref="N23:O31 R23:R31 W23:X31">
    <cfRule type="expression" dxfId="103" priority="210" stopIfTrue="1">
      <formula>$C23=1</formula>
    </cfRule>
    <cfRule type="expression" dxfId="102" priority="211" stopIfTrue="1">
      <formula>OR($C23=0,$C23=2,$C23=3,$C23=4)</formula>
    </cfRule>
  </conditionalFormatting>
  <conditionalFormatting sqref="U23:V31">
    <cfRule type="expression" dxfId="101" priority="212" stopIfTrue="1">
      <formula>$C23=1</formula>
    </cfRule>
    <cfRule type="expression" dxfId="100" priority="213" stopIfTrue="1">
      <formula>OR($C23=0,$C23=2,$C23=3,$C23=4)</formula>
    </cfRule>
    <cfRule type="expression" dxfId="99" priority="214" stopIfTrue="1">
      <formula>AND(TIPOORCAMENTO="Licitado",$C23&lt;&gt;"L",$C23&lt;&gt;-1)</formula>
    </cfRule>
  </conditionalFormatting>
  <conditionalFormatting sqref="P23:Q31 S23:T31 Y23:Y31 AG23:AH31">
    <cfRule type="expression" dxfId="98" priority="215" stopIfTrue="1">
      <formula>$C23=1</formula>
    </cfRule>
    <cfRule type="expression" dxfId="97" priority="216" stopIfTrue="1">
      <formula>OR($C23=0,$C23=2,$C23=3,$C23=4)</formula>
    </cfRule>
  </conditionalFormatting>
  <dataValidations count="7">
    <dataValidation type="decimal" operator="greaterThan" allowBlank="1" showErrorMessage="1" error="Apenas números decimais maiores que zero." sqref="U14 AL14 AJ14 AJ16:AJ35 AL16:AL35 U16:U35" xr:uid="{00000000-0002-0000-0400-000000000000}">
      <formula1>0</formula1>
      <formula2>0</formula2>
    </dataValidation>
    <dataValidation type="list" allowBlank="1" sqref="P14 P16:P35"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35"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35" xr:uid="{00000000-0002-0000-0400-000003000000}">
      <formula1>"BDI 1,BDI 2,BDI 3,0,00%"</formula1>
      <formula2>0</formula2>
    </dataValidation>
    <dataValidation type="list" showErrorMessage="1" errorTitle="Erro de Entrada" error="Selecione somente os itens da lista." promptTitle="Nível:" prompt="Selecione na lista o nível de itemização da Planilha." sqref="M14 M16:M35"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35"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35" xr:uid="{00000000-0002-0000-0400-000006000000}"/>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&amp;LPMv3.07&amp;R&amp;P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123825</xdr:rowOff>
                  </from>
                  <to>
                    <xdr:col>19</xdr:col>
                    <xdr:colOff>895350</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123825</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285750</xdr:colOff>
                    <xdr:row>9</xdr:row>
                    <xdr:rowOff>123825</xdr:rowOff>
                  </from>
                  <to>
                    <xdr:col>21</xdr:col>
                    <xdr:colOff>704850</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361950</xdr:colOff>
                    <xdr:row>9</xdr:row>
                    <xdr:rowOff>123825</xdr:rowOff>
                  </from>
                  <to>
                    <xdr:col>22</xdr:col>
                    <xdr:colOff>790575</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104775</xdr:rowOff>
                  </from>
                  <to>
                    <xdr:col>23</xdr:col>
                    <xdr:colOff>876300</xdr:colOff>
                    <xdr:row>11</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24"/>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activeCell="C8" sqref="C8:D8"/>
    </sheetView>
  </sheetViews>
  <sheetFormatPr defaultRowHeight="12.75" x14ac:dyDescent="0.2"/>
  <cols>
    <col min="1" max="1" width="3.7109375" style="590"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590" t="str">
        <f t="shared" ref="A1" si="0">IF(D1="","","F")</f>
        <v/>
      </c>
      <c r="B1" t="e">
        <f t="shared" ref="B1" ca="1" si="1">CONCATENATE(C1,".",D1)</f>
        <v>#REF!</v>
      </c>
      <c r="C1" s="197" t="e">
        <f t="shared" ref="C1" ca="1" si="2">OFFSET(C1,-1,0)+1</f>
        <v>#REF!</v>
      </c>
      <c r="D1" s="575"/>
      <c r="E1" s="587" cm="1">
        <f t="array" aca="1" ref="E1" ca="1">IF(AUTOEVENTO="Manual",ROUND(SUMPRODUCT((CÁLCULO!$M$15:$M$36=EVENTOS!$C1)*(OFFSET(CÁLCULO!$AI$15:$AI$36,0,E$13))),2),0)</f>
        <v>0</v>
      </c>
      <c r="F1" s="198">
        <f ca="1">IF(AUTOEVENTO="Manual",ROUND(SUMPRODUCT((CÁLCULO!$M$15:$M$36=EVENTOS!$C1)*(OFFSET(CÁLCULO!$AI$15,0,1):OFFSET(CÁLCULO!$BB$36,0,-1))),2),0)</f>
        <v>0</v>
      </c>
      <c r="G1" s="587"/>
      <c r="H1" s="587" cm="1">
        <f t="array" aca="1" ref="H1" ca="1">IF(AUTOEVENTO="Manual",ROUND(SUMPRODUCT((CÁLCULO!$M$15:$M$36=EVENTOS!$C1)*(OFFSET(CÁLCULO!$AI$15:$AI$36,0,H$13))),2),0)</f>
        <v>0</v>
      </c>
      <c r="I1" s="587" cm="1">
        <f t="array" aca="1" ref="I1" ca="1">IF(AUTOEVENTO="Manual",ROUND(SUMPRODUCT((CÁLCULO!$M$15:$M$36=EVENTOS!$C1)*(OFFSET(CÁLCULO!$AI$15:$AI$36,0,I$13))),2),0)</f>
        <v>0</v>
      </c>
      <c r="J1" s="587" cm="1">
        <f t="array" aca="1" ref="J1" ca="1">IF(AUTOEVENTO="Manual",ROUND(SUMPRODUCT((CÁLCULO!$M$15:$M$36=EVENTOS!$C1)*(OFFSET(CÁLCULO!$AI$15:$AI$36,0,J$13))),2),0)</f>
        <v>0</v>
      </c>
      <c r="K1" s="587" cm="1">
        <f t="array" aca="1" ref="K1" ca="1">IF(AUTOEVENTO="Manual",ROUND(SUMPRODUCT((CÁLCULO!$M$15:$M$36=EVENTOS!$C1)*(OFFSET(CÁLCULO!$AI$15:$AI$36,0,K$13))),2),0)</f>
        <v>0</v>
      </c>
      <c r="L1" s="587" cm="1">
        <f t="array" aca="1" ref="L1" ca="1">IF(AUTOEVENTO="Manual",ROUND(SUMPRODUCT((CÁLCULO!$M$15:$M$36=EVENTOS!$C1)*(OFFSET(CÁLCULO!$AI$15:$AI$36,0,L$13))),2),0)</f>
        <v>0</v>
      </c>
      <c r="M1" s="587" cm="1">
        <f t="array" aca="1" ref="M1" ca="1">IF(AUTOEVENTO="Manual",ROUND(SUMPRODUCT((CÁLCULO!$M$15:$M$36=EVENTOS!$C1)*(OFFSET(CÁLCULO!$AI$15:$AI$36,0,M$13))),2),0)</f>
        <v>0</v>
      </c>
      <c r="N1" s="587" cm="1">
        <f t="array" aca="1" ref="N1" ca="1">IF(AUTOEVENTO="Manual",ROUND(SUMPRODUCT((CÁLCULO!$M$15:$M$36=EVENTOS!$C1)*(OFFSET(CÁLCULO!$AI$15:$AI$36,0,N$13))),2),0)</f>
        <v>0</v>
      </c>
      <c r="O1" s="587" cm="1">
        <f t="array" aca="1" ref="O1" ca="1">IF(AUTOEVENTO="Manual",ROUND(SUMPRODUCT((CÁLCULO!$M$15:$M$36=EVENTOS!$C1)*(OFFSET(CÁLCULO!$AI$15:$AI$36,0,O$13))),2),0)</f>
        <v>0</v>
      </c>
      <c r="P1" s="587" cm="1">
        <f t="array" aca="1" ref="P1" ca="1">IF(AUTOEVENTO="Manual",ROUND(SUMPRODUCT((CÁLCULO!$M$15:$M$36=EVENTOS!$C1)*(OFFSET(CÁLCULO!$AI$15:$AI$36,0,P$13))),2),0)</f>
        <v>0</v>
      </c>
      <c r="Q1" s="587" cm="1">
        <f t="array" aca="1" ref="Q1" ca="1">IF(AUTOEVENTO="Manual",ROUND(SUMPRODUCT((CÁLCULO!$M$15:$M$36=EVENTOS!$C1)*(OFFSET(CÁLCULO!$AI$15:$AI$36,0,Q$13))),2),0)</f>
        <v>0</v>
      </c>
      <c r="R1" s="587" cm="1">
        <f t="array" aca="1" ref="R1" ca="1">IF(AUTOEVENTO="Manual",ROUND(SUMPRODUCT((CÁLCULO!$M$15:$M$36=EVENTOS!$C1)*(OFFSET(CÁLCULO!$AI$15:$AI$36,0,R$13))),2),0)</f>
        <v>0</v>
      </c>
      <c r="S1" s="587" cm="1">
        <f t="array" aca="1" ref="S1" ca="1">IF(AUTOEVENTO="Manual",ROUND(SUMPRODUCT((CÁLCULO!$M$15:$M$36=EVENTOS!$C1)*(OFFSET(CÁLCULO!$AI$15:$AI$36,0,S$13))),2),0)</f>
        <v>0</v>
      </c>
      <c r="T1" s="587" cm="1">
        <f t="array" aca="1" ref="T1" ca="1">IF(AUTOEVENTO="Manual",ROUND(SUMPRODUCT((CÁLCULO!$M$15:$M$36=EVENTOS!$C1)*(OFFSET(CÁLCULO!$AI$15:$AI$36,0,T$13))),2),0)</f>
        <v>0</v>
      </c>
      <c r="U1" s="587" cm="1">
        <f t="array" aca="1" ref="U1" ca="1">IF(AUTOEVENTO="Manual",ROUND(SUMPRODUCT((CÁLCULO!$M$15:$M$36=EVENTOS!$C1)*(OFFSET(CÁLCULO!$AI$15:$AI$36,0,U$13))),2),0)</f>
        <v>0</v>
      </c>
      <c r="V1" s="587" cm="1">
        <f t="array" aca="1" ref="V1" ca="1">IF(AUTOEVENTO="Manual",ROUND(SUMPRODUCT((CÁLCULO!$M$15:$M$36=EVENTOS!$C1)*(OFFSET(CÁLCULO!$AI$15:$AI$36,0,V$13))),2),0)</f>
        <v>0</v>
      </c>
      <c r="W1" s="587" cm="1">
        <f t="array" aca="1" ref="W1" ca="1">IF(AUTOEVENTO="Manual",ROUND(SUMPRODUCT((CÁLCULO!$M$15:$M$36=EVENTOS!$C1)*(OFFSET(CÁLCULO!$AI$15:$AI$36,0,W$13))),2),0)</f>
        <v>0</v>
      </c>
      <c r="X1" s="587" cm="1">
        <f t="array" aca="1" ref="X1" ca="1">IF(AUTOEVENTO="Manual",ROUND(SUMPRODUCT((CÁLCULO!$M$15:$M$36=EVENTOS!$C1)*(OFFSET(CÁLCULO!$AI$15:$AI$36,0,X$13))),2),0)</f>
        <v>0</v>
      </c>
      <c r="Y1" s="587" cm="1">
        <f t="array" aca="1" ref="Y1" ca="1">IF(AUTOEVENTO="Manual",ROUND(SUMPRODUCT((CÁLCULO!$M$15:$M$36=EVENTOS!$C1)*(OFFSET(CÁLCULO!$AI$15:$AI$36,0,Y$13))),2),0)</f>
        <v>0</v>
      </c>
    </row>
    <row r="2" spans="1:26" ht="30" customHeight="1" x14ac:dyDescent="0.2">
      <c r="F2" s="83" t="s">
        <v>467</v>
      </c>
      <c r="O2" s="584" t="s">
        <v>452</v>
      </c>
      <c r="Y2" s="584" t="s">
        <v>452</v>
      </c>
    </row>
    <row r="4" spans="1:26" ht="12.75" customHeight="1" x14ac:dyDescent="0.2">
      <c r="C4" s="56" t="s">
        <v>147</v>
      </c>
      <c r="D4" s="98"/>
      <c r="E4" s="78"/>
      <c r="F4" s="230" t="s">
        <v>271</v>
      </c>
      <c r="G4" s="78"/>
      <c r="H4" s="561"/>
      <c r="I4" s="561"/>
      <c r="J4" s="561"/>
      <c r="K4" s="561"/>
      <c r="L4" s="561"/>
      <c r="N4" s="56" t="s">
        <v>146</v>
      </c>
      <c r="O4" s="588" t="s">
        <v>432</v>
      </c>
      <c r="P4" s="230" t="s">
        <v>271</v>
      </c>
      <c r="Q4" s="78"/>
      <c r="R4" s="561"/>
      <c r="S4" s="561"/>
      <c r="T4" s="561"/>
      <c r="U4" s="561"/>
      <c r="V4" s="561"/>
      <c r="X4" s="56" t="s">
        <v>146</v>
      </c>
      <c r="Y4" s="588" t="s">
        <v>432</v>
      </c>
    </row>
    <row r="5" spans="1:26" ht="12.75" customHeight="1" x14ac:dyDescent="0.2">
      <c r="C5" s="589" t="str">
        <f>Import.Proponente</f>
        <v>Secretario Diego Salini</v>
      </c>
      <c r="D5" s="585"/>
      <c r="E5" s="585"/>
      <c r="F5" s="646" t="str">
        <f>Import.Apelido</f>
        <v>ANEXO I TR - MANUTENÇÃO ABRIGO PASSAGEIROS ÔNIBUS E TÁXI</v>
      </c>
      <c r="G5" s="647"/>
      <c r="H5" s="647"/>
      <c r="I5" s="647"/>
      <c r="J5" s="647"/>
      <c r="K5" s="647"/>
      <c r="L5" s="647"/>
      <c r="M5" s="648"/>
      <c r="N5" s="57">
        <f>Import.CR</f>
        <v>0</v>
      </c>
      <c r="O5" s="57">
        <f>Import.SICONV</f>
        <v>0</v>
      </c>
      <c r="P5" s="646" t="str">
        <f>Import.Apelido</f>
        <v>ANEXO I TR - MANUTENÇÃO ABRIGO PASSAGEIROS ÔNIBUS E TÁXI</v>
      </c>
      <c r="Q5" s="647"/>
      <c r="R5" s="647"/>
      <c r="S5" s="647"/>
      <c r="T5" s="647"/>
      <c r="U5" s="647"/>
      <c r="V5" s="647"/>
      <c r="W5" s="648"/>
      <c r="X5" s="57">
        <f>Import.CR</f>
        <v>0</v>
      </c>
      <c r="Y5" s="57">
        <f>Import.SICONV</f>
        <v>0</v>
      </c>
      <c r="Z5" t="s">
        <v>466</v>
      </c>
    </row>
    <row r="6" spans="1:26" ht="24.95" customHeight="1" x14ac:dyDescent="0.2">
      <c r="C6" t="s">
        <v>263</v>
      </c>
    </row>
    <row r="7" spans="1:26" ht="12" customHeight="1" thickBot="1" x14ac:dyDescent="0.25"/>
    <row r="8" spans="1:26" ht="13.5" thickBot="1" x14ac:dyDescent="0.25">
      <c r="C8" s="652" t="s">
        <v>471</v>
      </c>
      <c r="D8" s="653"/>
    </row>
    <row r="9" spans="1:26" ht="12" customHeight="1" x14ac:dyDescent="0.2"/>
    <row r="10" spans="1:26" ht="33.75" customHeight="1" x14ac:dyDescent="0.2">
      <c r="C10" t="s">
        <v>466</v>
      </c>
      <c r="D10" t="s">
        <v>466</v>
      </c>
      <c r="E10" s="649">
        <f ca="1">OFFSET(CÁLCULO!$P$12,0,EVENTOS!E$13)</f>
        <v>1</v>
      </c>
      <c r="F10" t="s">
        <v>466</v>
      </c>
      <c r="G10" s="649"/>
      <c r="H10" s="649">
        <f ca="1">OFFSET(CÁLCULO!$P$12,0,EVENTOS!H$13)</f>
        <v>1</v>
      </c>
      <c r="I10" s="649">
        <f ca="1">OFFSET(CÁLCULO!$P$12,0,EVENTOS!I$13)</f>
        <v>0</v>
      </c>
      <c r="J10" s="649">
        <f ca="1">OFFSET(CÁLCULO!$P$12,0,EVENTOS!J$13)</f>
        <v>0</v>
      </c>
      <c r="K10" s="649">
        <f ca="1">OFFSET(CÁLCULO!$P$12,0,EVENTOS!K$13)</f>
        <v>0</v>
      </c>
      <c r="L10" s="649">
        <f ca="1">OFFSET(CÁLCULO!$P$12,0,EVENTOS!L$13)</f>
        <v>0</v>
      </c>
      <c r="M10" s="649">
        <f ca="1">OFFSET(CÁLCULO!$P$12,0,EVENTOS!M$13)</f>
        <v>0</v>
      </c>
      <c r="N10" s="649">
        <f ca="1">OFFSET(CÁLCULO!$P$12,0,EVENTOS!N$13)</f>
        <v>0</v>
      </c>
      <c r="O10" s="649">
        <f ca="1">OFFSET(CÁLCULO!$P$12,0,EVENTOS!O$13)</f>
        <v>0</v>
      </c>
      <c r="P10" s="649">
        <f ca="1">OFFSET(CÁLCULO!$P$12,0,EVENTOS!P$13)</f>
        <v>0</v>
      </c>
      <c r="Q10" s="649">
        <f ca="1">OFFSET(CÁLCULO!$P$12,0,EVENTOS!Q$13)</f>
        <v>0</v>
      </c>
      <c r="R10" s="649">
        <f ca="1">OFFSET(CÁLCULO!$P$12,0,EVENTOS!R$13)</f>
        <v>0</v>
      </c>
      <c r="S10" s="649">
        <f ca="1">OFFSET(CÁLCULO!$P$12,0,EVENTOS!S$13)</f>
        <v>0</v>
      </c>
      <c r="T10" s="649">
        <f ca="1">OFFSET(CÁLCULO!$P$12,0,EVENTOS!T$13)</f>
        <v>0</v>
      </c>
      <c r="U10" s="649">
        <f ca="1">OFFSET(CÁLCULO!$P$12,0,EVENTOS!U$13)</f>
        <v>0</v>
      </c>
      <c r="V10" s="649">
        <f ca="1">OFFSET(CÁLCULO!$P$12,0,EVENTOS!V$13)</f>
        <v>0</v>
      </c>
      <c r="W10" s="649">
        <f ca="1">OFFSET(CÁLCULO!$P$12,0,EVENTOS!W$13)</f>
        <v>0</v>
      </c>
      <c r="X10" s="649">
        <f ca="1">OFFSET(CÁLCULO!$P$12,0,EVENTOS!X$13)</f>
        <v>0</v>
      </c>
      <c r="Y10" s="649">
        <f ca="1">OFFSET(CÁLCULO!$P$12,0,EVENTOS!Y$13)</f>
        <v>0</v>
      </c>
    </row>
    <row r="11" spans="1:26" ht="35.1" customHeight="1" x14ac:dyDescent="0.2">
      <c r="A11" s="591" t="s">
        <v>208</v>
      </c>
      <c r="C11" s="654" t="str">
        <f>IF(ACOMPANHAMENTO="BM","Foi selecionado na aba 'MENU' o acompanhamento por BM. Não há necessidade de definição de Eventos.",IF(Import.Eventos.Nível&lt;&gt;"Definir Manualmente","Foi selecionada a forma automática de definição dos agrupadores de eventos.",""))</f>
        <v>Foi selecionada a forma automática de definição dos agrupadores de eventos.</v>
      </c>
      <c r="D11" s="655"/>
      <c r="E11" s="650"/>
      <c r="F11" s="577"/>
      <c r="G11" s="650"/>
      <c r="H11" s="650"/>
      <c r="I11" s="650"/>
      <c r="J11" s="650"/>
      <c r="K11" s="650"/>
      <c r="L11" s="650"/>
      <c r="M11" s="650"/>
      <c r="N11" s="650"/>
      <c r="O11" s="650"/>
      <c r="P11" s="650"/>
      <c r="Q11" s="650"/>
      <c r="R11" s="650"/>
      <c r="S11" s="650"/>
      <c r="T11" s="650"/>
      <c r="U11" s="650"/>
      <c r="V11" s="650"/>
      <c r="W11" s="650"/>
      <c r="X11" s="650"/>
      <c r="Y11" s="650"/>
    </row>
    <row r="12" spans="1:26" ht="12" customHeight="1" x14ac:dyDescent="0.2">
      <c r="A12" s="592" t="s">
        <v>216</v>
      </c>
      <c r="E12" s="651"/>
      <c r="G12" s="651"/>
      <c r="H12" s="651"/>
      <c r="I12" s="651"/>
      <c r="J12" s="651"/>
      <c r="K12" s="651"/>
      <c r="L12" s="651"/>
      <c r="M12" s="651"/>
      <c r="N12" s="651"/>
      <c r="O12" s="651"/>
      <c r="P12" s="651"/>
      <c r="Q12" s="651"/>
      <c r="R12" s="651"/>
      <c r="S12" s="651"/>
      <c r="T12" s="651"/>
      <c r="U12" s="651"/>
      <c r="V12" s="651"/>
      <c r="W12" s="651"/>
      <c r="X12" s="651"/>
      <c r="Y12" s="651"/>
    </row>
    <row r="13" spans="1:26" ht="15" x14ac:dyDescent="0.25">
      <c r="A13" s="592"/>
      <c r="C13" s="578" t="s">
        <v>264</v>
      </c>
      <c r="D13" s="578" t="s">
        <v>265</v>
      </c>
      <c r="E13" s="574">
        <f ca="1">IF(NOT(ISNUMBER(OFFSET(E13,0,-1))),1,IF(OR(OFFSET(E13,0,-1)=0,OFFSET(E13,0,-1)+1&gt;CÁLCULO.NúmeroDeFrentes),0,OFFSET(E13,0,-1)+1))</f>
        <v>1</v>
      </c>
      <c r="F13" s="196" t="s">
        <v>266</v>
      </c>
      <c r="G13" s="574"/>
      <c r="H13" s="574">
        <f ca="1">IF(NOT(ISNUMBER(OFFSET(H13,0,-1))),1,IF(OR(OFFSET(H13,0,-1)=0,OFFSET(H13,0,-1)+1&gt;CÁLCULO.NúmeroDeFrentes),0,OFFSET(H13,0,-1)+1))</f>
        <v>1</v>
      </c>
      <c r="I13" s="574">
        <f ca="1">IF(NOT(ISNUMBER(OFFSET(I13,0,-1))),1,IF(OR(OFFSET(I13,0,-1)=0,OFFSET(I13,0,-1)+1&gt;CÁLCULO.NúmeroDeFrentes),0,OFFSET(I13,0,-1)+1))</f>
        <v>2</v>
      </c>
      <c r="J13" s="574">
        <f ca="1">IF(NOT(ISNUMBER(OFFSET(J13,0,-1))),1,IF(OR(OFFSET(J13,0,-1)=0,OFFSET(J13,0,-1)+1&gt;CÁLCULO.NúmeroDeFrentes),0,OFFSET(J13,0,-1)+1))</f>
        <v>3</v>
      </c>
      <c r="K13" s="574">
        <f ca="1">IF(NOT(ISNUMBER(OFFSET(K13,0,-1))),1,IF(OR(OFFSET(K13,0,-1)=0,OFFSET(K13,0,-1)+1&gt;CÁLCULO.NúmeroDeFrentes),0,OFFSET(K13,0,-1)+1))</f>
        <v>4</v>
      </c>
      <c r="L13" s="574">
        <f ca="1">IF(NOT(ISNUMBER(OFFSET(L13,0,-1))),1,IF(OR(OFFSET(L13,0,-1)=0,OFFSET(L13,0,-1)+1&gt;CÁLCULO.NúmeroDeFrentes),0,OFFSET(L13,0,-1)+1))</f>
        <v>5</v>
      </c>
      <c r="M13" s="574">
        <f ca="1">IF(NOT(ISNUMBER(OFFSET(M13,0,-1))),1,IF(OR(OFFSET(M13,0,-1)=0,OFFSET(M13,0,-1)+1&gt;CÁLCULO.NúmeroDeFrentes),0,OFFSET(M13,0,-1)+1))</f>
        <v>6</v>
      </c>
      <c r="N13" s="574">
        <f ca="1">IF(NOT(ISNUMBER(OFFSET(N13,0,-1))),1,IF(OR(OFFSET(N13,0,-1)=0,OFFSET(N13,0,-1)+1&gt;CÁLCULO.NúmeroDeFrentes),0,OFFSET(N13,0,-1)+1))</f>
        <v>7</v>
      </c>
      <c r="O13" s="574">
        <f ca="1">IF(NOT(ISNUMBER(OFFSET(O13,0,-1))),1,IF(OR(OFFSET(O13,0,-1)=0,OFFSET(O13,0,-1)+1&gt;CÁLCULO.NúmeroDeFrentes),0,OFFSET(O13,0,-1)+1))</f>
        <v>8</v>
      </c>
      <c r="P13" s="574">
        <f ca="1">IF(NOT(ISNUMBER(OFFSET(P13,0,-1))),1,IF(OR(OFFSET(P13,0,-1)=0,OFFSET(P13,0,-1)+1&gt;CÁLCULO.NúmeroDeFrentes),0,OFFSET(P13,0,-1)+1))</f>
        <v>9</v>
      </c>
      <c r="Q13" s="574">
        <f ca="1">IF(NOT(ISNUMBER(OFFSET(Q13,0,-1))),1,IF(OR(OFFSET(Q13,0,-1)=0,OFFSET(Q13,0,-1)+1&gt;CÁLCULO.NúmeroDeFrentes),0,OFFSET(Q13,0,-1)+1))</f>
        <v>10</v>
      </c>
      <c r="R13" s="574">
        <f ca="1">IF(NOT(ISNUMBER(OFFSET(R13,0,-1))),1,IF(OR(OFFSET(R13,0,-1)=0,OFFSET(R13,0,-1)+1&gt;CÁLCULO.NúmeroDeFrentes),0,OFFSET(R13,0,-1)+1))</f>
        <v>11</v>
      </c>
      <c r="S13" s="574">
        <f ca="1">IF(NOT(ISNUMBER(OFFSET(S13,0,-1))),1,IF(OR(OFFSET(S13,0,-1)=0,OFFSET(S13,0,-1)+1&gt;CÁLCULO.NúmeroDeFrentes),0,OFFSET(S13,0,-1)+1))</f>
        <v>12</v>
      </c>
      <c r="T13" s="574">
        <f ca="1">IF(NOT(ISNUMBER(OFFSET(T13,0,-1))),1,IF(OR(OFFSET(T13,0,-1)=0,OFFSET(T13,0,-1)+1&gt;CÁLCULO.NúmeroDeFrentes),0,OFFSET(T13,0,-1)+1))</f>
        <v>13</v>
      </c>
      <c r="U13" s="574">
        <f ca="1">IF(NOT(ISNUMBER(OFFSET(U13,0,-1))),1,IF(OR(OFFSET(U13,0,-1)=0,OFFSET(U13,0,-1)+1&gt;CÁLCULO.NúmeroDeFrentes),0,OFFSET(U13,0,-1)+1))</f>
        <v>14</v>
      </c>
      <c r="V13" s="574">
        <f ca="1">IF(NOT(ISNUMBER(OFFSET(V13,0,-1))),1,IF(OR(OFFSET(V13,0,-1)=0,OFFSET(V13,0,-1)+1&gt;CÁLCULO.NúmeroDeFrentes),0,OFFSET(V13,0,-1)+1))</f>
        <v>15</v>
      </c>
      <c r="W13" s="574">
        <f ca="1">IF(NOT(ISNUMBER(OFFSET(W13,0,-1))),1,IF(OR(OFFSET(W13,0,-1)=0,OFFSET(W13,0,-1)+1&gt;CÁLCULO.NúmeroDeFrentes),0,OFFSET(W13,0,-1)+1))</f>
        <v>16</v>
      </c>
      <c r="X13" s="574">
        <f ca="1">IF(NOT(ISNUMBER(OFFSET(X13,0,-1))),1,IF(OR(OFFSET(X13,0,-1)=0,OFFSET(X13,0,-1)+1&gt;CÁLCULO.NúmeroDeFrentes),0,OFFSET(X13,0,-1)+1))</f>
        <v>17</v>
      </c>
      <c r="Y13" s="574">
        <f ca="1">IF(NOT(ISNUMBER(OFFSET(Y13,0,-1))),1,IF(OR(OFFSET(Y13,0,-1)=0,OFFSET(Y13,0,-1)+1&gt;CÁLCULO.NúmeroDeFrentes),0,OFFSET(Y13,0,-1)+1))</f>
        <v>18</v>
      </c>
    </row>
    <row r="14" spans="1:26" ht="3.95" customHeight="1" x14ac:dyDescent="0.2">
      <c r="A14" s="590" t="s">
        <v>245</v>
      </c>
    </row>
    <row r="15" spans="1:26" x14ac:dyDescent="0.2">
      <c r="A15" s="590" t="str">
        <f t="shared" ref="A15:A16" si="3">IF(D15="","","F")</f>
        <v>F</v>
      </c>
      <c r="B15" t="str">
        <f>CONCATENATE(C15,".",D15)</f>
        <v>1.Administração Local</v>
      </c>
      <c r="C15" s="199">
        <v>1</v>
      </c>
      <c r="D15" s="576" t="s">
        <v>267</v>
      </c>
      <c r="E15" s="586">
        <f ca="1">IF($F$15=0,0,IF(E13=1,$F$15-SUM($I$15:$Z$15),ROUND(SUM(OFFSET(E15,1,0):OFFSET(E$17,-1,0))/SUM(OFFSET($F15,1,0):OFFSET($F$17,-1,0))*$F$15,2)))</f>
        <v>0</v>
      </c>
      <c r="F15" s="200">
        <f ca="1">IF(AUTOEVENTO="Manual",ROUND(SUMIF(CÁLCULO!$M$15:$M$36,1,ORÇAMENTO!$X$15:$X$36),2),0)</f>
        <v>0</v>
      </c>
      <c r="G15" s="586"/>
      <c r="H15" s="586">
        <f ca="1">IF($F$15=0,0,IF(H13=1,$F$15-SUM($I$15:$Z$15),ROUND(SUM(OFFSET(H15,1,0):OFFSET(H$17,-1,0))/SUM(OFFSET($F15,1,0):OFFSET($F$17,-1,0))*$F$15,2)))</f>
        <v>0</v>
      </c>
      <c r="I15" s="586">
        <f ca="1">IF($F$15=0,0,IF(I13=1,$F$15-SUM($I$15:$Z$15),ROUND(SUM(OFFSET(I15,1,0):OFFSET(I$17,-1,0))/SUM(OFFSET($F15,1,0):OFFSET($F$17,-1,0))*$F$15,2)))</f>
        <v>0</v>
      </c>
      <c r="J15" s="586">
        <f ca="1">IF($F$15=0,0,IF(J13=1,$F$15-SUM($I$15:$Z$15),ROUND(SUM(OFFSET(J15,1,0):OFFSET(J$17,-1,0))/SUM(OFFSET($F15,1,0):OFFSET($F$17,-1,0))*$F$15,2)))</f>
        <v>0</v>
      </c>
      <c r="K15" s="586">
        <f ca="1">IF($F$15=0,0,IF(K13=1,$F$15-SUM($I$15:$Z$15),ROUND(SUM(OFFSET(K15,1,0):OFFSET(K$17,-1,0))/SUM(OFFSET($F15,1,0):OFFSET($F$17,-1,0))*$F$15,2)))</f>
        <v>0</v>
      </c>
      <c r="L15" s="586">
        <f ca="1">IF($F$15=0,0,IF(L13=1,$F$15-SUM($I$15:$Z$15),ROUND(SUM(OFFSET(L15,1,0):OFFSET(L$17,-1,0))/SUM(OFFSET($F15,1,0):OFFSET($F$17,-1,0))*$F$15,2)))</f>
        <v>0</v>
      </c>
      <c r="M15" s="586">
        <f ca="1">IF($F$15=0,0,IF(M13=1,$F$15-SUM($I$15:$Z$15),ROUND(SUM(OFFSET(M15,1,0):OFFSET(M$17,-1,0))/SUM(OFFSET($F15,1,0):OFFSET($F$17,-1,0))*$F$15,2)))</f>
        <v>0</v>
      </c>
      <c r="N15" s="586">
        <f ca="1">IF($F$15=0,0,IF(N13=1,$F$15-SUM($I$15:$Z$15),ROUND(SUM(OFFSET(N15,1,0):OFFSET(N$17,-1,0))/SUM(OFFSET($F15,1,0):OFFSET($F$17,-1,0))*$F$15,2)))</f>
        <v>0</v>
      </c>
      <c r="O15" s="586">
        <f ca="1">IF($F$15=0,0,IF(O13=1,$F$15-SUM($I$15:$Z$15),ROUND(SUM(OFFSET(O15,1,0):OFFSET(O$17,-1,0))/SUM(OFFSET($F15,1,0):OFFSET($F$17,-1,0))*$F$15,2)))</f>
        <v>0</v>
      </c>
      <c r="P15" s="586">
        <f ca="1">IF($F$15=0,0,IF(P13=1,$F$15-SUM($I$15:$Z$15),ROUND(SUM(OFFSET(P15,1,0):OFFSET(P$17,-1,0))/SUM(OFFSET($F15,1,0):OFFSET($F$17,-1,0))*$F$15,2)))</f>
        <v>0</v>
      </c>
      <c r="Q15" s="586">
        <f ca="1">IF($F$15=0,0,IF(Q13=1,$F$15-SUM($I$15:$Z$15),ROUND(SUM(OFFSET(Q15,1,0):OFFSET(Q$17,-1,0))/SUM(OFFSET($F15,1,0):OFFSET($F$17,-1,0))*$F$15,2)))</f>
        <v>0</v>
      </c>
      <c r="R15" s="586">
        <f ca="1">IF($F$15=0,0,IF(R13=1,$F$15-SUM($I$15:$Z$15),ROUND(SUM(OFFSET(R15,1,0):OFFSET(R$17,-1,0))/SUM(OFFSET($F15,1,0):OFFSET($F$17,-1,0))*$F$15,2)))</f>
        <v>0</v>
      </c>
      <c r="S15" s="586">
        <f ca="1">IF($F$15=0,0,IF(S13=1,$F$15-SUM($I$15:$Z$15),ROUND(SUM(OFFSET(S15,1,0):OFFSET(S$17,-1,0))/SUM(OFFSET($F15,1,0):OFFSET($F$17,-1,0))*$F$15,2)))</f>
        <v>0</v>
      </c>
      <c r="T15" s="586">
        <f ca="1">IF($F$15=0,0,IF(T13=1,$F$15-SUM($I$15:$Z$15),ROUND(SUM(OFFSET(T15,1,0):OFFSET(T$17,-1,0))/SUM(OFFSET($F15,1,0):OFFSET($F$17,-1,0))*$F$15,2)))</f>
        <v>0</v>
      </c>
      <c r="U15" s="586">
        <f ca="1">IF($F$15=0,0,IF(U13=1,$F$15-SUM($I$15:$Z$15),ROUND(SUM(OFFSET(U15,1,0):OFFSET(U$17,-1,0))/SUM(OFFSET($F15,1,0):OFFSET($F$17,-1,0))*$F$15,2)))</f>
        <v>0</v>
      </c>
      <c r="V15" s="586">
        <f ca="1">IF($F$15=0,0,IF(V13=1,$F$15-SUM($I$15:$Z$15),ROUND(SUM(OFFSET(V15,1,0):OFFSET(V$17,-1,0))/SUM(OFFSET($F15,1,0):OFFSET($F$17,-1,0))*$F$15,2)))</f>
        <v>0</v>
      </c>
      <c r="W15" s="586">
        <f ca="1">IF($F$15=0,0,IF(W13=1,$F$15-SUM($I$15:$Z$15),ROUND(SUM(OFFSET(W15,1,0):OFFSET(W$17,-1,0))/SUM(OFFSET($F15,1,0):OFFSET($F$17,-1,0))*$F$15,2)))</f>
        <v>0</v>
      </c>
      <c r="X15" s="586">
        <f ca="1">IF($F$15=0,0,IF(X13=1,$F$15-SUM($I$15:$Z$15),ROUND(SUM(OFFSET(X15,1,0):OFFSET(X$17,-1,0))/SUM(OFFSET($F15,1,0):OFFSET($F$17,-1,0))*$F$15,2)))</f>
        <v>0</v>
      </c>
      <c r="Y15" s="586">
        <f ca="1">IF($F$15=0,0,IF(Y13=1,$F$15-SUM($I$15:$Z$15),ROUND(SUM(OFFSET(Y15,1,0):OFFSET(Y$17,-1,0))/SUM(OFFSET($F15,1,0):OFFSET($F$17,-1,0))*$F$15,2)))</f>
        <v>0</v>
      </c>
    </row>
    <row r="16" spans="1:26" x14ac:dyDescent="0.2">
      <c r="A16" s="590" t="str">
        <f t="shared" si="3"/>
        <v/>
      </c>
      <c r="B16" t="str">
        <f t="shared" ref="B16" ca="1" si="4">CONCATENATE(C16,".",D16)</f>
        <v>2.</v>
      </c>
      <c r="C16" s="197">
        <f t="shared" ref="C16" ca="1" si="5">OFFSET(C16,-1,0)+1</f>
        <v>2</v>
      </c>
      <c r="D16" s="575"/>
      <c r="E16" s="587" cm="1">
        <f t="array" aca="1" ref="E16" ca="1">IF(AUTOEVENTO="Manual",ROUND(SUMPRODUCT((CÁLCULO!$M$15:$M$36=EVENTOS!$C16)*(OFFSET(CÁLCULO!$AI$15:$AI$36,0,E$13))),2),0)</f>
        <v>0</v>
      </c>
      <c r="F16" s="198">
        <f ca="1">IF(AUTOEVENTO="Manual",ROUND(SUMPRODUCT((CÁLCULO!$M$15:$M$36=EVENTOS!$C16)*(OFFSET(CÁLCULO!$AI$15,0,1):OFFSET(CÁLCULO!$BB$36,0,-1))),2),0)</f>
        <v>0</v>
      </c>
      <c r="G16" s="587"/>
      <c r="H16" s="587" cm="1">
        <f t="array" aca="1" ref="H16" ca="1">IF(AUTOEVENTO="Manual",ROUND(SUMPRODUCT((CÁLCULO!$M$15:$M$36=EVENTOS!$C16)*(OFFSET(CÁLCULO!$AI$15:$AI$36,0,H$13))),2),0)</f>
        <v>0</v>
      </c>
      <c r="I16" s="587" cm="1">
        <f t="array" aca="1" ref="I16" ca="1">IF(AUTOEVENTO="Manual",ROUND(SUMPRODUCT((CÁLCULO!$M$15:$M$36=EVENTOS!$C16)*(OFFSET(CÁLCULO!$AI$15:$AI$36,0,I$13))),2),0)</f>
        <v>0</v>
      </c>
      <c r="J16" s="587" cm="1">
        <f t="array" aca="1" ref="J16" ca="1">IF(AUTOEVENTO="Manual",ROUND(SUMPRODUCT((CÁLCULO!$M$15:$M$36=EVENTOS!$C16)*(OFFSET(CÁLCULO!$AI$15:$AI$36,0,J$13))),2),0)</f>
        <v>0</v>
      </c>
      <c r="K16" s="587" cm="1">
        <f t="array" aca="1" ref="K16" ca="1">IF(AUTOEVENTO="Manual",ROUND(SUMPRODUCT((CÁLCULO!$M$15:$M$36=EVENTOS!$C16)*(OFFSET(CÁLCULO!$AI$15:$AI$36,0,K$13))),2),0)</f>
        <v>0</v>
      </c>
      <c r="L16" s="587" cm="1">
        <f t="array" aca="1" ref="L16" ca="1">IF(AUTOEVENTO="Manual",ROUND(SUMPRODUCT((CÁLCULO!$M$15:$M$36=EVENTOS!$C16)*(OFFSET(CÁLCULO!$AI$15:$AI$36,0,L$13))),2),0)</f>
        <v>0</v>
      </c>
      <c r="M16" s="587" cm="1">
        <f t="array" aca="1" ref="M16" ca="1">IF(AUTOEVENTO="Manual",ROUND(SUMPRODUCT((CÁLCULO!$M$15:$M$36=EVENTOS!$C16)*(OFFSET(CÁLCULO!$AI$15:$AI$36,0,M$13))),2),0)</f>
        <v>0</v>
      </c>
      <c r="N16" s="587" cm="1">
        <f t="array" aca="1" ref="N16" ca="1">IF(AUTOEVENTO="Manual",ROUND(SUMPRODUCT((CÁLCULO!$M$15:$M$36=EVENTOS!$C16)*(OFFSET(CÁLCULO!$AI$15:$AI$36,0,N$13))),2),0)</f>
        <v>0</v>
      </c>
      <c r="O16" s="587" cm="1">
        <f t="array" aca="1" ref="O16" ca="1">IF(AUTOEVENTO="Manual",ROUND(SUMPRODUCT((CÁLCULO!$M$15:$M$36=EVENTOS!$C16)*(OFFSET(CÁLCULO!$AI$15:$AI$36,0,O$13))),2),0)</f>
        <v>0</v>
      </c>
      <c r="P16" s="587" cm="1">
        <f t="array" aca="1" ref="P16" ca="1">IF(AUTOEVENTO="Manual",ROUND(SUMPRODUCT((CÁLCULO!$M$15:$M$36=EVENTOS!$C16)*(OFFSET(CÁLCULO!$AI$15:$AI$36,0,P$13))),2),0)</f>
        <v>0</v>
      </c>
      <c r="Q16" s="587" cm="1">
        <f t="array" aca="1" ref="Q16" ca="1">IF(AUTOEVENTO="Manual",ROUND(SUMPRODUCT((CÁLCULO!$M$15:$M$36=EVENTOS!$C16)*(OFFSET(CÁLCULO!$AI$15:$AI$36,0,Q$13))),2),0)</f>
        <v>0</v>
      </c>
      <c r="R16" s="587" cm="1">
        <f t="array" aca="1" ref="R16" ca="1">IF(AUTOEVENTO="Manual",ROUND(SUMPRODUCT((CÁLCULO!$M$15:$M$36=EVENTOS!$C16)*(OFFSET(CÁLCULO!$AI$15:$AI$36,0,R$13))),2),0)</f>
        <v>0</v>
      </c>
      <c r="S16" s="587" cm="1">
        <f t="array" aca="1" ref="S16" ca="1">IF(AUTOEVENTO="Manual",ROUND(SUMPRODUCT((CÁLCULO!$M$15:$M$36=EVENTOS!$C16)*(OFFSET(CÁLCULO!$AI$15:$AI$36,0,S$13))),2),0)</f>
        <v>0</v>
      </c>
      <c r="T16" s="587" cm="1">
        <f t="array" aca="1" ref="T16" ca="1">IF(AUTOEVENTO="Manual",ROUND(SUMPRODUCT((CÁLCULO!$M$15:$M$36=EVENTOS!$C16)*(OFFSET(CÁLCULO!$AI$15:$AI$36,0,T$13))),2),0)</f>
        <v>0</v>
      </c>
      <c r="U16" s="587" cm="1">
        <f t="array" aca="1" ref="U16" ca="1">IF(AUTOEVENTO="Manual",ROUND(SUMPRODUCT((CÁLCULO!$M$15:$M$36=EVENTOS!$C16)*(OFFSET(CÁLCULO!$AI$15:$AI$36,0,U$13))),2),0)</f>
        <v>0</v>
      </c>
      <c r="V16" s="587" cm="1">
        <f t="array" aca="1" ref="V16" ca="1">IF(AUTOEVENTO="Manual",ROUND(SUMPRODUCT((CÁLCULO!$M$15:$M$36=EVENTOS!$C16)*(OFFSET(CÁLCULO!$AI$15:$AI$36,0,V$13))),2),0)</f>
        <v>0</v>
      </c>
      <c r="W16" s="587" cm="1">
        <f t="array" aca="1" ref="W16" ca="1">IF(AUTOEVENTO="Manual",ROUND(SUMPRODUCT((CÁLCULO!$M$15:$M$36=EVENTOS!$C16)*(OFFSET(CÁLCULO!$AI$15:$AI$36,0,W$13))),2),0)</f>
        <v>0</v>
      </c>
      <c r="X16" s="587" cm="1">
        <f t="array" aca="1" ref="X16" ca="1">IF(AUTOEVENTO="Manual",ROUND(SUMPRODUCT((CÁLCULO!$M$15:$M$36=EVENTOS!$C16)*(OFFSET(CÁLCULO!$AI$15:$AI$36,0,X$13))),2),0)</f>
        <v>0</v>
      </c>
      <c r="Y16" s="587" cm="1">
        <f t="array" aca="1" ref="Y16" ca="1">IF(AUTOEVENTO="Manual",ROUND(SUMPRODUCT((CÁLCULO!$M$15:$M$36=EVENTOS!$C16)*(OFFSET(CÁLCULO!$AI$15:$AI$36,0,Y$13))),2),0)</f>
        <v>0</v>
      </c>
    </row>
    <row r="17" spans="1:25" ht="5.0999999999999996" customHeight="1" x14ac:dyDescent="0.2">
      <c r="A17" s="590" t="s">
        <v>245</v>
      </c>
      <c r="C17" s="191"/>
      <c r="D17" s="201"/>
      <c r="E17" s="573"/>
      <c r="F17" s="202"/>
      <c r="G17" s="573"/>
      <c r="H17" s="573"/>
      <c r="I17" s="573"/>
      <c r="J17" s="573"/>
      <c r="K17" s="573"/>
      <c r="L17" s="573"/>
      <c r="M17" s="573"/>
      <c r="N17" s="573"/>
      <c r="O17" s="573"/>
      <c r="P17" s="573"/>
      <c r="Q17" s="573"/>
      <c r="R17" s="573"/>
      <c r="S17" s="573"/>
      <c r="T17" s="573"/>
      <c r="U17" s="573"/>
      <c r="V17" s="573"/>
      <c r="W17" s="573"/>
      <c r="X17" s="573"/>
      <c r="Y17" s="573"/>
    </row>
    <row r="18" spans="1:25" x14ac:dyDescent="0.2">
      <c r="A18" s="590" t="s">
        <v>245</v>
      </c>
    </row>
    <row r="19" spans="1:25" x14ac:dyDescent="0.2">
      <c r="A19" s="590" t="s">
        <v>245</v>
      </c>
    </row>
    <row r="20" spans="1:25" ht="15" x14ac:dyDescent="0.2">
      <c r="A20" s="590" t="s">
        <v>245</v>
      </c>
      <c r="D20" s="571" t="str">
        <f>Import.Município</f>
        <v>Bento Gonçalves</v>
      </c>
      <c r="L20" s="531"/>
      <c r="M20" s="466"/>
      <c r="N20" s="466"/>
      <c r="O20" s="466"/>
      <c r="V20" s="531"/>
      <c r="W20" s="466"/>
      <c r="X20" s="466"/>
      <c r="Y20" s="466"/>
    </row>
    <row r="21" spans="1:25" x14ac:dyDescent="0.2">
      <c r="A21" s="590" t="s">
        <v>245</v>
      </c>
      <c r="D21" s="10" t="s">
        <v>187</v>
      </c>
      <c r="L21" s="195" t="s">
        <v>189</v>
      </c>
      <c r="V21" s="195" t="s">
        <v>189</v>
      </c>
    </row>
    <row r="22" spans="1:25" x14ac:dyDescent="0.2">
      <c r="A22" s="590" t="s">
        <v>245</v>
      </c>
      <c r="L22" s="444" t="str">
        <f t="array" aca="1" ref="L22:L24" ca="1">OFFSET(Import.RespOrçamento,0,-1) &amp; " " &amp; Import.RespOrçamento</f>
        <v xml:space="preserve">Nome: </v>
      </c>
      <c r="V22" s="444" t="str">
        <f t="array" aca="1" ref="V22:V24" ca="1">OFFSET(Import.RespOrçamento,0,-1) &amp; " " &amp; Import.RespOrçamento</f>
        <v xml:space="preserve">Nome: </v>
      </c>
    </row>
    <row r="23" spans="1:25" x14ac:dyDescent="0.2">
      <c r="A23" s="590" t="s">
        <v>245</v>
      </c>
      <c r="D23" s="572">
        <f>DADOS!$F$25</f>
        <v>0</v>
      </c>
      <c r="L23" s="444" t="str">
        <f ca="1"/>
        <v xml:space="preserve">CREA/CAU: </v>
      </c>
      <c r="V23" s="444" t="str">
        <f ca="1"/>
        <v xml:space="preserve">CREA/CAU: </v>
      </c>
    </row>
    <row r="24" spans="1:25" x14ac:dyDescent="0.2">
      <c r="A24" s="590" t="s">
        <v>245</v>
      </c>
      <c r="D24" s="10" t="s">
        <v>188</v>
      </c>
      <c r="L24" s="444" t="str">
        <f ca="1"/>
        <v xml:space="preserve">ART/RRT: </v>
      </c>
      <c r="V24" s="444" t="str">
        <f ca="1"/>
        <v xml:space="preserve">ART/RRT: </v>
      </c>
    </row>
  </sheetData>
  <sheetProtection algorithmName="SHA-512" hashValue="DojhcXnFe7y05qpmPGKhYzXd3DX42Jsn3Jxk30mRaDaho+conDwvWrXoghFDMBoJ0VVcSJpabeFj/+PC/jcLrQ==" saltValue="NMUv1muY4gJmfdNdcuvh/Q==" spinCount="100000" sheet="1" objects="1" scenarios="1"/>
  <autoFilter ref="A13:A24"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Z1 C10:Z10 E11:Z11 C12:Z17">
    <cfRule type="expression" dxfId="96" priority="150" stopIfTrue="1">
      <formula>OR(AUTOEVENTO&lt;&gt;"Manual",ACOMPANHAMENTO="BM",C$10=0,C$13=0)</formula>
    </cfRule>
  </conditionalFormatting>
  <dataValidations count="1">
    <dataValidation type="list" allowBlank="1" showErrorMessage="1" sqref="C8" xr:uid="{00000000-0002-0000-0600-000000000000}">
      <formula1>"Automática, conforme os agrupadores Nível 2 do Orçamento,Automática, conforme os agrupadores Nível 3 do Orçamento,Automática, conforme os agrupadores Nível 4 do Orçamento,Definir Manualmente"</formula1>
      <formula2>0</formula2>
    </dataValidation>
  </dataValidations>
  <pageMargins left="0.78740157480314998" right="0.78740157480314998" top="0.78740157480314998" bottom="0.78740157480314998" header="5.7086614173228396" footer="0.59055118110236204"/>
  <pageSetup paperSize="9" scale="22" firstPageNumber="0" orientation="portrait" horizontalDpi="300" verticalDpi="300" r:id="rId1"/>
  <headerFooter alignWithMargins="0">
    <oddHeader>&amp;L_</oddHeader>
    <oddFooter>&amp;LPMv3.07&amp;R&amp;P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CN65304"/>
  <sheetViews>
    <sheetView showGridLines="0" zoomScaleNormal="100" zoomScaleSheetLayoutView="90" workbookViewId="0">
      <pane xSplit="8" ySplit="15" topLeftCell="I16" activePane="bottomRight" state="frozen"/>
      <selection activeCell="C1" sqref="C1"/>
      <selection pane="topRight" activeCell="I1" sqref="I1"/>
      <selection pane="bottomLeft" activeCell="C16" sqref="C16"/>
      <selection pane="bottomRight"/>
    </sheetView>
  </sheetViews>
  <sheetFormatPr defaultRowHeight="0" customHeight="1" zeroHeight="1" x14ac:dyDescent="0.2"/>
  <cols>
    <col min="1" max="2" width="9.140625" style="7" hidden="1" customWidth="1"/>
    <col min="3" max="3" width="3.7109375" style="7"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7" hidden="1" customWidth="1"/>
    <col min="14" max="14" width="31.7109375" customWidth="1"/>
    <col min="15" max="15" width="9.140625" hidden="1" customWidth="1"/>
    <col min="16" max="16" width="1.7109375" customWidth="1"/>
    <col min="17" max="34" width="11.7109375" customWidth="1"/>
    <col min="35" max="35" width="0.140625" hidden="1" customWidth="1"/>
    <col min="36" max="91" width="9.140625" hidden="1" customWidth="1"/>
    <col min="92" max="92" width="1.7109375" hidden="1" customWidth="1"/>
  </cols>
  <sheetData>
    <row r="1" spans="1:91" ht="12.75" hidden="1" customHeight="1" x14ac:dyDescent="0.2">
      <c r="T1" s="552"/>
      <c r="AB1" s="552"/>
      <c r="AJ1" t="s">
        <v>250</v>
      </c>
      <c r="BC1" t="s">
        <v>251</v>
      </c>
      <c r="BV1" t="s">
        <v>252</v>
      </c>
    </row>
    <row r="2" spans="1:91" ht="12.75" hidden="1" customHeight="1" x14ac:dyDescent="0.2"/>
    <row r="3" spans="1:91" ht="12.75" hidden="1" customHeight="1" x14ac:dyDescent="0.2"/>
    <row r="4" spans="1:91" ht="12.75" hidden="1" customHeight="1" x14ac:dyDescent="0.2"/>
    <row r="5" spans="1:91" ht="12.75" hidden="1" customHeight="1" x14ac:dyDescent="0.2"/>
    <row r="6" spans="1:91" ht="15.75" customHeight="1" x14ac:dyDescent="0.2">
      <c r="F6" s="657" t="str">
        <f>IF(ACOMPANHAMENTO="BM","MEMÓRIA DE CÁLCULO","PLQ - PLANILHA DE LEVANTAMENTO DE QUANTIDADES")</f>
        <v>PLQ - PLANILHA DE LEVANTAMENTO DE QUANTIDADES</v>
      </c>
      <c r="G6" s="657"/>
      <c r="H6" s="657"/>
      <c r="I6" s="147"/>
      <c r="K6" s="147"/>
      <c r="L6" s="147"/>
      <c r="M6" s="148"/>
      <c r="N6" s="147"/>
      <c r="P6" s="147"/>
      <c r="Q6" s="626" t="s">
        <v>140</v>
      </c>
      <c r="R6" s="626"/>
      <c r="Y6" s="626" t="s">
        <v>140</v>
      </c>
      <c r="Z6" s="626"/>
      <c r="AG6" s="626" t="s">
        <v>140</v>
      </c>
      <c r="AH6" s="626"/>
    </row>
    <row r="7" spans="1:91" ht="15" customHeight="1" x14ac:dyDescent="0.2">
      <c r="F7" s="658" t="str">
        <f>IF(ACOMPANHAMENTO="BM","","Memória de Cálculo")&amp;" - "&amp;import.recurso</f>
        <v>Memória de Cálculo - (SELECIONAR)</v>
      </c>
      <c r="G7" s="658"/>
      <c r="H7" s="658"/>
      <c r="I7" s="149"/>
      <c r="K7" s="149"/>
      <c r="L7" s="149"/>
      <c r="M7" s="150"/>
      <c r="N7" s="149"/>
      <c r="P7" s="149"/>
      <c r="Q7" s="627" t="s">
        <v>143</v>
      </c>
      <c r="R7" s="627"/>
      <c r="Y7" s="627" t="s">
        <v>143</v>
      </c>
      <c r="Z7" s="627"/>
      <c r="AG7" s="627" t="s">
        <v>143</v>
      </c>
      <c r="AH7" s="627"/>
    </row>
    <row r="8" spans="1:91" ht="12.75" customHeight="1" x14ac:dyDescent="0.2">
      <c r="AJ8" t="e">
        <f ca="1">ROUND(ROUND(OFFSET(#REF!,0,AJ$13),15-13*ORÇAMENTO!$AF$7)*OFFSET(ORÇAMENTO!$W$15,ROW(#REF!)-ROW(AJ$15),0),15-13*ORÇAMENTO!$AF$11)</f>
        <v>#REF!</v>
      </c>
      <c r="AK8" t="e">
        <f ca="1">ROUND(ROUND(OFFSET(#REF!,0,AK$13),15-13*ORÇAMENTO!$AF$7)*OFFSET(ORÇAMENTO!$W$15,ROW(#REF!)-ROW(AK$15),0),15-13*ORÇAMENTO!$AF$11)</f>
        <v>#REF!</v>
      </c>
      <c r="AL8" t="e">
        <f ca="1">ROUND(ROUND(OFFSET(#REF!,0,AL$13),15-13*ORÇAMENTO!$AF$7)*OFFSET(ORÇAMENTO!$W$15,ROW(#REF!)-ROW(AL$15),0),15-13*ORÇAMENTO!$AF$11)</f>
        <v>#REF!</v>
      </c>
      <c r="AM8" s="552" t="e">
        <f ca="1">SUM(AJ8:AL8)-SUM(#REF!)</f>
        <v>#REF!</v>
      </c>
      <c r="AT8" t="e">
        <f ca="1">ROUND(ROUND(OFFSET(#REF!,0,AT$13),15-13*ORÇAMENTO!$AF$7)*OFFSET(ORÇAMENTO!$W$15,ROW(#REF!)-ROW(AT$15),0),15-13*ORÇAMENTO!$AF$11)</f>
        <v>#REF!</v>
      </c>
      <c r="AU8" s="552" t="e">
        <f ca="1">SUM(AR8:AT8)-SUM(#REF!)</f>
        <v>#REF!</v>
      </c>
    </row>
    <row r="9" spans="1:91" ht="12.75" customHeight="1" x14ac:dyDescent="0.2">
      <c r="E9" s="622" t="s">
        <v>201</v>
      </c>
      <c r="F9" s="622"/>
      <c r="G9" s="622" t="s">
        <v>432</v>
      </c>
      <c r="H9" s="622"/>
      <c r="I9" s="89" t="s">
        <v>146</v>
      </c>
      <c r="K9" s="151" t="s">
        <v>147</v>
      </c>
      <c r="L9" s="152"/>
      <c r="M9" s="152"/>
      <c r="N9" s="152"/>
      <c r="O9" s="152"/>
      <c r="P9" s="152"/>
      <c r="Q9" s="152"/>
      <c r="R9" s="153"/>
      <c r="S9" s="622" t="s">
        <v>146</v>
      </c>
      <c r="T9" s="622"/>
      <c r="U9" s="622" t="s">
        <v>147</v>
      </c>
      <c r="V9" s="622"/>
      <c r="W9" s="622"/>
      <c r="X9" s="622"/>
      <c r="Y9" s="622"/>
      <c r="Z9" s="622"/>
      <c r="AA9" s="622" t="s">
        <v>146</v>
      </c>
      <c r="AB9" s="622"/>
      <c r="AC9" s="622" t="s">
        <v>147</v>
      </c>
      <c r="AD9" s="622"/>
      <c r="AE9" s="622"/>
      <c r="AF9" s="622"/>
      <c r="AG9" s="622"/>
      <c r="AH9" s="622"/>
    </row>
    <row r="10" spans="1:91" ht="12.75" customHeight="1" x14ac:dyDescent="0.2">
      <c r="E10" s="625" t="str">
        <f>Import.Apelido</f>
        <v>ANEXO I TR - MANUTENÇÃO ABRIGO PASSAGEIROS ÔNIBUS E TÁXI</v>
      </c>
      <c r="F10" s="625"/>
      <c r="G10" s="625" cm="1">
        <f t="array" ref="G10">Import.TransfereGOV</f>
        <v>0</v>
      </c>
      <c r="H10" s="625"/>
      <c r="I10" s="92">
        <f>Import.CR</f>
        <v>0</v>
      </c>
      <c r="K10" s="154" t="str">
        <f>Import.Proponente</f>
        <v>Secretario Diego Salini</v>
      </c>
      <c r="L10" s="155"/>
      <c r="M10" s="102"/>
      <c r="N10" s="155"/>
      <c r="O10" s="155"/>
      <c r="P10" s="155"/>
      <c r="Q10" s="155"/>
      <c r="R10" s="93"/>
      <c r="S10" s="625">
        <f>Import.CR</f>
        <v>0</v>
      </c>
      <c r="T10" s="625"/>
      <c r="U10" s="625" t="str">
        <f>Import.Proponente</f>
        <v>Secretario Diego Salini</v>
      </c>
      <c r="V10" s="625"/>
      <c r="W10" s="625"/>
      <c r="X10" s="625"/>
      <c r="Y10" s="625"/>
      <c r="Z10" s="625"/>
      <c r="AA10" s="625">
        <f>Import.CR</f>
        <v>0</v>
      </c>
      <c r="AB10" s="625"/>
      <c r="AC10" s="625" t="str">
        <f>Import.Proponente</f>
        <v>Secretario Diego Salini</v>
      </c>
      <c r="AD10" s="625"/>
      <c r="AE10" s="625"/>
      <c r="AF10" s="625"/>
      <c r="AG10" s="625"/>
      <c r="AH10" s="625"/>
    </row>
    <row r="11" spans="1:91" ht="12.75" customHeight="1" x14ac:dyDescent="0.2"/>
    <row r="12" spans="1:91"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253</v>
      </c>
      <c r="C12" s="567" t="s">
        <v>208</v>
      </c>
      <c r="H12" s="157"/>
      <c r="I12" s="158"/>
      <c r="J12" s="159" t="s">
        <v>254</v>
      </c>
      <c r="K12" s="160" t="s">
        <v>255</v>
      </c>
      <c r="L12" s="159" t="s">
        <v>254</v>
      </c>
      <c r="M12" s="161">
        <f ca="1">IF(ACOMPANHAMENTO="BM",0,COUNTIF(M15:M36,0))</f>
        <v>0</v>
      </c>
      <c r="N12" s="158" t="s">
        <v>256</v>
      </c>
      <c r="O12" s="162"/>
      <c r="P12" s="159" t="s">
        <v>254</v>
      </c>
      <c r="Q12" s="521">
        <v>1</v>
      </c>
      <c r="R12" s="162"/>
      <c r="S12" s="162"/>
      <c r="T12" s="162"/>
      <c r="U12" s="162"/>
      <c r="V12" s="162"/>
      <c r="W12" s="162"/>
      <c r="X12" s="162"/>
      <c r="Y12" s="162"/>
      <c r="Z12" s="163"/>
      <c r="AA12" s="162"/>
      <c r="AB12" s="162"/>
      <c r="AC12" s="162"/>
      <c r="AD12" s="162"/>
      <c r="AE12" s="162"/>
      <c r="AF12" s="162"/>
      <c r="AG12" s="162"/>
      <c r="AH12" s="163"/>
      <c r="AI12" s="159" t="s">
        <v>254</v>
      </c>
      <c r="AJ12" s="164">
        <f ca="1">OFFSET($P$12,0,AJ$13)</f>
        <v>1</v>
      </c>
      <c r="AK12" s="165">
        <f t="shared" ref="AK12:BA12" ca="1" si="0">OFFSET($P$12,0,AK$13)</f>
        <v>0</v>
      </c>
      <c r="AL12" s="165">
        <f t="shared" ca="1" si="0"/>
        <v>0</v>
      </c>
      <c r="AM12" s="165">
        <f t="shared" ca="1" si="0"/>
        <v>0</v>
      </c>
      <c r="AN12" s="165">
        <f t="shared" ca="1" si="0"/>
        <v>0</v>
      </c>
      <c r="AO12" s="165">
        <f t="shared" ca="1" si="0"/>
        <v>0</v>
      </c>
      <c r="AP12" s="165">
        <f t="shared" ca="1" si="0"/>
        <v>0</v>
      </c>
      <c r="AQ12" s="165">
        <f t="shared" ca="1" si="0"/>
        <v>0</v>
      </c>
      <c r="AR12" s="165">
        <f t="shared" ca="1" si="0"/>
        <v>0</v>
      </c>
      <c r="AS12" s="166">
        <f t="shared" ca="1" si="0"/>
        <v>0</v>
      </c>
      <c r="AT12" s="165">
        <f t="shared" ca="1" si="0"/>
        <v>0</v>
      </c>
      <c r="AU12" s="165">
        <f t="shared" ca="1" si="0"/>
        <v>0</v>
      </c>
      <c r="AV12" s="165">
        <f t="shared" ca="1" si="0"/>
        <v>0</v>
      </c>
      <c r="AW12" s="165">
        <f t="shared" ca="1" si="0"/>
        <v>0</v>
      </c>
      <c r="AX12" s="165">
        <f t="shared" ca="1" si="0"/>
        <v>0</v>
      </c>
      <c r="AY12" s="165">
        <f t="shared" ca="1" si="0"/>
        <v>0</v>
      </c>
      <c r="AZ12" s="165">
        <f t="shared" ca="1" si="0"/>
        <v>0</v>
      </c>
      <c r="BA12" s="166">
        <f t="shared" ca="1" si="0"/>
        <v>0</v>
      </c>
      <c r="BC12" s="164">
        <f ca="1">OFFSET($P$12,0,BC$13)</f>
        <v>1</v>
      </c>
      <c r="BD12" s="165">
        <f t="shared" ref="BD12:BT12" ca="1" si="1">OFFSET($P$12,0,BD$13)</f>
        <v>0</v>
      </c>
      <c r="BE12" s="165">
        <f t="shared" ca="1" si="1"/>
        <v>0</v>
      </c>
      <c r="BF12" s="165">
        <f t="shared" ca="1" si="1"/>
        <v>0</v>
      </c>
      <c r="BG12" s="165">
        <f t="shared" ca="1" si="1"/>
        <v>0</v>
      </c>
      <c r="BH12" s="165">
        <f t="shared" ca="1" si="1"/>
        <v>0</v>
      </c>
      <c r="BI12" s="165">
        <f t="shared" ca="1" si="1"/>
        <v>0</v>
      </c>
      <c r="BJ12" s="165">
        <f t="shared" ca="1" si="1"/>
        <v>0</v>
      </c>
      <c r="BK12" s="165">
        <f t="shared" ca="1" si="1"/>
        <v>0</v>
      </c>
      <c r="BL12" s="166">
        <f t="shared" ca="1" si="1"/>
        <v>0</v>
      </c>
      <c r="BM12" s="165">
        <f t="shared" ca="1" si="1"/>
        <v>0</v>
      </c>
      <c r="BN12" s="165">
        <f t="shared" ca="1" si="1"/>
        <v>0</v>
      </c>
      <c r="BO12" s="165">
        <f t="shared" ca="1" si="1"/>
        <v>0</v>
      </c>
      <c r="BP12" s="165">
        <f t="shared" ca="1" si="1"/>
        <v>0</v>
      </c>
      <c r="BQ12" s="165">
        <f t="shared" ca="1" si="1"/>
        <v>0</v>
      </c>
      <c r="BR12" s="165">
        <f t="shared" ca="1" si="1"/>
        <v>0</v>
      </c>
      <c r="BS12" s="165">
        <f t="shared" ca="1" si="1"/>
        <v>0</v>
      </c>
      <c r="BT12" s="166">
        <f t="shared" ca="1" si="1"/>
        <v>0</v>
      </c>
      <c r="BV12" s="164">
        <f ca="1">OFFSET($P$12,0,BV$13)</f>
        <v>1</v>
      </c>
      <c r="BW12" s="165">
        <f t="shared" ref="BW12:CM12" ca="1" si="2">OFFSET($P$12,0,BW$13)</f>
        <v>0</v>
      </c>
      <c r="BX12" s="165">
        <f t="shared" ca="1" si="2"/>
        <v>0</v>
      </c>
      <c r="BY12" s="165">
        <f t="shared" ca="1" si="2"/>
        <v>0</v>
      </c>
      <c r="BZ12" s="165">
        <f t="shared" ca="1" si="2"/>
        <v>0</v>
      </c>
      <c r="CA12" s="165">
        <f t="shared" ca="1" si="2"/>
        <v>0</v>
      </c>
      <c r="CB12" s="165">
        <f t="shared" ca="1" si="2"/>
        <v>0</v>
      </c>
      <c r="CC12" s="165">
        <f t="shared" ca="1" si="2"/>
        <v>0</v>
      </c>
      <c r="CD12" s="165">
        <f t="shared" ca="1" si="2"/>
        <v>0</v>
      </c>
      <c r="CE12" s="166">
        <f t="shared" ca="1" si="2"/>
        <v>0</v>
      </c>
      <c r="CF12" s="165">
        <f t="shared" ca="1" si="2"/>
        <v>0</v>
      </c>
      <c r="CG12" s="165">
        <f t="shared" ca="1" si="2"/>
        <v>0</v>
      </c>
      <c r="CH12" s="165">
        <f t="shared" ca="1" si="2"/>
        <v>0</v>
      </c>
      <c r="CI12" s="165">
        <f t="shared" ca="1" si="2"/>
        <v>0</v>
      </c>
      <c r="CJ12" s="165">
        <f t="shared" ca="1" si="2"/>
        <v>0</v>
      </c>
      <c r="CK12" s="165">
        <f t="shared" ca="1" si="2"/>
        <v>0</v>
      </c>
      <c r="CL12" s="165">
        <f t="shared" ca="1" si="2"/>
        <v>0</v>
      </c>
      <c r="CM12" s="166">
        <f t="shared" ca="1" si="2"/>
        <v>0</v>
      </c>
    </row>
    <row r="13" spans="1:91" ht="12.75" customHeight="1" x14ac:dyDescent="0.2">
      <c r="A13" s="85" t="s">
        <v>257</v>
      </c>
      <c r="B13" s="7" t="s">
        <v>253</v>
      </c>
      <c r="C13" s="568" t="s">
        <v>216</v>
      </c>
      <c r="D13" s="109" t="s">
        <v>228</v>
      </c>
      <c r="E13" s="109" t="s">
        <v>230</v>
      </c>
      <c r="F13" s="109" t="s">
        <v>233</v>
      </c>
      <c r="G13" s="111" t="s">
        <v>234</v>
      </c>
      <c r="H13" s="109" t="s">
        <v>202</v>
      </c>
      <c r="I13" s="109" t="s">
        <v>258</v>
      </c>
      <c r="K13" s="109" t="s">
        <v>259</v>
      </c>
      <c r="L13" s="159"/>
      <c r="M13" s="109" t="s">
        <v>260</v>
      </c>
      <c r="N13" s="109" t="s">
        <v>261</v>
      </c>
      <c r="O13" s="167" t="e">
        <f ca="1">OFFSET(O13,0,-1)+1</f>
        <v>#VALUE!</v>
      </c>
      <c r="Q13" s="168">
        <f t="shared" ref="Q13:AH13" ca="1" si="3">OFFSET(Q13,0,-1)+1</f>
        <v>1</v>
      </c>
      <c r="R13" s="167">
        <f t="shared" ca="1" si="3"/>
        <v>2</v>
      </c>
      <c r="S13" s="167">
        <f t="shared" ca="1" si="3"/>
        <v>3</v>
      </c>
      <c r="T13" s="167">
        <f t="shared" ca="1" si="3"/>
        <v>4</v>
      </c>
      <c r="U13" s="167">
        <f t="shared" ca="1" si="3"/>
        <v>5</v>
      </c>
      <c r="V13" s="167">
        <f t="shared" ca="1" si="3"/>
        <v>6</v>
      </c>
      <c r="W13" s="167">
        <f t="shared" ca="1" si="3"/>
        <v>7</v>
      </c>
      <c r="X13" s="167">
        <f t="shared" ca="1" si="3"/>
        <v>8</v>
      </c>
      <c r="Y13" s="167">
        <f t="shared" ca="1" si="3"/>
        <v>9</v>
      </c>
      <c r="Z13" s="169">
        <f t="shared" ca="1" si="3"/>
        <v>10</v>
      </c>
      <c r="AA13" s="167">
        <f t="shared" ca="1" si="3"/>
        <v>11</v>
      </c>
      <c r="AB13" s="167">
        <f t="shared" ca="1" si="3"/>
        <v>12</v>
      </c>
      <c r="AC13" s="167">
        <f t="shared" ca="1" si="3"/>
        <v>13</v>
      </c>
      <c r="AD13" s="167">
        <f t="shared" ca="1" si="3"/>
        <v>14</v>
      </c>
      <c r="AE13" s="167">
        <f t="shared" ca="1" si="3"/>
        <v>15</v>
      </c>
      <c r="AF13" s="167">
        <f t="shared" ca="1" si="3"/>
        <v>16</v>
      </c>
      <c r="AG13" s="167">
        <f t="shared" ca="1" si="3"/>
        <v>17</v>
      </c>
      <c r="AH13" s="169">
        <f t="shared" ca="1" si="3"/>
        <v>18</v>
      </c>
      <c r="AJ13" s="115">
        <f t="shared" ref="AJ13:CM13" ca="1" si="4">OFFSET(AJ13,0,-1)+1</f>
        <v>1</v>
      </c>
      <c r="AK13" s="170">
        <f t="shared" ca="1" si="4"/>
        <v>2</v>
      </c>
      <c r="AL13" s="170">
        <f t="shared" ca="1" si="4"/>
        <v>3</v>
      </c>
      <c r="AM13" s="170">
        <f t="shared" ca="1" si="4"/>
        <v>4</v>
      </c>
      <c r="AN13" s="170">
        <f t="shared" ca="1" si="4"/>
        <v>5</v>
      </c>
      <c r="AO13" s="170">
        <f t="shared" ca="1" si="4"/>
        <v>6</v>
      </c>
      <c r="AP13" s="170">
        <f t="shared" ca="1" si="4"/>
        <v>7</v>
      </c>
      <c r="AQ13" s="170">
        <f t="shared" ca="1" si="4"/>
        <v>8</v>
      </c>
      <c r="AR13" s="170">
        <f t="shared" ca="1" si="4"/>
        <v>9</v>
      </c>
      <c r="AS13" s="171">
        <f t="shared" ca="1" si="4"/>
        <v>10</v>
      </c>
      <c r="AT13" s="170">
        <f t="shared" ca="1" si="4"/>
        <v>11</v>
      </c>
      <c r="AU13" s="170">
        <f t="shared" ca="1" si="4"/>
        <v>12</v>
      </c>
      <c r="AV13" s="170">
        <f t="shared" ca="1" si="4"/>
        <v>13</v>
      </c>
      <c r="AW13" s="170">
        <f t="shared" ca="1" si="4"/>
        <v>14</v>
      </c>
      <c r="AX13" s="170">
        <f t="shared" ca="1" si="4"/>
        <v>15</v>
      </c>
      <c r="AY13" s="170">
        <f t="shared" ca="1" si="4"/>
        <v>16</v>
      </c>
      <c r="AZ13" s="170">
        <f t="shared" ca="1" si="4"/>
        <v>17</v>
      </c>
      <c r="BA13" s="171">
        <f t="shared" ca="1" si="4"/>
        <v>18</v>
      </c>
      <c r="BC13" s="115">
        <f t="shared" ca="1" si="4"/>
        <v>1</v>
      </c>
      <c r="BD13" s="170">
        <f t="shared" ca="1" si="4"/>
        <v>2</v>
      </c>
      <c r="BE13" s="170">
        <f t="shared" ca="1" si="4"/>
        <v>3</v>
      </c>
      <c r="BF13" s="170">
        <f t="shared" ca="1" si="4"/>
        <v>4</v>
      </c>
      <c r="BG13" s="170">
        <f t="shared" ca="1" si="4"/>
        <v>5</v>
      </c>
      <c r="BH13" s="170">
        <f t="shared" ca="1" si="4"/>
        <v>6</v>
      </c>
      <c r="BI13" s="170">
        <f t="shared" ca="1" si="4"/>
        <v>7</v>
      </c>
      <c r="BJ13" s="170">
        <f t="shared" ca="1" si="4"/>
        <v>8</v>
      </c>
      <c r="BK13" s="170">
        <f t="shared" ca="1" si="4"/>
        <v>9</v>
      </c>
      <c r="BL13" s="171">
        <f t="shared" ca="1" si="4"/>
        <v>10</v>
      </c>
      <c r="BM13" s="170">
        <f t="shared" ca="1" si="4"/>
        <v>11</v>
      </c>
      <c r="BN13" s="170">
        <f t="shared" ca="1" si="4"/>
        <v>12</v>
      </c>
      <c r="BO13" s="170">
        <f t="shared" ca="1" si="4"/>
        <v>13</v>
      </c>
      <c r="BP13" s="170">
        <f t="shared" ca="1" si="4"/>
        <v>14</v>
      </c>
      <c r="BQ13" s="170">
        <f t="shared" ca="1" si="4"/>
        <v>15</v>
      </c>
      <c r="BR13" s="170">
        <f t="shared" ca="1" si="4"/>
        <v>16</v>
      </c>
      <c r="BS13" s="170">
        <f t="shared" ca="1" si="4"/>
        <v>17</v>
      </c>
      <c r="BT13" s="171">
        <f t="shared" ca="1" si="4"/>
        <v>18</v>
      </c>
      <c r="BV13" s="115">
        <f t="shared" ca="1" si="4"/>
        <v>1</v>
      </c>
      <c r="BW13" s="170">
        <f t="shared" ca="1" si="4"/>
        <v>2</v>
      </c>
      <c r="BX13" s="170">
        <f t="shared" ca="1" si="4"/>
        <v>3</v>
      </c>
      <c r="BY13" s="170">
        <f t="shared" ca="1" si="4"/>
        <v>4</v>
      </c>
      <c r="BZ13" s="170">
        <f t="shared" ca="1" si="4"/>
        <v>5</v>
      </c>
      <c r="CA13" s="170">
        <f t="shared" ca="1" si="4"/>
        <v>6</v>
      </c>
      <c r="CB13" s="170">
        <f t="shared" ca="1" si="4"/>
        <v>7</v>
      </c>
      <c r="CC13" s="170">
        <f t="shared" ca="1" si="4"/>
        <v>8</v>
      </c>
      <c r="CD13" s="170">
        <f t="shared" ca="1" si="4"/>
        <v>9</v>
      </c>
      <c r="CE13" s="171">
        <f t="shared" ca="1" si="4"/>
        <v>10</v>
      </c>
      <c r="CF13" s="170">
        <f t="shared" ca="1" si="4"/>
        <v>11</v>
      </c>
      <c r="CG13" s="170">
        <f t="shared" ca="1" si="4"/>
        <v>12</v>
      </c>
      <c r="CH13" s="170">
        <f t="shared" ca="1" si="4"/>
        <v>13</v>
      </c>
      <c r="CI13" s="170">
        <f t="shared" ca="1" si="4"/>
        <v>14</v>
      </c>
      <c r="CJ13" s="170">
        <f t="shared" ca="1" si="4"/>
        <v>15</v>
      </c>
      <c r="CK13" s="170">
        <f t="shared" ca="1" si="4"/>
        <v>16</v>
      </c>
      <c r="CL13" s="170">
        <f t="shared" ca="1" si="4"/>
        <v>17</v>
      </c>
      <c r="CM13" s="171">
        <f t="shared" ca="1" si="4"/>
        <v>18</v>
      </c>
    </row>
    <row r="14" spans="1:91"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2" t="str">
        <f ca="1">OFFSET(ORÇAMENTO!R$15,ROW(F14)-ROW(F$15),0)</f>
        <v>(abra o arquivo 'Referência 03-Sunday.xlsm)</v>
      </c>
      <c r="G14" s="173" t="str">
        <f ca="1">IF($D14&lt;&gt;"Serviço","",OFFSET(ORÇAMENTO!S$15,ROW(G14)-ROW(G$15),0))</f>
        <v>-</v>
      </c>
      <c r="H14" s="124">
        <f ca="1">IF($D14&lt;&gt;"Serviço",0,IF(ACOMPANHAMENTO="BM",ROUND(OFFSET(ORÇAMENTO!AJ$15,ROW(H14)-ROW(H$15),0),15-13*ORÇAMENTO!$AF$7),SUMPRODUCT(($Q$12:$AI$12&lt;&gt;"")*ROUND($Q14:$AI14,15-13*ORÇAMENTO!$AF$7))))</f>
        <v>0</v>
      </c>
      <c r="I14" s="539"/>
      <c r="K14" s="174"/>
      <c r="L14" s="175" t="s">
        <v>254</v>
      </c>
      <c r="M14" s="176" t="str">
        <f ca="1">IF($D14&lt;&gt;"Serviço","",IF(AUTOEVENTO="manual",$A14,IF(ISERROR(MATCH($A14,$A$15:OFFSET($A14,-1,0),0)),MAX($M$15:OFFSET(M14,-1,0))+1,INDEX($M$15:OFFSET(M14,-1,0),MATCH($A14,$A$15:OFFSET($A14,-1,0),0)))))</f>
        <v># Evento</v>
      </c>
      <c r="N14" s="177" t="e">
        <f ca="1">IF($D14&lt;&gt;"Serviço","",IF(AUTOEVENTO="Manual",IF($A14=0,"&lt;-- defina o número do agrupador",OFFSET(EVENTOS!$D$14,$A14,0)),OFFSET($F$15,$A14,0)))</f>
        <v>#VALUE!</v>
      </c>
      <c r="O14" s="178"/>
      <c r="Q14" s="178"/>
      <c r="R14" s="179"/>
      <c r="S14" s="179"/>
      <c r="T14" s="179"/>
      <c r="U14" s="179"/>
      <c r="V14" s="179"/>
      <c r="W14" s="179"/>
      <c r="X14" s="179"/>
      <c r="Y14" s="179"/>
      <c r="Z14" s="180"/>
      <c r="AA14" s="179"/>
      <c r="AB14" s="179"/>
      <c r="AC14" s="179"/>
      <c r="AD14" s="179"/>
      <c r="AE14" s="179"/>
      <c r="AF14" s="179"/>
      <c r="AG14" s="179"/>
      <c r="AH14" s="180"/>
      <c r="AJ14" s="522">
        <f ca="1">IF(AND($D14="Serviço",AJ$12&lt;&gt;0,$H14&gt;0,OR(AUTOEVENTO&lt;&gt;"manual",$M14&lt;&gt;1)),
IF(Import.TipoArredondamento&lt;&gt;"TransfereGOV",
ROUND(OFFSET($P14,0,AJ$13),15-13*ORÇAMENTO!$AF$7)/$H14*OFFSET(ORÇAMENTO!$X$15,ROW(AJ14)-ROW(AJ$15),0),
ROUND(ROUND(OFFSET($P14,0,AJ$13),15-13*ORÇAMENTO!$AF$7)*OFFSET(ORÇAMENTO!$W$15,ROW(AJ14)-ROW(AJ$15),0),15-13*ORÇAMENTO!$AF$11)),0)</f>
        <v>0</v>
      </c>
      <c r="AK14" s="523">
        <f ca="1">IF(AND($D14="Serviço",AK$12&lt;&gt;0,$H14&gt;0,OR(AUTOEVENTO&lt;&gt;"manual",$M14&lt;&gt;1)),
IF(Import.TipoArredondamento&lt;&gt;"TransfereGOV",
ROUND(OFFSET($P14,0,AK$13),15-13*ORÇAMENTO!$AF$7)/$H14*OFFSET(ORÇAMENTO!$X$15,ROW(AK14)-ROW(AK$15),0),
ROUND(ROUND(OFFSET($P14,0,AK$13),15-13*ORÇAMENTO!$AF$7)*OFFSET(ORÇAMENTO!$W$15,ROW(AK14)-ROW(AK$15),0),15-13*ORÇAMENTO!$AF$11)),0)</f>
        <v>0</v>
      </c>
      <c r="AL14" s="523">
        <f ca="1">IF(AND($D14="Serviço",AL$12&lt;&gt;0,$H14&gt;0,OR(AUTOEVENTO&lt;&gt;"manual",$M14&lt;&gt;1)),
IF(Import.TipoArredondamento&lt;&gt;"TransfereGOV",
ROUND(OFFSET($P14,0,AL$13),15-13*ORÇAMENTO!$AF$7)/$H14*OFFSET(ORÇAMENTO!$X$15,ROW(AL14)-ROW(AL$15),0),
ROUND(ROUND(OFFSET($P14,0,AL$13),15-13*ORÇAMENTO!$AF$7)*OFFSET(ORÇAMENTO!$W$15,ROW(AL14)-ROW(AL$15),0),15-13*ORÇAMENTO!$AF$11)),0)</f>
        <v>0</v>
      </c>
      <c r="AM14" s="523">
        <f ca="1">IF(AND($D14="Serviço",AM$12&lt;&gt;0,$H14&gt;0,OR(AUTOEVENTO&lt;&gt;"manual",$M14&lt;&gt;1)),
IF(Import.TipoArredondamento&lt;&gt;"TransfereGOV",
ROUND(OFFSET($P14,0,AM$13),15-13*ORÇAMENTO!$AF$7)/$H14*OFFSET(ORÇAMENTO!$X$15,ROW(AM14)-ROW(AM$15),0),
ROUND(ROUND(OFFSET($P14,0,AM$13),15-13*ORÇAMENTO!$AF$7)*OFFSET(ORÇAMENTO!$W$15,ROW(AM14)-ROW(AM$15),0),15-13*ORÇAMENTO!$AF$11)),0)</f>
        <v>0</v>
      </c>
      <c r="AN14" s="523">
        <f ca="1">IF(AND($D14="Serviço",AN$12&lt;&gt;0,$H14&gt;0,OR(AUTOEVENTO&lt;&gt;"manual",$M14&lt;&gt;1)),
IF(Import.TipoArredondamento&lt;&gt;"TransfereGOV",
ROUND(OFFSET($P14,0,AN$13),15-13*ORÇAMENTO!$AF$7)/$H14*OFFSET(ORÇAMENTO!$X$15,ROW(AN14)-ROW(AN$15),0),
ROUND(ROUND(OFFSET($P14,0,AN$13),15-13*ORÇAMENTO!$AF$7)*OFFSET(ORÇAMENTO!$W$15,ROW(AN14)-ROW(AN$15),0),15-13*ORÇAMENTO!$AF$11)),0)</f>
        <v>0</v>
      </c>
      <c r="AO14" s="523">
        <f ca="1">IF(AND($D14="Serviço",AO$12&lt;&gt;0,$H14&gt;0,OR(AUTOEVENTO&lt;&gt;"manual",$M14&lt;&gt;1)),
IF(Import.TipoArredondamento&lt;&gt;"TransfereGOV",
ROUND(OFFSET($P14,0,AO$13),15-13*ORÇAMENTO!$AF$7)/$H14*OFFSET(ORÇAMENTO!$X$15,ROW(AO14)-ROW(AO$15),0),
ROUND(ROUND(OFFSET($P14,0,AO$13),15-13*ORÇAMENTO!$AF$7)*OFFSET(ORÇAMENTO!$W$15,ROW(AO14)-ROW(AO$15),0),15-13*ORÇAMENTO!$AF$11)),0)</f>
        <v>0</v>
      </c>
      <c r="AP14" s="523">
        <f ca="1">IF(AND($D14="Serviço",AP$12&lt;&gt;0,$H14&gt;0,OR(AUTOEVENTO&lt;&gt;"manual",$M14&lt;&gt;1)),
IF(Import.TipoArredondamento&lt;&gt;"TransfereGOV",
ROUND(OFFSET($P14,0,AP$13),15-13*ORÇAMENTO!$AF$7)/$H14*OFFSET(ORÇAMENTO!$X$15,ROW(AP14)-ROW(AP$15),0),
ROUND(ROUND(OFFSET($P14,0,AP$13),15-13*ORÇAMENTO!$AF$7)*OFFSET(ORÇAMENTO!$W$15,ROW(AP14)-ROW(AP$15),0),15-13*ORÇAMENTO!$AF$11)),0)</f>
        <v>0</v>
      </c>
      <c r="AQ14" s="523">
        <f ca="1">IF(AND($D14="Serviço",AQ$12&lt;&gt;0,$H14&gt;0,OR(AUTOEVENTO&lt;&gt;"manual",$M14&lt;&gt;1)),
IF(Import.TipoArredondamento&lt;&gt;"TransfereGOV",
ROUND(OFFSET($P14,0,AQ$13),15-13*ORÇAMENTO!$AF$7)/$H14*OFFSET(ORÇAMENTO!$X$15,ROW(AQ14)-ROW(AQ$15),0),
ROUND(ROUND(OFFSET($P14,0,AQ$13),15-13*ORÇAMENTO!$AF$7)*OFFSET(ORÇAMENTO!$W$15,ROW(AQ14)-ROW(AQ$15),0),15-13*ORÇAMENTO!$AF$11)),0)</f>
        <v>0</v>
      </c>
      <c r="AR14" s="523">
        <f ca="1">IF(AND($D14="Serviço",AR$12&lt;&gt;0,$H14&gt;0,OR(AUTOEVENTO&lt;&gt;"manual",$M14&lt;&gt;1)),
IF(Import.TipoArredondamento&lt;&gt;"TransfereGOV",
ROUND(OFFSET($P14,0,AR$13),15-13*ORÇAMENTO!$AF$7)/$H14*OFFSET(ORÇAMENTO!$X$15,ROW(AR14)-ROW(AR$15),0),
ROUND(ROUND(OFFSET($P14,0,AR$13),15-13*ORÇAMENTO!$AF$7)*OFFSET(ORÇAMENTO!$W$15,ROW(AR14)-ROW(AR$15),0),15-13*ORÇAMENTO!$AF$11)),0)</f>
        <v>0</v>
      </c>
      <c r="AS14" s="524">
        <f ca="1">IF(AND($D14="Serviço",AS$12&lt;&gt;0,$H14&gt;0,OR(AUTOEVENTO&lt;&gt;"manual",$M14&lt;&gt;1)),
IF(Import.TipoArredondamento&lt;&gt;"TransfereGOV",
ROUND(OFFSET($P14,0,AS$13),15-13*ORÇAMENTO!$AF$7)/$H14*OFFSET(ORÇAMENTO!$X$15,ROW(AS14)-ROW(AS$15),0),
ROUND(ROUND(OFFSET($P14,0,AS$13),15-13*ORÇAMENTO!$AF$7)*OFFSET(ORÇAMENTO!$W$15,ROW(AS14)-ROW(AS$15),0),15-13*ORÇAMENTO!$AF$11)),0)</f>
        <v>0</v>
      </c>
      <c r="AT14" s="523">
        <f ca="1">IF(AND($D14="Serviço",AT$12&lt;&gt;0,$H14&gt;0,OR(AUTOEVENTO&lt;&gt;"manual",$M14&lt;&gt;1)),
IF(Import.TipoArredondamento&lt;&gt;"TransfereGOV",
ROUND(OFFSET($P14,0,AT$13),15-13*ORÇAMENTO!$AF$7)/$H14*OFFSET(ORÇAMENTO!$X$15,ROW(AT14)-ROW(AT$15),0),
ROUND(ROUND(OFFSET($P14,0,AT$13),15-13*ORÇAMENTO!$AF$7)*OFFSET(ORÇAMENTO!$W$15,ROW(AT14)-ROW(AT$15),0),15-13*ORÇAMENTO!$AF$11)),0)</f>
        <v>0</v>
      </c>
      <c r="AU14" s="523">
        <f ca="1">IF(AND($D14="Serviço",AU$12&lt;&gt;0,$H14&gt;0,OR(AUTOEVENTO&lt;&gt;"manual",$M14&lt;&gt;1)),
IF(Import.TipoArredondamento&lt;&gt;"TransfereGOV",
ROUND(OFFSET($P14,0,AU$13),15-13*ORÇAMENTO!$AF$7)/$H14*OFFSET(ORÇAMENTO!$X$15,ROW(AU14)-ROW(AU$15),0),
ROUND(ROUND(OFFSET($P14,0,AU$13),15-13*ORÇAMENTO!$AF$7)*OFFSET(ORÇAMENTO!$W$15,ROW(AU14)-ROW(AU$15),0),15-13*ORÇAMENTO!$AF$11)),0)</f>
        <v>0</v>
      </c>
      <c r="AV14" s="523">
        <f ca="1">IF(AND($D14="Serviço",AV$12&lt;&gt;0,$H14&gt;0,OR(AUTOEVENTO&lt;&gt;"manual",$M14&lt;&gt;1)),
IF(Import.TipoArredondamento&lt;&gt;"TransfereGOV",
ROUND(OFFSET($P14,0,AV$13),15-13*ORÇAMENTO!$AF$7)/$H14*OFFSET(ORÇAMENTO!$X$15,ROW(AV14)-ROW(AV$15),0),
ROUND(ROUND(OFFSET($P14,0,AV$13),15-13*ORÇAMENTO!$AF$7)*OFFSET(ORÇAMENTO!$W$15,ROW(AV14)-ROW(AV$15),0),15-13*ORÇAMENTO!$AF$11)),0)</f>
        <v>0</v>
      </c>
      <c r="AW14" s="523">
        <f ca="1">IF(AND($D14="Serviço",AW$12&lt;&gt;0,$H14&gt;0,OR(AUTOEVENTO&lt;&gt;"manual",$M14&lt;&gt;1)),
IF(Import.TipoArredondamento&lt;&gt;"TransfereGOV",
ROUND(OFFSET($P14,0,AW$13),15-13*ORÇAMENTO!$AF$7)/$H14*OFFSET(ORÇAMENTO!$X$15,ROW(AW14)-ROW(AW$15),0),
ROUND(ROUND(OFFSET($P14,0,AW$13),15-13*ORÇAMENTO!$AF$7)*OFFSET(ORÇAMENTO!$W$15,ROW(AW14)-ROW(AW$15),0),15-13*ORÇAMENTO!$AF$11)),0)</f>
        <v>0</v>
      </c>
      <c r="AX14" s="523">
        <f ca="1">IF(AND($D14="Serviço",AX$12&lt;&gt;0,$H14&gt;0,OR(AUTOEVENTO&lt;&gt;"manual",$M14&lt;&gt;1)),
IF(Import.TipoArredondamento&lt;&gt;"TransfereGOV",
ROUND(OFFSET($P14,0,AX$13),15-13*ORÇAMENTO!$AF$7)/$H14*OFFSET(ORÇAMENTO!$X$15,ROW(AX14)-ROW(AX$15),0),
ROUND(ROUND(OFFSET($P14,0,AX$13),15-13*ORÇAMENTO!$AF$7)*OFFSET(ORÇAMENTO!$W$15,ROW(AX14)-ROW(AX$15),0),15-13*ORÇAMENTO!$AF$11)),0)</f>
        <v>0</v>
      </c>
      <c r="AY14" s="523">
        <f ca="1">IF(AND($D14="Serviço",AY$12&lt;&gt;0,$H14&gt;0,OR(AUTOEVENTO&lt;&gt;"manual",$M14&lt;&gt;1)),
IF(Import.TipoArredondamento&lt;&gt;"TransfereGOV",
ROUND(OFFSET($P14,0,AY$13),15-13*ORÇAMENTO!$AF$7)/$H14*OFFSET(ORÇAMENTO!$X$15,ROW(AY14)-ROW(AY$15),0),
ROUND(ROUND(OFFSET($P14,0,AY$13),15-13*ORÇAMENTO!$AF$7)*OFFSET(ORÇAMENTO!$W$15,ROW(AY14)-ROW(AY$15),0),15-13*ORÇAMENTO!$AF$11)),0)</f>
        <v>0</v>
      </c>
      <c r="AZ14" s="523">
        <f ca="1">IF(AND($D14="Serviço",AZ$12&lt;&gt;0,$H14&gt;0,OR(AUTOEVENTO&lt;&gt;"manual",$M14&lt;&gt;1)),
IF(Import.TipoArredondamento&lt;&gt;"TransfereGOV",
ROUND(OFFSET($P14,0,AZ$13),15-13*ORÇAMENTO!$AF$7)/$H14*OFFSET(ORÇAMENTO!$X$15,ROW(AZ14)-ROW(AZ$15),0),
ROUND(ROUND(OFFSET($P14,0,AZ$13),15-13*ORÇAMENTO!$AF$7)*OFFSET(ORÇAMENTO!$W$15,ROW(AZ14)-ROW(AZ$15),0),15-13*ORÇAMENTO!$AF$11)),0)</f>
        <v>0</v>
      </c>
      <c r="BA14" s="524">
        <f ca="1">IF(AND($D14="Serviço",BA$12&lt;&gt;0,$H14&gt;0,OR(AUTOEVENTO&lt;&gt;"manual",$M14&lt;&gt;1)),
IF(Import.TipoArredondamento&lt;&gt;"TransfereGOV",
ROUND(OFFSET($P14,0,BA$13),15-13*ORÇAMENTO!$AF$7)/$H14*OFFSET(ORÇAMENTO!$X$15,ROW(BA14)-ROW(BA$15),0),
ROUND(ROUND(OFFSET($P14,0,BA$13),15-13*ORÇAMENTO!$AF$7)*OFFSET(ORÇAMENTO!$W$15,ROW(BA14)-ROW(BA$15),0),15-13*ORÇAMENTO!$AF$11)),0)</f>
        <v>0</v>
      </c>
      <c r="BC14" s="181" t="e">
        <f ca="1">IF($D14&lt;&gt;"Serviço",0,IF(AND(AUTOEVENTO="Manual",$M14=1),0,IF(OFFSET(CRONOPLE!$F$14,$M14,BC$13)="",10^12,OFFSET(CRONOPLE!$F$14,$M14,BC$13))))</f>
        <v>#VALUE!</v>
      </c>
      <c r="BD14" s="181" t="e">
        <f ca="1">IF($D14&lt;&gt;"Serviço",0,IF(AND(AUTOEVENTO="Manual",$M14=1),0,IF(OFFSET(CRONOPLE!$F$14,$M14,BD$13)="",10^12,OFFSET(CRONOPLE!$F$14,$M14,BD$13))))</f>
        <v>#VALUE!</v>
      </c>
      <c r="BE14" s="181" t="e">
        <f ca="1">IF($D14&lt;&gt;"Serviço",0,IF(AND(AUTOEVENTO="Manual",$M14=1),0,IF(OFFSET(CRONOPLE!$F$14,$M14,BE$13)="",10^12,OFFSET(CRONOPLE!$F$14,$M14,BE$13))))</f>
        <v>#VALUE!</v>
      </c>
      <c r="BF14" s="181" t="e">
        <f ca="1">IF($D14&lt;&gt;"Serviço",0,IF(AND(AUTOEVENTO="Manual",$M14=1),0,IF(OFFSET(CRONOPLE!$F$14,$M14,BF$13)="",10^12,OFFSET(CRONOPLE!$F$14,$M14,BF$13))))</f>
        <v>#VALUE!</v>
      </c>
      <c r="BG14" s="181" t="e">
        <f ca="1">IF($D14&lt;&gt;"Serviço",0,IF(AND(AUTOEVENTO="Manual",$M14=1),0,IF(OFFSET(CRONOPLE!$F$14,$M14,BG$13)="",10^12,OFFSET(CRONOPLE!$F$14,$M14,BG$13))))</f>
        <v>#VALUE!</v>
      </c>
      <c r="BH14" s="181" t="e">
        <f ca="1">IF($D14&lt;&gt;"Serviço",0,IF(AND(AUTOEVENTO="Manual",$M14=1),0,IF(OFFSET(CRONOPLE!$F$14,$M14,BH$13)="",10^12,OFFSET(CRONOPLE!$F$14,$M14,BH$13))))</f>
        <v>#VALUE!</v>
      </c>
      <c r="BI14" s="181" t="e">
        <f ca="1">IF($D14&lt;&gt;"Serviço",0,IF(AND(AUTOEVENTO="Manual",$M14=1),0,IF(OFFSET(CRONOPLE!$F$14,$M14,BI$13)="",10^12,OFFSET(CRONOPLE!$F$14,$M14,BI$13))))</f>
        <v>#VALUE!</v>
      </c>
      <c r="BJ14" s="181" t="e">
        <f ca="1">IF($D14&lt;&gt;"Serviço",0,IF(AND(AUTOEVENTO="Manual",$M14=1),0,IF(OFFSET(CRONOPLE!$F$14,$M14,BJ$13)="",10^12,OFFSET(CRONOPLE!$F$14,$M14,BJ$13))))</f>
        <v>#VALUE!</v>
      </c>
      <c r="BK14" s="181" t="e">
        <f ca="1">IF($D14&lt;&gt;"Serviço",0,IF(AND(AUTOEVENTO="Manual",$M14=1),0,IF(OFFSET(CRONOPLE!$F$14,$M14,BK$13)="",10^12,OFFSET(CRONOPLE!$F$14,$M14,BK$13))))</f>
        <v>#VALUE!</v>
      </c>
      <c r="BL14" s="181" t="e">
        <f ca="1">IF($D14&lt;&gt;"Serviço",0,IF(AND(AUTOEVENTO="Manual",$M14=1),0,IF(OFFSET(CRONOPLE!$F$14,$M14,BL$13)="",10^12,OFFSET(CRONOPLE!$F$14,$M14,BL$13))))</f>
        <v>#VALUE!</v>
      </c>
      <c r="BM14" s="181" t="e">
        <f ca="1">IF($D14&lt;&gt;"Serviço",0,IF(AND(AUTOEVENTO="Manual",$M14=1),0,IF(OFFSET(CRONOPLE!$F$14,$M14,BM$13)="",10^12,OFFSET(CRONOPLE!$F$14,$M14,BM$13))))</f>
        <v>#VALUE!</v>
      </c>
      <c r="BN14" s="181" t="e">
        <f ca="1">IF($D14&lt;&gt;"Serviço",0,IF(AND(AUTOEVENTO="Manual",$M14=1),0,IF(OFFSET(CRONOPLE!$F$14,$M14,BN$13)="",10^12,OFFSET(CRONOPLE!$F$14,$M14,BN$13))))</f>
        <v>#VALUE!</v>
      </c>
      <c r="BO14" s="181" t="e">
        <f ca="1">IF($D14&lt;&gt;"Serviço",0,IF(AND(AUTOEVENTO="Manual",$M14=1),0,IF(OFFSET(CRONOPLE!$F$14,$M14,BO$13)="",10^12,OFFSET(CRONOPLE!$F$14,$M14,BO$13))))</f>
        <v>#VALUE!</v>
      </c>
      <c r="BP14" s="181" t="e">
        <f ca="1">IF($D14&lt;&gt;"Serviço",0,IF(AND(AUTOEVENTO="Manual",$M14=1),0,IF(OFFSET(CRONOPLE!$F$14,$M14,BP$13)="",10^12,OFFSET(CRONOPLE!$F$14,$M14,BP$13))))</f>
        <v>#VALUE!</v>
      </c>
      <c r="BQ14" s="181" t="e">
        <f ca="1">IF($D14&lt;&gt;"Serviço",0,IF(AND(AUTOEVENTO="Manual",$M14=1),0,IF(OFFSET(CRONOPLE!$F$14,$M14,BQ$13)="",10^12,OFFSET(CRONOPLE!$F$14,$M14,BQ$13))))</f>
        <v>#VALUE!</v>
      </c>
      <c r="BR14" s="181" t="e">
        <f ca="1">IF($D14&lt;&gt;"Serviço",0,IF(AND(AUTOEVENTO="Manual",$M14=1),0,IF(OFFSET(CRONOPLE!$F$14,$M14,BR$13)="",10^12,OFFSET(CRONOPLE!$F$14,$M14,BR$13))))</f>
        <v>#VALUE!</v>
      </c>
      <c r="BS14" s="181" t="e">
        <f ca="1">IF($D14&lt;&gt;"Serviço",0,IF(AND(AUTOEVENTO="Manual",$M14=1),0,IF(OFFSET(CRONOPLE!$F$14,$M14,BS$13)="",10^12,OFFSET(CRONOPLE!$F$14,$M14,BS$13))))</f>
        <v>#VALUE!</v>
      </c>
      <c r="BT14" s="181" t="e">
        <f ca="1">IF($D14&lt;&gt;"Serviço",0,IF(AND(AUTOEVENTO="Manual",$M14=1),0,IF(OFFSET(CRONOPLE!$F$14,$M14,BT$13)="",10^12,OFFSET(CRONOPLE!$F$14,$M14,BT$13))))</f>
        <v>#VALUE!</v>
      </c>
      <c r="BV14" s="182">
        <f ca="1">IF($D14&lt;&gt;"Serviço",0,IF(OR(AND(AUTOEVENTO="Manual",$M14=1),$M14&gt;(ROW(PLE.lastrow)-ROW(PLE.firstrow))),0,IF(OFFSET(PLE!$G$14,$M14,BV$13)="",10^12,OFFSET(PLE!$G$14,$M14,BV$13))))</f>
        <v>0</v>
      </c>
      <c r="BW14" s="182">
        <f ca="1">IF($D14&lt;&gt;"Serviço",0,IF(OR(AND(AUTOEVENTO="Manual",$M14=1),$M14&gt;(ROW(PLE.lastrow)-ROW(PLE.firstrow))),0,IF(OFFSET(PLE!$G$14,$M14,BW$13)="",10^12,OFFSET(PLE!$G$14,$M14,BW$13))))</f>
        <v>0</v>
      </c>
      <c r="BX14" s="182">
        <f ca="1">IF($D14&lt;&gt;"Serviço",0,IF(OR(AND(AUTOEVENTO="Manual",$M14=1),$M14&gt;(ROW(PLE.lastrow)-ROW(PLE.firstrow))),0,IF(OFFSET(PLE!$G$14,$M14,BX$13)="",10^12,OFFSET(PLE!$G$14,$M14,BX$13))))</f>
        <v>0</v>
      </c>
      <c r="BY14" s="182">
        <f ca="1">IF($D14&lt;&gt;"Serviço",0,IF(OR(AND(AUTOEVENTO="Manual",$M14=1),$M14&gt;(ROW(PLE.lastrow)-ROW(PLE.firstrow))),0,IF(OFFSET(PLE!$G$14,$M14,BY$13)="",10^12,OFFSET(PLE!$G$14,$M14,BY$13))))</f>
        <v>0</v>
      </c>
      <c r="BZ14" s="182">
        <f ca="1">IF($D14&lt;&gt;"Serviço",0,IF(OR(AND(AUTOEVENTO="Manual",$M14=1),$M14&gt;(ROW(PLE.lastrow)-ROW(PLE.firstrow))),0,IF(OFFSET(PLE!$G$14,$M14,BZ$13)="",10^12,OFFSET(PLE!$G$14,$M14,BZ$13))))</f>
        <v>0</v>
      </c>
      <c r="CA14" s="182">
        <f ca="1">IF($D14&lt;&gt;"Serviço",0,IF(OR(AND(AUTOEVENTO="Manual",$M14=1),$M14&gt;(ROW(PLE.lastrow)-ROW(PLE.firstrow))),0,IF(OFFSET(PLE!$G$14,$M14,CA$13)="",10^12,OFFSET(PLE!$G$14,$M14,CA$13))))</f>
        <v>0</v>
      </c>
      <c r="CB14" s="182">
        <f ca="1">IF($D14&lt;&gt;"Serviço",0,IF(OR(AND(AUTOEVENTO="Manual",$M14=1),$M14&gt;(ROW(PLE.lastrow)-ROW(PLE.firstrow))),0,IF(OFFSET(PLE!$G$14,$M14,CB$13)="",10^12,OFFSET(PLE!$G$14,$M14,CB$13))))</f>
        <v>0</v>
      </c>
      <c r="CC14" s="182">
        <f ca="1">IF($D14&lt;&gt;"Serviço",0,IF(OR(AND(AUTOEVENTO="Manual",$M14=1),$M14&gt;(ROW(PLE.lastrow)-ROW(PLE.firstrow))),0,IF(OFFSET(PLE!$G$14,$M14,CC$13)="",10^12,OFFSET(PLE!$G$14,$M14,CC$13))))</f>
        <v>0</v>
      </c>
      <c r="CD14" s="182">
        <f ca="1">IF($D14&lt;&gt;"Serviço",0,IF(OR(AND(AUTOEVENTO="Manual",$M14=1),$M14&gt;(ROW(PLE.lastrow)-ROW(PLE.firstrow))),0,IF(OFFSET(PLE!$G$14,$M14,CD$13)="",10^12,OFFSET(PLE!$G$14,$M14,CD$13))))</f>
        <v>0</v>
      </c>
      <c r="CE14" s="182">
        <f ca="1">IF($D14&lt;&gt;"Serviço",0,IF(OR(AND(AUTOEVENTO="Manual",$M14=1),$M14&gt;(ROW(PLE.lastrow)-ROW(PLE.firstrow))),0,IF(OFFSET(PLE!$G$14,$M14,CE$13)="",10^12,OFFSET(PLE!$G$14,$M14,CE$13))))</f>
        <v>0</v>
      </c>
      <c r="CF14" s="182">
        <f ca="1">IF($D14&lt;&gt;"Serviço",0,IF(OR(AND(AUTOEVENTO="Manual",$M14=1),$M14&gt;(ROW(PLE.lastrow)-ROW(PLE.firstrow))),0,IF(OFFSET(PLE!$G$14,$M14,CF$13)="",10^12,OFFSET(PLE!$G$14,$M14,CF$13))))</f>
        <v>0</v>
      </c>
      <c r="CG14" s="182">
        <f ca="1">IF($D14&lt;&gt;"Serviço",0,IF(OR(AND(AUTOEVENTO="Manual",$M14=1),$M14&gt;(ROW(PLE.lastrow)-ROW(PLE.firstrow))),0,IF(OFFSET(PLE!$G$14,$M14,CG$13)="",10^12,OFFSET(PLE!$G$14,$M14,CG$13))))</f>
        <v>0</v>
      </c>
      <c r="CH14" s="182">
        <f ca="1">IF($D14&lt;&gt;"Serviço",0,IF(OR(AND(AUTOEVENTO="Manual",$M14=1),$M14&gt;(ROW(PLE.lastrow)-ROW(PLE.firstrow))),0,IF(OFFSET(PLE!$G$14,$M14,CH$13)="",10^12,OFFSET(PLE!$G$14,$M14,CH$13))))</f>
        <v>0</v>
      </c>
      <c r="CI14" s="182">
        <f ca="1">IF($D14&lt;&gt;"Serviço",0,IF(OR(AND(AUTOEVENTO="Manual",$M14=1),$M14&gt;(ROW(PLE.lastrow)-ROW(PLE.firstrow))),0,IF(OFFSET(PLE!$G$14,$M14,CI$13)="",10^12,OFFSET(PLE!$G$14,$M14,CI$13))))</f>
        <v>0</v>
      </c>
      <c r="CJ14" s="182">
        <f ca="1">IF($D14&lt;&gt;"Serviço",0,IF(OR(AND(AUTOEVENTO="Manual",$M14=1),$M14&gt;(ROW(PLE.lastrow)-ROW(PLE.firstrow))),0,IF(OFFSET(PLE!$G$14,$M14,CJ$13)="",10^12,OFFSET(PLE!$G$14,$M14,CJ$13))))</f>
        <v>0</v>
      </c>
      <c r="CK14" s="182">
        <f ca="1">IF($D14&lt;&gt;"Serviço",0,IF(OR(AND(AUTOEVENTO="Manual",$M14=1),$M14&gt;(ROW(PLE.lastrow)-ROW(PLE.firstrow))),0,IF(OFFSET(PLE!$G$14,$M14,CK$13)="",10^12,OFFSET(PLE!$G$14,$M14,CK$13))))</f>
        <v>0</v>
      </c>
      <c r="CL14" s="182">
        <f ca="1">IF($D14&lt;&gt;"Serviço",0,IF(OR(AND(AUTOEVENTO="Manual",$M14=1),$M14&gt;(ROW(PLE.lastrow)-ROW(PLE.firstrow))),0,IF(OFFSET(PLE!$G$14,$M14,CL$13)="",10^12,OFFSET(PLE!$G$14,$M14,CL$13))))</f>
        <v>0</v>
      </c>
      <c r="CM14" s="182">
        <f ca="1">IF($D14&lt;&gt;"Serviço",0,IF(OR(AND(AUTOEVENTO="Manual",$M14=1),$M14&gt;(ROW(PLE.lastrow)-ROW(PLE.firstrow))),0,IF(OFFSET(PLE!$G$14,$M14,CM$13)="",10^12,OFFSET(PLE!$G$14,$M14,CM$13))))</f>
        <v>0</v>
      </c>
    </row>
    <row r="15" spans="1:91" ht="12.75" customHeight="1" x14ac:dyDescent="0.2">
      <c r="B15" s="7" t="str">
        <f ca="1">OFFSET(ORÇAMENTO!C$15,ROW(B15)-ROW(B$15),0)</f>
        <v>L</v>
      </c>
      <c r="C15" s="7" t="str">
        <f ca="1">OFFSET(ORÇAMENTO!L$15,ROW(C15)-ROW(C$15),0)</f>
        <v>F</v>
      </c>
      <c r="D15" s="132" t="str">
        <f>IF(TIPOORCAMENTO="LICITADO","CTEF","LOTE")</f>
        <v>LOTE</v>
      </c>
      <c r="E15" s="656" t="str">
        <f>Import.DescLote</f>
        <v>REGISTRO DE PREÇOS PARA SERVIÇOS COMUNS DE ENGENHARIA P/ MANUTNEÇÃO ABRIGOS PASSAGEIROS ONIBUS TAXI</v>
      </c>
      <c r="F15" s="656"/>
      <c r="G15" s="656"/>
      <c r="H15" s="656"/>
      <c r="I15" s="540"/>
      <c r="K15" s="183"/>
      <c r="L15" s="175" t="s">
        <v>254</v>
      </c>
      <c r="M15" s="184">
        <f ca="1">IF(AUTOEVENTO="MANUAL",0,1)</f>
        <v>1</v>
      </c>
      <c r="N15" s="185" t="s">
        <v>262</v>
      </c>
      <c r="O15" s="186" t="e">
        <f ca="1">OFFSET($AI$15,0,O$13)</f>
        <v>#VALUE!</v>
      </c>
      <c r="Q15" s="187">
        <f t="shared" ref="Q15:Z15" ca="1" si="5">OFFSET($AI$15,0,Q$13)</f>
        <v>0</v>
      </c>
      <c r="R15" s="186">
        <f t="shared" ca="1" si="5"/>
        <v>0</v>
      </c>
      <c r="S15" s="186">
        <f t="shared" ca="1" si="5"/>
        <v>0</v>
      </c>
      <c r="T15" s="186">
        <f t="shared" ca="1" si="5"/>
        <v>0</v>
      </c>
      <c r="U15" s="186">
        <f t="shared" ca="1" si="5"/>
        <v>0</v>
      </c>
      <c r="V15" s="186">
        <f t="shared" ca="1" si="5"/>
        <v>0</v>
      </c>
      <c r="W15" s="186">
        <f t="shared" ca="1" si="5"/>
        <v>0</v>
      </c>
      <c r="X15" s="186">
        <f t="shared" ca="1" si="5"/>
        <v>0</v>
      </c>
      <c r="Y15" s="186">
        <f t="shared" ca="1" si="5"/>
        <v>0</v>
      </c>
      <c r="Z15" s="188">
        <f t="shared" ca="1" si="5"/>
        <v>0</v>
      </c>
      <c r="AA15" s="186">
        <f t="shared" ref="AA15:AH15" ca="1" si="6">OFFSET($AI$15,0,AA$13)</f>
        <v>0</v>
      </c>
      <c r="AB15" s="186">
        <f t="shared" ca="1" si="6"/>
        <v>0</v>
      </c>
      <c r="AC15" s="186">
        <f t="shared" ca="1" si="6"/>
        <v>0</v>
      </c>
      <c r="AD15" s="186">
        <f t="shared" ca="1" si="6"/>
        <v>0</v>
      </c>
      <c r="AE15" s="186">
        <f t="shared" ca="1" si="6"/>
        <v>0</v>
      </c>
      <c r="AF15" s="186">
        <f t="shared" ca="1" si="6"/>
        <v>0</v>
      </c>
      <c r="AG15" s="186">
        <f t="shared" ca="1" si="6"/>
        <v>0</v>
      </c>
      <c r="AH15" s="188">
        <f t="shared" ca="1" si="6"/>
        <v>0</v>
      </c>
      <c r="AJ15" s="189">
        <f ca="1">ROUND(SUM(OFFSET(AJ$15,1,0):AJ$36),2)</f>
        <v>0</v>
      </c>
      <c r="AK15" s="189">
        <f ca="1">SUM(OFFSET(AK$15,1,0):AK$36)</f>
        <v>0</v>
      </c>
      <c r="AL15" s="189">
        <f ca="1">SUM(OFFSET(AL$15,1,0):AL$36)</f>
        <v>0</v>
      </c>
      <c r="AM15" s="189">
        <f ca="1">SUM(OFFSET(AM$15,1,0):AM$36)</f>
        <v>0</v>
      </c>
      <c r="AN15" s="189">
        <f ca="1">SUM(OFFSET(AN$15,1,0):AN$36)</f>
        <v>0</v>
      </c>
      <c r="AO15" s="189">
        <f ca="1">SUM(OFFSET(AO$15,1,0):AO$36)</f>
        <v>0</v>
      </c>
      <c r="AP15" s="189">
        <f ca="1">SUM(OFFSET(AP$15,1,0):AP$36)</f>
        <v>0</v>
      </c>
      <c r="AQ15" s="189">
        <f ca="1">SUM(OFFSET(AQ$15,1,0):AQ$36)</f>
        <v>0</v>
      </c>
      <c r="AR15" s="189">
        <f ca="1">SUM(OFFSET(AR$15,1,0):AR$36)</f>
        <v>0</v>
      </c>
      <c r="AS15" s="189">
        <f ca="1">SUM(OFFSET(AS$15,1,0):AS$36)</f>
        <v>0</v>
      </c>
      <c r="AT15" s="189">
        <f ca="1">SUM(OFFSET(AT$15,1,0):AT$36)</f>
        <v>0</v>
      </c>
      <c r="AU15" s="189">
        <f ca="1">SUM(OFFSET(AU$15,1,0):AU$36)</f>
        <v>0</v>
      </c>
      <c r="AV15" s="189">
        <f ca="1">SUM(OFFSET(AV$15,1,0):AV$36)</f>
        <v>0</v>
      </c>
      <c r="AW15" s="189">
        <f ca="1">SUM(OFFSET(AW$15,1,0):AW$36)</f>
        <v>0</v>
      </c>
      <c r="AX15" s="189">
        <f ca="1">SUM(OFFSET(AX$15,1,0):AX$36)</f>
        <v>0</v>
      </c>
      <c r="AY15" s="189">
        <f ca="1">SUM(OFFSET(AY$15,1,0):AY$36)</f>
        <v>0</v>
      </c>
      <c r="AZ15" s="189">
        <f ca="1">SUM(OFFSET(AZ$15,1,0):AZ$36)</f>
        <v>0</v>
      </c>
      <c r="BA15" s="189">
        <f ca="1">SUM(OFFSET(BA$15,1,0):BA$36)</f>
        <v>0</v>
      </c>
      <c r="BC15" s="190">
        <f>10^12</f>
        <v>1000000000000</v>
      </c>
      <c r="BD15" s="190">
        <f t="shared" ref="BD15:BT15" si="7">10^12</f>
        <v>1000000000000</v>
      </c>
      <c r="BE15" s="190">
        <f t="shared" si="7"/>
        <v>1000000000000</v>
      </c>
      <c r="BF15" s="190">
        <f t="shared" si="7"/>
        <v>1000000000000</v>
      </c>
      <c r="BG15" s="190">
        <f t="shared" si="7"/>
        <v>1000000000000</v>
      </c>
      <c r="BH15" s="190">
        <f t="shared" si="7"/>
        <v>1000000000000</v>
      </c>
      <c r="BI15" s="190">
        <f t="shared" si="7"/>
        <v>1000000000000</v>
      </c>
      <c r="BJ15" s="190">
        <f t="shared" si="7"/>
        <v>1000000000000</v>
      </c>
      <c r="BK15" s="190">
        <f t="shared" si="7"/>
        <v>1000000000000</v>
      </c>
      <c r="BL15" s="190">
        <f t="shared" si="7"/>
        <v>1000000000000</v>
      </c>
      <c r="BM15" s="190">
        <f t="shared" si="7"/>
        <v>1000000000000</v>
      </c>
      <c r="BN15" s="190">
        <f t="shared" si="7"/>
        <v>1000000000000</v>
      </c>
      <c r="BO15" s="190">
        <f t="shared" si="7"/>
        <v>1000000000000</v>
      </c>
      <c r="BP15" s="190">
        <f t="shared" si="7"/>
        <v>1000000000000</v>
      </c>
      <c r="BQ15" s="190">
        <f t="shared" si="7"/>
        <v>1000000000000</v>
      </c>
      <c r="BR15" s="190">
        <f t="shared" si="7"/>
        <v>1000000000000</v>
      </c>
      <c r="BS15" s="190">
        <f t="shared" si="7"/>
        <v>1000000000000</v>
      </c>
      <c r="BT15" s="190">
        <f t="shared" si="7"/>
        <v>1000000000000</v>
      </c>
      <c r="BV15" s="190">
        <f t="shared" ref="BV15:CM15" si="8">10^12</f>
        <v>1000000000000</v>
      </c>
      <c r="BW15" s="190">
        <f t="shared" si="8"/>
        <v>1000000000000</v>
      </c>
      <c r="BX15" s="190">
        <f t="shared" si="8"/>
        <v>1000000000000</v>
      </c>
      <c r="BY15" s="190">
        <f t="shared" si="8"/>
        <v>1000000000000</v>
      </c>
      <c r="BZ15" s="190">
        <f t="shared" si="8"/>
        <v>1000000000000</v>
      </c>
      <c r="CA15" s="190">
        <f t="shared" si="8"/>
        <v>1000000000000</v>
      </c>
      <c r="CB15" s="190">
        <f t="shared" si="8"/>
        <v>1000000000000</v>
      </c>
      <c r="CC15" s="190">
        <f t="shared" si="8"/>
        <v>1000000000000</v>
      </c>
      <c r="CD15" s="190">
        <f t="shared" si="8"/>
        <v>1000000000000</v>
      </c>
      <c r="CE15" s="190">
        <f t="shared" si="8"/>
        <v>1000000000000</v>
      </c>
      <c r="CF15" s="190">
        <f t="shared" si="8"/>
        <v>1000000000000</v>
      </c>
      <c r="CG15" s="190">
        <f t="shared" si="8"/>
        <v>1000000000000</v>
      </c>
      <c r="CH15" s="190">
        <f t="shared" si="8"/>
        <v>1000000000000</v>
      </c>
      <c r="CI15" s="190">
        <f t="shared" si="8"/>
        <v>1000000000000</v>
      </c>
      <c r="CJ15" s="190">
        <f t="shared" si="8"/>
        <v>1000000000000</v>
      </c>
      <c r="CK15" s="190">
        <f t="shared" si="8"/>
        <v>1000000000000</v>
      </c>
      <c r="CL15" s="190">
        <f t="shared" si="8"/>
        <v>1000000000000</v>
      </c>
      <c r="CM15" s="190">
        <f t="shared" si="8"/>
        <v>1000000000000</v>
      </c>
    </row>
    <row r="16" spans="1:91" ht="12.75" x14ac:dyDescent="0.2">
      <c r="A16" s="7" t="str">
        <f t="shared" ref="A16:A35" ca="1" si="9">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2" t="str">
        <f ca="1">OFFSET(ORÇAMENTO!R$15,ROW(F16)-ROW(F$15),0)</f>
        <v>Manutenção e Reparos Abrigos Passagerios Onibus e Táxi</v>
      </c>
      <c r="G16" s="173" t="str">
        <f ca="1">IF($D16&lt;&gt;"Serviço","",OFFSET(ORÇAMENTO!S$15,ROW(G16)-ROW(G$15),0))</f>
        <v/>
      </c>
      <c r="H16" s="124">
        <f ca="1">IF($D16&lt;&gt;"Serviço",0,IF(ACOMPANHAMENTO="BM",ROUND(OFFSET(ORÇAMENTO!AJ$15,ROW(H16)-ROW(H$15),0),15-13*ORÇAMENTO!$AF$7),SUMPRODUCT(($Q$12:$AI$12&lt;&gt;"")*ROUND($Q16:$AI16,15-13*ORÇAMENTO!$AF$7))))</f>
        <v>0</v>
      </c>
      <c r="I16" s="539"/>
      <c r="K16" s="174"/>
      <c r="L16" s="175" t="s">
        <v>254</v>
      </c>
      <c r="M16" s="176" t="str">
        <f ca="1">IF($D16&lt;&gt;"Serviço","",IF(AUTOEVENTO="manual",$A16,IF(ISERROR(MATCH($A16,$A$15:OFFSET($A16,-1,0),0)),MAX($M$15:OFFSET(M16,-1,0))+1,INDEX($M$15:OFFSET(M16,-1,0),MATCH($A16,$A$15:OFFSET($A16,-1,0),0)))))</f>
        <v/>
      </c>
      <c r="N16" s="177" t="str">
        <f ca="1">IF($D16&lt;&gt;"Serviço","",IF(AUTOEVENTO="Manual",IF($A16=0,"&lt;-- defina o número do agrupador",OFFSET(EVENTOS!$D$14,$A16,0)),OFFSET($F$15,$A16,0)))</f>
        <v/>
      </c>
      <c r="O16" s="178"/>
      <c r="Q16" s="178"/>
      <c r="R16" s="179"/>
      <c r="S16" s="179"/>
      <c r="T16" s="179"/>
      <c r="U16" s="179"/>
      <c r="V16" s="179"/>
      <c r="W16" s="179"/>
      <c r="X16" s="179"/>
      <c r="Y16" s="179"/>
      <c r="Z16" s="180"/>
      <c r="AA16" s="179"/>
      <c r="AB16" s="179"/>
      <c r="AC16" s="179"/>
      <c r="AD16" s="179"/>
      <c r="AE16" s="179"/>
      <c r="AF16" s="179"/>
      <c r="AG16" s="179"/>
      <c r="AH16" s="180"/>
      <c r="AJ16" s="522">
        <f ca="1">IF(AND($D16="Serviço",AJ$12&lt;&gt;0,$H16&gt;0,OR(AUTOEVENTO&lt;&gt;"manual",$M16&lt;&gt;1)),
IF(Import.TipoArredondamento&lt;&gt;"TransfereGOV",
ROUND(OFFSET($P16,0,AJ$13),15-13*ORÇAMENTO!$AF$7)/$H16*OFFSET(ORÇAMENTO!$X$15,ROW(AJ16)-ROW(AJ$15),0),
ROUND(ROUND(OFFSET($P16,0,AJ$13),15-13*ORÇAMENTO!$AF$7)*OFFSET(ORÇAMENTO!$W$15,ROW(AJ16)-ROW(AJ$15),0),15-13*ORÇAMENTO!$AF$11)),0)</f>
        <v>0</v>
      </c>
      <c r="AK16" s="523">
        <f ca="1">IF(AND($D16="Serviço",AK$12&lt;&gt;0,$H16&gt;0,OR(AUTOEVENTO&lt;&gt;"manual",$M16&lt;&gt;1)),
IF(Import.TipoArredondamento&lt;&gt;"TransfereGOV",
ROUND(OFFSET($P16,0,AK$13),15-13*ORÇAMENTO!$AF$7)/$H16*OFFSET(ORÇAMENTO!$X$15,ROW(AK16)-ROW(AK$15),0),
ROUND(ROUND(OFFSET($P16,0,AK$13),15-13*ORÇAMENTO!$AF$7)*OFFSET(ORÇAMENTO!$W$15,ROW(AK16)-ROW(AK$15),0),15-13*ORÇAMENTO!$AF$11)),0)</f>
        <v>0</v>
      </c>
      <c r="AL16" s="523">
        <f ca="1">IF(AND($D16="Serviço",AL$12&lt;&gt;0,$H16&gt;0,OR(AUTOEVENTO&lt;&gt;"manual",$M16&lt;&gt;1)),
IF(Import.TipoArredondamento&lt;&gt;"TransfereGOV",
ROUND(OFFSET($P16,0,AL$13),15-13*ORÇAMENTO!$AF$7)/$H16*OFFSET(ORÇAMENTO!$X$15,ROW(AL16)-ROW(AL$15),0),
ROUND(ROUND(OFFSET($P16,0,AL$13),15-13*ORÇAMENTO!$AF$7)*OFFSET(ORÇAMENTO!$W$15,ROW(AL16)-ROW(AL$15),0),15-13*ORÇAMENTO!$AF$11)),0)</f>
        <v>0</v>
      </c>
      <c r="AM16" s="523">
        <f ca="1">IF(AND($D16="Serviço",AM$12&lt;&gt;0,$H16&gt;0,OR(AUTOEVENTO&lt;&gt;"manual",$M16&lt;&gt;1)),
IF(Import.TipoArredondamento&lt;&gt;"TransfereGOV",
ROUND(OFFSET($P16,0,AM$13),15-13*ORÇAMENTO!$AF$7)/$H16*OFFSET(ORÇAMENTO!$X$15,ROW(AM16)-ROW(AM$15),0),
ROUND(ROUND(OFFSET($P16,0,AM$13),15-13*ORÇAMENTO!$AF$7)*OFFSET(ORÇAMENTO!$W$15,ROW(AM16)-ROW(AM$15),0),15-13*ORÇAMENTO!$AF$11)),0)</f>
        <v>0</v>
      </c>
      <c r="AN16" s="523">
        <f ca="1">IF(AND($D16="Serviço",AN$12&lt;&gt;0,$H16&gt;0,OR(AUTOEVENTO&lt;&gt;"manual",$M16&lt;&gt;1)),
IF(Import.TipoArredondamento&lt;&gt;"TransfereGOV",
ROUND(OFFSET($P16,0,AN$13),15-13*ORÇAMENTO!$AF$7)/$H16*OFFSET(ORÇAMENTO!$X$15,ROW(AN16)-ROW(AN$15),0),
ROUND(ROUND(OFFSET($P16,0,AN$13),15-13*ORÇAMENTO!$AF$7)*OFFSET(ORÇAMENTO!$W$15,ROW(AN16)-ROW(AN$15),0),15-13*ORÇAMENTO!$AF$11)),0)</f>
        <v>0</v>
      </c>
      <c r="AO16" s="523">
        <f ca="1">IF(AND($D16="Serviço",AO$12&lt;&gt;0,$H16&gt;0,OR(AUTOEVENTO&lt;&gt;"manual",$M16&lt;&gt;1)),
IF(Import.TipoArredondamento&lt;&gt;"TransfereGOV",
ROUND(OFFSET($P16,0,AO$13),15-13*ORÇAMENTO!$AF$7)/$H16*OFFSET(ORÇAMENTO!$X$15,ROW(AO16)-ROW(AO$15),0),
ROUND(ROUND(OFFSET($P16,0,AO$13),15-13*ORÇAMENTO!$AF$7)*OFFSET(ORÇAMENTO!$W$15,ROW(AO16)-ROW(AO$15),0),15-13*ORÇAMENTO!$AF$11)),0)</f>
        <v>0</v>
      </c>
      <c r="AP16" s="523">
        <f ca="1">IF(AND($D16="Serviço",AP$12&lt;&gt;0,$H16&gt;0,OR(AUTOEVENTO&lt;&gt;"manual",$M16&lt;&gt;1)),
IF(Import.TipoArredondamento&lt;&gt;"TransfereGOV",
ROUND(OFFSET($P16,0,AP$13),15-13*ORÇAMENTO!$AF$7)/$H16*OFFSET(ORÇAMENTO!$X$15,ROW(AP16)-ROW(AP$15),0),
ROUND(ROUND(OFFSET($P16,0,AP$13),15-13*ORÇAMENTO!$AF$7)*OFFSET(ORÇAMENTO!$W$15,ROW(AP16)-ROW(AP$15),0),15-13*ORÇAMENTO!$AF$11)),0)</f>
        <v>0</v>
      </c>
      <c r="AQ16" s="523">
        <f ca="1">IF(AND($D16="Serviço",AQ$12&lt;&gt;0,$H16&gt;0,OR(AUTOEVENTO&lt;&gt;"manual",$M16&lt;&gt;1)),
IF(Import.TipoArredondamento&lt;&gt;"TransfereGOV",
ROUND(OFFSET($P16,0,AQ$13),15-13*ORÇAMENTO!$AF$7)/$H16*OFFSET(ORÇAMENTO!$X$15,ROW(AQ16)-ROW(AQ$15),0),
ROUND(ROUND(OFFSET($P16,0,AQ$13),15-13*ORÇAMENTO!$AF$7)*OFFSET(ORÇAMENTO!$W$15,ROW(AQ16)-ROW(AQ$15),0),15-13*ORÇAMENTO!$AF$11)),0)</f>
        <v>0</v>
      </c>
      <c r="AR16" s="523">
        <f ca="1">IF(AND($D16="Serviço",AR$12&lt;&gt;0,$H16&gt;0,OR(AUTOEVENTO&lt;&gt;"manual",$M16&lt;&gt;1)),
IF(Import.TipoArredondamento&lt;&gt;"TransfereGOV",
ROUND(OFFSET($P16,0,AR$13),15-13*ORÇAMENTO!$AF$7)/$H16*OFFSET(ORÇAMENTO!$X$15,ROW(AR16)-ROW(AR$15),0),
ROUND(ROUND(OFFSET($P16,0,AR$13),15-13*ORÇAMENTO!$AF$7)*OFFSET(ORÇAMENTO!$W$15,ROW(AR16)-ROW(AR$15),0),15-13*ORÇAMENTO!$AF$11)),0)</f>
        <v>0</v>
      </c>
      <c r="AS16" s="524">
        <f ca="1">IF(AND($D16="Serviço",AS$12&lt;&gt;0,$H16&gt;0,OR(AUTOEVENTO&lt;&gt;"manual",$M16&lt;&gt;1)),
IF(Import.TipoArredondamento&lt;&gt;"TransfereGOV",
ROUND(OFFSET($P16,0,AS$13),15-13*ORÇAMENTO!$AF$7)/$H16*OFFSET(ORÇAMENTO!$X$15,ROW(AS16)-ROW(AS$15),0),
ROUND(ROUND(OFFSET($P16,0,AS$13),15-13*ORÇAMENTO!$AF$7)*OFFSET(ORÇAMENTO!$W$15,ROW(AS16)-ROW(AS$15),0),15-13*ORÇAMENTO!$AF$11)),0)</f>
        <v>0</v>
      </c>
      <c r="AT16" s="523">
        <f ca="1">IF(AND($D16="Serviço",AT$12&lt;&gt;0,$H16&gt;0,OR(AUTOEVENTO&lt;&gt;"manual",$M16&lt;&gt;1)),
IF(Import.TipoArredondamento&lt;&gt;"TransfereGOV",
ROUND(OFFSET($P16,0,AT$13),15-13*ORÇAMENTO!$AF$7)/$H16*OFFSET(ORÇAMENTO!$X$15,ROW(AT16)-ROW(AT$15),0),
ROUND(ROUND(OFFSET($P16,0,AT$13),15-13*ORÇAMENTO!$AF$7)*OFFSET(ORÇAMENTO!$W$15,ROW(AT16)-ROW(AT$15),0),15-13*ORÇAMENTO!$AF$11)),0)</f>
        <v>0</v>
      </c>
      <c r="AU16" s="523">
        <f ca="1">IF(AND($D16="Serviço",AU$12&lt;&gt;0,$H16&gt;0,OR(AUTOEVENTO&lt;&gt;"manual",$M16&lt;&gt;1)),
IF(Import.TipoArredondamento&lt;&gt;"TransfereGOV",
ROUND(OFFSET($P16,0,AU$13),15-13*ORÇAMENTO!$AF$7)/$H16*OFFSET(ORÇAMENTO!$X$15,ROW(AU16)-ROW(AU$15),0),
ROUND(ROUND(OFFSET($P16,0,AU$13),15-13*ORÇAMENTO!$AF$7)*OFFSET(ORÇAMENTO!$W$15,ROW(AU16)-ROW(AU$15),0),15-13*ORÇAMENTO!$AF$11)),0)</f>
        <v>0</v>
      </c>
      <c r="AV16" s="523">
        <f ca="1">IF(AND($D16="Serviço",AV$12&lt;&gt;0,$H16&gt;0,OR(AUTOEVENTO&lt;&gt;"manual",$M16&lt;&gt;1)),
IF(Import.TipoArredondamento&lt;&gt;"TransfereGOV",
ROUND(OFFSET($P16,0,AV$13),15-13*ORÇAMENTO!$AF$7)/$H16*OFFSET(ORÇAMENTO!$X$15,ROW(AV16)-ROW(AV$15),0),
ROUND(ROUND(OFFSET($P16,0,AV$13),15-13*ORÇAMENTO!$AF$7)*OFFSET(ORÇAMENTO!$W$15,ROW(AV16)-ROW(AV$15),0),15-13*ORÇAMENTO!$AF$11)),0)</f>
        <v>0</v>
      </c>
      <c r="AW16" s="523">
        <f ca="1">IF(AND($D16="Serviço",AW$12&lt;&gt;0,$H16&gt;0,OR(AUTOEVENTO&lt;&gt;"manual",$M16&lt;&gt;1)),
IF(Import.TipoArredondamento&lt;&gt;"TransfereGOV",
ROUND(OFFSET($P16,0,AW$13),15-13*ORÇAMENTO!$AF$7)/$H16*OFFSET(ORÇAMENTO!$X$15,ROW(AW16)-ROW(AW$15),0),
ROUND(ROUND(OFFSET($P16,0,AW$13),15-13*ORÇAMENTO!$AF$7)*OFFSET(ORÇAMENTO!$W$15,ROW(AW16)-ROW(AW$15),0),15-13*ORÇAMENTO!$AF$11)),0)</f>
        <v>0</v>
      </c>
      <c r="AX16" s="523">
        <f ca="1">IF(AND($D16="Serviço",AX$12&lt;&gt;0,$H16&gt;0,OR(AUTOEVENTO&lt;&gt;"manual",$M16&lt;&gt;1)),
IF(Import.TipoArredondamento&lt;&gt;"TransfereGOV",
ROUND(OFFSET($P16,0,AX$13),15-13*ORÇAMENTO!$AF$7)/$H16*OFFSET(ORÇAMENTO!$X$15,ROW(AX16)-ROW(AX$15),0),
ROUND(ROUND(OFFSET($P16,0,AX$13),15-13*ORÇAMENTO!$AF$7)*OFFSET(ORÇAMENTO!$W$15,ROW(AX16)-ROW(AX$15),0),15-13*ORÇAMENTO!$AF$11)),0)</f>
        <v>0</v>
      </c>
      <c r="AY16" s="523">
        <f ca="1">IF(AND($D16="Serviço",AY$12&lt;&gt;0,$H16&gt;0,OR(AUTOEVENTO&lt;&gt;"manual",$M16&lt;&gt;1)),
IF(Import.TipoArredondamento&lt;&gt;"TransfereGOV",
ROUND(OFFSET($P16,0,AY$13),15-13*ORÇAMENTO!$AF$7)/$H16*OFFSET(ORÇAMENTO!$X$15,ROW(AY16)-ROW(AY$15),0),
ROUND(ROUND(OFFSET($P16,0,AY$13),15-13*ORÇAMENTO!$AF$7)*OFFSET(ORÇAMENTO!$W$15,ROW(AY16)-ROW(AY$15),0),15-13*ORÇAMENTO!$AF$11)),0)</f>
        <v>0</v>
      </c>
      <c r="AZ16" s="523">
        <f ca="1">IF(AND($D16="Serviço",AZ$12&lt;&gt;0,$H16&gt;0,OR(AUTOEVENTO&lt;&gt;"manual",$M16&lt;&gt;1)),
IF(Import.TipoArredondamento&lt;&gt;"TransfereGOV",
ROUND(OFFSET($P16,0,AZ$13),15-13*ORÇAMENTO!$AF$7)/$H16*OFFSET(ORÇAMENTO!$X$15,ROW(AZ16)-ROW(AZ$15),0),
ROUND(ROUND(OFFSET($P16,0,AZ$13),15-13*ORÇAMENTO!$AF$7)*OFFSET(ORÇAMENTO!$W$15,ROW(AZ16)-ROW(AZ$15),0),15-13*ORÇAMENTO!$AF$11)),0)</f>
        <v>0</v>
      </c>
      <c r="BA16" s="524">
        <f ca="1">IF(AND($D16="Serviço",BA$12&lt;&gt;0,$H16&gt;0,OR(AUTOEVENTO&lt;&gt;"manual",$M16&lt;&gt;1)),
IF(Import.TipoArredondamento&lt;&gt;"TransfereGOV",
ROUND(OFFSET($P16,0,BA$13),15-13*ORÇAMENTO!$AF$7)/$H16*OFFSET(ORÇAMENTO!$X$15,ROW(BA16)-ROW(BA$15),0),
ROUND(ROUND(OFFSET($P16,0,BA$13),15-13*ORÇAMENTO!$AF$7)*OFFSET(ORÇAMENTO!$W$15,ROW(BA16)-ROW(BA$15),0),15-13*ORÇAMENTO!$AF$11)),0)</f>
        <v>0</v>
      </c>
      <c r="BC16" s="181">
        <f ca="1">IF($D16&lt;&gt;"Serviço",0,IF(AND(AUTOEVENTO="Manual",$M16=1),0,IF(OFFSET(CRONOPLE!$F$14,$M16,BC$13)="",10^12,OFFSET(CRONOPLE!$F$14,$M16,BC$13))))</f>
        <v>0</v>
      </c>
      <c r="BD16" s="181">
        <f ca="1">IF($D16&lt;&gt;"Serviço",0,IF(AND(AUTOEVENTO="Manual",$M16=1),0,IF(OFFSET(CRONOPLE!$F$14,$M16,BD$13)="",10^12,OFFSET(CRONOPLE!$F$14,$M16,BD$13))))</f>
        <v>0</v>
      </c>
      <c r="BE16" s="181">
        <f ca="1">IF($D16&lt;&gt;"Serviço",0,IF(AND(AUTOEVENTO="Manual",$M16=1),0,IF(OFFSET(CRONOPLE!$F$14,$M16,BE$13)="",10^12,OFFSET(CRONOPLE!$F$14,$M16,BE$13))))</f>
        <v>0</v>
      </c>
      <c r="BF16" s="181">
        <f ca="1">IF($D16&lt;&gt;"Serviço",0,IF(AND(AUTOEVENTO="Manual",$M16=1),0,IF(OFFSET(CRONOPLE!$F$14,$M16,BF$13)="",10^12,OFFSET(CRONOPLE!$F$14,$M16,BF$13))))</f>
        <v>0</v>
      </c>
      <c r="BG16" s="181">
        <f ca="1">IF($D16&lt;&gt;"Serviço",0,IF(AND(AUTOEVENTO="Manual",$M16=1),0,IF(OFFSET(CRONOPLE!$F$14,$M16,BG$13)="",10^12,OFFSET(CRONOPLE!$F$14,$M16,BG$13))))</f>
        <v>0</v>
      </c>
      <c r="BH16" s="181">
        <f ca="1">IF($D16&lt;&gt;"Serviço",0,IF(AND(AUTOEVENTO="Manual",$M16=1),0,IF(OFFSET(CRONOPLE!$F$14,$M16,BH$13)="",10^12,OFFSET(CRONOPLE!$F$14,$M16,BH$13))))</f>
        <v>0</v>
      </c>
      <c r="BI16" s="181">
        <f ca="1">IF($D16&lt;&gt;"Serviço",0,IF(AND(AUTOEVENTO="Manual",$M16=1),0,IF(OFFSET(CRONOPLE!$F$14,$M16,BI$13)="",10^12,OFFSET(CRONOPLE!$F$14,$M16,BI$13))))</f>
        <v>0</v>
      </c>
      <c r="BJ16" s="181">
        <f ca="1">IF($D16&lt;&gt;"Serviço",0,IF(AND(AUTOEVENTO="Manual",$M16=1),0,IF(OFFSET(CRONOPLE!$F$14,$M16,BJ$13)="",10^12,OFFSET(CRONOPLE!$F$14,$M16,BJ$13))))</f>
        <v>0</v>
      </c>
      <c r="BK16" s="181">
        <f ca="1">IF($D16&lt;&gt;"Serviço",0,IF(AND(AUTOEVENTO="Manual",$M16=1),0,IF(OFFSET(CRONOPLE!$F$14,$M16,BK$13)="",10^12,OFFSET(CRONOPLE!$F$14,$M16,BK$13))))</f>
        <v>0</v>
      </c>
      <c r="BL16" s="181">
        <f ca="1">IF($D16&lt;&gt;"Serviço",0,IF(AND(AUTOEVENTO="Manual",$M16=1),0,IF(OFFSET(CRONOPLE!$F$14,$M16,BL$13)="",10^12,OFFSET(CRONOPLE!$F$14,$M16,BL$13))))</f>
        <v>0</v>
      </c>
      <c r="BM16" s="181">
        <f ca="1">IF($D16&lt;&gt;"Serviço",0,IF(AND(AUTOEVENTO="Manual",$M16=1),0,IF(OFFSET(CRONOPLE!$F$14,$M16,BM$13)="",10^12,OFFSET(CRONOPLE!$F$14,$M16,BM$13))))</f>
        <v>0</v>
      </c>
      <c r="BN16" s="181">
        <f ca="1">IF($D16&lt;&gt;"Serviço",0,IF(AND(AUTOEVENTO="Manual",$M16=1),0,IF(OFFSET(CRONOPLE!$F$14,$M16,BN$13)="",10^12,OFFSET(CRONOPLE!$F$14,$M16,BN$13))))</f>
        <v>0</v>
      </c>
      <c r="BO16" s="181">
        <f ca="1">IF($D16&lt;&gt;"Serviço",0,IF(AND(AUTOEVENTO="Manual",$M16=1),0,IF(OFFSET(CRONOPLE!$F$14,$M16,BO$13)="",10^12,OFFSET(CRONOPLE!$F$14,$M16,BO$13))))</f>
        <v>0</v>
      </c>
      <c r="BP16" s="181">
        <f ca="1">IF($D16&lt;&gt;"Serviço",0,IF(AND(AUTOEVENTO="Manual",$M16=1),0,IF(OFFSET(CRONOPLE!$F$14,$M16,BP$13)="",10^12,OFFSET(CRONOPLE!$F$14,$M16,BP$13))))</f>
        <v>0</v>
      </c>
      <c r="BQ16" s="181">
        <f ca="1">IF($D16&lt;&gt;"Serviço",0,IF(AND(AUTOEVENTO="Manual",$M16=1),0,IF(OFFSET(CRONOPLE!$F$14,$M16,BQ$13)="",10^12,OFFSET(CRONOPLE!$F$14,$M16,BQ$13))))</f>
        <v>0</v>
      </c>
      <c r="BR16" s="181">
        <f ca="1">IF($D16&lt;&gt;"Serviço",0,IF(AND(AUTOEVENTO="Manual",$M16=1),0,IF(OFFSET(CRONOPLE!$F$14,$M16,BR$13)="",10^12,OFFSET(CRONOPLE!$F$14,$M16,BR$13))))</f>
        <v>0</v>
      </c>
      <c r="BS16" s="181">
        <f ca="1">IF($D16&lt;&gt;"Serviço",0,IF(AND(AUTOEVENTO="Manual",$M16=1),0,IF(OFFSET(CRONOPLE!$F$14,$M16,BS$13)="",10^12,OFFSET(CRONOPLE!$F$14,$M16,BS$13))))</f>
        <v>0</v>
      </c>
      <c r="BT16" s="181">
        <f ca="1">IF($D16&lt;&gt;"Serviço",0,IF(AND(AUTOEVENTO="Manual",$M16=1),0,IF(OFFSET(CRONOPLE!$F$14,$M16,BT$13)="",10^12,OFFSET(CRONOPLE!$F$14,$M16,BT$13))))</f>
        <v>0</v>
      </c>
      <c r="BV16" s="182">
        <f ca="1">IF($D16&lt;&gt;"Serviço",0,IF(OR(AND(AUTOEVENTO="Manual",$M16=1),$M16&gt;(ROW(PLE.lastrow)-ROW(PLE.firstrow))),0,IF(OFFSET(PLE!$G$14,$M16,BV$13)="",10^12,OFFSET(PLE!$G$14,$M16,BV$13))))</f>
        <v>0</v>
      </c>
      <c r="BW16" s="182">
        <f ca="1">IF($D16&lt;&gt;"Serviço",0,IF(OR(AND(AUTOEVENTO="Manual",$M16=1),$M16&gt;(ROW(PLE.lastrow)-ROW(PLE.firstrow))),0,IF(OFFSET(PLE!$G$14,$M16,BW$13)="",10^12,OFFSET(PLE!$G$14,$M16,BW$13))))</f>
        <v>0</v>
      </c>
      <c r="BX16" s="182">
        <f ca="1">IF($D16&lt;&gt;"Serviço",0,IF(OR(AND(AUTOEVENTO="Manual",$M16=1),$M16&gt;(ROW(PLE.lastrow)-ROW(PLE.firstrow))),0,IF(OFFSET(PLE!$G$14,$M16,BX$13)="",10^12,OFFSET(PLE!$G$14,$M16,BX$13))))</f>
        <v>0</v>
      </c>
      <c r="BY16" s="182">
        <f ca="1">IF($D16&lt;&gt;"Serviço",0,IF(OR(AND(AUTOEVENTO="Manual",$M16=1),$M16&gt;(ROW(PLE.lastrow)-ROW(PLE.firstrow))),0,IF(OFFSET(PLE!$G$14,$M16,BY$13)="",10^12,OFFSET(PLE!$G$14,$M16,BY$13))))</f>
        <v>0</v>
      </c>
      <c r="BZ16" s="182">
        <f ca="1">IF($D16&lt;&gt;"Serviço",0,IF(OR(AND(AUTOEVENTO="Manual",$M16=1),$M16&gt;(ROW(PLE.lastrow)-ROW(PLE.firstrow))),0,IF(OFFSET(PLE!$G$14,$M16,BZ$13)="",10^12,OFFSET(PLE!$G$14,$M16,BZ$13))))</f>
        <v>0</v>
      </c>
      <c r="CA16" s="182">
        <f ca="1">IF($D16&lt;&gt;"Serviço",0,IF(OR(AND(AUTOEVENTO="Manual",$M16=1),$M16&gt;(ROW(PLE.lastrow)-ROW(PLE.firstrow))),0,IF(OFFSET(PLE!$G$14,$M16,CA$13)="",10^12,OFFSET(PLE!$G$14,$M16,CA$13))))</f>
        <v>0</v>
      </c>
      <c r="CB16" s="182">
        <f ca="1">IF($D16&lt;&gt;"Serviço",0,IF(OR(AND(AUTOEVENTO="Manual",$M16=1),$M16&gt;(ROW(PLE.lastrow)-ROW(PLE.firstrow))),0,IF(OFFSET(PLE!$G$14,$M16,CB$13)="",10^12,OFFSET(PLE!$G$14,$M16,CB$13))))</f>
        <v>0</v>
      </c>
      <c r="CC16" s="182">
        <f ca="1">IF($D16&lt;&gt;"Serviço",0,IF(OR(AND(AUTOEVENTO="Manual",$M16=1),$M16&gt;(ROW(PLE.lastrow)-ROW(PLE.firstrow))),0,IF(OFFSET(PLE!$G$14,$M16,CC$13)="",10^12,OFFSET(PLE!$G$14,$M16,CC$13))))</f>
        <v>0</v>
      </c>
      <c r="CD16" s="182">
        <f ca="1">IF($D16&lt;&gt;"Serviço",0,IF(OR(AND(AUTOEVENTO="Manual",$M16=1),$M16&gt;(ROW(PLE.lastrow)-ROW(PLE.firstrow))),0,IF(OFFSET(PLE!$G$14,$M16,CD$13)="",10^12,OFFSET(PLE!$G$14,$M16,CD$13))))</f>
        <v>0</v>
      </c>
      <c r="CE16" s="182">
        <f ca="1">IF($D16&lt;&gt;"Serviço",0,IF(OR(AND(AUTOEVENTO="Manual",$M16=1),$M16&gt;(ROW(PLE.lastrow)-ROW(PLE.firstrow))),0,IF(OFFSET(PLE!$G$14,$M16,CE$13)="",10^12,OFFSET(PLE!$G$14,$M16,CE$13))))</f>
        <v>0</v>
      </c>
      <c r="CF16" s="182">
        <f ca="1">IF($D16&lt;&gt;"Serviço",0,IF(OR(AND(AUTOEVENTO="Manual",$M16=1),$M16&gt;(ROW(PLE.lastrow)-ROW(PLE.firstrow))),0,IF(OFFSET(PLE!$G$14,$M16,CF$13)="",10^12,OFFSET(PLE!$G$14,$M16,CF$13))))</f>
        <v>0</v>
      </c>
      <c r="CG16" s="182">
        <f ca="1">IF($D16&lt;&gt;"Serviço",0,IF(OR(AND(AUTOEVENTO="Manual",$M16=1),$M16&gt;(ROW(PLE.lastrow)-ROW(PLE.firstrow))),0,IF(OFFSET(PLE!$G$14,$M16,CG$13)="",10^12,OFFSET(PLE!$G$14,$M16,CG$13))))</f>
        <v>0</v>
      </c>
      <c r="CH16" s="182">
        <f ca="1">IF($D16&lt;&gt;"Serviço",0,IF(OR(AND(AUTOEVENTO="Manual",$M16=1),$M16&gt;(ROW(PLE.lastrow)-ROW(PLE.firstrow))),0,IF(OFFSET(PLE!$G$14,$M16,CH$13)="",10^12,OFFSET(PLE!$G$14,$M16,CH$13))))</f>
        <v>0</v>
      </c>
      <c r="CI16" s="182">
        <f ca="1">IF($D16&lt;&gt;"Serviço",0,IF(OR(AND(AUTOEVENTO="Manual",$M16=1),$M16&gt;(ROW(PLE.lastrow)-ROW(PLE.firstrow))),0,IF(OFFSET(PLE!$G$14,$M16,CI$13)="",10^12,OFFSET(PLE!$G$14,$M16,CI$13))))</f>
        <v>0</v>
      </c>
      <c r="CJ16" s="182">
        <f ca="1">IF($D16&lt;&gt;"Serviço",0,IF(OR(AND(AUTOEVENTO="Manual",$M16=1),$M16&gt;(ROW(PLE.lastrow)-ROW(PLE.firstrow))),0,IF(OFFSET(PLE!$G$14,$M16,CJ$13)="",10^12,OFFSET(PLE!$G$14,$M16,CJ$13))))</f>
        <v>0</v>
      </c>
      <c r="CK16" s="182">
        <f ca="1">IF($D16&lt;&gt;"Serviço",0,IF(OR(AND(AUTOEVENTO="Manual",$M16=1),$M16&gt;(ROW(PLE.lastrow)-ROW(PLE.firstrow))),0,IF(OFFSET(PLE!$G$14,$M16,CK$13)="",10^12,OFFSET(PLE!$G$14,$M16,CK$13))))</f>
        <v>0</v>
      </c>
      <c r="CL16" s="182">
        <f ca="1">IF($D16&lt;&gt;"Serviço",0,IF(OR(AND(AUTOEVENTO="Manual",$M16=1),$M16&gt;(ROW(PLE.lastrow)-ROW(PLE.firstrow))),0,IF(OFFSET(PLE!$G$14,$M16,CL$13)="",10^12,OFFSET(PLE!$G$14,$M16,CL$13))))</f>
        <v>0</v>
      </c>
      <c r="CM16" s="182">
        <f ca="1">IF($D16&lt;&gt;"Serviço",0,IF(OR(AND(AUTOEVENTO="Manual",$M16=1),$M16&gt;(ROW(PLE.lastrow)-ROW(PLE.firstrow))),0,IF(OFFSET(PLE!$G$14,$M16,CM$13)="",10^12,OFFSET(PLE!$G$14,$M16,CM$13))))</f>
        <v>0</v>
      </c>
    </row>
    <row r="17" spans="1:91" ht="12.75" x14ac:dyDescent="0.2">
      <c r="A17" s="7" t="str">
        <f t="shared" ca="1" si="9"/>
        <v>2.</v>
      </c>
      <c r="B17" s="7">
        <f ca="1">OFFSET(ORÇAMENTO!C$15,ROW(B17)-ROW(B$15),0)</f>
        <v>2</v>
      </c>
      <c r="C17" s="7" t="str">
        <f ca="1">OFFSET(ORÇAMENTO!L$15,ROW(C17)-ROW(C$15),0)</f>
        <v>F</v>
      </c>
      <c r="D17" s="118" t="str">
        <f ca="1">OFFSET(ORÇAMENTO!N$15,ROW(D17)-ROW(D$15),0)</f>
        <v>Nível 2</v>
      </c>
      <c r="E17" s="119" t="str">
        <f ca="1">OFFSET(ORÇAMENTO!O$15,ROW(E17)-ROW(E$15),0)</f>
        <v>1.1.</v>
      </c>
      <c r="F17" s="172" t="str">
        <f ca="1">OFFSET(ORÇAMENTO!R$15,ROW(F17)-ROW(F$15),0)</f>
        <v>Lote 01  - Manutenção e Reparos Abrigos Passagerios Onibus e Táxi</v>
      </c>
      <c r="G17" s="173" t="str">
        <f ca="1">IF($D17&lt;&gt;"Serviço","",OFFSET(ORÇAMENTO!S$15,ROW(G17)-ROW(G$15),0))</f>
        <v/>
      </c>
      <c r="H17" s="124">
        <f ca="1">IF($D17&lt;&gt;"Serviço",0,IF(ACOMPANHAMENTO="BM",ROUND(OFFSET(ORÇAMENTO!AJ$15,ROW(H17)-ROW(H$15),0),15-13*ORÇAMENTO!$AF$7),SUMPRODUCT(($Q$12:$AI$12&lt;&gt;"")*ROUND($Q17:$AI17,15-13*ORÇAMENTO!$AF$7))))</f>
        <v>0</v>
      </c>
      <c r="I17" s="539"/>
      <c r="K17" s="174"/>
      <c r="L17" s="175" t="s">
        <v>254</v>
      </c>
      <c r="M17" s="176" t="str">
        <f ca="1">IF($D17&lt;&gt;"Serviço","",IF(AUTOEVENTO="manual",$A17,IF(ISERROR(MATCH($A17,$A$15:OFFSET($A17,-1,0),0)),MAX($M$15:OFFSET(M17,-1,0))+1,INDEX($M$15:OFFSET(M17,-1,0),MATCH($A17,$A$15:OFFSET($A17,-1,0),0)))))</f>
        <v/>
      </c>
      <c r="N17" s="177" t="str">
        <f ca="1">IF($D17&lt;&gt;"Serviço","",IF(AUTOEVENTO="Manual",IF($A17=0,"&lt;-- defina o número do agrupador",OFFSET(EVENTOS!$D$14,$A17,0)),OFFSET($F$15,$A17,0)))</f>
        <v/>
      </c>
      <c r="O17" s="178"/>
      <c r="Q17" s="178"/>
      <c r="R17" s="179"/>
      <c r="S17" s="179"/>
      <c r="T17" s="179"/>
      <c r="U17" s="179"/>
      <c r="V17" s="179"/>
      <c r="W17" s="179"/>
      <c r="X17" s="179"/>
      <c r="Y17" s="179"/>
      <c r="Z17" s="180"/>
      <c r="AA17" s="179"/>
      <c r="AB17" s="179"/>
      <c r="AC17" s="179"/>
      <c r="AD17" s="179"/>
      <c r="AE17" s="179"/>
      <c r="AF17" s="179"/>
      <c r="AG17" s="179"/>
      <c r="AH17" s="180"/>
      <c r="AJ17" s="522">
        <f ca="1">IF(AND($D17="Serviço",AJ$12&lt;&gt;0,$H17&gt;0,OR(AUTOEVENTO&lt;&gt;"manual",$M17&lt;&gt;1)),
IF(Import.TipoArredondamento&lt;&gt;"TransfereGOV",
ROUND(OFFSET($P17,0,AJ$13),15-13*ORÇAMENTO!$AF$7)/$H17*OFFSET(ORÇAMENTO!$X$15,ROW(AJ17)-ROW(AJ$15),0),
ROUND(ROUND(OFFSET($P17,0,AJ$13),15-13*ORÇAMENTO!$AF$7)*OFFSET(ORÇAMENTO!$W$15,ROW(AJ17)-ROW(AJ$15),0),15-13*ORÇAMENTO!$AF$11)),0)</f>
        <v>0</v>
      </c>
      <c r="AK17" s="523">
        <f ca="1">IF(AND($D17="Serviço",AK$12&lt;&gt;0,$H17&gt;0,OR(AUTOEVENTO&lt;&gt;"manual",$M17&lt;&gt;1)),
IF(Import.TipoArredondamento&lt;&gt;"TransfereGOV",
ROUND(OFFSET($P17,0,AK$13),15-13*ORÇAMENTO!$AF$7)/$H17*OFFSET(ORÇAMENTO!$X$15,ROW(AK17)-ROW(AK$15),0),
ROUND(ROUND(OFFSET($P17,0,AK$13),15-13*ORÇAMENTO!$AF$7)*OFFSET(ORÇAMENTO!$W$15,ROW(AK17)-ROW(AK$15),0),15-13*ORÇAMENTO!$AF$11)),0)</f>
        <v>0</v>
      </c>
      <c r="AL17" s="523">
        <f ca="1">IF(AND($D17="Serviço",AL$12&lt;&gt;0,$H17&gt;0,OR(AUTOEVENTO&lt;&gt;"manual",$M17&lt;&gt;1)),
IF(Import.TipoArredondamento&lt;&gt;"TransfereGOV",
ROUND(OFFSET($P17,0,AL$13),15-13*ORÇAMENTO!$AF$7)/$H17*OFFSET(ORÇAMENTO!$X$15,ROW(AL17)-ROW(AL$15),0),
ROUND(ROUND(OFFSET($P17,0,AL$13),15-13*ORÇAMENTO!$AF$7)*OFFSET(ORÇAMENTO!$W$15,ROW(AL17)-ROW(AL$15),0),15-13*ORÇAMENTO!$AF$11)),0)</f>
        <v>0</v>
      </c>
      <c r="AM17" s="523">
        <f ca="1">IF(AND($D17="Serviço",AM$12&lt;&gt;0,$H17&gt;0,OR(AUTOEVENTO&lt;&gt;"manual",$M17&lt;&gt;1)),
IF(Import.TipoArredondamento&lt;&gt;"TransfereGOV",
ROUND(OFFSET($P17,0,AM$13),15-13*ORÇAMENTO!$AF$7)/$H17*OFFSET(ORÇAMENTO!$X$15,ROW(AM17)-ROW(AM$15),0),
ROUND(ROUND(OFFSET($P17,0,AM$13),15-13*ORÇAMENTO!$AF$7)*OFFSET(ORÇAMENTO!$W$15,ROW(AM17)-ROW(AM$15),0),15-13*ORÇAMENTO!$AF$11)),0)</f>
        <v>0</v>
      </c>
      <c r="AN17" s="523">
        <f ca="1">IF(AND($D17="Serviço",AN$12&lt;&gt;0,$H17&gt;0,OR(AUTOEVENTO&lt;&gt;"manual",$M17&lt;&gt;1)),
IF(Import.TipoArredondamento&lt;&gt;"TransfereGOV",
ROUND(OFFSET($P17,0,AN$13),15-13*ORÇAMENTO!$AF$7)/$H17*OFFSET(ORÇAMENTO!$X$15,ROW(AN17)-ROW(AN$15),0),
ROUND(ROUND(OFFSET($P17,0,AN$13),15-13*ORÇAMENTO!$AF$7)*OFFSET(ORÇAMENTO!$W$15,ROW(AN17)-ROW(AN$15),0),15-13*ORÇAMENTO!$AF$11)),0)</f>
        <v>0</v>
      </c>
      <c r="AO17" s="523">
        <f ca="1">IF(AND($D17="Serviço",AO$12&lt;&gt;0,$H17&gt;0,OR(AUTOEVENTO&lt;&gt;"manual",$M17&lt;&gt;1)),
IF(Import.TipoArredondamento&lt;&gt;"TransfereGOV",
ROUND(OFFSET($P17,0,AO$13),15-13*ORÇAMENTO!$AF$7)/$H17*OFFSET(ORÇAMENTO!$X$15,ROW(AO17)-ROW(AO$15),0),
ROUND(ROUND(OFFSET($P17,0,AO$13),15-13*ORÇAMENTO!$AF$7)*OFFSET(ORÇAMENTO!$W$15,ROW(AO17)-ROW(AO$15),0),15-13*ORÇAMENTO!$AF$11)),0)</f>
        <v>0</v>
      </c>
      <c r="AP17" s="523">
        <f ca="1">IF(AND($D17="Serviço",AP$12&lt;&gt;0,$H17&gt;0,OR(AUTOEVENTO&lt;&gt;"manual",$M17&lt;&gt;1)),
IF(Import.TipoArredondamento&lt;&gt;"TransfereGOV",
ROUND(OFFSET($P17,0,AP$13),15-13*ORÇAMENTO!$AF$7)/$H17*OFFSET(ORÇAMENTO!$X$15,ROW(AP17)-ROW(AP$15),0),
ROUND(ROUND(OFFSET($P17,0,AP$13),15-13*ORÇAMENTO!$AF$7)*OFFSET(ORÇAMENTO!$W$15,ROW(AP17)-ROW(AP$15),0),15-13*ORÇAMENTO!$AF$11)),0)</f>
        <v>0</v>
      </c>
      <c r="AQ17" s="523">
        <f ca="1">IF(AND($D17="Serviço",AQ$12&lt;&gt;0,$H17&gt;0,OR(AUTOEVENTO&lt;&gt;"manual",$M17&lt;&gt;1)),
IF(Import.TipoArredondamento&lt;&gt;"TransfereGOV",
ROUND(OFFSET($P17,0,AQ$13),15-13*ORÇAMENTO!$AF$7)/$H17*OFFSET(ORÇAMENTO!$X$15,ROW(AQ17)-ROW(AQ$15),0),
ROUND(ROUND(OFFSET($P17,0,AQ$13),15-13*ORÇAMENTO!$AF$7)*OFFSET(ORÇAMENTO!$W$15,ROW(AQ17)-ROW(AQ$15),0),15-13*ORÇAMENTO!$AF$11)),0)</f>
        <v>0</v>
      </c>
      <c r="AR17" s="523">
        <f ca="1">IF(AND($D17="Serviço",AR$12&lt;&gt;0,$H17&gt;0,OR(AUTOEVENTO&lt;&gt;"manual",$M17&lt;&gt;1)),
IF(Import.TipoArredondamento&lt;&gt;"TransfereGOV",
ROUND(OFFSET($P17,0,AR$13),15-13*ORÇAMENTO!$AF$7)/$H17*OFFSET(ORÇAMENTO!$X$15,ROW(AR17)-ROW(AR$15),0),
ROUND(ROUND(OFFSET($P17,0,AR$13),15-13*ORÇAMENTO!$AF$7)*OFFSET(ORÇAMENTO!$W$15,ROW(AR17)-ROW(AR$15),0),15-13*ORÇAMENTO!$AF$11)),0)</f>
        <v>0</v>
      </c>
      <c r="AS17" s="524">
        <f ca="1">IF(AND($D17="Serviço",AS$12&lt;&gt;0,$H17&gt;0,OR(AUTOEVENTO&lt;&gt;"manual",$M17&lt;&gt;1)),
IF(Import.TipoArredondamento&lt;&gt;"TransfereGOV",
ROUND(OFFSET($P17,0,AS$13),15-13*ORÇAMENTO!$AF$7)/$H17*OFFSET(ORÇAMENTO!$X$15,ROW(AS17)-ROW(AS$15),0),
ROUND(ROUND(OFFSET($P17,0,AS$13),15-13*ORÇAMENTO!$AF$7)*OFFSET(ORÇAMENTO!$W$15,ROW(AS17)-ROW(AS$15),0),15-13*ORÇAMENTO!$AF$11)),0)</f>
        <v>0</v>
      </c>
      <c r="AT17" s="523">
        <f ca="1">IF(AND($D17="Serviço",AT$12&lt;&gt;0,$H17&gt;0,OR(AUTOEVENTO&lt;&gt;"manual",$M17&lt;&gt;1)),
IF(Import.TipoArredondamento&lt;&gt;"TransfereGOV",
ROUND(OFFSET($P17,0,AT$13),15-13*ORÇAMENTO!$AF$7)/$H17*OFFSET(ORÇAMENTO!$X$15,ROW(AT17)-ROW(AT$15),0),
ROUND(ROUND(OFFSET($P17,0,AT$13),15-13*ORÇAMENTO!$AF$7)*OFFSET(ORÇAMENTO!$W$15,ROW(AT17)-ROW(AT$15),0),15-13*ORÇAMENTO!$AF$11)),0)</f>
        <v>0</v>
      </c>
      <c r="AU17" s="523">
        <f ca="1">IF(AND($D17="Serviço",AU$12&lt;&gt;0,$H17&gt;0,OR(AUTOEVENTO&lt;&gt;"manual",$M17&lt;&gt;1)),
IF(Import.TipoArredondamento&lt;&gt;"TransfereGOV",
ROUND(OFFSET($P17,0,AU$13),15-13*ORÇAMENTO!$AF$7)/$H17*OFFSET(ORÇAMENTO!$X$15,ROW(AU17)-ROW(AU$15),0),
ROUND(ROUND(OFFSET($P17,0,AU$13),15-13*ORÇAMENTO!$AF$7)*OFFSET(ORÇAMENTO!$W$15,ROW(AU17)-ROW(AU$15),0),15-13*ORÇAMENTO!$AF$11)),0)</f>
        <v>0</v>
      </c>
      <c r="AV17" s="523">
        <f ca="1">IF(AND($D17="Serviço",AV$12&lt;&gt;0,$H17&gt;0,OR(AUTOEVENTO&lt;&gt;"manual",$M17&lt;&gt;1)),
IF(Import.TipoArredondamento&lt;&gt;"TransfereGOV",
ROUND(OFFSET($P17,0,AV$13),15-13*ORÇAMENTO!$AF$7)/$H17*OFFSET(ORÇAMENTO!$X$15,ROW(AV17)-ROW(AV$15),0),
ROUND(ROUND(OFFSET($P17,0,AV$13),15-13*ORÇAMENTO!$AF$7)*OFFSET(ORÇAMENTO!$W$15,ROW(AV17)-ROW(AV$15),0),15-13*ORÇAMENTO!$AF$11)),0)</f>
        <v>0</v>
      </c>
      <c r="AW17" s="523">
        <f ca="1">IF(AND($D17="Serviço",AW$12&lt;&gt;0,$H17&gt;0,OR(AUTOEVENTO&lt;&gt;"manual",$M17&lt;&gt;1)),
IF(Import.TipoArredondamento&lt;&gt;"TransfereGOV",
ROUND(OFFSET($P17,0,AW$13),15-13*ORÇAMENTO!$AF$7)/$H17*OFFSET(ORÇAMENTO!$X$15,ROW(AW17)-ROW(AW$15),0),
ROUND(ROUND(OFFSET($P17,0,AW$13),15-13*ORÇAMENTO!$AF$7)*OFFSET(ORÇAMENTO!$W$15,ROW(AW17)-ROW(AW$15),0),15-13*ORÇAMENTO!$AF$11)),0)</f>
        <v>0</v>
      </c>
      <c r="AX17" s="523">
        <f ca="1">IF(AND($D17="Serviço",AX$12&lt;&gt;0,$H17&gt;0,OR(AUTOEVENTO&lt;&gt;"manual",$M17&lt;&gt;1)),
IF(Import.TipoArredondamento&lt;&gt;"TransfereGOV",
ROUND(OFFSET($P17,0,AX$13),15-13*ORÇAMENTO!$AF$7)/$H17*OFFSET(ORÇAMENTO!$X$15,ROW(AX17)-ROW(AX$15),0),
ROUND(ROUND(OFFSET($P17,0,AX$13),15-13*ORÇAMENTO!$AF$7)*OFFSET(ORÇAMENTO!$W$15,ROW(AX17)-ROW(AX$15),0),15-13*ORÇAMENTO!$AF$11)),0)</f>
        <v>0</v>
      </c>
      <c r="AY17" s="523">
        <f ca="1">IF(AND($D17="Serviço",AY$12&lt;&gt;0,$H17&gt;0,OR(AUTOEVENTO&lt;&gt;"manual",$M17&lt;&gt;1)),
IF(Import.TipoArredondamento&lt;&gt;"TransfereGOV",
ROUND(OFFSET($P17,0,AY$13),15-13*ORÇAMENTO!$AF$7)/$H17*OFFSET(ORÇAMENTO!$X$15,ROW(AY17)-ROW(AY$15),0),
ROUND(ROUND(OFFSET($P17,0,AY$13),15-13*ORÇAMENTO!$AF$7)*OFFSET(ORÇAMENTO!$W$15,ROW(AY17)-ROW(AY$15),0),15-13*ORÇAMENTO!$AF$11)),0)</f>
        <v>0</v>
      </c>
      <c r="AZ17" s="523">
        <f ca="1">IF(AND($D17="Serviço",AZ$12&lt;&gt;0,$H17&gt;0,OR(AUTOEVENTO&lt;&gt;"manual",$M17&lt;&gt;1)),
IF(Import.TipoArredondamento&lt;&gt;"TransfereGOV",
ROUND(OFFSET($P17,0,AZ$13),15-13*ORÇAMENTO!$AF$7)/$H17*OFFSET(ORÇAMENTO!$X$15,ROW(AZ17)-ROW(AZ$15),0),
ROUND(ROUND(OFFSET($P17,0,AZ$13),15-13*ORÇAMENTO!$AF$7)*OFFSET(ORÇAMENTO!$W$15,ROW(AZ17)-ROW(AZ$15),0),15-13*ORÇAMENTO!$AF$11)),0)</f>
        <v>0</v>
      </c>
      <c r="BA17" s="524">
        <f ca="1">IF(AND($D17="Serviço",BA$12&lt;&gt;0,$H17&gt;0,OR(AUTOEVENTO&lt;&gt;"manual",$M17&lt;&gt;1)),
IF(Import.TipoArredondamento&lt;&gt;"TransfereGOV",
ROUND(OFFSET($P17,0,BA$13),15-13*ORÇAMENTO!$AF$7)/$H17*OFFSET(ORÇAMENTO!$X$15,ROW(BA17)-ROW(BA$15),0),
ROUND(ROUND(OFFSET($P17,0,BA$13),15-13*ORÇAMENTO!$AF$7)*OFFSET(ORÇAMENTO!$W$15,ROW(BA17)-ROW(BA$15),0),15-13*ORÇAMENTO!$AF$11)),0)</f>
        <v>0</v>
      </c>
      <c r="BC17" s="181">
        <f ca="1">IF($D17&lt;&gt;"Serviço",0,IF(AND(AUTOEVENTO="Manual",$M17=1),0,IF(OFFSET(CRONOPLE!$F$14,$M17,BC$13)="",10^12,OFFSET(CRONOPLE!$F$14,$M17,BC$13))))</f>
        <v>0</v>
      </c>
      <c r="BD17" s="181">
        <f ca="1">IF($D17&lt;&gt;"Serviço",0,IF(AND(AUTOEVENTO="Manual",$M17=1),0,IF(OFFSET(CRONOPLE!$F$14,$M17,BD$13)="",10^12,OFFSET(CRONOPLE!$F$14,$M17,BD$13))))</f>
        <v>0</v>
      </c>
      <c r="BE17" s="181">
        <f ca="1">IF($D17&lt;&gt;"Serviço",0,IF(AND(AUTOEVENTO="Manual",$M17=1),0,IF(OFFSET(CRONOPLE!$F$14,$M17,BE$13)="",10^12,OFFSET(CRONOPLE!$F$14,$M17,BE$13))))</f>
        <v>0</v>
      </c>
      <c r="BF17" s="181">
        <f ca="1">IF($D17&lt;&gt;"Serviço",0,IF(AND(AUTOEVENTO="Manual",$M17=1),0,IF(OFFSET(CRONOPLE!$F$14,$M17,BF$13)="",10^12,OFFSET(CRONOPLE!$F$14,$M17,BF$13))))</f>
        <v>0</v>
      </c>
      <c r="BG17" s="181">
        <f ca="1">IF($D17&lt;&gt;"Serviço",0,IF(AND(AUTOEVENTO="Manual",$M17=1),0,IF(OFFSET(CRONOPLE!$F$14,$M17,BG$13)="",10^12,OFFSET(CRONOPLE!$F$14,$M17,BG$13))))</f>
        <v>0</v>
      </c>
      <c r="BH17" s="181">
        <f ca="1">IF($D17&lt;&gt;"Serviço",0,IF(AND(AUTOEVENTO="Manual",$M17=1),0,IF(OFFSET(CRONOPLE!$F$14,$M17,BH$13)="",10^12,OFFSET(CRONOPLE!$F$14,$M17,BH$13))))</f>
        <v>0</v>
      </c>
      <c r="BI17" s="181">
        <f ca="1">IF($D17&lt;&gt;"Serviço",0,IF(AND(AUTOEVENTO="Manual",$M17=1),0,IF(OFFSET(CRONOPLE!$F$14,$M17,BI$13)="",10^12,OFFSET(CRONOPLE!$F$14,$M17,BI$13))))</f>
        <v>0</v>
      </c>
      <c r="BJ17" s="181">
        <f ca="1">IF($D17&lt;&gt;"Serviço",0,IF(AND(AUTOEVENTO="Manual",$M17=1),0,IF(OFFSET(CRONOPLE!$F$14,$M17,BJ$13)="",10^12,OFFSET(CRONOPLE!$F$14,$M17,BJ$13))))</f>
        <v>0</v>
      </c>
      <c r="BK17" s="181">
        <f ca="1">IF($D17&lt;&gt;"Serviço",0,IF(AND(AUTOEVENTO="Manual",$M17=1),0,IF(OFFSET(CRONOPLE!$F$14,$M17,BK$13)="",10^12,OFFSET(CRONOPLE!$F$14,$M17,BK$13))))</f>
        <v>0</v>
      </c>
      <c r="BL17" s="181">
        <f ca="1">IF($D17&lt;&gt;"Serviço",0,IF(AND(AUTOEVENTO="Manual",$M17=1),0,IF(OFFSET(CRONOPLE!$F$14,$M17,BL$13)="",10^12,OFFSET(CRONOPLE!$F$14,$M17,BL$13))))</f>
        <v>0</v>
      </c>
      <c r="BM17" s="181">
        <f ca="1">IF($D17&lt;&gt;"Serviço",0,IF(AND(AUTOEVENTO="Manual",$M17=1),0,IF(OFFSET(CRONOPLE!$F$14,$M17,BM$13)="",10^12,OFFSET(CRONOPLE!$F$14,$M17,BM$13))))</f>
        <v>0</v>
      </c>
      <c r="BN17" s="181">
        <f ca="1">IF($D17&lt;&gt;"Serviço",0,IF(AND(AUTOEVENTO="Manual",$M17=1),0,IF(OFFSET(CRONOPLE!$F$14,$M17,BN$13)="",10^12,OFFSET(CRONOPLE!$F$14,$M17,BN$13))))</f>
        <v>0</v>
      </c>
      <c r="BO17" s="181">
        <f ca="1">IF($D17&lt;&gt;"Serviço",0,IF(AND(AUTOEVENTO="Manual",$M17=1),0,IF(OFFSET(CRONOPLE!$F$14,$M17,BO$13)="",10^12,OFFSET(CRONOPLE!$F$14,$M17,BO$13))))</f>
        <v>0</v>
      </c>
      <c r="BP17" s="181">
        <f ca="1">IF($D17&lt;&gt;"Serviço",0,IF(AND(AUTOEVENTO="Manual",$M17=1),0,IF(OFFSET(CRONOPLE!$F$14,$M17,BP$13)="",10^12,OFFSET(CRONOPLE!$F$14,$M17,BP$13))))</f>
        <v>0</v>
      </c>
      <c r="BQ17" s="181">
        <f ca="1">IF($D17&lt;&gt;"Serviço",0,IF(AND(AUTOEVENTO="Manual",$M17=1),0,IF(OFFSET(CRONOPLE!$F$14,$M17,BQ$13)="",10^12,OFFSET(CRONOPLE!$F$14,$M17,BQ$13))))</f>
        <v>0</v>
      </c>
      <c r="BR17" s="181">
        <f ca="1">IF($D17&lt;&gt;"Serviço",0,IF(AND(AUTOEVENTO="Manual",$M17=1),0,IF(OFFSET(CRONOPLE!$F$14,$M17,BR$13)="",10^12,OFFSET(CRONOPLE!$F$14,$M17,BR$13))))</f>
        <v>0</v>
      </c>
      <c r="BS17" s="181">
        <f ca="1">IF($D17&lt;&gt;"Serviço",0,IF(AND(AUTOEVENTO="Manual",$M17=1),0,IF(OFFSET(CRONOPLE!$F$14,$M17,BS$13)="",10^12,OFFSET(CRONOPLE!$F$14,$M17,BS$13))))</f>
        <v>0</v>
      </c>
      <c r="BT17" s="181">
        <f ca="1">IF($D17&lt;&gt;"Serviço",0,IF(AND(AUTOEVENTO="Manual",$M17=1),0,IF(OFFSET(CRONOPLE!$F$14,$M17,BT$13)="",10^12,OFFSET(CRONOPLE!$F$14,$M17,BT$13))))</f>
        <v>0</v>
      </c>
      <c r="BV17" s="182">
        <f ca="1">IF($D17&lt;&gt;"Serviço",0,IF(OR(AND(AUTOEVENTO="Manual",$M17=1),$M17&gt;(ROW(PLE.lastrow)-ROW(PLE.firstrow))),0,IF(OFFSET(PLE!$G$14,$M17,BV$13)="",10^12,OFFSET(PLE!$G$14,$M17,BV$13))))</f>
        <v>0</v>
      </c>
      <c r="BW17" s="182">
        <f ca="1">IF($D17&lt;&gt;"Serviço",0,IF(OR(AND(AUTOEVENTO="Manual",$M17=1),$M17&gt;(ROW(PLE.lastrow)-ROW(PLE.firstrow))),0,IF(OFFSET(PLE!$G$14,$M17,BW$13)="",10^12,OFFSET(PLE!$G$14,$M17,BW$13))))</f>
        <v>0</v>
      </c>
      <c r="BX17" s="182">
        <f ca="1">IF($D17&lt;&gt;"Serviço",0,IF(OR(AND(AUTOEVENTO="Manual",$M17=1),$M17&gt;(ROW(PLE.lastrow)-ROW(PLE.firstrow))),0,IF(OFFSET(PLE!$G$14,$M17,BX$13)="",10^12,OFFSET(PLE!$G$14,$M17,BX$13))))</f>
        <v>0</v>
      </c>
      <c r="BY17" s="182">
        <f ca="1">IF($D17&lt;&gt;"Serviço",0,IF(OR(AND(AUTOEVENTO="Manual",$M17=1),$M17&gt;(ROW(PLE.lastrow)-ROW(PLE.firstrow))),0,IF(OFFSET(PLE!$G$14,$M17,BY$13)="",10^12,OFFSET(PLE!$G$14,$M17,BY$13))))</f>
        <v>0</v>
      </c>
      <c r="BZ17" s="182">
        <f ca="1">IF($D17&lt;&gt;"Serviço",0,IF(OR(AND(AUTOEVENTO="Manual",$M17=1),$M17&gt;(ROW(PLE.lastrow)-ROW(PLE.firstrow))),0,IF(OFFSET(PLE!$G$14,$M17,BZ$13)="",10^12,OFFSET(PLE!$G$14,$M17,BZ$13))))</f>
        <v>0</v>
      </c>
      <c r="CA17" s="182">
        <f ca="1">IF($D17&lt;&gt;"Serviço",0,IF(OR(AND(AUTOEVENTO="Manual",$M17=1),$M17&gt;(ROW(PLE.lastrow)-ROW(PLE.firstrow))),0,IF(OFFSET(PLE!$G$14,$M17,CA$13)="",10^12,OFFSET(PLE!$G$14,$M17,CA$13))))</f>
        <v>0</v>
      </c>
      <c r="CB17" s="182">
        <f ca="1">IF($D17&lt;&gt;"Serviço",0,IF(OR(AND(AUTOEVENTO="Manual",$M17=1),$M17&gt;(ROW(PLE.lastrow)-ROW(PLE.firstrow))),0,IF(OFFSET(PLE!$G$14,$M17,CB$13)="",10^12,OFFSET(PLE!$G$14,$M17,CB$13))))</f>
        <v>0</v>
      </c>
      <c r="CC17" s="182">
        <f ca="1">IF($D17&lt;&gt;"Serviço",0,IF(OR(AND(AUTOEVENTO="Manual",$M17=1),$M17&gt;(ROW(PLE.lastrow)-ROW(PLE.firstrow))),0,IF(OFFSET(PLE!$G$14,$M17,CC$13)="",10^12,OFFSET(PLE!$G$14,$M17,CC$13))))</f>
        <v>0</v>
      </c>
      <c r="CD17" s="182">
        <f ca="1">IF($D17&lt;&gt;"Serviço",0,IF(OR(AND(AUTOEVENTO="Manual",$M17=1),$M17&gt;(ROW(PLE.lastrow)-ROW(PLE.firstrow))),0,IF(OFFSET(PLE!$G$14,$M17,CD$13)="",10^12,OFFSET(PLE!$G$14,$M17,CD$13))))</f>
        <v>0</v>
      </c>
      <c r="CE17" s="182">
        <f ca="1">IF($D17&lt;&gt;"Serviço",0,IF(OR(AND(AUTOEVENTO="Manual",$M17=1),$M17&gt;(ROW(PLE.lastrow)-ROW(PLE.firstrow))),0,IF(OFFSET(PLE!$G$14,$M17,CE$13)="",10^12,OFFSET(PLE!$G$14,$M17,CE$13))))</f>
        <v>0</v>
      </c>
      <c r="CF17" s="182">
        <f ca="1">IF($D17&lt;&gt;"Serviço",0,IF(OR(AND(AUTOEVENTO="Manual",$M17=1),$M17&gt;(ROW(PLE.lastrow)-ROW(PLE.firstrow))),0,IF(OFFSET(PLE!$G$14,$M17,CF$13)="",10^12,OFFSET(PLE!$G$14,$M17,CF$13))))</f>
        <v>0</v>
      </c>
      <c r="CG17" s="182">
        <f ca="1">IF($D17&lt;&gt;"Serviço",0,IF(OR(AND(AUTOEVENTO="Manual",$M17=1),$M17&gt;(ROW(PLE.lastrow)-ROW(PLE.firstrow))),0,IF(OFFSET(PLE!$G$14,$M17,CG$13)="",10^12,OFFSET(PLE!$G$14,$M17,CG$13))))</f>
        <v>0</v>
      </c>
      <c r="CH17" s="182">
        <f ca="1">IF($D17&lt;&gt;"Serviço",0,IF(OR(AND(AUTOEVENTO="Manual",$M17=1),$M17&gt;(ROW(PLE.lastrow)-ROW(PLE.firstrow))),0,IF(OFFSET(PLE!$G$14,$M17,CH$13)="",10^12,OFFSET(PLE!$G$14,$M17,CH$13))))</f>
        <v>0</v>
      </c>
      <c r="CI17" s="182">
        <f ca="1">IF($D17&lt;&gt;"Serviço",0,IF(OR(AND(AUTOEVENTO="Manual",$M17=1),$M17&gt;(ROW(PLE.lastrow)-ROW(PLE.firstrow))),0,IF(OFFSET(PLE!$G$14,$M17,CI$13)="",10^12,OFFSET(PLE!$G$14,$M17,CI$13))))</f>
        <v>0</v>
      </c>
      <c r="CJ17" s="182">
        <f ca="1">IF($D17&lt;&gt;"Serviço",0,IF(OR(AND(AUTOEVENTO="Manual",$M17=1),$M17&gt;(ROW(PLE.lastrow)-ROW(PLE.firstrow))),0,IF(OFFSET(PLE!$G$14,$M17,CJ$13)="",10^12,OFFSET(PLE!$G$14,$M17,CJ$13))))</f>
        <v>0</v>
      </c>
      <c r="CK17" s="182">
        <f ca="1">IF($D17&lt;&gt;"Serviço",0,IF(OR(AND(AUTOEVENTO="Manual",$M17=1),$M17&gt;(ROW(PLE.lastrow)-ROW(PLE.firstrow))),0,IF(OFFSET(PLE!$G$14,$M17,CK$13)="",10^12,OFFSET(PLE!$G$14,$M17,CK$13))))</f>
        <v>0</v>
      </c>
      <c r="CL17" s="182">
        <f ca="1">IF($D17&lt;&gt;"Serviço",0,IF(OR(AND(AUTOEVENTO="Manual",$M17=1),$M17&gt;(ROW(PLE.lastrow)-ROW(PLE.firstrow))),0,IF(OFFSET(PLE!$G$14,$M17,CL$13)="",10^12,OFFSET(PLE!$G$14,$M17,CL$13))))</f>
        <v>0</v>
      </c>
      <c r="CM17" s="182">
        <f ca="1">IF($D17&lt;&gt;"Serviço",0,IF(OR(AND(AUTOEVENTO="Manual",$M17=1),$M17&gt;(ROW(PLE.lastrow)-ROW(PLE.firstrow))),0,IF(OFFSET(PLE!$G$14,$M17,CM$13)="",10^12,OFFSET(PLE!$G$14,$M17,CM$13))))</f>
        <v>0</v>
      </c>
    </row>
    <row r="18" spans="1:91" ht="25.5" x14ac:dyDescent="0.2">
      <c r="A18" s="7" t="str">
        <f t="shared" ca="1" si="9"/>
        <v>2</v>
      </c>
      <c r="B18" s="7" t="str">
        <f ca="1">OFFSET(ORÇAMENTO!C$15,ROW(B18)-ROW(B$15),0)</f>
        <v>S</v>
      </c>
      <c r="C18" s="7" t="str">
        <f ca="1">OFFSET(ORÇAMENTO!L$15,ROW(C18)-ROW(C$15),0)</f>
        <v/>
      </c>
      <c r="D18" s="118" t="str">
        <f ca="1">OFFSET(ORÇAMENTO!N$15,ROW(D18)-ROW(D$15),0)</f>
        <v>Serviço</v>
      </c>
      <c r="E18" s="119" t="str">
        <f ca="1">OFFSET(ORÇAMENTO!O$15,ROW(E18)-ROW(E$15),0)</f>
        <v>-</v>
      </c>
      <c r="F18" s="172" t="str">
        <f ca="1">OFFSET(ORÇAMENTO!R$15,ROW(F18)-ROW(F$15),0)</f>
        <v>(abra o arquivo 'Referência 03-Sunday.xlsm)</v>
      </c>
      <c r="G18" s="173" t="str">
        <f ca="1">IF($D18&lt;&gt;"Serviço","",OFFSET(ORÇAMENTO!S$15,ROW(G18)-ROW(G$15),0))</f>
        <v>-</v>
      </c>
      <c r="H18" s="124">
        <f ca="1">IF($D18&lt;&gt;"Serviço",0,IF(ACOMPANHAMENTO="BM",ROUND(OFFSET(ORÇAMENTO!AJ$15,ROW(H18)-ROW(H$15),0),15-13*ORÇAMENTO!$AF$7),SUMPRODUCT(($Q$12:$AI$12&lt;&gt;"")*ROUND($Q18:$AI18,15-13*ORÇAMENTO!$AF$7))))</f>
        <v>100</v>
      </c>
      <c r="I18" s="539" t="s">
        <v>506</v>
      </c>
      <c r="K18" s="174"/>
      <c r="L18" s="175" t="s">
        <v>254</v>
      </c>
      <c r="M18" s="176">
        <f ca="1">IF($D18&lt;&gt;"Serviço","",IF(AUTOEVENTO="manual",$A18,IF(ISERROR(MATCH($A18,$A$15:OFFSET($A18,-1,0),0)),MAX($M$15:OFFSET(M18,-1,0))+1,INDEX($M$15:OFFSET(M18,-1,0),MATCH($A18,$A$15:OFFSET($A18,-1,0),0)))))</f>
        <v>2</v>
      </c>
      <c r="N18" s="177" t="str">
        <f ca="1">IF($D18&lt;&gt;"Serviço","",IF(AUTOEVENTO="Manual",IF($A18=0,"&lt;-- defina o número do agrupador",OFFSET(EVENTOS!$D$14,$A18,0)),OFFSET($F$15,$A18,0)))</f>
        <v>Lote 01  - Manutenção e Reparos Abrigos Passagerios Onibus e Táxi</v>
      </c>
      <c r="O18" s="178"/>
      <c r="Q18" s="178">
        <v>100</v>
      </c>
      <c r="R18" s="179"/>
      <c r="S18" s="179"/>
      <c r="T18" s="179"/>
      <c r="U18" s="179"/>
      <c r="V18" s="179"/>
      <c r="W18" s="179"/>
      <c r="X18" s="179"/>
      <c r="Y18" s="179"/>
      <c r="Z18" s="180"/>
      <c r="AA18" s="179"/>
      <c r="AB18" s="179"/>
      <c r="AC18" s="179"/>
      <c r="AD18" s="179"/>
      <c r="AE18" s="179"/>
      <c r="AF18" s="179"/>
      <c r="AG18" s="179"/>
      <c r="AH18" s="180"/>
      <c r="AJ18" s="522">
        <f ca="1">IF(AND($D18="Serviço",AJ$12&lt;&gt;0,$H18&gt;0,OR(AUTOEVENTO&lt;&gt;"manual",$M18&lt;&gt;1)),
IF(Import.TipoArredondamento&lt;&gt;"TransfereGOV",
ROUND(OFFSET($P18,0,AJ$13),15-13*ORÇAMENTO!$AF$7)/$H18*OFFSET(ORÇAMENTO!$X$15,ROW(AJ18)-ROW(AJ$15),0),
ROUND(ROUND(OFFSET($P18,0,AJ$13),15-13*ORÇAMENTO!$AF$7)*OFFSET(ORÇAMENTO!$W$15,ROW(AJ18)-ROW(AJ$15),0),15-13*ORÇAMENTO!$AF$11)),0)</f>
        <v>0</v>
      </c>
      <c r="AK18" s="523">
        <f ca="1">IF(AND($D18="Serviço",AK$12&lt;&gt;0,$H18&gt;0,OR(AUTOEVENTO&lt;&gt;"manual",$M18&lt;&gt;1)),
IF(Import.TipoArredondamento&lt;&gt;"TransfereGOV",
ROUND(OFFSET($P18,0,AK$13),15-13*ORÇAMENTO!$AF$7)/$H18*OFFSET(ORÇAMENTO!$X$15,ROW(AK18)-ROW(AK$15),0),
ROUND(ROUND(OFFSET($P18,0,AK$13),15-13*ORÇAMENTO!$AF$7)*OFFSET(ORÇAMENTO!$W$15,ROW(AK18)-ROW(AK$15),0),15-13*ORÇAMENTO!$AF$11)),0)</f>
        <v>0</v>
      </c>
      <c r="AL18" s="523">
        <f ca="1">IF(AND($D18="Serviço",AL$12&lt;&gt;0,$H18&gt;0,OR(AUTOEVENTO&lt;&gt;"manual",$M18&lt;&gt;1)),
IF(Import.TipoArredondamento&lt;&gt;"TransfereGOV",
ROUND(OFFSET($P18,0,AL$13),15-13*ORÇAMENTO!$AF$7)/$H18*OFFSET(ORÇAMENTO!$X$15,ROW(AL18)-ROW(AL$15),0),
ROUND(ROUND(OFFSET($P18,0,AL$13),15-13*ORÇAMENTO!$AF$7)*OFFSET(ORÇAMENTO!$W$15,ROW(AL18)-ROW(AL$15),0),15-13*ORÇAMENTO!$AF$11)),0)</f>
        <v>0</v>
      </c>
      <c r="AM18" s="523">
        <f ca="1">IF(AND($D18="Serviço",AM$12&lt;&gt;0,$H18&gt;0,OR(AUTOEVENTO&lt;&gt;"manual",$M18&lt;&gt;1)),
IF(Import.TipoArredondamento&lt;&gt;"TransfereGOV",
ROUND(OFFSET($P18,0,AM$13),15-13*ORÇAMENTO!$AF$7)/$H18*OFFSET(ORÇAMENTO!$X$15,ROW(AM18)-ROW(AM$15),0),
ROUND(ROUND(OFFSET($P18,0,AM$13),15-13*ORÇAMENTO!$AF$7)*OFFSET(ORÇAMENTO!$W$15,ROW(AM18)-ROW(AM$15),0),15-13*ORÇAMENTO!$AF$11)),0)</f>
        <v>0</v>
      </c>
      <c r="AN18" s="523">
        <f ca="1">IF(AND($D18="Serviço",AN$12&lt;&gt;0,$H18&gt;0,OR(AUTOEVENTO&lt;&gt;"manual",$M18&lt;&gt;1)),
IF(Import.TipoArredondamento&lt;&gt;"TransfereGOV",
ROUND(OFFSET($P18,0,AN$13),15-13*ORÇAMENTO!$AF$7)/$H18*OFFSET(ORÇAMENTO!$X$15,ROW(AN18)-ROW(AN$15),0),
ROUND(ROUND(OFFSET($P18,0,AN$13),15-13*ORÇAMENTO!$AF$7)*OFFSET(ORÇAMENTO!$W$15,ROW(AN18)-ROW(AN$15),0),15-13*ORÇAMENTO!$AF$11)),0)</f>
        <v>0</v>
      </c>
      <c r="AO18" s="523">
        <f ca="1">IF(AND($D18="Serviço",AO$12&lt;&gt;0,$H18&gt;0,OR(AUTOEVENTO&lt;&gt;"manual",$M18&lt;&gt;1)),
IF(Import.TipoArredondamento&lt;&gt;"TransfereGOV",
ROUND(OFFSET($P18,0,AO$13),15-13*ORÇAMENTO!$AF$7)/$H18*OFFSET(ORÇAMENTO!$X$15,ROW(AO18)-ROW(AO$15),0),
ROUND(ROUND(OFFSET($P18,0,AO$13),15-13*ORÇAMENTO!$AF$7)*OFFSET(ORÇAMENTO!$W$15,ROW(AO18)-ROW(AO$15),0),15-13*ORÇAMENTO!$AF$11)),0)</f>
        <v>0</v>
      </c>
      <c r="AP18" s="523">
        <f ca="1">IF(AND($D18="Serviço",AP$12&lt;&gt;0,$H18&gt;0,OR(AUTOEVENTO&lt;&gt;"manual",$M18&lt;&gt;1)),
IF(Import.TipoArredondamento&lt;&gt;"TransfereGOV",
ROUND(OFFSET($P18,0,AP$13),15-13*ORÇAMENTO!$AF$7)/$H18*OFFSET(ORÇAMENTO!$X$15,ROW(AP18)-ROW(AP$15),0),
ROUND(ROUND(OFFSET($P18,0,AP$13),15-13*ORÇAMENTO!$AF$7)*OFFSET(ORÇAMENTO!$W$15,ROW(AP18)-ROW(AP$15),0),15-13*ORÇAMENTO!$AF$11)),0)</f>
        <v>0</v>
      </c>
      <c r="AQ18" s="523">
        <f ca="1">IF(AND($D18="Serviço",AQ$12&lt;&gt;0,$H18&gt;0,OR(AUTOEVENTO&lt;&gt;"manual",$M18&lt;&gt;1)),
IF(Import.TipoArredondamento&lt;&gt;"TransfereGOV",
ROUND(OFFSET($P18,0,AQ$13),15-13*ORÇAMENTO!$AF$7)/$H18*OFFSET(ORÇAMENTO!$X$15,ROW(AQ18)-ROW(AQ$15),0),
ROUND(ROUND(OFFSET($P18,0,AQ$13),15-13*ORÇAMENTO!$AF$7)*OFFSET(ORÇAMENTO!$W$15,ROW(AQ18)-ROW(AQ$15),0),15-13*ORÇAMENTO!$AF$11)),0)</f>
        <v>0</v>
      </c>
      <c r="AR18" s="523">
        <f ca="1">IF(AND($D18="Serviço",AR$12&lt;&gt;0,$H18&gt;0,OR(AUTOEVENTO&lt;&gt;"manual",$M18&lt;&gt;1)),
IF(Import.TipoArredondamento&lt;&gt;"TransfereGOV",
ROUND(OFFSET($P18,0,AR$13),15-13*ORÇAMENTO!$AF$7)/$H18*OFFSET(ORÇAMENTO!$X$15,ROW(AR18)-ROW(AR$15),0),
ROUND(ROUND(OFFSET($P18,0,AR$13),15-13*ORÇAMENTO!$AF$7)*OFFSET(ORÇAMENTO!$W$15,ROW(AR18)-ROW(AR$15),0),15-13*ORÇAMENTO!$AF$11)),0)</f>
        <v>0</v>
      </c>
      <c r="AS18" s="524">
        <f ca="1">IF(AND($D18="Serviço",AS$12&lt;&gt;0,$H18&gt;0,OR(AUTOEVENTO&lt;&gt;"manual",$M18&lt;&gt;1)),
IF(Import.TipoArredondamento&lt;&gt;"TransfereGOV",
ROUND(OFFSET($P18,0,AS$13),15-13*ORÇAMENTO!$AF$7)/$H18*OFFSET(ORÇAMENTO!$X$15,ROW(AS18)-ROW(AS$15),0),
ROUND(ROUND(OFFSET($P18,0,AS$13),15-13*ORÇAMENTO!$AF$7)*OFFSET(ORÇAMENTO!$W$15,ROW(AS18)-ROW(AS$15),0),15-13*ORÇAMENTO!$AF$11)),0)</f>
        <v>0</v>
      </c>
      <c r="AT18" s="523">
        <f ca="1">IF(AND($D18="Serviço",AT$12&lt;&gt;0,$H18&gt;0,OR(AUTOEVENTO&lt;&gt;"manual",$M18&lt;&gt;1)),
IF(Import.TipoArredondamento&lt;&gt;"TransfereGOV",
ROUND(OFFSET($P18,0,AT$13),15-13*ORÇAMENTO!$AF$7)/$H18*OFFSET(ORÇAMENTO!$X$15,ROW(AT18)-ROW(AT$15),0),
ROUND(ROUND(OFFSET($P18,0,AT$13),15-13*ORÇAMENTO!$AF$7)*OFFSET(ORÇAMENTO!$W$15,ROW(AT18)-ROW(AT$15),0),15-13*ORÇAMENTO!$AF$11)),0)</f>
        <v>0</v>
      </c>
      <c r="AU18" s="523">
        <f ca="1">IF(AND($D18="Serviço",AU$12&lt;&gt;0,$H18&gt;0,OR(AUTOEVENTO&lt;&gt;"manual",$M18&lt;&gt;1)),
IF(Import.TipoArredondamento&lt;&gt;"TransfereGOV",
ROUND(OFFSET($P18,0,AU$13),15-13*ORÇAMENTO!$AF$7)/$H18*OFFSET(ORÇAMENTO!$X$15,ROW(AU18)-ROW(AU$15),0),
ROUND(ROUND(OFFSET($P18,0,AU$13),15-13*ORÇAMENTO!$AF$7)*OFFSET(ORÇAMENTO!$W$15,ROW(AU18)-ROW(AU$15),0),15-13*ORÇAMENTO!$AF$11)),0)</f>
        <v>0</v>
      </c>
      <c r="AV18" s="523">
        <f ca="1">IF(AND($D18="Serviço",AV$12&lt;&gt;0,$H18&gt;0,OR(AUTOEVENTO&lt;&gt;"manual",$M18&lt;&gt;1)),
IF(Import.TipoArredondamento&lt;&gt;"TransfereGOV",
ROUND(OFFSET($P18,0,AV$13),15-13*ORÇAMENTO!$AF$7)/$H18*OFFSET(ORÇAMENTO!$X$15,ROW(AV18)-ROW(AV$15),0),
ROUND(ROUND(OFFSET($P18,0,AV$13),15-13*ORÇAMENTO!$AF$7)*OFFSET(ORÇAMENTO!$W$15,ROW(AV18)-ROW(AV$15),0),15-13*ORÇAMENTO!$AF$11)),0)</f>
        <v>0</v>
      </c>
      <c r="AW18" s="523">
        <f ca="1">IF(AND($D18="Serviço",AW$12&lt;&gt;0,$H18&gt;0,OR(AUTOEVENTO&lt;&gt;"manual",$M18&lt;&gt;1)),
IF(Import.TipoArredondamento&lt;&gt;"TransfereGOV",
ROUND(OFFSET($P18,0,AW$13),15-13*ORÇAMENTO!$AF$7)/$H18*OFFSET(ORÇAMENTO!$X$15,ROW(AW18)-ROW(AW$15),0),
ROUND(ROUND(OFFSET($P18,0,AW$13),15-13*ORÇAMENTO!$AF$7)*OFFSET(ORÇAMENTO!$W$15,ROW(AW18)-ROW(AW$15),0),15-13*ORÇAMENTO!$AF$11)),0)</f>
        <v>0</v>
      </c>
      <c r="AX18" s="523">
        <f ca="1">IF(AND($D18="Serviço",AX$12&lt;&gt;0,$H18&gt;0,OR(AUTOEVENTO&lt;&gt;"manual",$M18&lt;&gt;1)),
IF(Import.TipoArredondamento&lt;&gt;"TransfereGOV",
ROUND(OFFSET($P18,0,AX$13),15-13*ORÇAMENTO!$AF$7)/$H18*OFFSET(ORÇAMENTO!$X$15,ROW(AX18)-ROW(AX$15),0),
ROUND(ROUND(OFFSET($P18,0,AX$13),15-13*ORÇAMENTO!$AF$7)*OFFSET(ORÇAMENTO!$W$15,ROW(AX18)-ROW(AX$15),0),15-13*ORÇAMENTO!$AF$11)),0)</f>
        <v>0</v>
      </c>
      <c r="AY18" s="523">
        <f ca="1">IF(AND($D18="Serviço",AY$12&lt;&gt;0,$H18&gt;0,OR(AUTOEVENTO&lt;&gt;"manual",$M18&lt;&gt;1)),
IF(Import.TipoArredondamento&lt;&gt;"TransfereGOV",
ROUND(OFFSET($P18,0,AY$13),15-13*ORÇAMENTO!$AF$7)/$H18*OFFSET(ORÇAMENTO!$X$15,ROW(AY18)-ROW(AY$15),0),
ROUND(ROUND(OFFSET($P18,0,AY$13),15-13*ORÇAMENTO!$AF$7)*OFFSET(ORÇAMENTO!$W$15,ROW(AY18)-ROW(AY$15),0),15-13*ORÇAMENTO!$AF$11)),0)</f>
        <v>0</v>
      </c>
      <c r="AZ18" s="523">
        <f ca="1">IF(AND($D18="Serviço",AZ$12&lt;&gt;0,$H18&gt;0,OR(AUTOEVENTO&lt;&gt;"manual",$M18&lt;&gt;1)),
IF(Import.TipoArredondamento&lt;&gt;"TransfereGOV",
ROUND(OFFSET($P18,0,AZ$13),15-13*ORÇAMENTO!$AF$7)/$H18*OFFSET(ORÇAMENTO!$X$15,ROW(AZ18)-ROW(AZ$15),0),
ROUND(ROUND(OFFSET($P18,0,AZ$13),15-13*ORÇAMENTO!$AF$7)*OFFSET(ORÇAMENTO!$W$15,ROW(AZ18)-ROW(AZ$15),0),15-13*ORÇAMENTO!$AF$11)),0)</f>
        <v>0</v>
      </c>
      <c r="BA18" s="524">
        <f ca="1">IF(AND($D18="Serviço",BA$12&lt;&gt;0,$H18&gt;0,OR(AUTOEVENTO&lt;&gt;"manual",$M18&lt;&gt;1)),
IF(Import.TipoArredondamento&lt;&gt;"TransfereGOV",
ROUND(OFFSET($P18,0,BA$13),15-13*ORÇAMENTO!$AF$7)/$H18*OFFSET(ORÇAMENTO!$X$15,ROW(BA18)-ROW(BA$15),0),
ROUND(ROUND(OFFSET($P18,0,BA$13),15-13*ORÇAMENTO!$AF$7)*OFFSET(ORÇAMENTO!$W$15,ROW(BA18)-ROW(BA$15),0),15-13*ORÇAMENTO!$AF$11)),0)</f>
        <v>0</v>
      </c>
      <c r="BC18" s="181">
        <f ca="1">IF($D18&lt;&gt;"Serviço",0,IF(AND(AUTOEVENTO="Manual",$M18=1),0,IF(OFFSET(CRONOPLE!$F$14,$M18,BC$13)="",10^12,OFFSET(CRONOPLE!$F$14,$M18,BC$13))))</f>
        <v>12</v>
      </c>
      <c r="BD18" s="181">
        <f ca="1">IF($D18&lt;&gt;"Serviço",0,IF(AND(AUTOEVENTO="Manual",$M18=1),0,IF(OFFSET(CRONOPLE!$F$14,$M18,BD$13)="",10^12,OFFSET(CRONOPLE!$F$14,$M18,BD$13))))</f>
        <v>1000000000000</v>
      </c>
      <c r="BE18" s="181">
        <f ca="1">IF($D18&lt;&gt;"Serviço",0,IF(AND(AUTOEVENTO="Manual",$M18=1),0,IF(OFFSET(CRONOPLE!$F$14,$M18,BE$13)="",10^12,OFFSET(CRONOPLE!$F$14,$M18,BE$13))))</f>
        <v>1000000000000</v>
      </c>
      <c r="BF18" s="181">
        <f ca="1">IF($D18&lt;&gt;"Serviço",0,IF(AND(AUTOEVENTO="Manual",$M18=1),0,IF(OFFSET(CRONOPLE!$F$14,$M18,BF$13)="",10^12,OFFSET(CRONOPLE!$F$14,$M18,BF$13))))</f>
        <v>1000000000000</v>
      </c>
      <c r="BG18" s="181">
        <f ca="1">IF($D18&lt;&gt;"Serviço",0,IF(AND(AUTOEVENTO="Manual",$M18=1),0,IF(OFFSET(CRONOPLE!$F$14,$M18,BG$13)="",10^12,OFFSET(CRONOPLE!$F$14,$M18,BG$13))))</f>
        <v>1000000000000</v>
      </c>
      <c r="BH18" s="181">
        <f ca="1">IF($D18&lt;&gt;"Serviço",0,IF(AND(AUTOEVENTO="Manual",$M18=1),0,IF(OFFSET(CRONOPLE!$F$14,$M18,BH$13)="",10^12,OFFSET(CRONOPLE!$F$14,$M18,BH$13))))</f>
        <v>1000000000000</v>
      </c>
      <c r="BI18" s="181">
        <f ca="1">IF($D18&lt;&gt;"Serviço",0,IF(AND(AUTOEVENTO="Manual",$M18=1),0,IF(OFFSET(CRONOPLE!$F$14,$M18,BI$13)="",10^12,OFFSET(CRONOPLE!$F$14,$M18,BI$13))))</f>
        <v>1000000000000</v>
      </c>
      <c r="BJ18" s="181">
        <f ca="1">IF($D18&lt;&gt;"Serviço",0,IF(AND(AUTOEVENTO="Manual",$M18=1),0,IF(OFFSET(CRONOPLE!$F$14,$M18,BJ$13)="",10^12,OFFSET(CRONOPLE!$F$14,$M18,BJ$13))))</f>
        <v>1000000000000</v>
      </c>
      <c r="BK18" s="181">
        <f ca="1">IF($D18&lt;&gt;"Serviço",0,IF(AND(AUTOEVENTO="Manual",$M18=1),0,IF(OFFSET(CRONOPLE!$F$14,$M18,BK$13)="",10^12,OFFSET(CRONOPLE!$F$14,$M18,BK$13))))</f>
        <v>1000000000000</v>
      </c>
      <c r="BL18" s="181">
        <f ca="1">IF($D18&lt;&gt;"Serviço",0,IF(AND(AUTOEVENTO="Manual",$M18=1),0,IF(OFFSET(CRONOPLE!$F$14,$M18,BL$13)="",10^12,OFFSET(CRONOPLE!$F$14,$M18,BL$13))))</f>
        <v>1000000000000</v>
      </c>
      <c r="BM18" s="181">
        <f ca="1">IF($D18&lt;&gt;"Serviço",0,IF(AND(AUTOEVENTO="Manual",$M18=1),0,IF(OFFSET(CRONOPLE!$F$14,$M18,BM$13)="",10^12,OFFSET(CRONOPLE!$F$14,$M18,BM$13))))</f>
        <v>1000000000000</v>
      </c>
      <c r="BN18" s="181">
        <f ca="1">IF($D18&lt;&gt;"Serviço",0,IF(AND(AUTOEVENTO="Manual",$M18=1),0,IF(OFFSET(CRONOPLE!$F$14,$M18,BN$13)="",10^12,OFFSET(CRONOPLE!$F$14,$M18,BN$13))))</f>
        <v>1000000000000</v>
      </c>
      <c r="BO18" s="181">
        <f ca="1">IF($D18&lt;&gt;"Serviço",0,IF(AND(AUTOEVENTO="Manual",$M18=1),0,IF(OFFSET(CRONOPLE!$F$14,$M18,BO$13)="",10^12,OFFSET(CRONOPLE!$F$14,$M18,BO$13))))</f>
        <v>1000000000000</v>
      </c>
      <c r="BP18" s="181">
        <f ca="1">IF($D18&lt;&gt;"Serviço",0,IF(AND(AUTOEVENTO="Manual",$M18=1),0,IF(OFFSET(CRONOPLE!$F$14,$M18,BP$13)="",10^12,OFFSET(CRONOPLE!$F$14,$M18,BP$13))))</f>
        <v>1000000000000</v>
      </c>
      <c r="BQ18" s="181">
        <f ca="1">IF($D18&lt;&gt;"Serviço",0,IF(AND(AUTOEVENTO="Manual",$M18=1),0,IF(OFFSET(CRONOPLE!$F$14,$M18,BQ$13)="",10^12,OFFSET(CRONOPLE!$F$14,$M18,BQ$13))))</f>
        <v>1000000000000</v>
      </c>
      <c r="BR18" s="181">
        <f ca="1">IF($D18&lt;&gt;"Serviço",0,IF(AND(AUTOEVENTO="Manual",$M18=1),0,IF(OFFSET(CRONOPLE!$F$14,$M18,BR$13)="",10^12,OFFSET(CRONOPLE!$F$14,$M18,BR$13))))</f>
        <v>1000000000000</v>
      </c>
      <c r="BS18" s="181">
        <f ca="1">IF($D18&lt;&gt;"Serviço",0,IF(AND(AUTOEVENTO="Manual",$M18=1),0,IF(OFFSET(CRONOPLE!$F$14,$M18,BS$13)="",10^12,OFFSET(CRONOPLE!$F$14,$M18,BS$13))))</f>
        <v>1000000000000</v>
      </c>
      <c r="BT18" s="181">
        <f ca="1">IF($D18&lt;&gt;"Serviço",0,IF(AND(AUTOEVENTO="Manual",$M18=1),0,IF(OFFSET(CRONOPLE!$F$14,$M18,BT$13)="",10^12,OFFSET(CRONOPLE!$F$14,$M18,BT$13))))</f>
        <v>1000000000000</v>
      </c>
      <c r="BV18" s="182">
        <f ca="1">IF($D18&lt;&gt;"Serviço",0,IF(OR(AND(AUTOEVENTO="Manual",$M18=1),$M18&gt;(ROW(PLE.lastrow)-ROW(PLE.firstrow))),0,IF(OFFSET(PLE!$G$14,$M18,BV$13)="",10^12,OFFSET(PLE!$G$14,$M18,BV$13))))</f>
        <v>1000000000000</v>
      </c>
      <c r="BW18" s="182">
        <f ca="1">IF($D18&lt;&gt;"Serviço",0,IF(OR(AND(AUTOEVENTO="Manual",$M18=1),$M18&gt;(ROW(PLE.lastrow)-ROW(PLE.firstrow))),0,IF(OFFSET(PLE!$G$14,$M18,BW$13)="",10^12,OFFSET(PLE!$G$14,$M18,BW$13))))</f>
        <v>1000000000000</v>
      </c>
      <c r="BX18" s="182">
        <f ca="1">IF($D18&lt;&gt;"Serviço",0,IF(OR(AND(AUTOEVENTO="Manual",$M18=1),$M18&gt;(ROW(PLE.lastrow)-ROW(PLE.firstrow))),0,IF(OFFSET(PLE!$G$14,$M18,BX$13)="",10^12,OFFSET(PLE!$G$14,$M18,BX$13))))</f>
        <v>1000000000000</v>
      </c>
      <c r="BY18" s="182">
        <f ca="1">IF($D18&lt;&gt;"Serviço",0,IF(OR(AND(AUTOEVENTO="Manual",$M18=1),$M18&gt;(ROW(PLE.lastrow)-ROW(PLE.firstrow))),0,IF(OFFSET(PLE!$G$14,$M18,BY$13)="",10^12,OFFSET(PLE!$G$14,$M18,BY$13))))</f>
        <v>1000000000000</v>
      </c>
      <c r="BZ18" s="182">
        <f ca="1">IF($D18&lt;&gt;"Serviço",0,IF(OR(AND(AUTOEVENTO="Manual",$M18=1),$M18&gt;(ROW(PLE.lastrow)-ROW(PLE.firstrow))),0,IF(OFFSET(PLE!$G$14,$M18,BZ$13)="",10^12,OFFSET(PLE!$G$14,$M18,BZ$13))))</f>
        <v>1000000000000</v>
      </c>
      <c r="CA18" s="182">
        <f ca="1">IF($D18&lt;&gt;"Serviço",0,IF(OR(AND(AUTOEVENTO="Manual",$M18=1),$M18&gt;(ROW(PLE.lastrow)-ROW(PLE.firstrow))),0,IF(OFFSET(PLE!$G$14,$M18,CA$13)="",10^12,OFFSET(PLE!$G$14,$M18,CA$13))))</f>
        <v>1000000000000</v>
      </c>
      <c r="CB18" s="182">
        <f ca="1">IF($D18&lt;&gt;"Serviço",0,IF(OR(AND(AUTOEVENTO="Manual",$M18=1),$M18&gt;(ROW(PLE.lastrow)-ROW(PLE.firstrow))),0,IF(OFFSET(PLE!$G$14,$M18,CB$13)="",10^12,OFFSET(PLE!$G$14,$M18,CB$13))))</f>
        <v>1000000000000</v>
      </c>
      <c r="CC18" s="182">
        <f ca="1">IF($D18&lt;&gt;"Serviço",0,IF(OR(AND(AUTOEVENTO="Manual",$M18=1),$M18&gt;(ROW(PLE.lastrow)-ROW(PLE.firstrow))),0,IF(OFFSET(PLE!$G$14,$M18,CC$13)="",10^12,OFFSET(PLE!$G$14,$M18,CC$13))))</f>
        <v>1000000000000</v>
      </c>
      <c r="CD18" s="182">
        <f ca="1">IF($D18&lt;&gt;"Serviço",0,IF(OR(AND(AUTOEVENTO="Manual",$M18=1),$M18&gt;(ROW(PLE.lastrow)-ROW(PLE.firstrow))),0,IF(OFFSET(PLE!$G$14,$M18,CD$13)="",10^12,OFFSET(PLE!$G$14,$M18,CD$13))))</f>
        <v>1000000000000</v>
      </c>
      <c r="CE18" s="182">
        <f ca="1">IF($D18&lt;&gt;"Serviço",0,IF(OR(AND(AUTOEVENTO="Manual",$M18=1),$M18&gt;(ROW(PLE.lastrow)-ROW(PLE.firstrow))),0,IF(OFFSET(PLE!$G$14,$M18,CE$13)="",10^12,OFFSET(PLE!$G$14,$M18,CE$13))))</f>
        <v>1000000000000</v>
      </c>
      <c r="CF18" s="182">
        <f ca="1">IF($D18&lt;&gt;"Serviço",0,IF(OR(AND(AUTOEVENTO="Manual",$M18=1),$M18&gt;(ROW(PLE.lastrow)-ROW(PLE.firstrow))),0,IF(OFFSET(PLE!$G$14,$M18,CF$13)="",10^12,OFFSET(PLE!$G$14,$M18,CF$13))))</f>
        <v>1000000000000</v>
      </c>
      <c r="CG18" s="182">
        <f ca="1">IF($D18&lt;&gt;"Serviço",0,IF(OR(AND(AUTOEVENTO="Manual",$M18=1),$M18&gt;(ROW(PLE.lastrow)-ROW(PLE.firstrow))),0,IF(OFFSET(PLE!$G$14,$M18,CG$13)="",10^12,OFFSET(PLE!$G$14,$M18,CG$13))))</f>
        <v>1000000000000</v>
      </c>
      <c r="CH18" s="182">
        <f ca="1">IF($D18&lt;&gt;"Serviço",0,IF(OR(AND(AUTOEVENTO="Manual",$M18=1),$M18&gt;(ROW(PLE.lastrow)-ROW(PLE.firstrow))),0,IF(OFFSET(PLE!$G$14,$M18,CH$13)="",10^12,OFFSET(PLE!$G$14,$M18,CH$13))))</f>
        <v>1000000000000</v>
      </c>
      <c r="CI18" s="182">
        <f ca="1">IF($D18&lt;&gt;"Serviço",0,IF(OR(AND(AUTOEVENTO="Manual",$M18=1),$M18&gt;(ROW(PLE.lastrow)-ROW(PLE.firstrow))),0,IF(OFFSET(PLE!$G$14,$M18,CI$13)="",10^12,OFFSET(PLE!$G$14,$M18,CI$13))))</f>
        <v>1000000000000</v>
      </c>
      <c r="CJ18" s="182">
        <f ca="1">IF($D18&lt;&gt;"Serviço",0,IF(OR(AND(AUTOEVENTO="Manual",$M18=1),$M18&gt;(ROW(PLE.lastrow)-ROW(PLE.firstrow))),0,IF(OFFSET(PLE!$G$14,$M18,CJ$13)="",10^12,OFFSET(PLE!$G$14,$M18,CJ$13))))</f>
        <v>1000000000000</v>
      </c>
      <c r="CK18" s="182">
        <f ca="1">IF($D18&lt;&gt;"Serviço",0,IF(OR(AND(AUTOEVENTO="Manual",$M18=1),$M18&gt;(ROW(PLE.lastrow)-ROW(PLE.firstrow))),0,IF(OFFSET(PLE!$G$14,$M18,CK$13)="",10^12,OFFSET(PLE!$G$14,$M18,CK$13))))</f>
        <v>1000000000000</v>
      </c>
      <c r="CL18" s="182">
        <f ca="1">IF($D18&lt;&gt;"Serviço",0,IF(OR(AND(AUTOEVENTO="Manual",$M18=1),$M18&gt;(ROW(PLE.lastrow)-ROW(PLE.firstrow))),0,IF(OFFSET(PLE!$G$14,$M18,CL$13)="",10^12,OFFSET(PLE!$G$14,$M18,CL$13))))</f>
        <v>1000000000000</v>
      </c>
      <c r="CM18" s="182">
        <f ca="1">IF($D18&lt;&gt;"Serviço",0,IF(OR(AND(AUTOEVENTO="Manual",$M18=1),$M18&gt;(ROW(PLE.lastrow)-ROW(PLE.firstrow))),0,IF(OFFSET(PLE!$G$14,$M18,CM$13)="",10^12,OFFSET(PLE!$G$14,$M18,CM$13))))</f>
        <v>1000000000000</v>
      </c>
    </row>
    <row r="19" spans="1:91" ht="25.5" x14ac:dyDescent="0.2">
      <c r="A19" s="7" t="str">
        <f t="shared" ca="1" si="9"/>
        <v>2</v>
      </c>
      <c r="B19" s="7" t="str">
        <f ca="1">OFFSET(ORÇAMENTO!C$15,ROW(B19)-ROW(B$15),0)</f>
        <v>S</v>
      </c>
      <c r="C19" s="7" t="str">
        <f ca="1">OFFSET(ORÇAMENTO!L$15,ROW(C19)-ROW(C$15),0)</f>
        <v/>
      </c>
      <c r="D19" s="118" t="str">
        <f ca="1">OFFSET(ORÇAMENTO!N$15,ROW(D19)-ROW(D$15),0)</f>
        <v>Serviço</v>
      </c>
      <c r="E19" s="119" t="str">
        <f ca="1">OFFSET(ORÇAMENTO!O$15,ROW(E19)-ROW(E$15),0)</f>
        <v>-</v>
      </c>
      <c r="F19" s="172" t="str">
        <f ca="1">OFFSET(ORÇAMENTO!R$15,ROW(F19)-ROW(F$15),0)</f>
        <v>(abra o arquivo 'Referência 03-Sunday.xlsm)</v>
      </c>
      <c r="G19" s="173" t="str">
        <f ca="1">IF($D19&lt;&gt;"Serviço","",OFFSET(ORÇAMENTO!S$15,ROW(G19)-ROW(G$15),0))</f>
        <v>-</v>
      </c>
      <c r="H19" s="124">
        <f ca="1">IF($D19&lt;&gt;"Serviço",0,IF(ACOMPANHAMENTO="BM",ROUND(OFFSET(ORÇAMENTO!AJ$15,ROW(H19)-ROW(H$15),0),15-13*ORÇAMENTO!$AF$7),SUMPRODUCT(($Q$12:$AI$12&lt;&gt;"")*ROUND($Q19:$AI19,15-13*ORÇAMENTO!$AF$7))))</f>
        <v>880</v>
      </c>
      <c r="I19" s="539" t="s">
        <v>507</v>
      </c>
      <c r="K19" s="174"/>
      <c r="L19" s="175" t="s">
        <v>254</v>
      </c>
      <c r="M19" s="176">
        <f ca="1">IF($D19&lt;&gt;"Serviço","",IF(AUTOEVENTO="manual",$A19,IF(ISERROR(MATCH($A19,$A$15:OFFSET($A19,-1,0),0)),MAX($M$15:OFFSET(M19,-1,0))+1,INDEX($M$15:OFFSET(M19,-1,0),MATCH($A19,$A$15:OFFSET($A19,-1,0),0)))))</f>
        <v>2</v>
      </c>
      <c r="N19" s="177" t="str">
        <f ca="1">IF($D19&lt;&gt;"Serviço","",IF(AUTOEVENTO="Manual",IF($A19=0,"&lt;-- defina o número do agrupador",OFFSET(EVENTOS!$D$14,$A19,0)),OFFSET($F$15,$A19,0)))</f>
        <v>Lote 01  - Manutenção e Reparos Abrigos Passagerios Onibus e Táxi</v>
      </c>
      <c r="O19" s="178"/>
      <c r="Q19" s="178">
        <f>8.8*100</f>
        <v>880.00000000000011</v>
      </c>
      <c r="R19" s="179"/>
      <c r="S19" s="179"/>
      <c r="T19" s="179"/>
      <c r="U19" s="179"/>
      <c r="V19" s="179"/>
      <c r="W19" s="179"/>
      <c r="X19" s="179"/>
      <c r="Y19" s="179"/>
      <c r="Z19" s="180"/>
      <c r="AA19" s="179"/>
      <c r="AB19" s="179"/>
      <c r="AC19" s="179"/>
      <c r="AD19" s="179"/>
      <c r="AE19" s="179"/>
      <c r="AF19" s="179"/>
      <c r="AG19" s="179"/>
      <c r="AH19" s="180"/>
      <c r="AJ19" s="522">
        <f ca="1">IF(AND($D19="Serviço",AJ$12&lt;&gt;0,$H19&gt;0,OR(AUTOEVENTO&lt;&gt;"manual",$M19&lt;&gt;1)),
IF(Import.TipoArredondamento&lt;&gt;"TransfereGOV",
ROUND(OFFSET($P19,0,AJ$13),15-13*ORÇAMENTO!$AF$7)/$H19*OFFSET(ORÇAMENTO!$X$15,ROW(AJ19)-ROW(AJ$15),0),
ROUND(ROUND(OFFSET($P19,0,AJ$13),15-13*ORÇAMENTO!$AF$7)*OFFSET(ORÇAMENTO!$W$15,ROW(AJ19)-ROW(AJ$15),0),15-13*ORÇAMENTO!$AF$11)),0)</f>
        <v>0</v>
      </c>
      <c r="AK19" s="523">
        <f ca="1">IF(AND($D19="Serviço",AK$12&lt;&gt;0,$H19&gt;0,OR(AUTOEVENTO&lt;&gt;"manual",$M19&lt;&gt;1)),
IF(Import.TipoArredondamento&lt;&gt;"TransfereGOV",
ROUND(OFFSET($P19,0,AK$13),15-13*ORÇAMENTO!$AF$7)/$H19*OFFSET(ORÇAMENTO!$X$15,ROW(AK19)-ROW(AK$15),0),
ROUND(ROUND(OFFSET($P19,0,AK$13),15-13*ORÇAMENTO!$AF$7)*OFFSET(ORÇAMENTO!$W$15,ROW(AK19)-ROW(AK$15),0),15-13*ORÇAMENTO!$AF$11)),0)</f>
        <v>0</v>
      </c>
      <c r="AL19" s="523">
        <f ca="1">IF(AND($D19="Serviço",AL$12&lt;&gt;0,$H19&gt;0,OR(AUTOEVENTO&lt;&gt;"manual",$M19&lt;&gt;1)),
IF(Import.TipoArredondamento&lt;&gt;"TransfereGOV",
ROUND(OFFSET($P19,0,AL$13),15-13*ORÇAMENTO!$AF$7)/$H19*OFFSET(ORÇAMENTO!$X$15,ROW(AL19)-ROW(AL$15),0),
ROUND(ROUND(OFFSET($P19,0,AL$13),15-13*ORÇAMENTO!$AF$7)*OFFSET(ORÇAMENTO!$W$15,ROW(AL19)-ROW(AL$15),0),15-13*ORÇAMENTO!$AF$11)),0)</f>
        <v>0</v>
      </c>
      <c r="AM19" s="523">
        <f ca="1">IF(AND($D19="Serviço",AM$12&lt;&gt;0,$H19&gt;0,OR(AUTOEVENTO&lt;&gt;"manual",$M19&lt;&gt;1)),
IF(Import.TipoArredondamento&lt;&gt;"TransfereGOV",
ROUND(OFFSET($P19,0,AM$13),15-13*ORÇAMENTO!$AF$7)/$H19*OFFSET(ORÇAMENTO!$X$15,ROW(AM19)-ROW(AM$15),0),
ROUND(ROUND(OFFSET($P19,0,AM$13),15-13*ORÇAMENTO!$AF$7)*OFFSET(ORÇAMENTO!$W$15,ROW(AM19)-ROW(AM$15),0),15-13*ORÇAMENTO!$AF$11)),0)</f>
        <v>0</v>
      </c>
      <c r="AN19" s="523">
        <f ca="1">IF(AND($D19="Serviço",AN$12&lt;&gt;0,$H19&gt;0,OR(AUTOEVENTO&lt;&gt;"manual",$M19&lt;&gt;1)),
IF(Import.TipoArredondamento&lt;&gt;"TransfereGOV",
ROUND(OFFSET($P19,0,AN$13),15-13*ORÇAMENTO!$AF$7)/$H19*OFFSET(ORÇAMENTO!$X$15,ROW(AN19)-ROW(AN$15),0),
ROUND(ROUND(OFFSET($P19,0,AN$13),15-13*ORÇAMENTO!$AF$7)*OFFSET(ORÇAMENTO!$W$15,ROW(AN19)-ROW(AN$15),0),15-13*ORÇAMENTO!$AF$11)),0)</f>
        <v>0</v>
      </c>
      <c r="AO19" s="523">
        <f ca="1">IF(AND($D19="Serviço",AO$12&lt;&gt;0,$H19&gt;0,OR(AUTOEVENTO&lt;&gt;"manual",$M19&lt;&gt;1)),
IF(Import.TipoArredondamento&lt;&gt;"TransfereGOV",
ROUND(OFFSET($P19,0,AO$13),15-13*ORÇAMENTO!$AF$7)/$H19*OFFSET(ORÇAMENTO!$X$15,ROW(AO19)-ROW(AO$15),0),
ROUND(ROUND(OFFSET($P19,0,AO$13),15-13*ORÇAMENTO!$AF$7)*OFFSET(ORÇAMENTO!$W$15,ROW(AO19)-ROW(AO$15),0),15-13*ORÇAMENTO!$AF$11)),0)</f>
        <v>0</v>
      </c>
      <c r="AP19" s="523">
        <f ca="1">IF(AND($D19="Serviço",AP$12&lt;&gt;0,$H19&gt;0,OR(AUTOEVENTO&lt;&gt;"manual",$M19&lt;&gt;1)),
IF(Import.TipoArredondamento&lt;&gt;"TransfereGOV",
ROUND(OFFSET($P19,0,AP$13),15-13*ORÇAMENTO!$AF$7)/$H19*OFFSET(ORÇAMENTO!$X$15,ROW(AP19)-ROW(AP$15),0),
ROUND(ROUND(OFFSET($P19,0,AP$13),15-13*ORÇAMENTO!$AF$7)*OFFSET(ORÇAMENTO!$W$15,ROW(AP19)-ROW(AP$15),0),15-13*ORÇAMENTO!$AF$11)),0)</f>
        <v>0</v>
      </c>
      <c r="AQ19" s="523">
        <f ca="1">IF(AND($D19="Serviço",AQ$12&lt;&gt;0,$H19&gt;0,OR(AUTOEVENTO&lt;&gt;"manual",$M19&lt;&gt;1)),
IF(Import.TipoArredondamento&lt;&gt;"TransfereGOV",
ROUND(OFFSET($P19,0,AQ$13),15-13*ORÇAMENTO!$AF$7)/$H19*OFFSET(ORÇAMENTO!$X$15,ROW(AQ19)-ROW(AQ$15),0),
ROUND(ROUND(OFFSET($P19,0,AQ$13),15-13*ORÇAMENTO!$AF$7)*OFFSET(ORÇAMENTO!$W$15,ROW(AQ19)-ROW(AQ$15),0),15-13*ORÇAMENTO!$AF$11)),0)</f>
        <v>0</v>
      </c>
      <c r="AR19" s="523">
        <f ca="1">IF(AND($D19="Serviço",AR$12&lt;&gt;0,$H19&gt;0,OR(AUTOEVENTO&lt;&gt;"manual",$M19&lt;&gt;1)),
IF(Import.TipoArredondamento&lt;&gt;"TransfereGOV",
ROUND(OFFSET($P19,0,AR$13),15-13*ORÇAMENTO!$AF$7)/$H19*OFFSET(ORÇAMENTO!$X$15,ROW(AR19)-ROW(AR$15),0),
ROUND(ROUND(OFFSET($P19,0,AR$13),15-13*ORÇAMENTO!$AF$7)*OFFSET(ORÇAMENTO!$W$15,ROW(AR19)-ROW(AR$15),0),15-13*ORÇAMENTO!$AF$11)),0)</f>
        <v>0</v>
      </c>
      <c r="AS19" s="524">
        <f ca="1">IF(AND($D19="Serviço",AS$12&lt;&gt;0,$H19&gt;0,OR(AUTOEVENTO&lt;&gt;"manual",$M19&lt;&gt;1)),
IF(Import.TipoArredondamento&lt;&gt;"TransfereGOV",
ROUND(OFFSET($P19,0,AS$13),15-13*ORÇAMENTO!$AF$7)/$H19*OFFSET(ORÇAMENTO!$X$15,ROW(AS19)-ROW(AS$15),0),
ROUND(ROUND(OFFSET($P19,0,AS$13),15-13*ORÇAMENTO!$AF$7)*OFFSET(ORÇAMENTO!$W$15,ROW(AS19)-ROW(AS$15),0),15-13*ORÇAMENTO!$AF$11)),0)</f>
        <v>0</v>
      </c>
      <c r="AT19" s="523">
        <f ca="1">IF(AND($D19="Serviço",AT$12&lt;&gt;0,$H19&gt;0,OR(AUTOEVENTO&lt;&gt;"manual",$M19&lt;&gt;1)),
IF(Import.TipoArredondamento&lt;&gt;"TransfereGOV",
ROUND(OFFSET($P19,0,AT$13),15-13*ORÇAMENTO!$AF$7)/$H19*OFFSET(ORÇAMENTO!$X$15,ROW(AT19)-ROW(AT$15),0),
ROUND(ROUND(OFFSET($P19,0,AT$13),15-13*ORÇAMENTO!$AF$7)*OFFSET(ORÇAMENTO!$W$15,ROW(AT19)-ROW(AT$15),0),15-13*ORÇAMENTO!$AF$11)),0)</f>
        <v>0</v>
      </c>
      <c r="AU19" s="523">
        <f ca="1">IF(AND($D19="Serviço",AU$12&lt;&gt;0,$H19&gt;0,OR(AUTOEVENTO&lt;&gt;"manual",$M19&lt;&gt;1)),
IF(Import.TipoArredondamento&lt;&gt;"TransfereGOV",
ROUND(OFFSET($P19,0,AU$13),15-13*ORÇAMENTO!$AF$7)/$H19*OFFSET(ORÇAMENTO!$X$15,ROW(AU19)-ROW(AU$15),0),
ROUND(ROUND(OFFSET($P19,0,AU$13),15-13*ORÇAMENTO!$AF$7)*OFFSET(ORÇAMENTO!$W$15,ROW(AU19)-ROW(AU$15),0),15-13*ORÇAMENTO!$AF$11)),0)</f>
        <v>0</v>
      </c>
      <c r="AV19" s="523">
        <f ca="1">IF(AND($D19="Serviço",AV$12&lt;&gt;0,$H19&gt;0,OR(AUTOEVENTO&lt;&gt;"manual",$M19&lt;&gt;1)),
IF(Import.TipoArredondamento&lt;&gt;"TransfereGOV",
ROUND(OFFSET($P19,0,AV$13),15-13*ORÇAMENTO!$AF$7)/$H19*OFFSET(ORÇAMENTO!$X$15,ROW(AV19)-ROW(AV$15),0),
ROUND(ROUND(OFFSET($P19,0,AV$13),15-13*ORÇAMENTO!$AF$7)*OFFSET(ORÇAMENTO!$W$15,ROW(AV19)-ROW(AV$15),0),15-13*ORÇAMENTO!$AF$11)),0)</f>
        <v>0</v>
      </c>
      <c r="AW19" s="523">
        <f ca="1">IF(AND($D19="Serviço",AW$12&lt;&gt;0,$H19&gt;0,OR(AUTOEVENTO&lt;&gt;"manual",$M19&lt;&gt;1)),
IF(Import.TipoArredondamento&lt;&gt;"TransfereGOV",
ROUND(OFFSET($P19,0,AW$13),15-13*ORÇAMENTO!$AF$7)/$H19*OFFSET(ORÇAMENTO!$X$15,ROW(AW19)-ROW(AW$15),0),
ROUND(ROUND(OFFSET($P19,0,AW$13),15-13*ORÇAMENTO!$AF$7)*OFFSET(ORÇAMENTO!$W$15,ROW(AW19)-ROW(AW$15),0),15-13*ORÇAMENTO!$AF$11)),0)</f>
        <v>0</v>
      </c>
      <c r="AX19" s="523">
        <f ca="1">IF(AND($D19="Serviço",AX$12&lt;&gt;0,$H19&gt;0,OR(AUTOEVENTO&lt;&gt;"manual",$M19&lt;&gt;1)),
IF(Import.TipoArredondamento&lt;&gt;"TransfereGOV",
ROUND(OFFSET($P19,0,AX$13),15-13*ORÇAMENTO!$AF$7)/$H19*OFFSET(ORÇAMENTO!$X$15,ROW(AX19)-ROW(AX$15),0),
ROUND(ROUND(OFFSET($P19,0,AX$13),15-13*ORÇAMENTO!$AF$7)*OFFSET(ORÇAMENTO!$W$15,ROW(AX19)-ROW(AX$15),0),15-13*ORÇAMENTO!$AF$11)),0)</f>
        <v>0</v>
      </c>
      <c r="AY19" s="523">
        <f ca="1">IF(AND($D19="Serviço",AY$12&lt;&gt;0,$H19&gt;0,OR(AUTOEVENTO&lt;&gt;"manual",$M19&lt;&gt;1)),
IF(Import.TipoArredondamento&lt;&gt;"TransfereGOV",
ROUND(OFFSET($P19,0,AY$13),15-13*ORÇAMENTO!$AF$7)/$H19*OFFSET(ORÇAMENTO!$X$15,ROW(AY19)-ROW(AY$15),0),
ROUND(ROUND(OFFSET($P19,0,AY$13),15-13*ORÇAMENTO!$AF$7)*OFFSET(ORÇAMENTO!$W$15,ROW(AY19)-ROW(AY$15),0),15-13*ORÇAMENTO!$AF$11)),0)</f>
        <v>0</v>
      </c>
      <c r="AZ19" s="523">
        <f ca="1">IF(AND($D19="Serviço",AZ$12&lt;&gt;0,$H19&gt;0,OR(AUTOEVENTO&lt;&gt;"manual",$M19&lt;&gt;1)),
IF(Import.TipoArredondamento&lt;&gt;"TransfereGOV",
ROUND(OFFSET($P19,0,AZ$13),15-13*ORÇAMENTO!$AF$7)/$H19*OFFSET(ORÇAMENTO!$X$15,ROW(AZ19)-ROW(AZ$15),0),
ROUND(ROUND(OFFSET($P19,0,AZ$13),15-13*ORÇAMENTO!$AF$7)*OFFSET(ORÇAMENTO!$W$15,ROW(AZ19)-ROW(AZ$15),0),15-13*ORÇAMENTO!$AF$11)),0)</f>
        <v>0</v>
      </c>
      <c r="BA19" s="524">
        <f ca="1">IF(AND($D19="Serviço",BA$12&lt;&gt;0,$H19&gt;0,OR(AUTOEVENTO&lt;&gt;"manual",$M19&lt;&gt;1)),
IF(Import.TipoArredondamento&lt;&gt;"TransfereGOV",
ROUND(OFFSET($P19,0,BA$13),15-13*ORÇAMENTO!$AF$7)/$H19*OFFSET(ORÇAMENTO!$X$15,ROW(BA19)-ROW(BA$15),0),
ROUND(ROUND(OFFSET($P19,0,BA$13),15-13*ORÇAMENTO!$AF$7)*OFFSET(ORÇAMENTO!$W$15,ROW(BA19)-ROW(BA$15),0),15-13*ORÇAMENTO!$AF$11)),0)</f>
        <v>0</v>
      </c>
      <c r="BC19" s="181">
        <f ca="1">IF($D19&lt;&gt;"Serviço",0,IF(AND(AUTOEVENTO="Manual",$M19=1),0,IF(OFFSET(CRONOPLE!$F$14,$M19,BC$13)="",10^12,OFFSET(CRONOPLE!$F$14,$M19,BC$13))))</f>
        <v>12</v>
      </c>
      <c r="BD19" s="181">
        <f ca="1">IF($D19&lt;&gt;"Serviço",0,IF(AND(AUTOEVENTO="Manual",$M19=1),0,IF(OFFSET(CRONOPLE!$F$14,$M19,BD$13)="",10^12,OFFSET(CRONOPLE!$F$14,$M19,BD$13))))</f>
        <v>1000000000000</v>
      </c>
      <c r="BE19" s="181">
        <f ca="1">IF($D19&lt;&gt;"Serviço",0,IF(AND(AUTOEVENTO="Manual",$M19=1),0,IF(OFFSET(CRONOPLE!$F$14,$M19,BE$13)="",10^12,OFFSET(CRONOPLE!$F$14,$M19,BE$13))))</f>
        <v>1000000000000</v>
      </c>
      <c r="BF19" s="181">
        <f ca="1">IF($D19&lt;&gt;"Serviço",0,IF(AND(AUTOEVENTO="Manual",$M19=1),0,IF(OFFSET(CRONOPLE!$F$14,$M19,BF$13)="",10^12,OFFSET(CRONOPLE!$F$14,$M19,BF$13))))</f>
        <v>1000000000000</v>
      </c>
      <c r="BG19" s="181">
        <f ca="1">IF($D19&lt;&gt;"Serviço",0,IF(AND(AUTOEVENTO="Manual",$M19=1),0,IF(OFFSET(CRONOPLE!$F$14,$M19,BG$13)="",10^12,OFFSET(CRONOPLE!$F$14,$M19,BG$13))))</f>
        <v>1000000000000</v>
      </c>
      <c r="BH19" s="181">
        <f ca="1">IF($D19&lt;&gt;"Serviço",0,IF(AND(AUTOEVENTO="Manual",$M19=1),0,IF(OFFSET(CRONOPLE!$F$14,$M19,BH$13)="",10^12,OFFSET(CRONOPLE!$F$14,$M19,BH$13))))</f>
        <v>1000000000000</v>
      </c>
      <c r="BI19" s="181">
        <f ca="1">IF($D19&lt;&gt;"Serviço",0,IF(AND(AUTOEVENTO="Manual",$M19=1),0,IF(OFFSET(CRONOPLE!$F$14,$M19,BI$13)="",10^12,OFFSET(CRONOPLE!$F$14,$M19,BI$13))))</f>
        <v>1000000000000</v>
      </c>
      <c r="BJ19" s="181">
        <f ca="1">IF($D19&lt;&gt;"Serviço",0,IF(AND(AUTOEVENTO="Manual",$M19=1),0,IF(OFFSET(CRONOPLE!$F$14,$M19,BJ$13)="",10^12,OFFSET(CRONOPLE!$F$14,$M19,BJ$13))))</f>
        <v>1000000000000</v>
      </c>
      <c r="BK19" s="181">
        <f ca="1">IF($D19&lt;&gt;"Serviço",0,IF(AND(AUTOEVENTO="Manual",$M19=1),0,IF(OFFSET(CRONOPLE!$F$14,$M19,BK$13)="",10^12,OFFSET(CRONOPLE!$F$14,$M19,BK$13))))</f>
        <v>1000000000000</v>
      </c>
      <c r="BL19" s="181">
        <f ca="1">IF($D19&lt;&gt;"Serviço",0,IF(AND(AUTOEVENTO="Manual",$M19=1),0,IF(OFFSET(CRONOPLE!$F$14,$M19,BL$13)="",10^12,OFFSET(CRONOPLE!$F$14,$M19,BL$13))))</f>
        <v>1000000000000</v>
      </c>
      <c r="BM19" s="181">
        <f ca="1">IF($D19&lt;&gt;"Serviço",0,IF(AND(AUTOEVENTO="Manual",$M19=1),0,IF(OFFSET(CRONOPLE!$F$14,$M19,BM$13)="",10^12,OFFSET(CRONOPLE!$F$14,$M19,BM$13))))</f>
        <v>1000000000000</v>
      </c>
      <c r="BN19" s="181">
        <f ca="1">IF($D19&lt;&gt;"Serviço",0,IF(AND(AUTOEVENTO="Manual",$M19=1),0,IF(OFFSET(CRONOPLE!$F$14,$M19,BN$13)="",10^12,OFFSET(CRONOPLE!$F$14,$M19,BN$13))))</f>
        <v>1000000000000</v>
      </c>
      <c r="BO19" s="181">
        <f ca="1">IF($D19&lt;&gt;"Serviço",0,IF(AND(AUTOEVENTO="Manual",$M19=1),0,IF(OFFSET(CRONOPLE!$F$14,$M19,BO$13)="",10^12,OFFSET(CRONOPLE!$F$14,$M19,BO$13))))</f>
        <v>1000000000000</v>
      </c>
      <c r="BP19" s="181">
        <f ca="1">IF($D19&lt;&gt;"Serviço",0,IF(AND(AUTOEVENTO="Manual",$M19=1),0,IF(OFFSET(CRONOPLE!$F$14,$M19,BP$13)="",10^12,OFFSET(CRONOPLE!$F$14,$M19,BP$13))))</f>
        <v>1000000000000</v>
      </c>
      <c r="BQ19" s="181">
        <f ca="1">IF($D19&lt;&gt;"Serviço",0,IF(AND(AUTOEVENTO="Manual",$M19=1),0,IF(OFFSET(CRONOPLE!$F$14,$M19,BQ$13)="",10^12,OFFSET(CRONOPLE!$F$14,$M19,BQ$13))))</f>
        <v>1000000000000</v>
      </c>
      <c r="BR19" s="181">
        <f ca="1">IF($D19&lt;&gt;"Serviço",0,IF(AND(AUTOEVENTO="Manual",$M19=1),0,IF(OFFSET(CRONOPLE!$F$14,$M19,BR$13)="",10^12,OFFSET(CRONOPLE!$F$14,$M19,BR$13))))</f>
        <v>1000000000000</v>
      </c>
      <c r="BS19" s="181">
        <f ca="1">IF($D19&lt;&gt;"Serviço",0,IF(AND(AUTOEVENTO="Manual",$M19=1),0,IF(OFFSET(CRONOPLE!$F$14,$M19,BS$13)="",10^12,OFFSET(CRONOPLE!$F$14,$M19,BS$13))))</f>
        <v>1000000000000</v>
      </c>
      <c r="BT19" s="181">
        <f ca="1">IF($D19&lt;&gt;"Serviço",0,IF(AND(AUTOEVENTO="Manual",$M19=1),0,IF(OFFSET(CRONOPLE!$F$14,$M19,BT$13)="",10^12,OFFSET(CRONOPLE!$F$14,$M19,BT$13))))</f>
        <v>1000000000000</v>
      </c>
      <c r="BV19" s="182">
        <f ca="1">IF($D19&lt;&gt;"Serviço",0,IF(OR(AND(AUTOEVENTO="Manual",$M19=1),$M19&gt;(ROW(PLE.lastrow)-ROW(PLE.firstrow))),0,IF(OFFSET(PLE!$G$14,$M19,BV$13)="",10^12,OFFSET(PLE!$G$14,$M19,BV$13))))</f>
        <v>1000000000000</v>
      </c>
      <c r="BW19" s="182">
        <f ca="1">IF($D19&lt;&gt;"Serviço",0,IF(OR(AND(AUTOEVENTO="Manual",$M19=1),$M19&gt;(ROW(PLE.lastrow)-ROW(PLE.firstrow))),0,IF(OFFSET(PLE!$G$14,$M19,BW$13)="",10^12,OFFSET(PLE!$G$14,$M19,BW$13))))</f>
        <v>1000000000000</v>
      </c>
      <c r="BX19" s="182">
        <f ca="1">IF($D19&lt;&gt;"Serviço",0,IF(OR(AND(AUTOEVENTO="Manual",$M19=1),$M19&gt;(ROW(PLE.lastrow)-ROW(PLE.firstrow))),0,IF(OFFSET(PLE!$G$14,$M19,BX$13)="",10^12,OFFSET(PLE!$G$14,$M19,BX$13))))</f>
        <v>1000000000000</v>
      </c>
      <c r="BY19" s="182">
        <f ca="1">IF($D19&lt;&gt;"Serviço",0,IF(OR(AND(AUTOEVENTO="Manual",$M19=1),$M19&gt;(ROW(PLE.lastrow)-ROW(PLE.firstrow))),0,IF(OFFSET(PLE!$G$14,$M19,BY$13)="",10^12,OFFSET(PLE!$G$14,$M19,BY$13))))</f>
        <v>1000000000000</v>
      </c>
      <c r="BZ19" s="182">
        <f ca="1">IF($D19&lt;&gt;"Serviço",0,IF(OR(AND(AUTOEVENTO="Manual",$M19=1),$M19&gt;(ROW(PLE.lastrow)-ROW(PLE.firstrow))),0,IF(OFFSET(PLE!$G$14,$M19,BZ$13)="",10^12,OFFSET(PLE!$G$14,$M19,BZ$13))))</f>
        <v>1000000000000</v>
      </c>
      <c r="CA19" s="182">
        <f ca="1">IF($D19&lt;&gt;"Serviço",0,IF(OR(AND(AUTOEVENTO="Manual",$M19=1),$M19&gt;(ROW(PLE.lastrow)-ROW(PLE.firstrow))),0,IF(OFFSET(PLE!$G$14,$M19,CA$13)="",10^12,OFFSET(PLE!$G$14,$M19,CA$13))))</f>
        <v>1000000000000</v>
      </c>
      <c r="CB19" s="182">
        <f ca="1">IF($D19&lt;&gt;"Serviço",0,IF(OR(AND(AUTOEVENTO="Manual",$M19=1),$M19&gt;(ROW(PLE.lastrow)-ROW(PLE.firstrow))),0,IF(OFFSET(PLE!$G$14,$M19,CB$13)="",10^12,OFFSET(PLE!$G$14,$M19,CB$13))))</f>
        <v>1000000000000</v>
      </c>
      <c r="CC19" s="182">
        <f ca="1">IF($D19&lt;&gt;"Serviço",0,IF(OR(AND(AUTOEVENTO="Manual",$M19=1),$M19&gt;(ROW(PLE.lastrow)-ROW(PLE.firstrow))),0,IF(OFFSET(PLE!$G$14,$M19,CC$13)="",10^12,OFFSET(PLE!$G$14,$M19,CC$13))))</f>
        <v>1000000000000</v>
      </c>
      <c r="CD19" s="182">
        <f ca="1">IF($D19&lt;&gt;"Serviço",0,IF(OR(AND(AUTOEVENTO="Manual",$M19=1),$M19&gt;(ROW(PLE.lastrow)-ROW(PLE.firstrow))),0,IF(OFFSET(PLE!$G$14,$M19,CD$13)="",10^12,OFFSET(PLE!$G$14,$M19,CD$13))))</f>
        <v>1000000000000</v>
      </c>
      <c r="CE19" s="182">
        <f ca="1">IF($D19&lt;&gt;"Serviço",0,IF(OR(AND(AUTOEVENTO="Manual",$M19=1),$M19&gt;(ROW(PLE.lastrow)-ROW(PLE.firstrow))),0,IF(OFFSET(PLE!$G$14,$M19,CE$13)="",10^12,OFFSET(PLE!$G$14,$M19,CE$13))))</f>
        <v>1000000000000</v>
      </c>
      <c r="CF19" s="182">
        <f ca="1">IF($D19&lt;&gt;"Serviço",0,IF(OR(AND(AUTOEVENTO="Manual",$M19=1),$M19&gt;(ROW(PLE.lastrow)-ROW(PLE.firstrow))),0,IF(OFFSET(PLE!$G$14,$M19,CF$13)="",10^12,OFFSET(PLE!$G$14,$M19,CF$13))))</f>
        <v>1000000000000</v>
      </c>
      <c r="CG19" s="182">
        <f ca="1">IF($D19&lt;&gt;"Serviço",0,IF(OR(AND(AUTOEVENTO="Manual",$M19=1),$M19&gt;(ROW(PLE.lastrow)-ROW(PLE.firstrow))),0,IF(OFFSET(PLE!$G$14,$M19,CG$13)="",10^12,OFFSET(PLE!$G$14,$M19,CG$13))))</f>
        <v>1000000000000</v>
      </c>
      <c r="CH19" s="182">
        <f ca="1">IF($D19&lt;&gt;"Serviço",0,IF(OR(AND(AUTOEVENTO="Manual",$M19=1),$M19&gt;(ROW(PLE.lastrow)-ROW(PLE.firstrow))),0,IF(OFFSET(PLE!$G$14,$M19,CH$13)="",10^12,OFFSET(PLE!$G$14,$M19,CH$13))))</f>
        <v>1000000000000</v>
      </c>
      <c r="CI19" s="182">
        <f ca="1">IF($D19&lt;&gt;"Serviço",0,IF(OR(AND(AUTOEVENTO="Manual",$M19=1),$M19&gt;(ROW(PLE.lastrow)-ROW(PLE.firstrow))),0,IF(OFFSET(PLE!$G$14,$M19,CI$13)="",10^12,OFFSET(PLE!$G$14,$M19,CI$13))))</f>
        <v>1000000000000</v>
      </c>
      <c r="CJ19" s="182">
        <f ca="1">IF($D19&lt;&gt;"Serviço",0,IF(OR(AND(AUTOEVENTO="Manual",$M19=1),$M19&gt;(ROW(PLE.lastrow)-ROW(PLE.firstrow))),0,IF(OFFSET(PLE!$G$14,$M19,CJ$13)="",10^12,OFFSET(PLE!$G$14,$M19,CJ$13))))</f>
        <v>1000000000000</v>
      </c>
      <c r="CK19" s="182">
        <f ca="1">IF($D19&lt;&gt;"Serviço",0,IF(OR(AND(AUTOEVENTO="Manual",$M19=1),$M19&gt;(ROW(PLE.lastrow)-ROW(PLE.firstrow))),0,IF(OFFSET(PLE!$G$14,$M19,CK$13)="",10^12,OFFSET(PLE!$G$14,$M19,CK$13))))</f>
        <v>1000000000000</v>
      </c>
      <c r="CL19" s="182">
        <f ca="1">IF($D19&lt;&gt;"Serviço",0,IF(OR(AND(AUTOEVENTO="Manual",$M19=1),$M19&gt;(ROW(PLE.lastrow)-ROW(PLE.firstrow))),0,IF(OFFSET(PLE!$G$14,$M19,CL$13)="",10^12,OFFSET(PLE!$G$14,$M19,CL$13))))</f>
        <v>1000000000000</v>
      </c>
      <c r="CM19" s="182">
        <f ca="1">IF($D19&lt;&gt;"Serviço",0,IF(OR(AND(AUTOEVENTO="Manual",$M19=1),$M19&gt;(ROW(PLE.lastrow)-ROW(PLE.firstrow))),0,IF(OFFSET(PLE!$G$14,$M19,CM$13)="",10^12,OFFSET(PLE!$G$14,$M19,CM$13))))</f>
        <v>1000000000000</v>
      </c>
    </row>
    <row r="20" spans="1:91" ht="25.5" x14ac:dyDescent="0.2">
      <c r="A20" s="7" t="str">
        <f t="shared" ca="1" si="9"/>
        <v>2</v>
      </c>
      <c r="B20" s="7" t="str">
        <f ca="1">OFFSET(ORÇAMENTO!C$15,ROW(B20)-ROW(B$15),0)</f>
        <v>S</v>
      </c>
      <c r="C20" s="7" t="str">
        <f ca="1">OFFSET(ORÇAMENTO!L$15,ROW(C20)-ROW(C$15),0)</f>
        <v/>
      </c>
      <c r="D20" s="118" t="str">
        <f ca="1">OFFSET(ORÇAMENTO!N$15,ROW(D20)-ROW(D$15),0)</f>
        <v>Serviço</v>
      </c>
      <c r="E20" s="119" t="str">
        <f ca="1">OFFSET(ORÇAMENTO!O$15,ROW(E20)-ROW(E$15),0)</f>
        <v>-</v>
      </c>
      <c r="F20" s="172" t="str">
        <f ca="1">OFFSET(ORÇAMENTO!R$15,ROW(F20)-ROW(F$15),0)</f>
        <v>(abra o arquivo 'Referência 03-Sunday.xlsm)</v>
      </c>
      <c r="G20" s="173" t="str">
        <f ca="1">IF($D20&lt;&gt;"Serviço","",OFFSET(ORÇAMENTO!S$15,ROW(G20)-ROW(G$15),0))</f>
        <v>-</v>
      </c>
      <c r="H20" s="124">
        <f ca="1">IF($D20&lt;&gt;"Serviço",0,IF(ACOMPANHAMENTO="BM",ROUND(OFFSET(ORÇAMENTO!AJ$15,ROW(H20)-ROW(H$15),0),15-13*ORÇAMENTO!$AF$7),SUMPRODUCT(($Q$12:$AI$12&lt;&gt;"")*ROUND($Q20:$AI20,15-13*ORÇAMENTO!$AF$7))))</f>
        <v>600</v>
      </c>
      <c r="I20" s="539" t="s">
        <v>508</v>
      </c>
      <c r="K20" s="174"/>
      <c r="L20" s="175" t="s">
        <v>254</v>
      </c>
      <c r="M20" s="176">
        <f ca="1">IF($D20&lt;&gt;"Serviço","",IF(AUTOEVENTO="manual",$A20,IF(ISERROR(MATCH($A20,$A$15:OFFSET($A20,-1,0),0)),MAX($M$15:OFFSET(M20,-1,0))+1,INDEX($M$15:OFFSET(M20,-1,0),MATCH($A20,$A$15:OFFSET($A20,-1,0),0)))))</f>
        <v>2</v>
      </c>
      <c r="N20" s="177" t="str">
        <f ca="1">IF($D20&lt;&gt;"Serviço","",IF(AUTOEVENTO="Manual",IF($A20=0,"&lt;-- defina o número do agrupador",OFFSET(EVENTOS!$D$14,$A20,0)),OFFSET($F$15,$A20,0)))</f>
        <v>Lote 01  - Manutenção e Reparos Abrigos Passagerios Onibus e Táxi</v>
      </c>
      <c r="O20" s="178"/>
      <c r="Q20" s="178">
        <f>6*100</f>
        <v>600</v>
      </c>
      <c r="R20" s="179"/>
      <c r="S20" s="179"/>
      <c r="T20" s="179"/>
      <c r="U20" s="179"/>
      <c r="V20" s="179"/>
      <c r="W20" s="179"/>
      <c r="X20" s="179"/>
      <c r="Y20" s="179"/>
      <c r="Z20" s="180"/>
      <c r="AA20" s="179"/>
      <c r="AB20" s="179"/>
      <c r="AC20" s="179"/>
      <c r="AD20" s="179"/>
      <c r="AE20" s="179"/>
      <c r="AF20" s="179"/>
      <c r="AG20" s="179"/>
      <c r="AH20" s="180"/>
      <c r="AJ20" s="522">
        <f ca="1">IF(AND($D20="Serviço",AJ$12&lt;&gt;0,$H20&gt;0,OR(AUTOEVENTO&lt;&gt;"manual",$M20&lt;&gt;1)),
IF(Import.TipoArredondamento&lt;&gt;"TransfereGOV",
ROUND(OFFSET($P20,0,AJ$13),15-13*ORÇAMENTO!$AF$7)/$H20*OFFSET(ORÇAMENTO!$X$15,ROW(AJ20)-ROW(AJ$15),0),
ROUND(ROUND(OFFSET($P20,0,AJ$13),15-13*ORÇAMENTO!$AF$7)*OFFSET(ORÇAMENTO!$W$15,ROW(AJ20)-ROW(AJ$15),0),15-13*ORÇAMENTO!$AF$11)),0)</f>
        <v>0</v>
      </c>
      <c r="AK20" s="523">
        <f ca="1">IF(AND($D20="Serviço",AK$12&lt;&gt;0,$H20&gt;0,OR(AUTOEVENTO&lt;&gt;"manual",$M20&lt;&gt;1)),
IF(Import.TipoArredondamento&lt;&gt;"TransfereGOV",
ROUND(OFFSET($P20,0,AK$13),15-13*ORÇAMENTO!$AF$7)/$H20*OFFSET(ORÇAMENTO!$X$15,ROW(AK20)-ROW(AK$15),0),
ROUND(ROUND(OFFSET($P20,0,AK$13),15-13*ORÇAMENTO!$AF$7)*OFFSET(ORÇAMENTO!$W$15,ROW(AK20)-ROW(AK$15),0),15-13*ORÇAMENTO!$AF$11)),0)</f>
        <v>0</v>
      </c>
      <c r="AL20" s="523">
        <f ca="1">IF(AND($D20="Serviço",AL$12&lt;&gt;0,$H20&gt;0,OR(AUTOEVENTO&lt;&gt;"manual",$M20&lt;&gt;1)),
IF(Import.TipoArredondamento&lt;&gt;"TransfereGOV",
ROUND(OFFSET($P20,0,AL$13),15-13*ORÇAMENTO!$AF$7)/$H20*OFFSET(ORÇAMENTO!$X$15,ROW(AL20)-ROW(AL$15),0),
ROUND(ROUND(OFFSET($P20,0,AL$13),15-13*ORÇAMENTO!$AF$7)*OFFSET(ORÇAMENTO!$W$15,ROW(AL20)-ROW(AL$15),0),15-13*ORÇAMENTO!$AF$11)),0)</f>
        <v>0</v>
      </c>
      <c r="AM20" s="523">
        <f ca="1">IF(AND($D20="Serviço",AM$12&lt;&gt;0,$H20&gt;0,OR(AUTOEVENTO&lt;&gt;"manual",$M20&lt;&gt;1)),
IF(Import.TipoArredondamento&lt;&gt;"TransfereGOV",
ROUND(OFFSET($P20,0,AM$13),15-13*ORÇAMENTO!$AF$7)/$H20*OFFSET(ORÇAMENTO!$X$15,ROW(AM20)-ROW(AM$15),0),
ROUND(ROUND(OFFSET($P20,0,AM$13),15-13*ORÇAMENTO!$AF$7)*OFFSET(ORÇAMENTO!$W$15,ROW(AM20)-ROW(AM$15),0),15-13*ORÇAMENTO!$AF$11)),0)</f>
        <v>0</v>
      </c>
      <c r="AN20" s="523">
        <f ca="1">IF(AND($D20="Serviço",AN$12&lt;&gt;0,$H20&gt;0,OR(AUTOEVENTO&lt;&gt;"manual",$M20&lt;&gt;1)),
IF(Import.TipoArredondamento&lt;&gt;"TransfereGOV",
ROUND(OFFSET($P20,0,AN$13),15-13*ORÇAMENTO!$AF$7)/$H20*OFFSET(ORÇAMENTO!$X$15,ROW(AN20)-ROW(AN$15),0),
ROUND(ROUND(OFFSET($P20,0,AN$13),15-13*ORÇAMENTO!$AF$7)*OFFSET(ORÇAMENTO!$W$15,ROW(AN20)-ROW(AN$15),0),15-13*ORÇAMENTO!$AF$11)),0)</f>
        <v>0</v>
      </c>
      <c r="AO20" s="523">
        <f ca="1">IF(AND($D20="Serviço",AO$12&lt;&gt;0,$H20&gt;0,OR(AUTOEVENTO&lt;&gt;"manual",$M20&lt;&gt;1)),
IF(Import.TipoArredondamento&lt;&gt;"TransfereGOV",
ROUND(OFFSET($P20,0,AO$13),15-13*ORÇAMENTO!$AF$7)/$H20*OFFSET(ORÇAMENTO!$X$15,ROW(AO20)-ROW(AO$15),0),
ROUND(ROUND(OFFSET($P20,0,AO$13),15-13*ORÇAMENTO!$AF$7)*OFFSET(ORÇAMENTO!$W$15,ROW(AO20)-ROW(AO$15),0),15-13*ORÇAMENTO!$AF$11)),0)</f>
        <v>0</v>
      </c>
      <c r="AP20" s="523">
        <f ca="1">IF(AND($D20="Serviço",AP$12&lt;&gt;0,$H20&gt;0,OR(AUTOEVENTO&lt;&gt;"manual",$M20&lt;&gt;1)),
IF(Import.TipoArredondamento&lt;&gt;"TransfereGOV",
ROUND(OFFSET($P20,0,AP$13),15-13*ORÇAMENTO!$AF$7)/$H20*OFFSET(ORÇAMENTO!$X$15,ROW(AP20)-ROW(AP$15),0),
ROUND(ROUND(OFFSET($P20,0,AP$13),15-13*ORÇAMENTO!$AF$7)*OFFSET(ORÇAMENTO!$W$15,ROW(AP20)-ROW(AP$15),0),15-13*ORÇAMENTO!$AF$11)),0)</f>
        <v>0</v>
      </c>
      <c r="AQ20" s="523">
        <f ca="1">IF(AND($D20="Serviço",AQ$12&lt;&gt;0,$H20&gt;0,OR(AUTOEVENTO&lt;&gt;"manual",$M20&lt;&gt;1)),
IF(Import.TipoArredondamento&lt;&gt;"TransfereGOV",
ROUND(OFFSET($P20,0,AQ$13),15-13*ORÇAMENTO!$AF$7)/$H20*OFFSET(ORÇAMENTO!$X$15,ROW(AQ20)-ROW(AQ$15),0),
ROUND(ROUND(OFFSET($P20,0,AQ$13),15-13*ORÇAMENTO!$AF$7)*OFFSET(ORÇAMENTO!$W$15,ROW(AQ20)-ROW(AQ$15),0),15-13*ORÇAMENTO!$AF$11)),0)</f>
        <v>0</v>
      </c>
      <c r="AR20" s="523">
        <f ca="1">IF(AND($D20="Serviço",AR$12&lt;&gt;0,$H20&gt;0,OR(AUTOEVENTO&lt;&gt;"manual",$M20&lt;&gt;1)),
IF(Import.TipoArredondamento&lt;&gt;"TransfereGOV",
ROUND(OFFSET($P20,0,AR$13),15-13*ORÇAMENTO!$AF$7)/$H20*OFFSET(ORÇAMENTO!$X$15,ROW(AR20)-ROW(AR$15),0),
ROUND(ROUND(OFFSET($P20,0,AR$13),15-13*ORÇAMENTO!$AF$7)*OFFSET(ORÇAMENTO!$W$15,ROW(AR20)-ROW(AR$15),0),15-13*ORÇAMENTO!$AF$11)),0)</f>
        <v>0</v>
      </c>
      <c r="AS20" s="524">
        <f ca="1">IF(AND($D20="Serviço",AS$12&lt;&gt;0,$H20&gt;0,OR(AUTOEVENTO&lt;&gt;"manual",$M20&lt;&gt;1)),
IF(Import.TipoArredondamento&lt;&gt;"TransfereGOV",
ROUND(OFFSET($P20,0,AS$13),15-13*ORÇAMENTO!$AF$7)/$H20*OFFSET(ORÇAMENTO!$X$15,ROW(AS20)-ROW(AS$15),0),
ROUND(ROUND(OFFSET($P20,0,AS$13),15-13*ORÇAMENTO!$AF$7)*OFFSET(ORÇAMENTO!$W$15,ROW(AS20)-ROW(AS$15),0),15-13*ORÇAMENTO!$AF$11)),0)</f>
        <v>0</v>
      </c>
      <c r="AT20" s="523">
        <f ca="1">IF(AND($D20="Serviço",AT$12&lt;&gt;0,$H20&gt;0,OR(AUTOEVENTO&lt;&gt;"manual",$M20&lt;&gt;1)),
IF(Import.TipoArredondamento&lt;&gt;"TransfereGOV",
ROUND(OFFSET($P20,0,AT$13),15-13*ORÇAMENTO!$AF$7)/$H20*OFFSET(ORÇAMENTO!$X$15,ROW(AT20)-ROW(AT$15),0),
ROUND(ROUND(OFFSET($P20,0,AT$13),15-13*ORÇAMENTO!$AF$7)*OFFSET(ORÇAMENTO!$W$15,ROW(AT20)-ROW(AT$15),0),15-13*ORÇAMENTO!$AF$11)),0)</f>
        <v>0</v>
      </c>
      <c r="AU20" s="523">
        <f ca="1">IF(AND($D20="Serviço",AU$12&lt;&gt;0,$H20&gt;0,OR(AUTOEVENTO&lt;&gt;"manual",$M20&lt;&gt;1)),
IF(Import.TipoArredondamento&lt;&gt;"TransfereGOV",
ROUND(OFFSET($P20,0,AU$13),15-13*ORÇAMENTO!$AF$7)/$H20*OFFSET(ORÇAMENTO!$X$15,ROW(AU20)-ROW(AU$15),0),
ROUND(ROUND(OFFSET($P20,0,AU$13),15-13*ORÇAMENTO!$AF$7)*OFFSET(ORÇAMENTO!$W$15,ROW(AU20)-ROW(AU$15),0),15-13*ORÇAMENTO!$AF$11)),0)</f>
        <v>0</v>
      </c>
      <c r="AV20" s="523">
        <f ca="1">IF(AND($D20="Serviço",AV$12&lt;&gt;0,$H20&gt;0,OR(AUTOEVENTO&lt;&gt;"manual",$M20&lt;&gt;1)),
IF(Import.TipoArredondamento&lt;&gt;"TransfereGOV",
ROUND(OFFSET($P20,0,AV$13),15-13*ORÇAMENTO!$AF$7)/$H20*OFFSET(ORÇAMENTO!$X$15,ROW(AV20)-ROW(AV$15),0),
ROUND(ROUND(OFFSET($P20,0,AV$13),15-13*ORÇAMENTO!$AF$7)*OFFSET(ORÇAMENTO!$W$15,ROW(AV20)-ROW(AV$15),0),15-13*ORÇAMENTO!$AF$11)),0)</f>
        <v>0</v>
      </c>
      <c r="AW20" s="523">
        <f ca="1">IF(AND($D20="Serviço",AW$12&lt;&gt;0,$H20&gt;0,OR(AUTOEVENTO&lt;&gt;"manual",$M20&lt;&gt;1)),
IF(Import.TipoArredondamento&lt;&gt;"TransfereGOV",
ROUND(OFFSET($P20,0,AW$13),15-13*ORÇAMENTO!$AF$7)/$H20*OFFSET(ORÇAMENTO!$X$15,ROW(AW20)-ROW(AW$15),0),
ROUND(ROUND(OFFSET($P20,0,AW$13),15-13*ORÇAMENTO!$AF$7)*OFFSET(ORÇAMENTO!$W$15,ROW(AW20)-ROW(AW$15),0),15-13*ORÇAMENTO!$AF$11)),0)</f>
        <v>0</v>
      </c>
      <c r="AX20" s="523">
        <f ca="1">IF(AND($D20="Serviço",AX$12&lt;&gt;0,$H20&gt;0,OR(AUTOEVENTO&lt;&gt;"manual",$M20&lt;&gt;1)),
IF(Import.TipoArredondamento&lt;&gt;"TransfereGOV",
ROUND(OFFSET($P20,0,AX$13),15-13*ORÇAMENTO!$AF$7)/$H20*OFFSET(ORÇAMENTO!$X$15,ROW(AX20)-ROW(AX$15),0),
ROUND(ROUND(OFFSET($P20,0,AX$13),15-13*ORÇAMENTO!$AF$7)*OFFSET(ORÇAMENTO!$W$15,ROW(AX20)-ROW(AX$15),0),15-13*ORÇAMENTO!$AF$11)),0)</f>
        <v>0</v>
      </c>
      <c r="AY20" s="523">
        <f ca="1">IF(AND($D20="Serviço",AY$12&lt;&gt;0,$H20&gt;0,OR(AUTOEVENTO&lt;&gt;"manual",$M20&lt;&gt;1)),
IF(Import.TipoArredondamento&lt;&gt;"TransfereGOV",
ROUND(OFFSET($P20,0,AY$13),15-13*ORÇAMENTO!$AF$7)/$H20*OFFSET(ORÇAMENTO!$X$15,ROW(AY20)-ROW(AY$15),0),
ROUND(ROUND(OFFSET($P20,0,AY$13),15-13*ORÇAMENTO!$AF$7)*OFFSET(ORÇAMENTO!$W$15,ROW(AY20)-ROW(AY$15),0),15-13*ORÇAMENTO!$AF$11)),0)</f>
        <v>0</v>
      </c>
      <c r="AZ20" s="523">
        <f ca="1">IF(AND($D20="Serviço",AZ$12&lt;&gt;0,$H20&gt;0,OR(AUTOEVENTO&lt;&gt;"manual",$M20&lt;&gt;1)),
IF(Import.TipoArredondamento&lt;&gt;"TransfereGOV",
ROUND(OFFSET($P20,0,AZ$13),15-13*ORÇAMENTO!$AF$7)/$H20*OFFSET(ORÇAMENTO!$X$15,ROW(AZ20)-ROW(AZ$15),0),
ROUND(ROUND(OFFSET($P20,0,AZ$13),15-13*ORÇAMENTO!$AF$7)*OFFSET(ORÇAMENTO!$W$15,ROW(AZ20)-ROW(AZ$15),0),15-13*ORÇAMENTO!$AF$11)),0)</f>
        <v>0</v>
      </c>
      <c r="BA20" s="524">
        <f ca="1">IF(AND($D20="Serviço",BA$12&lt;&gt;0,$H20&gt;0,OR(AUTOEVENTO&lt;&gt;"manual",$M20&lt;&gt;1)),
IF(Import.TipoArredondamento&lt;&gt;"TransfereGOV",
ROUND(OFFSET($P20,0,BA$13),15-13*ORÇAMENTO!$AF$7)/$H20*OFFSET(ORÇAMENTO!$X$15,ROW(BA20)-ROW(BA$15),0),
ROUND(ROUND(OFFSET($P20,0,BA$13),15-13*ORÇAMENTO!$AF$7)*OFFSET(ORÇAMENTO!$W$15,ROW(BA20)-ROW(BA$15),0),15-13*ORÇAMENTO!$AF$11)),0)</f>
        <v>0</v>
      </c>
      <c r="BC20" s="181">
        <f ca="1">IF($D20&lt;&gt;"Serviço",0,IF(AND(AUTOEVENTO="Manual",$M20=1),0,IF(OFFSET(CRONOPLE!$F$14,$M20,BC$13)="",10^12,OFFSET(CRONOPLE!$F$14,$M20,BC$13))))</f>
        <v>12</v>
      </c>
      <c r="BD20" s="181">
        <f ca="1">IF($D20&lt;&gt;"Serviço",0,IF(AND(AUTOEVENTO="Manual",$M20=1),0,IF(OFFSET(CRONOPLE!$F$14,$M20,BD$13)="",10^12,OFFSET(CRONOPLE!$F$14,$M20,BD$13))))</f>
        <v>1000000000000</v>
      </c>
      <c r="BE20" s="181">
        <f ca="1">IF($D20&lt;&gt;"Serviço",0,IF(AND(AUTOEVENTO="Manual",$M20=1),0,IF(OFFSET(CRONOPLE!$F$14,$M20,BE$13)="",10^12,OFFSET(CRONOPLE!$F$14,$M20,BE$13))))</f>
        <v>1000000000000</v>
      </c>
      <c r="BF20" s="181">
        <f ca="1">IF($D20&lt;&gt;"Serviço",0,IF(AND(AUTOEVENTO="Manual",$M20=1),0,IF(OFFSET(CRONOPLE!$F$14,$M20,BF$13)="",10^12,OFFSET(CRONOPLE!$F$14,$M20,BF$13))))</f>
        <v>1000000000000</v>
      </c>
      <c r="BG20" s="181">
        <f ca="1">IF($D20&lt;&gt;"Serviço",0,IF(AND(AUTOEVENTO="Manual",$M20=1),0,IF(OFFSET(CRONOPLE!$F$14,$M20,BG$13)="",10^12,OFFSET(CRONOPLE!$F$14,$M20,BG$13))))</f>
        <v>1000000000000</v>
      </c>
      <c r="BH20" s="181">
        <f ca="1">IF($D20&lt;&gt;"Serviço",0,IF(AND(AUTOEVENTO="Manual",$M20=1),0,IF(OFFSET(CRONOPLE!$F$14,$M20,BH$13)="",10^12,OFFSET(CRONOPLE!$F$14,$M20,BH$13))))</f>
        <v>1000000000000</v>
      </c>
      <c r="BI20" s="181">
        <f ca="1">IF($D20&lt;&gt;"Serviço",0,IF(AND(AUTOEVENTO="Manual",$M20=1),0,IF(OFFSET(CRONOPLE!$F$14,$M20,BI$13)="",10^12,OFFSET(CRONOPLE!$F$14,$M20,BI$13))))</f>
        <v>1000000000000</v>
      </c>
      <c r="BJ20" s="181">
        <f ca="1">IF($D20&lt;&gt;"Serviço",0,IF(AND(AUTOEVENTO="Manual",$M20=1),0,IF(OFFSET(CRONOPLE!$F$14,$M20,BJ$13)="",10^12,OFFSET(CRONOPLE!$F$14,$M20,BJ$13))))</f>
        <v>1000000000000</v>
      </c>
      <c r="BK20" s="181">
        <f ca="1">IF($D20&lt;&gt;"Serviço",0,IF(AND(AUTOEVENTO="Manual",$M20=1),0,IF(OFFSET(CRONOPLE!$F$14,$M20,BK$13)="",10^12,OFFSET(CRONOPLE!$F$14,$M20,BK$13))))</f>
        <v>1000000000000</v>
      </c>
      <c r="BL20" s="181">
        <f ca="1">IF($D20&lt;&gt;"Serviço",0,IF(AND(AUTOEVENTO="Manual",$M20=1),0,IF(OFFSET(CRONOPLE!$F$14,$M20,BL$13)="",10^12,OFFSET(CRONOPLE!$F$14,$M20,BL$13))))</f>
        <v>1000000000000</v>
      </c>
      <c r="BM20" s="181">
        <f ca="1">IF($D20&lt;&gt;"Serviço",0,IF(AND(AUTOEVENTO="Manual",$M20=1),0,IF(OFFSET(CRONOPLE!$F$14,$M20,BM$13)="",10^12,OFFSET(CRONOPLE!$F$14,$M20,BM$13))))</f>
        <v>1000000000000</v>
      </c>
      <c r="BN20" s="181">
        <f ca="1">IF($D20&lt;&gt;"Serviço",0,IF(AND(AUTOEVENTO="Manual",$M20=1),0,IF(OFFSET(CRONOPLE!$F$14,$M20,BN$13)="",10^12,OFFSET(CRONOPLE!$F$14,$M20,BN$13))))</f>
        <v>1000000000000</v>
      </c>
      <c r="BO20" s="181">
        <f ca="1">IF($D20&lt;&gt;"Serviço",0,IF(AND(AUTOEVENTO="Manual",$M20=1),0,IF(OFFSET(CRONOPLE!$F$14,$M20,BO$13)="",10^12,OFFSET(CRONOPLE!$F$14,$M20,BO$13))))</f>
        <v>1000000000000</v>
      </c>
      <c r="BP20" s="181">
        <f ca="1">IF($D20&lt;&gt;"Serviço",0,IF(AND(AUTOEVENTO="Manual",$M20=1),0,IF(OFFSET(CRONOPLE!$F$14,$M20,BP$13)="",10^12,OFFSET(CRONOPLE!$F$14,$M20,BP$13))))</f>
        <v>1000000000000</v>
      </c>
      <c r="BQ20" s="181">
        <f ca="1">IF($D20&lt;&gt;"Serviço",0,IF(AND(AUTOEVENTO="Manual",$M20=1),0,IF(OFFSET(CRONOPLE!$F$14,$M20,BQ$13)="",10^12,OFFSET(CRONOPLE!$F$14,$M20,BQ$13))))</f>
        <v>1000000000000</v>
      </c>
      <c r="BR20" s="181">
        <f ca="1">IF($D20&lt;&gt;"Serviço",0,IF(AND(AUTOEVENTO="Manual",$M20=1),0,IF(OFFSET(CRONOPLE!$F$14,$M20,BR$13)="",10^12,OFFSET(CRONOPLE!$F$14,$M20,BR$13))))</f>
        <v>1000000000000</v>
      </c>
      <c r="BS20" s="181">
        <f ca="1">IF($D20&lt;&gt;"Serviço",0,IF(AND(AUTOEVENTO="Manual",$M20=1),0,IF(OFFSET(CRONOPLE!$F$14,$M20,BS$13)="",10^12,OFFSET(CRONOPLE!$F$14,$M20,BS$13))))</f>
        <v>1000000000000</v>
      </c>
      <c r="BT20" s="181">
        <f ca="1">IF($D20&lt;&gt;"Serviço",0,IF(AND(AUTOEVENTO="Manual",$M20=1),0,IF(OFFSET(CRONOPLE!$F$14,$M20,BT$13)="",10^12,OFFSET(CRONOPLE!$F$14,$M20,BT$13))))</f>
        <v>1000000000000</v>
      </c>
      <c r="BV20" s="182">
        <f ca="1">IF($D20&lt;&gt;"Serviço",0,IF(OR(AND(AUTOEVENTO="Manual",$M20=1),$M20&gt;(ROW(PLE.lastrow)-ROW(PLE.firstrow))),0,IF(OFFSET(PLE!$G$14,$M20,BV$13)="",10^12,OFFSET(PLE!$G$14,$M20,BV$13))))</f>
        <v>1000000000000</v>
      </c>
      <c r="BW20" s="182">
        <f ca="1">IF($D20&lt;&gt;"Serviço",0,IF(OR(AND(AUTOEVENTO="Manual",$M20=1),$M20&gt;(ROW(PLE.lastrow)-ROW(PLE.firstrow))),0,IF(OFFSET(PLE!$G$14,$M20,BW$13)="",10^12,OFFSET(PLE!$G$14,$M20,BW$13))))</f>
        <v>1000000000000</v>
      </c>
      <c r="BX20" s="182">
        <f ca="1">IF($D20&lt;&gt;"Serviço",0,IF(OR(AND(AUTOEVENTO="Manual",$M20=1),$M20&gt;(ROW(PLE.lastrow)-ROW(PLE.firstrow))),0,IF(OFFSET(PLE!$G$14,$M20,BX$13)="",10^12,OFFSET(PLE!$G$14,$M20,BX$13))))</f>
        <v>1000000000000</v>
      </c>
      <c r="BY20" s="182">
        <f ca="1">IF($D20&lt;&gt;"Serviço",0,IF(OR(AND(AUTOEVENTO="Manual",$M20=1),$M20&gt;(ROW(PLE.lastrow)-ROW(PLE.firstrow))),0,IF(OFFSET(PLE!$G$14,$M20,BY$13)="",10^12,OFFSET(PLE!$G$14,$M20,BY$13))))</f>
        <v>1000000000000</v>
      </c>
      <c r="BZ20" s="182">
        <f ca="1">IF($D20&lt;&gt;"Serviço",0,IF(OR(AND(AUTOEVENTO="Manual",$M20=1),$M20&gt;(ROW(PLE.lastrow)-ROW(PLE.firstrow))),0,IF(OFFSET(PLE!$G$14,$M20,BZ$13)="",10^12,OFFSET(PLE!$G$14,$M20,BZ$13))))</f>
        <v>1000000000000</v>
      </c>
      <c r="CA20" s="182">
        <f ca="1">IF($D20&lt;&gt;"Serviço",0,IF(OR(AND(AUTOEVENTO="Manual",$M20=1),$M20&gt;(ROW(PLE.lastrow)-ROW(PLE.firstrow))),0,IF(OFFSET(PLE!$G$14,$M20,CA$13)="",10^12,OFFSET(PLE!$G$14,$M20,CA$13))))</f>
        <v>1000000000000</v>
      </c>
      <c r="CB20" s="182">
        <f ca="1">IF($D20&lt;&gt;"Serviço",0,IF(OR(AND(AUTOEVENTO="Manual",$M20=1),$M20&gt;(ROW(PLE.lastrow)-ROW(PLE.firstrow))),0,IF(OFFSET(PLE!$G$14,$M20,CB$13)="",10^12,OFFSET(PLE!$G$14,$M20,CB$13))))</f>
        <v>1000000000000</v>
      </c>
      <c r="CC20" s="182">
        <f ca="1">IF($D20&lt;&gt;"Serviço",0,IF(OR(AND(AUTOEVENTO="Manual",$M20=1),$M20&gt;(ROW(PLE.lastrow)-ROW(PLE.firstrow))),0,IF(OFFSET(PLE!$G$14,$M20,CC$13)="",10^12,OFFSET(PLE!$G$14,$M20,CC$13))))</f>
        <v>1000000000000</v>
      </c>
      <c r="CD20" s="182">
        <f ca="1">IF($D20&lt;&gt;"Serviço",0,IF(OR(AND(AUTOEVENTO="Manual",$M20=1),$M20&gt;(ROW(PLE.lastrow)-ROW(PLE.firstrow))),0,IF(OFFSET(PLE!$G$14,$M20,CD$13)="",10^12,OFFSET(PLE!$G$14,$M20,CD$13))))</f>
        <v>1000000000000</v>
      </c>
      <c r="CE20" s="182">
        <f ca="1">IF($D20&lt;&gt;"Serviço",0,IF(OR(AND(AUTOEVENTO="Manual",$M20=1),$M20&gt;(ROW(PLE.lastrow)-ROW(PLE.firstrow))),0,IF(OFFSET(PLE!$G$14,$M20,CE$13)="",10^12,OFFSET(PLE!$G$14,$M20,CE$13))))</f>
        <v>1000000000000</v>
      </c>
      <c r="CF20" s="182">
        <f ca="1">IF($D20&lt;&gt;"Serviço",0,IF(OR(AND(AUTOEVENTO="Manual",$M20=1),$M20&gt;(ROW(PLE.lastrow)-ROW(PLE.firstrow))),0,IF(OFFSET(PLE!$G$14,$M20,CF$13)="",10^12,OFFSET(PLE!$G$14,$M20,CF$13))))</f>
        <v>1000000000000</v>
      </c>
      <c r="CG20" s="182">
        <f ca="1">IF($D20&lt;&gt;"Serviço",0,IF(OR(AND(AUTOEVENTO="Manual",$M20=1),$M20&gt;(ROW(PLE.lastrow)-ROW(PLE.firstrow))),0,IF(OFFSET(PLE!$G$14,$M20,CG$13)="",10^12,OFFSET(PLE!$G$14,$M20,CG$13))))</f>
        <v>1000000000000</v>
      </c>
      <c r="CH20" s="182">
        <f ca="1">IF($D20&lt;&gt;"Serviço",0,IF(OR(AND(AUTOEVENTO="Manual",$M20=1),$M20&gt;(ROW(PLE.lastrow)-ROW(PLE.firstrow))),0,IF(OFFSET(PLE!$G$14,$M20,CH$13)="",10^12,OFFSET(PLE!$G$14,$M20,CH$13))))</f>
        <v>1000000000000</v>
      </c>
      <c r="CI20" s="182">
        <f ca="1">IF($D20&lt;&gt;"Serviço",0,IF(OR(AND(AUTOEVENTO="Manual",$M20=1),$M20&gt;(ROW(PLE.lastrow)-ROW(PLE.firstrow))),0,IF(OFFSET(PLE!$G$14,$M20,CI$13)="",10^12,OFFSET(PLE!$G$14,$M20,CI$13))))</f>
        <v>1000000000000</v>
      </c>
      <c r="CJ20" s="182">
        <f ca="1">IF($D20&lt;&gt;"Serviço",0,IF(OR(AND(AUTOEVENTO="Manual",$M20=1),$M20&gt;(ROW(PLE.lastrow)-ROW(PLE.firstrow))),0,IF(OFFSET(PLE!$G$14,$M20,CJ$13)="",10^12,OFFSET(PLE!$G$14,$M20,CJ$13))))</f>
        <v>1000000000000</v>
      </c>
      <c r="CK20" s="182">
        <f ca="1">IF($D20&lt;&gt;"Serviço",0,IF(OR(AND(AUTOEVENTO="Manual",$M20=1),$M20&gt;(ROW(PLE.lastrow)-ROW(PLE.firstrow))),0,IF(OFFSET(PLE!$G$14,$M20,CK$13)="",10^12,OFFSET(PLE!$G$14,$M20,CK$13))))</f>
        <v>1000000000000</v>
      </c>
      <c r="CL20" s="182">
        <f ca="1">IF($D20&lt;&gt;"Serviço",0,IF(OR(AND(AUTOEVENTO="Manual",$M20=1),$M20&gt;(ROW(PLE.lastrow)-ROW(PLE.firstrow))),0,IF(OFFSET(PLE!$G$14,$M20,CL$13)="",10^12,OFFSET(PLE!$G$14,$M20,CL$13))))</f>
        <v>1000000000000</v>
      </c>
      <c r="CM20" s="182">
        <f ca="1">IF($D20&lt;&gt;"Serviço",0,IF(OR(AND(AUTOEVENTO="Manual",$M20=1),$M20&gt;(ROW(PLE.lastrow)-ROW(PLE.firstrow))),0,IF(OFFSET(PLE!$G$14,$M20,CM$13)="",10^12,OFFSET(PLE!$G$14,$M20,CM$13))))</f>
        <v>1000000000000</v>
      </c>
    </row>
    <row r="21" spans="1:91" ht="51" x14ac:dyDescent="0.2">
      <c r="A21" s="7" t="str">
        <f t="shared" ca="1" si="9"/>
        <v>2</v>
      </c>
      <c r="B21" s="7" t="str">
        <f ca="1">OFFSET(ORÇAMENTO!C$15,ROW(B21)-ROW(B$15),0)</f>
        <v>S</v>
      </c>
      <c r="C21" s="7" t="str">
        <f ca="1">OFFSET(ORÇAMENTO!L$15,ROW(C21)-ROW(C$15),0)</f>
        <v/>
      </c>
      <c r="D21" s="118" t="str">
        <f ca="1">OFFSET(ORÇAMENTO!N$15,ROW(D21)-ROW(D$15),0)</f>
        <v>Serviço</v>
      </c>
      <c r="E21" s="119" t="str">
        <f ca="1">OFFSET(ORÇAMENTO!O$15,ROW(E21)-ROW(E$15),0)</f>
        <v>-</v>
      </c>
      <c r="F21" s="172" t="str">
        <f ca="1">OFFSET(ORÇAMENTO!R$15,ROW(F21)-ROW(F$15),0)</f>
        <v>(abra o arquivo 'Referência 03-Sunday.xlsm)</v>
      </c>
      <c r="G21" s="173" t="str">
        <f ca="1">IF($D21&lt;&gt;"Serviço","",OFFSET(ORÇAMENTO!S$15,ROW(G21)-ROW(G$15),0))</f>
        <v>-</v>
      </c>
      <c r="H21" s="124">
        <f ca="1">IF($D21&lt;&gt;"Serviço",0,IF(ACOMPANHAMENTO="BM",ROUND(OFFSET(ORÇAMENTO!AJ$15,ROW(H21)-ROW(H$15),0),15-13*ORÇAMENTO!$AF$7),SUMPRODUCT(($Q$12:$AI$12&lt;&gt;"")*ROUND($Q21:$AI21,15-13*ORÇAMENTO!$AF$7))))</f>
        <v>100</v>
      </c>
      <c r="I21" s="539" t="s">
        <v>506</v>
      </c>
      <c r="K21" s="174"/>
      <c r="L21" s="175" t="s">
        <v>254</v>
      </c>
      <c r="M21" s="176">
        <f ca="1">IF($D21&lt;&gt;"Serviço","",IF(AUTOEVENTO="manual",$A21,IF(ISERROR(MATCH($A21,$A$15:OFFSET($A21,-1,0),0)),MAX($M$15:OFFSET(M21,-1,0))+1,INDEX($M$15:OFFSET(M21,-1,0),MATCH($A21,$A$15:OFFSET($A21,-1,0),0)))))</f>
        <v>2</v>
      </c>
      <c r="N21" s="177" t="str">
        <f ca="1">IF($D21&lt;&gt;"Serviço","",IF(AUTOEVENTO="Manual",IF($A21=0,"&lt;-- defina o número do agrupador",OFFSET(EVENTOS!$D$14,$A21,0)),OFFSET($F$15,$A21,0)))</f>
        <v>Lote 01  - Manutenção e Reparos Abrigos Passagerios Onibus e Táxi</v>
      </c>
      <c r="O21" s="178"/>
      <c r="Q21" s="178">
        <v>100</v>
      </c>
      <c r="R21" s="179"/>
      <c r="S21" s="179"/>
      <c r="T21" s="179"/>
      <c r="U21" s="179"/>
      <c r="V21" s="179"/>
      <c r="W21" s="179"/>
      <c r="X21" s="179"/>
      <c r="Y21" s="179"/>
      <c r="Z21" s="180"/>
      <c r="AA21" s="179"/>
      <c r="AB21" s="179"/>
      <c r="AC21" s="179"/>
      <c r="AD21" s="179"/>
      <c r="AE21" s="179"/>
      <c r="AF21" s="179"/>
      <c r="AG21" s="179"/>
      <c r="AH21" s="180"/>
      <c r="AJ21" s="522">
        <f ca="1">IF(AND($D21="Serviço",AJ$12&lt;&gt;0,$H21&gt;0,OR(AUTOEVENTO&lt;&gt;"manual",$M21&lt;&gt;1)),
IF(Import.TipoArredondamento&lt;&gt;"TransfereGOV",
ROUND(OFFSET($P21,0,AJ$13),15-13*ORÇAMENTO!$AF$7)/$H21*OFFSET(ORÇAMENTO!$X$15,ROW(AJ21)-ROW(AJ$15),0),
ROUND(ROUND(OFFSET($P21,0,AJ$13),15-13*ORÇAMENTO!$AF$7)*OFFSET(ORÇAMENTO!$W$15,ROW(AJ21)-ROW(AJ$15),0),15-13*ORÇAMENTO!$AF$11)),0)</f>
        <v>0</v>
      </c>
      <c r="AK21" s="523">
        <f ca="1">IF(AND($D21="Serviço",AK$12&lt;&gt;0,$H21&gt;0,OR(AUTOEVENTO&lt;&gt;"manual",$M21&lt;&gt;1)),
IF(Import.TipoArredondamento&lt;&gt;"TransfereGOV",
ROUND(OFFSET($P21,0,AK$13),15-13*ORÇAMENTO!$AF$7)/$H21*OFFSET(ORÇAMENTO!$X$15,ROW(AK21)-ROW(AK$15),0),
ROUND(ROUND(OFFSET($P21,0,AK$13),15-13*ORÇAMENTO!$AF$7)*OFFSET(ORÇAMENTO!$W$15,ROW(AK21)-ROW(AK$15),0),15-13*ORÇAMENTO!$AF$11)),0)</f>
        <v>0</v>
      </c>
      <c r="AL21" s="523">
        <f ca="1">IF(AND($D21="Serviço",AL$12&lt;&gt;0,$H21&gt;0,OR(AUTOEVENTO&lt;&gt;"manual",$M21&lt;&gt;1)),
IF(Import.TipoArredondamento&lt;&gt;"TransfereGOV",
ROUND(OFFSET($P21,0,AL$13),15-13*ORÇAMENTO!$AF$7)/$H21*OFFSET(ORÇAMENTO!$X$15,ROW(AL21)-ROW(AL$15),0),
ROUND(ROUND(OFFSET($P21,0,AL$13),15-13*ORÇAMENTO!$AF$7)*OFFSET(ORÇAMENTO!$W$15,ROW(AL21)-ROW(AL$15),0),15-13*ORÇAMENTO!$AF$11)),0)</f>
        <v>0</v>
      </c>
      <c r="AM21" s="523">
        <f ca="1">IF(AND($D21="Serviço",AM$12&lt;&gt;0,$H21&gt;0,OR(AUTOEVENTO&lt;&gt;"manual",$M21&lt;&gt;1)),
IF(Import.TipoArredondamento&lt;&gt;"TransfereGOV",
ROUND(OFFSET($P21,0,AM$13),15-13*ORÇAMENTO!$AF$7)/$H21*OFFSET(ORÇAMENTO!$X$15,ROW(AM21)-ROW(AM$15),0),
ROUND(ROUND(OFFSET($P21,0,AM$13),15-13*ORÇAMENTO!$AF$7)*OFFSET(ORÇAMENTO!$W$15,ROW(AM21)-ROW(AM$15),0),15-13*ORÇAMENTO!$AF$11)),0)</f>
        <v>0</v>
      </c>
      <c r="AN21" s="523">
        <f ca="1">IF(AND($D21="Serviço",AN$12&lt;&gt;0,$H21&gt;0,OR(AUTOEVENTO&lt;&gt;"manual",$M21&lt;&gt;1)),
IF(Import.TipoArredondamento&lt;&gt;"TransfereGOV",
ROUND(OFFSET($P21,0,AN$13),15-13*ORÇAMENTO!$AF$7)/$H21*OFFSET(ORÇAMENTO!$X$15,ROW(AN21)-ROW(AN$15),0),
ROUND(ROUND(OFFSET($P21,0,AN$13),15-13*ORÇAMENTO!$AF$7)*OFFSET(ORÇAMENTO!$W$15,ROW(AN21)-ROW(AN$15),0),15-13*ORÇAMENTO!$AF$11)),0)</f>
        <v>0</v>
      </c>
      <c r="AO21" s="523">
        <f ca="1">IF(AND($D21="Serviço",AO$12&lt;&gt;0,$H21&gt;0,OR(AUTOEVENTO&lt;&gt;"manual",$M21&lt;&gt;1)),
IF(Import.TipoArredondamento&lt;&gt;"TransfereGOV",
ROUND(OFFSET($P21,0,AO$13),15-13*ORÇAMENTO!$AF$7)/$H21*OFFSET(ORÇAMENTO!$X$15,ROW(AO21)-ROW(AO$15),0),
ROUND(ROUND(OFFSET($P21,0,AO$13),15-13*ORÇAMENTO!$AF$7)*OFFSET(ORÇAMENTO!$W$15,ROW(AO21)-ROW(AO$15),0),15-13*ORÇAMENTO!$AF$11)),0)</f>
        <v>0</v>
      </c>
      <c r="AP21" s="523">
        <f ca="1">IF(AND($D21="Serviço",AP$12&lt;&gt;0,$H21&gt;0,OR(AUTOEVENTO&lt;&gt;"manual",$M21&lt;&gt;1)),
IF(Import.TipoArredondamento&lt;&gt;"TransfereGOV",
ROUND(OFFSET($P21,0,AP$13),15-13*ORÇAMENTO!$AF$7)/$H21*OFFSET(ORÇAMENTO!$X$15,ROW(AP21)-ROW(AP$15),0),
ROUND(ROUND(OFFSET($P21,0,AP$13),15-13*ORÇAMENTO!$AF$7)*OFFSET(ORÇAMENTO!$W$15,ROW(AP21)-ROW(AP$15),0),15-13*ORÇAMENTO!$AF$11)),0)</f>
        <v>0</v>
      </c>
      <c r="AQ21" s="523">
        <f ca="1">IF(AND($D21="Serviço",AQ$12&lt;&gt;0,$H21&gt;0,OR(AUTOEVENTO&lt;&gt;"manual",$M21&lt;&gt;1)),
IF(Import.TipoArredondamento&lt;&gt;"TransfereGOV",
ROUND(OFFSET($P21,0,AQ$13),15-13*ORÇAMENTO!$AF$7)/$H21*OFFSET(ORÇAMENTO!$X$15,ROW(AQ21)-ROW(AQ$15),0),
ROUND(ROUND(OFFSET($P21,0,AQ$13),15-13*ORÇAMENTO!$AF$7)*OFFSET(ORÇAMENTO!$W$15,ROW(AQ21)-ROW(AQ$15),0),15-13*ORÇAMENTO!$AF$11)),0)</f>
        <v>0</v>
      </c>
      <c r="AR21" s="523">
        <f ca="1">IF(AND($D21="Serviço",AR$12&lt;&gt;0,$H21&gt;0,OR(AUTOEVENTO&lt;&gt;"manual",$M21&lt;&gt;1)),
IF(Import.TipoArredondamento&lt;&gt;"TransfereGOV",
ROUND(OFFSET($P21,0,AR$13),15-13*ORÇAMENTO!$AF$7)/$H21*OFFSET(ORÇAMENTO!$X$15,ROW(AR21)-ROW(AR$15),0),
ROUND(ROUND(OFFSET($P21,0,AR$13),15-13*ORÇAMENTO!$AF$7)*OFFSET(ORÇAMENTO!$W$15,ROW(AR21)-ROW(AR$15),0),15-13*ORÇAMENTO!$AF$11)),0)</f>
        <v>0</v>
      </c>
      <c r="AS21" s="524">
        <f ca="1">IF(AND($D21="Serviço",AS$12&lt;&gt;0,$H21&gt;0,OR(AUTOEVENTO&lt;&gt;"manual",$M21&lt;&gt;1)),
IF(Import.TipoArredondamento&lt;&gt;"TransfereGOV",
ROUND(OFFSET($P21,0,AS$13),15-13*ORÇAMENTO!$AF$7)/$H21*OFFSET(ORÇAMENTO!$X$15,ROW(AS21)-ROW(AS$15),0),
ROUND(ROUND(OFFSET($P21,0,AS$13),15-13*ORÇAMENTO!$AF$7)*OFFSET(ORÇAMENTO!$W$15,ROW(AS21)-ROW(AS$15),0),15-13*ORÇAMENTO!$AF$11)),0)</f>
        <v>0</v>
      </c>
      <c r="AT21" s="523">
        <f ca="1">IF(AND($D21="Serviço",AT$12&lt;&gt;0,$H21&gt;0,OR(AUTOEVENTO&lt;&gt;"manual",$M21&lt;&gt;1)),
IF(Import.TipoArredondamento&lt;&gt;"TransfereGOV",
ROUND(OFFSET($P21,0,AT$13),15-13*ORÇAMENTO!$AF$7)/$H21*OFFSET(ORÇAMENTO!$X$15,ROW(AT21)-ROW(AT$15),0),
ROUND(ROUND(OFFSET($P21,0,AT$13),15-13*ORÇAMENTO!$AF$7)*OFFSET(ORÇAMENTO!$W$15,ROW(AT21)-ROW(AT$15),0),15-13*ORÇAMENTO!$AF$11)),0)</f>
        <v>0</v>
      </c>
      <c r="AU21" s="523">
        <f ca="1">IF(AND($D21="Serviço",AU$12&lt;&gt;0,$H21&gt;0,OR(AUTOEVENTO&lt;&gt;"manual",$M21&lt;&gt;1)),
IF(Import.TipoArredondamento&lt;&gt;"TransfereGOV",
ROUND(OFFSET($P21,0,AU$13),15-13*ORÇAMENTO!$AF$7)/$H21*OFFSET(ORÇAMENTO!$X$15,ROW(AU21)-ROW(AU$15),0),
ROUND(ROUND(OFFSET($P21,0,AU$13),15-13*ORÇAMENTO!$AF$7)*OFFSET(ORÇAMENTO!$W$15,ROW(AU21)-ROW(AU$15),0),15-13*ORÇAMENTO!$AF$11)),0)</f>
        <v>0</v>
      </c>
      <c r="AV21" s="523">
        <f ca="1">IF(AND($D21="Serviço",AV$12&lt;&gt;0,$H21&gt;0,OR(AUTOEVENTO&lt;&gt;"manual",$M21&lt;&gt;1)),
IF(Import.TipoArredondamento&lt;&gt;"TransfereGOV",
ROUND(OFFSET($P21,0,AV$13),15-13*ORÇAMENTO!$AF$7)/$H21*OFFSET(ORÇAMENTO!$X$15,ROW(AV21)-ROW(AV$15),0),
ROUND(ROUND(OFFSET($P21,0,AV$13),15-13*ORÇAMENTO!$AF$7)*OFFSET(ORÇAMENTO!$W$15,ROW(AV21)-ROW(AV$15),0),15-13*ORÇAMENTO!$AF$11)),0)</f>
        <v>0</v>
      </c>
      <c r="AW21" s="523">
        <f ca="1">IF(AND($D21="Serviço",AW$12&lt;&gt;0,$H21&gt;0,OR(AUTOEVENTO&lt;&gt;"manual",$M21&lt;&gt;1)),
IF(Import.TipoArredondamento&lt;&gt;"TransfereGOV",
ROUND(OFFSET($P21,0,AW$13),15-13*ORÇAMENTO!$AF$7)/$H21*OFFSET(ORÇAMENTO!$X$15,ROW(AW21)-ROW(AW$15),0),
ROUND(ROUND(OFFSET($P21,0,AW$13),15-13*ORÇAMENTO!$AF$7)*OFFSET(ORÇAMENTO!$W$15,ROW(AW21)-ROW(AW$15),0),15-13*ORÇAMENTO!$AF$11)),0)</f>
        <v>0</v>
      </c>
      <c r="AX21" s="523">
        <f ca="1">IF(AND($D21="Serviço",AX$12&lt;&gt;0,$H21&gt;0,OR(AUTOEVENTO&lt;&gt;"manual",$M21&lt;&gt;1)),
IF(Import.TipoArredondamento&lt;&gt;"TransfereGOV",
ROUND(OFFSET($P21,0,AX$13),15-13*ORÇAMENTO!$AF$7)/$H21*OFFSET(ORÇAMENTO!$X$15,ROW(AX21)-ROW(AX$15),0),
ROUND(ROUND(OFFSET($P21,0,AX$13),15-13*ORÇAMENTO!$AF$7)*OFFSET(ORÇAMENTO!$W$15,ROW(AX21)-ROW(AX$15),0),15-13*ORÇAMENTO!$AF$11)),0)</f>
        <v>0</v>
      </c>
      <c r="AY21" s="523">
        <f ca="1">IF(AND($D21="Serviço",AY$12&lt;&gt;0,$H21&gt;0,OR(AUTOEVENTO&lt;&gt;"manual",$M21&lt;&gt;1)),
IF(Import.TipoArredondamento&lt;&gt;"TransfereGOV",
ROUND(OFFSET($P21,0,AY$13),15-13*ORÇAMENTO!$AF$7)/$H21*OFFSET(ORÇAMENTO!$X$15,ROW(AY21)-ROW(AY$15),0),
ROUND(ROUND(OFFSET($P21,0,AY$13),15-13*ORÇAMENTO!$AF$7)*OFFSET(ORÇAMENTO!$W$15,ROW(AY21)-ROW(AY$15),0),15-13*ORÇAMENTO!$AF$11)),0)</f>
        <v>0</v>
      </c>
      <c r="AZ21" s="523">
        <f ca="1">IF(AND($D21="Serviço",AZ$12&lt;&gt;0,$H21&gt;0,OR(AUTOEVENTO&lt;&gt;"manual",$M21&lt;&gt;1)),
IF(Import.TipoArredondamento&lt;&gt;"TransfereGOV",
ROUND(OFFSET($P21,0,AZ$13),15-13*ORÇAMENTO!$AF$7)/$H21*OFFSET(ORÇAMENTO!$X$15,ROW(AZ21)-ROW(AZ$15),0),
ROUND(ROUND(OFFSET($P21,0,AZ$13),15-13*ORÇAMENTO!$AF$7)*OFFSET(ORÇAMENTO!$W$15,ROW(AZ21)-ROW(AZ$15),0),15-13*ORÇAMENTO!$AF$11)),0)</f>
        <v>0</v>
      </c>
      <c r="BA21" s="524">
        <f ca="1">IF(AND($D21="Serviço",BA$12&lt;&gt;0,$H21&gt;0,OR(AUTOEVENTO&lt;&gt;"manual",$M21&lt;&gt;1)),
IF(Import.TipoArredondamento&lt;&gt;"TransfereGOV",
ROUND(OFFSET($P21,0,BA$13),15-13*ORÇAMENTO!$AF$7)/$H21*OFFSET(ORÇAMENTO!$X$15,ROW(BA21)-ROW(BA$15),0),
ROUND(ROUND(OFFSET($P21,0,BA$13),15-13*ORÇAMENTO!$AF$7)*OFFSET(ORÇAMENTO!$W$15,ROW(BA21)-ROW(BA$15),0),15-13*ORÇAMENTO!$AF$11)),0)</f>
        <v>0</v>
      </c>
      <c r="BC21" s="181">
        <f ca="1">IF($D21&lt;&gt;"Serviço",0,IF(AND(AUTOEVENTO="Manual",$M21=1),0,IF(OFFSET(CRONOPLE!$F$14,$M21,BC$13)="",10^12,OFFSET(CRONOPLE!$F$14,$M21,BC$13))))</f>
        <v>12</v>
      </c>
      <c r="BD21" s="181">
        <f ca="1">IF($D21&lt;&gt;"Serviço",0,IF(AND(AUTOEVENTO="Manual",$M21=1),0,IF(OFFSET(CRONOPLE!$F$14,$M21,BD$13)="",10^12,OFFSET(CRONOPLE!$F$14,$M21,BD$13))))</f>
        <v>1000000000000</v>
      </c>
      <c r="BE21" s="181">
        <f ca="1">IF($D21&lt;&gt;"Serviço",0,IF(AND(AUTOEVENTO="Manual",$M21=1),0,IF(OFFSET(CRONOPLE!$F$14,$M21,BE$13)="",10^12,OFFSET(CRONOPLE!$F$14,$M21,BE$13))))</f>
        <v>1000000000000</v>
      </c>
      <c r="BF21" s="181">
        <f ca="1">IF($D21&lt;&gt;"Serviço",0,IF(AND(AUTOEVENTO="Manual",$M21=1),0,IF(OFFSET(CRONOPLE!$F$14,$M21,BF$13)="",10^12,OFFSET(CRONOPLE!$F$14,$M21,BF$13))))</f>
        <v>1000000000000</v>
      </c>
      <c r="BG21" s="181">
        <f ca="1">IF($D21&lt;&gt;"Serviço",0,IF(AND(AUTOEVENTO="Manual",$M21=1),0,IF(OFFSET(CRONOPLE!$F$14,$M21,BG$13)="",10^12,OFFSET(CRONOPLE!$F$14,$M21,BG$13))))</f>
        <v>1000000000000</v>
      </c>
      <c r="BH21" s="181">
        <f ca="1">IF($D21&lt;&gt;"Serviço",0,IF(AND(AUTOEVENTO="Manual",$M21=1),0,IF(OFFSET(CRONOPLE!$F$14,$M21,BH$13)="",10^12,OFFSET(CRONOPLE!$F$14,$M21,BH$13))))</f>
        <v>1000000000000</v>
      </c>
      <c r="BI21" s="181">
        <f ca="1">IF($D21&lt;&gt;"Serviço",0,IF(AND(AUTOEVENTO="Manual",$M21=1),0,IF(OFFSET(CRONOPLE!$F$14,$M21,BI$13)="",10^12,OFFSET(CRONOPLE!$F$14,$M21,BI$13))))</f>
        <v>1000000000000</v>
      </c>
      <c r="BJ21" s="181">
        <f ca="1">IF($D21&lt;&gt;"Serviço",0,IF(AND(AUTOEVENTO="Manual",$M21=1),0,IF(OFFSET(CRONOPLE!$F$14,$M21,BJ$13)="",10^12,OFFSET(CRONOPLE!$F$14,$M21,BJ$13))))</f>
        <v>1000000000000</v>
      </c>
      <c r="BK21" s="181">
        <f ca="1">IF($D21&lt;&gt;"Serviço",0,IF(AND(AUTOEVENTO="Manual",$M21=1),0,IF(OFFSET(CRONOPLE!$F$14,$M21,BK$13)="",10^12,OFFSET(CRONOPLE!$F$14,$M21,BK$13))))</f>
        <v>1000000000000</v>
      </c>
      <c r="BL21" s="181">
        <f ca="1">IF($D21&lt;&gt;"Serviço",0,IF(AND(AUTOEVENTO="Manual",$M21=1),0,IF(OFFSET(CRONOPLE!$F$14,$M21,BL$13)="",10^12,OFFSET(CRONOPLE!$F$14,$M21,BL$13))))</f>
        <v>1000000000000</v>
      </c>
      <c r="BM21" s="181">
        <f ca="1">IF($D21&lt;&gt;"Serviço",0,IF(AND(AUTOEVENTO="Manual",$M21=1),0,IF(OFFSET(CRONOPLE!$F$14,$M21,BM$13)="",10^12,OFFSET(CRONOPLE!$F$14,$M21,BM$13))))</f>
        <v>1000000000000</v>
      </c>
      <c r="BN21" s="181">
        <f ca="1">IF($D21&lt;&gt;"Serviço",0,IF(AND(AUTOEVENTO="Manual",$M21=1),0,IF(OFFSET(CRONOPLE!$F$14,$M21,BN$13)="",10^12,OFFSET(CRONOPLE!$F$14,$M21,BN$13))))</f>
        <v>1000000000000</v>
      </c>
      <c r="BO21" s="181">
        <f ca="1">IF($D21&lt;&gt;"Serviço",0,IF(AND(AUTOEVENTO="Manual",$M21=1),0,IF(OFFSET(CRONOPLE!$F$14,$M21,BO$13)="",10^12,OFFSET(CRONOPLE!$F$14,$M21,BO$13))))</f>
        <v>1000000000000</v>
      </c>
      <c r="BP21" s="181">
        <f ca="1">IF($D21&lt;&gt;"Serviço",0,IF(AND(AUTOEVENTO="Manual",$M21=1),0,IF(OFFSET(CRONOPLE!$F$14,$M21,BP$13)="",10^12,OFFSET(CRONOPLE!$F$14,$M21,BP$13))))</f>
        <v>1000000000000</v>
      </c>
      <c r="BQ21" s="181">
        <f ca="1">IF($D21&lt;&gt;"Serviço",0,IF(AND(AUTOEVENTO="Manual",$M21=1),0,IF(OFFSET(CRONOPLE!$F$14,$M21,BQ$13)="",10^12,OFFSET(CRONOPLE!$F$14,$M21,BQ$13))))</f>
        <v>1000000000000</v>
      </c>
      <c r="BR21" s="181">
        <f ca="1">IF($D21&lt;&gt;"Serviço",0,IF(AND(AUTOEVENTO="Manual",$M21=1),0,IF(OFFSET(CRONOPLE!$F$14,$M21,BR$13)="",10^12,OFFSET(CRONOPLE!$F$14,$M21,BR$13))))</f>
        <v>1000000000000</v>
      </c>
      <c r="BS21" s="181">
        <f ca="1">IF($D21&lt;&gt;"Serviço",0,IF(AND(AUTOEVENTO="Manual",$M21=1),0,IF(OFFSET(CRONOPLE!$F$14,$M21,BS$13)="",10^12,OFFSET(CRONOPLE!$F$14,$M21,BS$13))))</f>
        <v>1000000000000</v>
      </c>
      <c r="BT21" s="181">
        <f ca="1">IF($D21&lt;&gt;"Serviço",0,IF(AND(AUTOEVENTO="Manual",$M21=1),0,IF(OFFSET(CRONOPLE!$F$14,$M21,BT$13)="",10^12,OFFSET(CRONOPLE!$F$14,$M21,BT$13))))</f>
        <v>1000000000000</v>
      </c>
      <c r="BV21" s="182">
        <f ca="1">IF($D21&lt;&gt;"Serviço",0,IF(OR(AND(AUTOEVENTO="Manual",$M21=1),$M21&gt;(ROW(PLE.lastrow)-ROW(PLE.firstrow))),0,IF(OFFSET(PLE!$G$14,$M21,BV$13)="",10^12,OFFSET(PLE!$G$14,$M21,BV$13))))</f>
        <v>1000000000000</v>
      </c>
      <c r="BW21" s="182">
        <f ca="1">IF($D21&lt;&gt;"Serviço",0,IF(OR(AND(AUTOEVENTO="Manual",$M21=1),$M21&gt;(ROW(PLE.lastrow)-ROW(PLE.firstrow))),0,IF(OFFSET(PLE!$G$14,$M21,BW$13)="",10^12,OFFSET(PLE!$G$14,$M21,BW$13))))</f>
        <v>1000000000000</v>
      </c>
      <c r="BX21" s="182">
        <f ca="1">IF($D21&lt;&gt;"Serviço",0,IF(OR(AND(AUTOEVENTO="Manual",$M21=1),$M21&gt;(ROW(PLE.lastrow)-ROW(PLE.firstrow))),0,IF(OFFSET(PLE!$G$14,$M21,BX$13)="",10^12,OFFSET(PLE!$G$14,$M21,BX$13))))</f>
        <v>1000000000000</v>
      </c>
      <c r="BY21" s="182">
        <f ca="1">IF($D21&lt;&gt;"Serviço",0,IF(OR(AND(AUTOEVENTO="Manual",$M21=1),$M21&gt;(ROW(PLE.lastrow)-ROW(PLE.firstrow))),0,IF(OFFSET(PLE!$G$14,$M21,BY$13)="",10^12,OFFSET(PLE!$G$14,$M21,BY$13))))</f>
        <v>1000000000000</v>
      </c>
      <c r="BZ21" s="182">
        <f ca="1">IF($D21&lt;&gt;"Serviço",0,IF(OR(AND(AUTOEVENTO="Manual",$M21=1),$M21&gt;(ROW(PLE.lastrow)-ROW(PLE.firstrow))),0,IF(OFFSET(PLE!$G$14,$M21,BZ$13)="",10^12,OFFSET(PLE!$G$14,$M21,BZ$13))))</f>
        <v>1000000000000</v>
      </c>
      <c r="CA21" s="182">
        <f ca="1">IF($D21&lt;&gt;"Serviço",0,IF(OR(AND(AUTOEVENTO="Manual",$M21=1),$M21&gt;(ROW(PLE.lastrow)-ROW(PLE.firstrow))),0,IF(OFFSET(PLE!$G$14,$M21,CA$13)="",10^12,OFFSET(PLE!$G$14,$M21,CA$13))))</f>
        <v>1000000000000</v>
      </c>
      <c r="CB21" s="182">
        <f ca="1">IF($D21&lt;&gt;"Serviço",0,IF(OR(AND(AUTOEVENTO="Manual",$M21=1),$M21&gt;(ROW(PLE.lastrow)-ROW(PLE.firstrow))),0,IF(OFFSET(PLE!$G$14,$M21,CB$13)="",10^12,OFFSET(PLE!$G$14,$M21,CB$13))))</f>
        <v>1000000000000</v>
      </c>
      <c r="CC21" s="182">
        <f ca="1">IF($D21&lt;&gt;"Serviço",0,IF(OR(AND(AUTOEVENTO="Manual",$M21=1),$M21&gt;(ROW(PLE.lastrow)-ROW(PLE.firstrow))),0,IF(OFFSET(PLE!$G$14,$M21,CC$13)="",10^12,OFFSET(PLE!$G$14,$M21,CC$13))))</f>
        <v>1000000000000</v>
      </c>
      <c r="CD21" s="182">
        <f ca="1">IF($D21&lt;&gt;"Serviço",0,IF(OR(AND(AUTOEVENTO="Manual",$M21=1),$M21&gt;(ROW(PLE.lastrow)-ROW(PLE.firstrow))),0,IF(OFFSET(PLE!$G$14,$M21,CD$13)="",10^12,OFFSET(PLE!$G$14,$M21,CD$13))))</f>
        <v>1000000000000</v>
      </c>
      <c r="CE21" s="182">
        <f ca="1">IF($D21&lt;&gt;"Serviço",0,IF(OR(AND(AUTOEVENTO="Manual",$M21=1),$M21&gt;(ROW(PLE.lastrow)-ROW(PLE.firstrow))),0,IF(OFFSET(PLE!$G$14,$M21,CE$13)="",10^12,OFFSET(PLE!$G$14,$M21,CE$13))))</f>
        <v>1000000000000</v>
      </c>
      <c r="CF21" s="182">
        <f ca="1">IF($D21&lt;&gt;"Serviço",0,IF(OR(AND(AUTOEVENTO="Manual",$M21=1),$M21&gt;(ROW(PLE.lastrow)-ROW(PLE.firstrow))),0,IF(OFFSET(PLE!$G$14,$M21,CF$13)="",10^12,OFFSET(PLE!$G$14,$M21,CF$13))))</f>
        <v>1000000000000</v>
      </c>
      <c r="CG21" s="182">
        <f ca="1">IF($D21&lt;&gt;"Serviço",0,IF(OR(AND(AUTOEVENTO="Manual",$M21=1),$M21&gt;(ROW(PLE.lastrow)-ROW(PLE.firstrow))),0,IF(OFFSET(PLE!$G$14,$M21,CG$13)="",10^12,OFFSET(PLE!$G$14,$M21,CG$13))))</f>
        <v>1000000000000</v>
      </c>
      <c r="CH21" s="182">
        <f ca="1">IF($D21&lt;&gt;"Serviço",0,IF(OR(AND(AUTOEVENTO="Manual",$M21=1),$M21&gt;(ROW(PLE.lastrow)-ROW(PLE.firstrow))),0,IF(OFFSET(PLE!$G$14,$M21,CH$13)="",10^12,OFFSET(PLE!$G$14,$M21,CH$13))))</f>
        <v>1000000000000</v>
      </c>
      <c r="CI21" s="182">
        <f ca="1">IF($D21&lt;&gt;"Serviço",0,IF(OR(AND(AUTOEVENTO="Manual",$M21=1),$M21&gt;(ROW(PLE.lastrow)-ROW(PLE.firstrow))),0,IF(OFFSET(PLE!$G$14,$M21,CI$13)="",10^12,OFFSET(PLE!$G$14,$M21,CI$13))))</f>
        <v>1000000000000</v>
      </c>
      <c r="CJ21" s="182">
        <f ca="1">IF($D21&lt;&gt;"Serviço",0,IF(OR(AND(AUTOEVENTO="Manual",$M21=1),$M21&gt;(ROW(PLE.lastrow)-ROW(PLE.firstrow))),0,IF(OFFSET(PLE!$G$14,$M21,CJ$13)="",10^12,OFFSET(PLE!$G$14,$M21,CJ$13))))</f>
        <v>1000000000000</v>
      </c>
      <c r="CK21" s="182">
        <f ca="1">IF($D21&lt;&gt;"Serviço",0,IF(OR(AND(AUTOEVENTO="Manual",$M21=1),$M21&gt;(ROW(PLE.lastrow)-ROW(PLE.firstrow))),0,IF(OFFSET(PLE!$G$14,$M21,CK$13)="",10^12,OFFSET(PLE!$G$14,$M21,CK$13))))</f>
        <v>1000000000000</v>
      </c>
      <c r="CL21" s="182">
        <f ca="1">IF($D21&lt;&gt;"Serviço",0,IF(OR(AND(AUTOEVENTO="Manual",$M21=1),$M21&gt;(ROW(PLE.lastrow)-ROW(PLE.firstrow))),0,IF(OFFSET(PLE!$G$14,$M21,CL$13)="",10^12,OFFSET(PLE!$G$14,$M21,CL$13))))</f>
        <v>1000000000000</v>
      </c>
      <c r="CM21" s="182">
        <f ca="1">IF($D21&lt;&gt;"Serviço",0,IF(OR(AND(AUTOEVENTO="Manual",$M21=1),$M21&gt;(ROW(PLE.lastrow)-ROW(PLE.firstrow))),0,IF(OFFSET(PLE!$G$14,$M21,CM$13)="",10^12,OFFSET(PLE!$G$14,$M21,CM$13))))</f>
        <v>1000000000000</v>
      </c>
    </row>
    <row r="22" spans="1:91" ht="25.5" x14ac:dyDescent="0.2">
      <c r="A22" s="7" t="str">
        <f t="shared" ca="1" si="9"/>
        <v>2</v>
      </c>
      <c r="B22" s="7" t="str">
        <f ca="1">OFFSET(ORÇAMENTO!C$15,ROW(B22)-ROW(B$15),0)</f>
        <v>S</v>
      </c>
      <c r="C22" s="7" t="str">
        <f ca="1">OFFSET(ORÇAMENTO!L$15,ROW(C22)-ROW(C$15),0)</f>
        <v/>
      </c>
      <c r="D22" s="118" t="str">
        <f ca="1">OFFSET(ORÇAMENTO!N$15,ROW(D22)-ROW(D$15),0)</f>
        <v>Serviço</v>
      </c>
      <c r="E22" s="119" t="str">
        <f ca="1">OFFSET(ORÇAMENTO!O$15,ROW(E22)-ROW(E$15),0)</f>
        <v>-</v>
      </c>
      <c r="F22" s="172" t="str">
        <f ca="1">OFFSET(ORÇAMENTO!R$15,ROW(F22)-ROW(F$15),0)</f>
        <v>(abra o arquivo 'Referência 03-Sunday.xlsm)</v>
      </c>
      <c r="G22" s="173" t="str">
        <f ca="1">IF($D22&lt;&gt;"Serviço","",OFFSET(ORÇAMENTO!S$15,ROW(G22)-ROW(G$15),0))</f>
        <v>-</v>
      </c>
      <c r="H22" s="124">
        <f ca="1">IF($D22&lt;&gt;"Serviço",0,IF(ACOMPANHAMENTO="BM",ROUND(OFFSET(ORÇAMENTO!AJ$15,ROW(H22)-ROW(H$15),0),15-13*ORÇAMENTO!$AF$7),SUMPRODUCT(($Q$12:$AI$12&lt;&gt;"")*ROUND($Q22:$AI22,15-13*ORÇAMENTO!$AF$7))))</f>
        <v>12</v>
      </c>
      <c r="I22" s="539" t="s">
        <v>509</v>
      </c>
      <c r="K22" s="174"/>
      <c r="L22" s="175" t="s">
        <v>254</v>
      </c>
      <c r="M22" s="176">
        <f ca="1">IF($D22&lt;&gt;"Serviço","",IF(AUTOEVENTO="manual",$A22,IF(ISERROR(MATCH($A22,$A$15:OFFSET($A22,-1,0),0)),MAX($M$15:OFFSET(M22,-1,0))+1,INDEX($M$15:OFFSET(M22,-1,0),MATCH($A22,$A$15:OFFSET($A22,-1,0),0)))))</f>
        <v>2</v>
      </c>
      <c r="N22" s="177" t="str">
        <f ca="1">IF($D22&lt;&gt;"Serviço","",IF(AUTOEVENTO="Manual",IF($A22=0,"&lt;-- defina o número do agrupador",OFFSET(EVENTOS!$D$14,$A22,0)),OFFSET($F$15,$A22,0)))</f>
        <v>Lote 01  - Manutenção e Reparos Abrigos Passagerios Onibus e Táxi</v>
      </c>
      <c r="O22" s="178"/>
      <c r="Q22" s="178">
        <v>12</v>
      </c>
      <c r="R22" s="179"/>
      <c r="S22" s="179"/>
      <c r="T22" s="179"/>
      <c r="U22" s="179"/>
      <c r="V22" s="179"/>
      <c r="W22" s="179"/>
      <c r="X22" s="179"/>
      <c r="Y22" s="179"/>
      <c r="Z22" s="180"/>
      <c r="AA22" s="179"/>
      <c r="AB22" s="179"/>
      <c r="AC22" s="179"/>
      <c r="AD22" s="179"/>
      <c r="AE22" s="179"/>
      <c r="AF22" s="179"/>
      <c r="AG22" s="179"/>
      <c r="AH22" s="180"/>
      <c r="AJ22" s="522">
        <f ca="1">IF(AND($D22="Serviço",AJ$12&lt;&gt;0,$H22&gt;0,OR(AUTOEVENTO&lt;&gt;"manual",$M22&lt;&gt;1)),
IF(Import.TipoArredondamento&lt;&gt;"TransfereGOV",
ROUND(OFFSET($P22,0,AJ$13),15-13*ORÇAMENTO!$AF$7)/$H22*OFFSET(ORÇAMENTO!$X$15,ROW(AJ22)-ROW(AJ$15),0),
ROUND(ROUND(OFFSET($P22,0,AJ$13),15-13*ORÇAMENTO!$AF$7)*OFFSET(ORÇAMENTO!$W$15,ROW(AJ22)-ROW(AJ$15),0),15-13*ORÇAMENTO!$AF$11)),0)</f>
        <v>0</v>
      </c>
      <c r="AK22" s="523">
        <f ca="1">IF(AND($D22="Serviço",AK$12&lt;&gt;0,$H22&gt;0,OR(AUTOEVENTO&lt;&gt;"manual",$M22&lt;&gt;1)),
IF(Import.TipoArredondamento&lt;&gt;"TransfereGOV",
ROUND(OFFSET($P22,0,AK$13),15-13*ORÇAMENTO!$AF$7)/$H22*OFFSET(ORÇAMENTO!$X$15,ROW(AK22)-ROW(AK$15),0),
ROUND(ROUND(OFFSET($P22,0,AK$13),15-13*ORÇAMENTO!$AF$7)*OFFSET(ORÇAMENTO!$W$15,ROW(AK22)-ROW(AK$15),0),15-13*ORÇAMENTO!$AF$11)),0)</f>
        <v>0</v>
      </c>
      <c r="AL22" s="523">
        <f ca="1">IF(AND($D22="Serviço",AL$12&lt;&gt;0,$H22&gt;0,OR(AUTOEVENTO&lt;&gt;"manual",$M22&lt;&gt;1)),
IF(Import.TipoArredondamento&lt;&gt;"TransfereGOV",
ROUND(OFFSET($P22,0,AL$13),15-13*ORÇAMENTO!$AF$7)/$H22*OFFSET(ORÇAMENTO!$X$15,ROW(AL22)-ROW(AL$15),0),
ROUND(ROUND(OFFSET($P22,0,AL$13),15-13*ORÇAMENTO!$AF$7)*OFFSET(ORÇAMENTO!$W$15,ROW(AL22)-ROW(AL$15),0),15-13*ORÇAMENTO!$AF$11)),0)</f>
        <v>0</v>
      </c>
      <c r="AM22" s="523">
        <f ca="1">IF(AND($D22="Serviço",AM$12&lt;&gt;0,$H22&gt;0,OR(AUTOEVENTO&lt;&gt;"manual",$M22&lt;&gt;1)),
IF(Import.TipoArredondamento&lt;&gt;"TransfereGOV",
ROUND(OFFSET($P22,0,AM$13),15-13*ORÇAMENTO!$AF$7)/$H22*OFFSET(ORÇAMENTO!$X$15,ROW(AM22)-ROW(AM$15),0),
ROUND(ROUND(OFFSET($P22,0,AM$13),15-13*ORÇAMENTO!$AF$7)*OFFSET(ORÇAMENTO!$W$15,ROW(AM22)-ROW(AM$15),0),15-13*ORÇAMENTO!$AF$11)),0)</f>
        <v>0</v>
      </c>
      <c r="AN22" s="523">
        <f ca="1">IF(AND($D22="Serviço",AN$12&lt;&gt;0,$H22&gt;0,OR(AUTOEVENTO&lt;&gt;"manual",$M22&lt;&gt;1)),
IF(Import.TipoArredondamento&lt;&gt;"TransfereGOV",
ROUND(OFFSET($P22,0,AN$13),15-13*ORÇAMENTO!$AF$7)/$H22*OFFSET(ORÇAMENTO!$X$15,ROW(AN22)-ROW(AN$15),0),
ROUND(ROUND(OFFSET($P22,0,AN$13),15-13*ORÇAMENTO!$AF$7)*OFFSET(ORÇAMENTO!$W$15,ROW(AN22)-ROW(AN$15),0),15-13*ORÇAMENTO!$AF$11)),0)</f>
        <v>0</v>
      </c>
      <c r="AO22" s="523">
        <f ca="1">IF(AND($D22="Serviço",AO$12&lt;&gt;0,$H22&gt;0,OR(AUTOEVENTO&lt;&gt;"manual",$M22&lt;&gt;1)),
IF(Import.TipoArredondamento&lt;&gt;"TransfereGOV",
ROUND(OFFSET($P22,0,AO$13),15-13*ORÇAMENTO!$AF$7)/$H22*OFFSET(ORÇAMENTO!$X$15,ROW(AO22)-ROW(AO$15),0),
ROUND(ROUND(OFFSET($P22,0,AO$13),15-13*ORÇAMENTO!$AF$7)*OFFSET(ORÇAMENTO!$W$15,ROW(AO22)-ROW(AO$15),0),15-13*ORÇAMENTO!$AF$11)),0)</f>
        <v>0</v>
      </c>
      <c r="AP22" s="523">
        <f ca="1">IF(AND($D22="Serviço",AP$12&lt;&gt;0,$H22&gt;0,OR(AUTOEVENTO&lt;&gt;"manual",$M22&lt;&gt;1)),
IF(Import.TipoArredondamento&lt;&gt;"TransfereGOV",
ROUND(OFFSET($P22,0,AP$13),15-13*ORÇAMENTO!$AF$7)/$H22*OFFSET(ORÇAMENTO!$X$15,ROW(AP22)-ROW(AP$15),0),
ROUND(ROUND(OFFSET($P22,0,AP$13),15-13*ORÇAMENTO!$AF$7)*OFFSET(ORÇAMENTO!$W$15,ROW(AP22)-ROW(AP$15),0),15-13*ORÇAMENTO!$AF$11)),0)</f>
        <v>0</v>
      </c>
      <c r="AQ22" s="523">
        <f ca="1">IF(AND($D22="Serviço",AQ$12&lt;&gt;0,$H22&gt;0,OR(AUTOEVENTO&lt;&gt;"manual",$M22&lt;&gt;1)),
IF(Import.TipoArredondamento&lt;&gt;"TransfereGOV",
ROUND(OFFSET($P22,0,AQ$13),15-13*ORÇAMENTO!$AF$7)/$H22*OFFSET(ORÇAMENTO!$X$15,ROW(AQ22)-ROW(AQ$15),0),
ROUND(ROUND(OFFSET($P22,0,AQ$13),15-13*ORÇAMENTO!$AF$7)*OFFSET(ORÇAMENTO!$W$15,ROW(AQ22)-ROW(AQ$15),0),15-13*ORÇAMENTO!$AF$11)),0)</f>
        <v>0</v>
      </c>
      <c r="AR22" s="523">
        <f ca="1">IF(AND($D22="Serviço",AR$12&lt;&gt;0,$H22&gt;0,OR(AUTOEVENTO&lt;&gt;"manual",$M22&lt;&gt;1)),
IF(Import.TipoArredondamento&lt;&gt;"TransfereGOV",
ROUND(OFFSET($P22,0,AR$13),15-13*ORÇAMENTO!$AF$7)/$H22*OFFSET(ORÇAMENTO!$X$15,ROW(AR22)-ROW(AR$15),0),
ROUND(ROUND(OFFSET($P22,0,AR$13),15-13*ORÇAMENTO!$AF$7)*OFFSET(ORÇAMENTO!$W$15,ROW(AR22)-ROW(AR$15),0),15-13*ORÇAMENTO!$AF$11)),0)</f>
        <v>0</v>
      </c>
      <c r="AS22" s="524">
        <f ca="1">IF(AND($D22="Serviço",AS$12&lt;&gt;0,$H22&gt;0,OR(AUTOEVENTO&lt;&gt;"manual",$M22&lt;&gt;1)),
IF(Import.TipoArredondamento&lt;&gt;"TransfereGOV",
ROUND(OFFSET($P22,0,AS$13),15-13*ORÇAMENTO!$AF$7)/$H22*OFFSET(ORÇAMENTO!$X$15,ROW(AS22)-ROW(AS$15),0),
ROUND(ROUND(OFFSET($P22,0,AS$13),15-13*ORÇAMENTO!$AF$7)*OFFSET(ORÇAMENTO!$W$15,ROW(AS22)-ROW(AS$15),0),15-13*ORÇAMENTO!$AF$11)),0)</f>
        <v>0</v>
      </c>
      <c r="AT22" s="523">
        <f ca="1">IF(AND($D22="Serviço",AT$12&lt;&gt;0,$H22&gt;0,OR(AUTOEVENTO&lt;&gt;"manual",$M22&lt;&gt;1)),
IF(Import.TipoArredondamento&lt;&gt;"TransfereGOV",
ROUND(OFFSET($P22,0,AT$13),15-13*ORÇAMENTO!$AF$7)/$H22*OFFSET(ORÇAMENTO!$X$15,ROW(AT22)-ROW(AT$15),0),
ROUND(ROUND(OFFSET($P22,0,AT$13),15-13*ORÇAMENTO!$AF$7)*OFFSET(ORÇAMENTO!$W$15,ROW(AT22)-ROW(AT$15),0),15-13*ORÇAMENTO!$AF$11)),0)</f>
        <v>0</v>
      </c>
      <c r="AU22" s="523">
        <f ca="1">IF(AND($D22="Serviço",AU$12&lt;&gt;0,$H22&gt;0,OR(AUTOEVENTO&lt;&gt;"manual",$M22&lt;&gt;1)),
IF(Import.TipoArredondamento&lt;&gt;"TransfereGOV",
ROUND(OFFSET($P22,0,AU$13),15-13*ORÇAMENTO!$AF$7)/$H22*OFFSET(ORÇAMENTO!$X$15,ROW(AU22)-ROW(AU$15),0),
ROUND(ROUND(OFFSET($P22,0,AU$13),15-13*ORÇAMENTO!$AF$7)*OFFSET(ORÇAMENTO!$W$15,ROW(AU22)-ROW(AU$15),0),15-13*ORÇAMENTO!$AF$11)),0)</f>
        <v>0</v>
      </c>
      <c r="AV22" s="523">
        <f ca="1">IF(AND($D22="Serviço",AV$12&lt;&gt;0,$H22&gt;0,OR(AUTOEVENTO&lt;&gt;"manual",$M22&lt;&gt;1)),
IF(Import.TipoArredondamento&lt;&gt;"TransfereGOV",
ROUND(OFFSET($P22,0,AV$13),15-13*ORÇAMENTO!$AF$7)/$H22*OFFSET(ORÇAMENTO!$X$15,ROW(AV22)-ROW(AV$15),0),
ROUND(ROUND(OFFSET($P22,0,AV$13),15-13*ORÇAMENTO!$AF$7)*OFFSET(ORÇAMENTO!$W$15,ROW(AV22)-ROW(AV$15),0),15-13*ORÇAMENTO!$AF$11)),0)</f>
        <v>0</v>
      </c>
      <c r="AW22" s="523">
        <f ca="1">IF(AND($D22="Serviço",AW$12&lt;&gt;0,$H22&gt;0,OR(AUTOEVENTO&lt;&gt;"manual",$M22&lt;&gt;1)),
IF(Import.TipoArredondamento&lt;&gt;"TransfereGOV",
ROUND(OFFSET($P22,0,AW$13),15-13*ORÇAMENTO!$AF$7)/$H22*OFFSET(ORÇAMENTO!$X$15,ROW(AW22)-ROW(AW$15),0),
ROUND(ROUND(OFFSET($P22,0,AW$13),15-13*ORÇAMENTO!$AF$7)*OFFSET(ORÇAMENTO!$W$15,ROW(AW22)-ROW(AW$15),0),15-13*ORÇAMENTO!$AF$11)),0)</f>
        <v>0</v>
      </c>
      <c r="AX22" s="523">
        <f ca="1">IF(AND($D22="Serviço",AX$12&lt;&gt;0,$H22&gt;0,OR(AUTOEVENTO&lt;&gt;"manual",$M22&lt;&gt;1)),
IF(Import.TipoArredondamento&lt;&gt;"TransfereGOV",
ROUND(OFFSET($P22,0,AX$13),15-13*ORÇAMENTO!$AF$7)/$H22*OFFSET(ORÇAMENTO!$X$15,ROW(AX22)-ROW(AX$15),0),
ROUND(ROUND(OFFSET($P22,0,AX$13),15-13*ORÇAMENTO!$AF$7)*OFFSET(ORÇAMENTO!$W$15,ROW(AX22)-ROW(AX$15),0),15-13*ORÇAMENTO!$AF$11)),0)</f>
        <v>0</v>
      </c>
      <c r="AY22" s="523">
        <f ca="1">IF(AND($D22="Serviço",AY$12&lt;&gt;0,$H22&gt;0,OR(AUTOEVENTO&lt;&gt;"manual",$M22&lt;&gt;1)),
IF(Import.TipoArredondamento&lt;&gt;"TransfereGOV",
ROUND(OFFSET($P22,0,AY$13),15-13*ORÇAMENTO!$AF$7)/$H22*OFFSET(ORÇAMENTO!$X$15,ROW(AY22)-ROW(AY$15),0),
ROUND(ROUND(OFFSET($P22,0,AY$13),15-13*ORÇAMENTO!$AF$7)*OFFSET(ORÇAMENTO!$W$15,ROW(AY22)-ROW(AY$15),0),15-13*ORÇAMENTO!$AF$11)),0)</f>
        <v>0</v>
      </c>
      <c r="AZ22" s="523">
        <f ca="1">IF(AND($D22="Serviço",AZ$12&lt;&gt;0,$H22&gt;0,OR(AUTOEVENTO&lt;&gt;"manual",$M22&lt;&gt;1)),
IF(Import.TipoArredondamento&lt;&gt;"TransfereGOV",
ROUND(OFFSET($P22,0,AZ$13),15-13*ORÇAMENTO!$AF$7)/$H22*OFFSET(ORÇAMENTO!$X$15,ROW(AZ22)-ROW(AZ$15),0),
ROUND(ROUND(OFFSET($P22,0,AZ$13),15-13*ORÇAMENTO!$AF$7)*OFFSET(ORÇAMENTO!$W$15,ROW(AZ22)-ROW(AZ$15),0),15-13*ORÇAMENTO!$AF$11)),0)</f>
        <v>0</v>
      </c>
      <c r="BA22" s="524">
        <f ca="1">IF(AND($D22="Serviço",BA$12&lt;&gt;0,$H22&gt;0,OR(AUTOEVENTO&lt;&gt;"manual",$M22&lt;&gt;1)),
IF(Import.TipoArredondamento&lt;&gt;"TransfereGOV",
ROUND(OFFSET($P22,0,BA$13),15-13*ORÇAMENTO!$AF$7)/$H22*OFFSET(ORÇAMENTO!$X$15,ROW(BA22)-ROW(BA$15),0),
ROUND(ROUND(OFFSET($P22,0,BA$13),15-13*ORÇAMENTO!$AF$7)*OFFSET(ORÇAMENTO!$W$15,ROW(BA22)-ROW(BA$15),0),15-13*ORÇAMENTO!$AF$11)),0)</f>
        <v>0</v>
      </c>
      <c r="BC22" s="181">
        <f ca="1">IF($D22&lt;&gt;"Serviço",0,IF(AND(AUTOEVENTO="Manual",$M22=1),0,IF(OFFSET(CRONOPLE!$F$14,$M22,BC$13)="",10^12,OFFSET(CRONOPLE!$F$14,$M22,BC$13))))</f>
        <v>12</v>
      </c>
      <c r="BD22" s="181">
        <f ca="1">IF($D22&lt;&gt;"Serviço",0,IF(AND(AUTOEVENTO="Manual",$M22=1),0,IF(OFFSET(CRONOPLE!$F$14,$M22,BD$13)="",10^12,OFFSET(CRONOPLE!$F$14,$M22,BD$13))))</f>
        <v>1000000000000</v>
      </c>
      <c r="BE22" s="181">
        <f ca="1">IF($D22&lt;&gt;"Serviço",0,IF(AND(AUTOEVENTO="Manual",$M22=1),0,IF(OFFSET(CRONOPLE!$F$14,$M22,BE$13)="",10^12,OFFSET(CRONOPLE!$F$14,$M22,BE$13))))</f>
        <v>1000000000000</v>
      </c>
      <c r="BF22" s="181">
        <f ca="1">IF($D22&lt;&gt;"Serviço",0,IF(AND(AUTOEVENTO="Manual",$M22=1),0,IF(OFFSET(CRONOPLE!$F$14,$M22,BF$13)="",10^12,OFFSET(CRONOPLE!$F$14,$M22,BF$13))))</f>
        <v>1000000000000</v>
      </c>
      <c r="BG22" s="181">
        <f ca="1">IF($D22&lt;&gt;"Serviço",0,IF(AND(AUTOEVENTO="Manual",$M22=1),0,IF(OFFSET(CRONOPLE!$F$14,$M22,BG$13)="",10^12,OFFSET(CRONOPLE!$F$14,$M22,BG$13))))</f>
        <v>1000000000000</v>
      </c>
      <c r="BH22" s="181">
        <f ca="1">IF($D22&lt;&gt;"Serviço",0,IF(AND(AUTOEVENTO="Manual",$M22=1),0,IF(OFFSET(CRONOPLE!$F$14,$M22,BH$13)="",10^12,OFFSET(CRONOPLE!$F$14,$M22,BH$13))))</f>
        <v>1000000000000</v>
      </c>
      <c r="BI22" s="181">
        <f ca="1">IF($D22&lt;&gt;"Serviço",0,IF(AND(AUTOEVENTO="Manual",$M22=1),0,IF(OFFSET(CRONOPLE!$F$14,$M22,BI$13)="",10^12,OFFSET(CRONOPLE!$F$14,$M22,BI$13))))</f>
        <v>1000000000000</v>
      </c>
      <c r="BJ22" s="181">
        <f ca="1">IF($D22&lt;&gt;"Serviço",0,IF(AND(AUTOEVENTO="Manual",$M22=1),0,IF(OFFSET(CRONOPLE!$F$14,$M22,BJ$13)="",10^12,OFFSET(CRONOPLE!$F$14,$M22,BJ$13))))</f>
        <v>1000000000000</v>
      </c>
      <c r="BK22" s="181">
        <f ca="1">IF($D22&lt;&gt;"Serviço",0,IF(AND(AUTOEVENTO="Manual",$M22=1),0,IF(OFFSET(CRONOPLE!$F$14,$M22,BK$13)="",10^12,OFFSET(CRONOPLE!$F$14,$M22,BK$13))))</f>
        <v>1000000000000</v>
      </c>
      <c r="BL22" s="181">
        <f ca="1">IF($D22&lt;&gt;"Serviço",0,IF(AND(AUTOEVENTO="Manual",$M22=1),0,IF(OFFSET(CRONOPLE!$F$14,$M22,BL$13)="",10^12,OFFSET(CRONOPLE!$F$14,$M22,BL$13))))</f>
        <v>1000000000000</v>
      </c>
      <c r="BM22" s="181">
        <f ca="1">IF($D22&lt;&gt;"Serviço",0,IF(AND(AUTOEVENTO="Manual",$M22=1),0,IF(OFFSET(CRONOPLE!$F$14,$M22,BM$13)="",10^12,OFFSET(CRONOPLE!$F$14,$M22,BM$13))))</f>
        <v>1000000000000</v>
      </c>
      <c r="BN22" s="181">
        <f ca="1">IF($D22&lt;&gt;"Serviço",0,IF(AND(AUTOEVENTO="Manual",$M22=1),0,IF(OFFSET(CRONOPLE!$F$14,$M22,BN$13)="",10^12,OFFSET(CRONOPLE!$F$14,$M22,BN$13))))</f>
        <v>1000000000000</v>
      </c>
      <c r="BO22" s="181">
        <f ca="1">IF($D22&lt;&gt;"Serviço",0,IF(AND(AUTOEVENTO="Manual",$M22=1),0,IF(OFFSET(CRONOPLE!$F$14,$M22,BO$13)="",10^12,OFFSET(CRONOPLE!$F$14,$M22,BO$13))))</f>
        <v>1000000000000</v>
      </c>
      <c r="BP22" s="181">
        <f ca="1">IF($D22&lt;&gt;"Serviço",0,IF(AND(AUTOEVENTO="Manual",$M22=1),0,IF(OFFSET(CRONOPLE!$F$14,$M22,BP$13)="",10^12,OFFSET(CRONOPLE!$F$14,$M22,BP$13))))</f>
        <v>1000000000000</v>
      </c>
      <c r="BQ22" s="181">
        <f ca="1">IF($D22&lt;&gt;"Serviço",0,IF(AND(AUTOEVENTO="Manual",$M22=1),0,IF(OFFSET(CRONOPLE!$F$14,$M22,BQ$13)="",10^12,OFFSET(CRONOPLE!$F$14,$M22,BQ$13))))</f>
        <v>1000000000000</v>
      </c>
      <c r="BR22" s="181">
        <f ca="1">IF($D22&lt;&gt;"Serviço",0,IF(AND(AUTOEVENTO="Manual",$M22=1),0,IF(OFFSET(CRONOPLE!$F$14,$M22,BR$13)="",10^12,OFFSET(CRONOPLE!$F$14,$M22,BR$13))))</f>
        <v>1000000000000</v>
      </c>
      <c r="BS22" s="181">
        <f ca="1">IF($D22&lt;&gt;"Serviço",0,IF(AND(AUTOEVENTO="Manual",$M22=1),0,IF(OFFSET(CRONOPLE!$F$14,$M22,BS$13)="",10^12,OFFSET(CRONOPLE!$F$14,$M22,BS$13))))</f>
        <v>1000000000000</v>
      </c>
      <c r="BT22" s="181">
        <f ca="1">IF($D22&lt;&gt;"Serviço",0,IF(AND(AUTOEVENTO="Manual",$M22=1),0,IF(OFFSET(CRONOPLE!$F$14,$M22,BT$13)="",10^12,OFFSET(CRONOPLE!$F$14,$M22,BT$13))))</f>
        <v>1000000000000</v>
      </c>
      <c r="BV22" s="182">
        <f ca="1">IF($D22&lt;&gt;"Serviço",0,IF(OR(AND(AUTOEVENTO="Manual",$M22=1),$M22&gt;(ROW(PLE.lastrow)-ROW(PLE.firstrow))),0,IF(OFFSET(PLE!$G$14,$M22,BV$13)="",10^12,OFFSET(PLE!$G$14,$M22,BV$13))))</f>
        <v>1000000000000</v>
      </c>
      <c r="BW22" s="182">
        <f ca="1">IF($D22&lt;&gt;"Serviço",0,IF(OR(AND(AUTOEVENTO="Manual",$M22=1),$M22&gt;(ROW(PLE.lastrow)-ROW(PLE.firstrow))),0,IF(OFFSET(PLE!$G$14,$M22,BW$13)="",10^12,OFFSET(PLE!$G$14,$M22,BW$13))))</f>
        <v>1000000000000</v>
      </c>
      <c r="BX22" s="182">
        <f ca="1">IF($D22&lt;&gt;"Serviço",0,IF(OR(AND(AUTOEVENTO="Manual",$M22=1),$M22&gt;(ROW(PLE.lastrow)-ROW(PLE.firstrow))),0,IF(OFFSET(PLE!$G$14,$M22,BX$13)="",10^12,OFFSET(PLE!$G$14,$M22,BX$13))))</f>
        <v>1000000000000</v>
      </c>
      <c r="BY22" s="182">
        <f ca="1">IF($D22&lt;&gt;"Serviço",0,IF(OR(AND(AUTOEVENTO="Manual",$M22=1),$M22&gt;(ROW(PLE.lastrow)-ROW(PLE.firstrow))),0,IF(OFFSET(PLE!$G$14,$M22,BY$13)="",10^12,OFFSET(PLE!$G$14,$M22,BY$13))))</f>
        <v>1000000000000</v>
      </c>
      <c r="BZ22" s="182">
        <f ca="1">IF($D22&lt;&gt;"Serviço",0,IF(OR(AND(AUTOEVENTO="Manual",$M22=1),$M22&gt;(ROW(PLE.lastrow)-ROW(PLE.firstrow))),0,IF(OFFSET(PLE!$G$14,$M22,BZ$13)="",10^12,OFFSET(PLE!$G$14,$M22,BZ$13))))</f>
        <v>1000000000000</v>
      </c>
      <c r="CA22" s="182">
        <f ca="1">IF($D22&lt;&gt;"Serviço",0,IF(OR(AND(AUTOEVENTO="Manual",$M22=1),$M22&gt;(ROW(PLE.lastrow)-ROW(PLE.firstrow))),0,IF(OFFSET(PLE!$G$14,$M22,CA$13)="",10^12,OFFSET(PLE!$G$14,$M22,CA$13))))</f>
        <v>1000000000000</v>
      </c>
      <c r="CB22" s="182">
        <f ca="1">IF($D22&lt;&gt;"Serviço",0,IF(OR(AND(AUTOEVENTO="Manual",$M22=1),$M22&gt;(ROW(PLE.lastrow)-ROW(PLE.firstrow))),0,IF(OFFSET(PLE!$G$14,$M22,CB$13)="",10^12,OFFSET(PLE!$G$14,$M22,CB$13))))</f>
        <v>1000000000000</v>
      </c>
      <c r="CC22" s="182">
        <f ca="1">IF($D22&lt;&gt;"Serviço",0,IF(OR(AND(AUTOEVENTO="Manual",$M22=1),$M22&gt;(ROW(PLE.lastrow)-ROW(PLE.firstrow))),0,IF(OFFSET(PLE!$G$14,$M22,CC$13)="",10^12,OFFSET(PLE!$G$14,$M22,CC$13))))</f>
        <v>1000000000000</v>
      </c>
      <c r="CD22" s="182">
        <f ca="1">IF($D22&lt;&gt;"Serviço",0,IF(OR(AND(AUTOEVENTO="Manual",$M22=1),$M22&gt;(ROW(PLE.lastrow)-ROW(PLE.firstrow))),0,IF(OFFSET(PLE!$G$14,$M22,CD$13)="",10^12,OFFSET(PLE!$G$14,$M22,CD$13))))</f>
        <v>1000000000000</v>
      </c>
      <c r="CE22" s="182">
        <f ca="1">IF($D22&lt;&gt;"Serviço",0,IF(OR(AND(AUTOEVENTO="Manual",$M22=1),$M22&gt;(ROW(PLE.lastrow)-ROW(PLE.firstrow))),0,IF(OFFSET(PLE!$G$14,$M22,CE$13)="",10^12,OFFSET(PLE!$G$14,$M22,CE$13))))</f>
        <v>1000000000000</v>
      </c>
      <c r="CF22" s="182">
        <f ca="1">IF($D22&lt;&gt;"Serviço",0,IF(OR(AND(AUTOEVENTO="Manual",$M22=1),$M22&gt;(ROW(PLE.lastrow)-ROW(PLE.firstrow))),0,IF(OFFSET(PLE!$G$14,$M22,CF$13)="",10^12,OFFSET(PLE!$G$14,$M22,CF$13))))</f>
        <v>1000000000000</v>
      </c>
      <c r="CG22" s="182">
        <f ca="1">IF($D22&lt;&gt;"Serviço",0,IF(OR(AND(AUTOEVENTO="Manual",$M22=1),$M22&gt;(ROW(PLE.lastrow)-ROW(PLE.firstrow))),0,IF(OFFSET(PLE!$G$14,$M22,CG$13)="",10^12,OFFSET(PLE!$G$14,$M22,CG$13))))</f>
        <v>1000000000000</v>
      </c>
      <c r="CH22" s="182">
        <f ca="1">IF($D22&lt;&gt;"Serviço",0,IF(OR(AND(AUTOEVENTO="Manual",$M22=1),$M22&gt;(ROW(PLE.lastrow)-ROW(PLE.firstrow))),0,IF(OFFSET(PLE!$G$14,$M22,CH$13)="",10^12,OFFSET(PLE!$G$14,$M22,CH$13))))</f>
        <v>1000000000000</v>
      </c>
      <c r="CI22" s="182">
        <f ca="1">IF($D22&lt;&gt;"Serviço",0,IF(OR(AND(AUTOEVENTO="Manual",$M22=1),$M22&gt;(ROW(PLE.lastrow)-ROW(PLE.firstrow))),0,IF(OFFSET(PLE!$G$14,$M22,CI$13)="",10^12,OFFSET(PLE!$G$14,$M22,CI$13))))</f>
        <v>1000000000000</v>
      </c>
      <c r="CJ22" s="182">
        <f ca="1">IF($D22&lt;&gt;"Serviço",0,IF(OR(AND(AUTOEVENTO="Manual",$M22=1),$M22&gt;(ROW(PLE.lastrow)-ROW(PLE.firstrow))),0,IF(OFFSET(PLE!$G$14,$M22,CJ$13)="",10^12,OFFSET(PLE!$G$14,$M22,CJ$13))))</f>
        <v>1000000000000</v>
      </c>
      <c r="CK22" s="182">
        <f ca="1">IF($D22&lt;&gt;"Serviço",0,IF(OR(AND(AUTOEVENTO="Manual",$M22=1),$M22&gt;(ROW(PLE.lastrow)-ROW(PLE.firstrow))),0,IF(OFFSET(PLE!$G$14,$M22,CK$13)="",10^12,OFFSET(PLE!$G$14,$M22,CK$13))))</f>
        <v>1000000000000</v>
      </c>
      <c r="CL22" s="182">
        <f ca="1">IF($D22&lt;&gt;"Serviço",0,IF(OR(AND(AUTOEVENTO="Manual",$M22=1),$M22&gt;(ROW(PLE.lastrow)-ROW(PLE.firstrow))),0,IF(OFFSET(PLE!$G$14,$M22,CL$13)="",10^12,OFFSET(PLE!$G$14,$M22,CL$13))))</f>
        <v>1000000000000</v>
      </c>
      <c r="CM22" s="182">
        <f ca="1">IF($D22&lt;&gt;"Serviço",0,IF(OR(AND(AUTOEVENTO="Manual",$M22=1),$M22&gt;(ROW(PLE.lastrow)-ROW(PLE.firstrow))),0,IF(OFFSET(PLE!$G$14,$M22,CM$13)="",10^12,OFFSET(PLE!$G$14,$M22,CM$13))))</f>
        <v>1000000000000</v>
      </c>
    </row>
    <row r="23" spans="1:91" ht="38.25" x14ac:dyDescent="0.2">
      <c r="A23" s="7" t="str">
        <f t="shared" ca="1" si="9"/>
        <v>2</v>
      </c>
      <c r="B23" s="7" t="str">
        <f ca="1">OFFSET(ORÇAMENTO!C$15,ROW(B23)-ROW(B$15),0)</f>
        <v>S</v>
      </c>
      <c r="C23" s="7" t="str">
        <f ca="1">OFFSET(ORÇAMENTO!L$15,ROW(C23)-ROW(C$15),0)</f>
        <v/>
      </c>
      <c r="D23" s="118" t="str">
        <f ca="1">OFFSET(ORÇAMENTO!N$15,ROW(D23)-ROW(D$15),0)</f>
        <v>Serviço</v>
      </c>
      <c r="E23" s="119" t="str">
        <f ca="1">OFFSET(ORÇAMENTO!O$15,ROW(E23)-ROW(E$15),0)</f>
        <v>-</v>
      </c>
      <c r="F23" s="172" t="str">
        <f ca="1">OFFSET(ORÇAMENTO!R$15,ROW(F23)-ROW(F$15),0)</f>
        <v>(abra o arquivo 'Referência 03-Sunday.xlsm)</v>
      </c>
      <c r="G23" s="173" t="str">
        <f ca="1">IF($D23&lt;&gt;"Serviço","",OFFSET(ORÇAMENTO!S$15,ROW(G23)-ROW(G$15),0))</f>
        <v>-</v>
      </c>
      <c r="H23" s="124">
        <f ca="1">IF($D23&lt;&gt;"Serviço",0,IF(ACOMPANHAMENTO="BM",ROUND(OFFSET(ORÇAMENTO!AJ$15,ROW(H23)-ROW(H$15),0),15-13*ORÇAMENTO!$AF$7),SUMPRODUCT(($Q$12:$AI$12&lt;&gt;"")*ROUND($Q23:$AI23,15-13*ORÇAMENTO!$AF$7))))</f>
        <v>100</v>
      </c>
      <c r="I23" s="539" t="s">
        <v>506</v>
      </c>
      <c r="K23" s="174"/>
      <c r="L23" s="175" t="s">
        <v>254</v>
      </c>
      <c r="M23" s="176">
        <f ca="1">IF($D23&lt;&gt;"Serviço","",IF(AUTOEVENTO="manual",$A23,IF(ISERROR(MATCH($A23,$A$15:OFFSET($A23,-1,0),0)),MAX($M$15:OFFSET(M23,-1,0))+1,INDEX($M$15:OFFSET(M23,-1,0),MATCH($A23,$A$15:OFFSET($A23,-1,0),0)))))</f>
        <v>2</v>
      </c>
      <c r="N23" s="177" t="str">
        <f ca="1">IF($D23&lt;&gt;"Serviço","",IF(AUTOEVENTO="Manual",IF($A23=0,"&lt;-- defina o número do agrupador",OFFSET(EVENTOS!$D$14,$A23,0)),OFFSET($F$15,$A23,0)))</f>
        <v>Lote 01  - Manutenção e Reparos Abrigos Passagerios Onibus e Táxi</v>
      </c>
      <c r="O23" s="178"/>
      <c r="Q23" s="178">
        <v>100</v>
      </c>
      <c r="R23" s="179"/>
      <c r="S23" s="179"/>
      <c r="T23" s="179"/>
      <c r="U23" s="179"/>
      <c r="V23" s="179"/>
      <c r="W23" s="179"/>
      <c r="X23" s="179"/>
      <c r="Y23" s="179"/>
      <c r="Z23" s="180"/>
      <c r="AA23" s="179"/>
      <c r="AB23" s="179"/>
      <c r="AC23" s="179"/>
      <c r="AD23" s="179"/>
      <c r="AE23" s="179"/>
      <c r="AF23" s="179"/>
      <c r="AG23" s="179"/>
      <c r="AH23" s="180"/>
      <c r="AJ23" s="522">
        <f ca="1">IF(AND($D23="Serviço",AJ$12&lt;&gt;0,$H23&gt;0,OR(AUTOEVENTO&lt;&gt;"manual",$M23&lt;&gt;1)),
IF(Import.TipoArredondamento&lt;&gt;"TransfereGOV",
ROUND(OFFSET($P23,0,AJ$13),15-13*ORÇAMENTO!$AF$7)/$H23*OFFSET(ORÇAMENTO!$X$15,ROW(AJ23)-ROW(AJ$15),0),
ROUND(ROUND(OFFSET($P23,0,AJ$13),15-13*ORÇAMENTO!$AF$7)*OFFSET(ORÇAMENTO!$W$15,ROW(AJ23)-ROW(AJ$15),0),15-13*ORÇAMENTO!$AF$11)),0)</f>
        <v>0</v>
      </c>
      <c r="AK23" s="523">
        <f ca="1">IF(AND($D23="Serviço",AK$12&lt;&gt;0,$H23&gt;0,OR(AUTOEVENTO&lt;&gt;"manual",$M23&lt;&gt;1)),
IF(Import.TipoArredondamento&lt;&gt;"TransfereGOV",
ROUND(OFFSET($P23,0,AK$13),15-13*ORÇAMENTO!$AF$7)/$H23*OFFSET(ORÇAMENTO!$X$15,ROW(AK23)-ROW(AK$15),0),
ROUND(ROUND(OFFSET($P23,0,AK$13),15-13*ORÇAMENTO!$AF$7)*OFFSET(ORÇAMENTO!$W$15,ROW(AK23)-ROW(AK$15),0),15-13*ORÇAMENTO!$AF$11)),0)</f>
        <v>0</v>
      </c>
      <c r="AL23" s="523">
        <f ca="1">IF(AND($D23="Serviço",AL$12&lt;&gt;0,$H23&gt;0,OR(AUTOEVENTO&lt;&gt;"manual",$M23&lt;&gt;1)),
IF(Import.TipoArredondamento&lt;&gt;"TransfereGOV",
ROUND(OFFSET($P23,0,AL$13),15-13*ORÇAMENTO!$AF$7)/$H23*OFFSET(ORÇAMENTO!$X$15,ROW(AL23)-ROW(AL$15),0),
ROUND(ROUND(OFFSET($P23,0,AL$13),15-13*ORÇAMENTO!$AF$7)*OFFSET(ORÇAMENTO!$W$15,ROW(AL23)-ROW(AL$15),0),15-13*ORÇAMENTO!$AF$11)),0)</f>
        <v>0</v>
      </c>
      <c r="AM23" s="523">
        <f ca="1">IF(AND($D23="Serviço",AM$12&lt;&gt;0,$H23&gt;0,OR(AUTOEVENTO&lt;&gt;"manual",$M23&lt;&gt;1)),
IF(Import.TipoArredondamento&lt;&gt;"TransfereGOV",
ROUND(OFFSET($P23,0,AM$13),15-13*ORÇAMENTO!$AF$7)/$H23*OFFSET(ORÇAMENTO!$X$15,ROW(AM23)-ROW(AM$15),0),
ROUND(ROUND(OFFSET($P23,0,AM$13),15-13*ORÇAMENTO!$AF$7)*OFFSET(ORÇAMENTO!$W$15,ROW(AM23)-ROW(AM$15),0),15-13*ORÇAMENTO!$AF$11)),0)</f>
        <v>0</v>
      </c>
      <c r="AN23" s="523">
        <f ca="1">IF(AND($D23="Serviço",AN$12&lt;&gt;0,$H23&gt;0,OR(AUTOEVENTO&lt;&gt;"manual",$M23&lt;&gt;1)),
IF(Import.TipoArredondamento&lt;&gt;"TransfereGOV",
ROUND(OFFSET($P23,0,AN$13),15-13*ORÇAMENTO!$AF$7)/$H23*OFFSET(ORÇAMENTO!$X$15,ROW(AN23)-ROW(AN$15),0),
ROUND(ROUND(OFFSET($P23,0,AN$13),15-13*ORÇAMENTO!$AF$7)*OFFSET(ORÇAMENTO!$W$15,ROW(AN23)-ROW(AN$15),0),15-13*ORÇAMENTO!$AF$11)),0)</f>
        <v>0</v>
      </c>
      <c r="AO23" s="523">
        <f ca="1">IF(AND($D23="Serviço",AO$12&lt;&gt;0,$H23&gt;0,OR(AUTOEVENTO&lt;&gt;"manual",$M23&lt;&gt;1)),
IF(Import.TipoArredondamento&lt;&gt;"TransfereGOV",
ROUND(OFFSET($P23,0,AO$13),15-13*ORÇAMENTO!$AF$7)/$H23*OFFSET(ORÇAMENTO!$X$15,ROW(AO23)-ROW(AO$15),0),
ROUND(ROUND(OFFSET($P23,0,AO$13),15-13*ORÇAMENTO!$AF$7)*OFFSET(ORÇAMENTO!$W$15,ROW(AO23)-ROW(AO$15),0),15-13*ORÇAMENTO!$AF$11)),0)</f>
        <v>0</v>
      </c>
      <c r="AP23" s="523">
        <f ca="1">IF(AND($D23="Serviço",AP$12&lt;&gt;0,$H23&gt;0,OR(AUTOEVENTO&lt;&gt;"manual",$M23&lt;&gt;1)),
IF(Import.TipoArredondamento&lt;&gt;"TransfereGOV",
ROUND(OFFSET($P23,0,AP$13),15-13*ORÇAMENTO!$AF$7)/$H23*OFFSET(ORÇAMENTO!$X$15,ROW(AP23)-ROW(AP$15),0),
ROUND(ROUND(OFFSET($P23,0,AP$13),15-13*ORÇAMENTO!$AF$7)*OFFSET(ORÇAMENTO!$W$15,ROW(AP23)-ROW(AP$15),0),15-13*ORÇAMENTO!$AF$11)),0)</f>
        <v>0</v>
      </c>
      <c r="AQ23" s="523">
        <f ca="1">IF(AND($D23="Serviço",AQ$12&lt;&gt;0,$H23&gt;0,OR(AUTOEVENTO&lt;&gt;"manual",$M23&lt;&gt;1)),
IF(Import.TipoArredondamento&lt;&gt;"TransfereGOV",
ROUND(OFFSET($P23,0,AQ$13),15-13*ORÇAMENTO!$AF$7)/$H23*OFFSET(ORÇAMENTO!$X$15,ROW(AQ23)-ROW(AQ$15),0),
ROUND(ROUND(OFFSET($P23,0,AQ$13),15-13*ORÇAMENTO!$AF$7)*OFFSET(ORÇAMENTO!$W$15,ROW(AQ23)-ROW(AQ$15),0),15-13*ORÇAMENTO!$AF$11)),0)</f>
        <v>0</v>
      </c>
      <c r="AR23" s="523">
        <f ca="1">IF(AND($D23="Serviço",AR$12&lt;&gt;0,$H23&gt;0,OR(AUTOEVENTO&lt;&gt;"manual",$M23&lt;&gt;1)),
IF(Import.TipoArredondamento&lt;&gt;"TransfereGOV",
ROUND(OFFSET($P23,0,AR$13),15-13*ORÇAMENTO!$AF$7)/$H23*OFFSET(ORÇAMENTO!$X$15,ROW(AR23)-ROW(AR$15),0),
ROUND(ROUND(OFFSET($P23,0,AR$13),15-13*ORÇAMENTO!$AF$7)*OFFSET(ORÇAMENTO!$W$15,ROW(AR23)-ROW(AR$15),0),15-13*ORÇAMENTO!$AF$11)),0)</f>
        <v>0</v>
      </c>
      <c r="AS23" s="524">
        <f ca="1">IF(AND($D23="Serviço",AS$12&lt;&gt;0,$H23&gt;0,OR(AUTOEVENTO&lt;&gt;"manual",$M23&lt;&gt;1)),
IF(Import.TipoArredondamento&lt;&gt;"TransfereGOV",
ROUND(OFFSET($P23,0,AS$13),15-13*ORÇAMENTO!$AF$7)/$H23*OFFSET(ORÇAMENTO!$X$15,ROW(AS23)-ROW(AS$15),0),
ROUND(ROUND(OFFSET($P23,0,AS$13),15-13*ORÇAMENTO!$AF$7)*OFFSET(ORÇAMENTO!$W$15,ROW(AS23)-ROW(AS$15),0),15-13*ORÇAMENTO!$AF$11)),0)</f>
        <v>0</v>
      </c>
      <c r="AT23" s="523">
        <f ca="1">IF(AND($D23="Serviço",AT$12&lt;&gt;0,$H23&gt;0,OR(AUTOEVENTO&lt;&gt;"manual",$M23&lt;&gt;1)),
IF(Import.TipoArredondamento&lt;&gt;"TransfereGOV",
ROUND(OFFSET($P23,0,AT$13),15-13*ORÇAMENTO!$AF$7)/$H23*OFFSET(ORÇAMENTO!$X$15,ROW(AT23)-ROW(AT$15),0),
ROUND(ROUND(OFFSET($P23,0,AT$13),15-13*ORÇAMENTO!$AF$7)*OFFSET(ORÇAMENTO!$W$15,ROW(AT23)-ROW(AT$15),0),15-13*ORÇAMENTO!$AF$11)),0)</f>
        <v>0</v>
      </c>
      <c r="AU23" s="523">
        <f ca="1">IF(AND($D23="Serviço",AU$12&lt;&gt;0,$H23&gt;0,OR(AUTOEVENTO&lt;&gt;"manual",$M23&lt;&gt;1)),
IF(Import.TipoArredondamento&lt;&gt;"TransfereGOV",
ROUND(OFFSET($P23,0,AU$13),15-13*ORÇAMENTO!$AF$7)/$H23*OFFSET(ORÇAMENTO!$X$15,ROW(AU23)-ROW(AU$15),0),
ROUND(ROUND(OFFSET($P23,0,AU$13),15-13*ORÇAMENTO!$AF$7)*OFFSET(ORÇAMENTO!$W$15,ROW(AU23)-ROW(AU$15),0),15-13*ORÇAMENTO!$AF$11)),0)</f>
        <v>0</v>
      </c>
      <c r="AV23" s="523">
        <f ca="1">IF(AND($D23="Serviço",AV$12&lt;&gt;0,$H23&gt;0,OR(AUTOEVENTO&lt;&gt;"manual",$M23&lt;&gt;1)),
IF(Import.TipoArredondamento&lt;&gt;"TransfereGOV",
ROUND(OFFSET($P23,0,AV$13),15-13*ORÇAMENTO!$AF$7)/$H23*OFFSET(ORÇAMENTO!$X$15,ROW(AV23)-ROW(AV$15),0),
ROUND(ROUND(OFFSET($P23,0,AV$13),15-13*ORÇAMENTO!$AF$7)*OFFSET(ORÇAMENTO!$W$15,ROW(AV23)-ROW(AV$15),0),15-13*ORÇAMENTO!$AF$11)),0)</f>
        <v>0</v>
      </c>
      <c r="AW23" s="523">
        <f ca="1">IF(AND($D23="Serviço",AW$12&lt;&gt;0,$H23&gt;0,OR(AUTOEVENTO&lt;&gt;"manual",$M23&lt;&gt;1)),
IF(Import.TipoArredondamento&lt;&gt;"TransfereGOV",
ROUND(OFFSET($P23,0,AW$13),15-13*ORÇAMENTO!$AF$7)/$H23*OFFSET(ORÇAMENTO!$X$15,ROW(AW23)-ROW(AW$15),0),
ROUND(ROUND(OFFSET($P23,0,AW$13),15-13*ORÇAMENTO!$AF$7)*OFFSET(ORÇAMENTO!$W$15,ROW(AW23)-ROW(AW$15),0),15-13*ORÇAMENTO!$AF$11)),0)</f>
        <v>0</v>
      </c>
      <c r="AX23" s="523">
        <f ca="1">IF(AND($D23="Serviço",AX$12&lt;&gt;0,$H23&gt;0,OR(AUTOEVENTO&lt;&gt;"manual",$M23&lt;&gt;1)),
IF(Import.TipoArredondamento&lt;&gt;"TransfereGOV",
ROUND(OFFSET($P23,0,AX$13),15-13*ORÇAMENTO!$AF$7)/$H23*OFFSET(ORÇAMENTO!$X$15,ROW(AX23)-ROW(AX$15),0),
ROUND(ROUND(OFFSET($P23,0,AX$13),15-13*ORÇAMENTO!$AF$7)*OFFSET(ORÇAMENTO!$W$15,ROW(AX23)-ROW(AX$15),0),15-13*ORÇAMENTO!$AF$11)),0)</f>
        <v>0</v>
      </c>
      <c r="AY23" s="523">
        <f ca="1">IF(AND($D23="Serviço",AY$12&lt;&gt;0,$H23&gt;0,OR(AUTOEVENTO&lt;&gt;"manual",$M23&lt;&gt;1)),
IF(Import.TipoArredondamento&lt;&gt;"TransfereGOV",
ROUND(OFFSET($P23,0,AY$13),15-13*ORÇAMENTO!$AF$7)/$H23*OFFSET(ORÇAMENTO!$X$15,ROW(AY23)-ROW(AY$15),0),
ROUND(ROUND(OFFSET($P23,0,AY$13),15-13*ORÇAMENTO!$AF$7)*OFFSET(ORÇAMENTO!$W$15,ROW(AY23)-ROW(AY$15),0),15-13*ORÇAMENTO!$AF$11)),0)</f>
        <v>0</v>
      </c>
      <c r="AZ23" s="523">
        <f ca="1">IF(AND($D23="Serviço",AZ$12&lt;&gt;0,$H23&gt;0,OR(AUTOEVENTO&lt;&gt;"manual",$M23&lt;&gt;1)),
IF(Import.TipoArredondamento&lt;&gt;"TransfereGOV",
ROUND(OFFSET($P23,0,AZ$13),15-13*ORÇAMENTO!$AF$7)/$H23*OFFSET(ORÇAMENTO!$X$15,ROW(AZ23)-ROW(AZ$15),0),
ROUND(ROUND(OFFSET($P23,0,AZ$13),15-13*ORÇAMENTO!$AF$7)*OFFSET(ORÇAMENTO!$W$15,ROW(AZ23)-ROW(AZ$15),0),15-13*ORÇAMENTO!$AF$11)),0)</f>
        <v>0</v>
      </c>
      <c r="BA23" s="524">
        <f ca="1">IF(AND($D23="Serviço",BA$12&lt;&gt;0,$H23&gt;0,OR(AUTOEVENTO&lt;&gt;"manual",$M23&lt;&gt;1)),
IF(Import.TipoArredondamento&lt;&gt;"TransfereGOV",
ROUND(OFFSET($P23,0,BA$13),15-13*ORÇAMENTO!$AF$7)/$H23*OFFSET(ORÇAMENTO!$X$15,ROW(BA23)-ROW(BA$15),0),
ROUND(ROUND(OFFSET($P23,0,BA$13),15-13*ORÇAMENTO!$AF$7)*OFFSET(ORÇAMENTO!$W$15,ROW(BA23)-ROW(BA$15),0),15-13*ORÇAMENTO!$AF$11)),0)</f>
        <v>0</v>
      </c>
      <c r="BC23" s="181">
        <f ca="1">IF($D23&lt;&gt;"Serviço",0,IF(AND(AUTOEVENTO="Manual",$M23=1),0,IF(OFFSET(CRONOPLE!$F$14,$M23,BC$13)="",10^12,OFFSET(CRONOPLE!$F$14,$M23,BC$13))))</f>
        <v>12</v>
      </c>
      <c r="BD23" s="181">
        <f ca="1">IF($D23&lt;&gt;"Serviço",0,IF(AND(AUTOEVENTO="Manual",$M23=1),0,IF(OFFSET(CRONOPLE!$F$14,$M23,BD$13)="",10^12,OFFSET(CRONOPLE!$F$14,$M23,BD$13))))</f>
        <v>1000000000000</v>
      </c>
      <c r="BE23" s="181">
        <f ca="1">IF($D23&lt;&gt;"Serviço",0,IF(AND(AUTOEVENTO="Manual",$M23=1),0,IF(OFFSET(CRONOPLE!$F$14,$M23,BE$13)="",10^12,OFFSET(CRONOPLE!$F$14,$M23,BE$13))))</f>
        <v>1000000000000</v>
      </c>
      <c r="BF23" s="181">
        <f ca="1">IF($D23&lt;&gt;"Serviço",0,IF(AND(AUTOEVENTO="Manual",$M23=1),0,IF(OFFSET(CRONOPLE!$F$14,$M23,BF$13)="",10^12,OFFSET(CRONOPLE!$F$14,$M23,BF$13))))</f>
        <v>1000000000000</v>
      </c>
      <c r="BG23" s="181">
        <f ca="1">IF($D23&lt;&gt;"Serviço",0,IF(AND(AUTOEVENTO="Manual",$M23=1),0,IF(OFFSET(CRONOPLE!$F$14,$M23,BG$13)="",10^12,OFFSET(CRONOPLE!$F$14,$M23,BG$13))))</f>
        <v>1000000000000</v>
      </c>
      <c r="BH23" s="181">
        <f ca="1">IF($D23&lt;&gt;"Serviço",0,IF(AND(AUTOEVENTO="Manual",$M23=1),0,IF(OFFSET(CRONOPLE!$F$14,$M23,BH$13)="",10^12,OFFSET(CRONOPLE!$F$14,$M23,BH$13))))</f>
        <v>1000000000000</v>
      </c>
      <c r="BI23" s="181">
        <f ca="1">IF($D23&lt;&gt;"Serviço",0,IF(AND(AUTOEVENTO="Manual",$M23=1),0,IF(OFFSET(CRONOPLE!$F$14,$M23,BI$13)="",10^12,OFFSET(CRONOPLE!$F$14,$M23,BI$13))))</f>
        <v>1000000000000</v>
      </c>
      <c r="BJ23" s="181">
        <f ca="1">IF($D23&lt;&gt;"Serviço",0,IF(AND(AUTOEVENTO="Manual",$M23=1),0,IF(OFFSET(CRONOPLE!$F$14,$M23,BJ$13)="",10^12,OFFSET(CRONOPLE!$F$14,$M23,BJ$13))))</f>
        <v>1000000000000</v>
      </c>
      <c r="BK23" s="181">
        <f ca="1">IF($D23&lt;&gt;"Serviço",0,IF(AND(AUTOEVENTO="Manual",$M23=1),0,IF(OFFSET(CRONOPLE!$F$14,$M23,BK$13)="",10^12,OFFSET(CRONOPLE!$F$14,$M23,BK$13))))</f>
        <v>1000000000000</v>
      </c>
      <c r="BL23" s="181">
        <f ca="1">IF($D23&lt;&gt;"Serviço",0,IF(AND(AUTOEVENTO="Manual",$M23=1),0,IF(OFFSET(CRONOPLE!$F$14,$M23,BL$13)="",10^12,OFFSET(CRONOPLE!$F$14,$M23,BL$13))))</f>
        <v>1000000000000</v>
      </c>
      <c r="BM23" s="181">
        <f ca="1">IF($D23&lt;&gt;"Serviço",0,IF(AND(AUTOEVENTO="Manual",$M23=1),0,IF(OFFSET(CRONOPLE!$F$14,$M23,BM$13)="",10^12,OFFSET(CRONOPLE!$F$14,$M23,BM$13))))</f>
        <v>1000000000000</v>
      </c>
      <c r="BN23" s="181">
        <f ca="1">IF($D23&lt;&gt;"Serviço",0,IF(AND(AUTOEVENTO="Manual",$M23=1),0,IF(OFFSET(CRONOPLE!$F$14,$M23,BN$13)="",10^12,OFFSET(CRONOPLE!$F$14,$M23,BN$13))))</f>
        <v>1000000000000</v>
      </c>
      <c r="BO23" s="181">
        <f ca="1">IF($D23&lt;&gt;"Serviço",0,IF(AND(AUTOEVENTO="Manual",$M23=1),0,IF(OFFSET(CRONOPLE!$F$14,$M23,BO$13)="",10^12,OFFSET(CRONOPLE!$F$14,$M23,BO$13))))</f>
        <v>1000000000000</v>
      </c>
      <c r="BP23" s="181">
        <f ca="1">IF($D23&lt;&gt;"Serviço",0,IF(AND(AUTOEVENTO="Manual",$M23=1),0,IF(OFFSET(CRONOPLE!$F$14,$M23,BP$13)="",10^12,OFFSET(CRONOPLE!$F$14,$M23,BP$13))))</f>
        <v>1000000000000</v>
      </c>
      <c r="BQ23" s="181">
        <f ca="1">IF($D23&lt;&gt;"Serviço",0,IF(AND(AUTOEVENTO="Manual",$M23=1),0,IF(OFFSET(CRONOPLE!$F$14,$M23,BQ$13)="",10^12,OFFSET(CRONOPLE!$F$14,$M23,BQ$13))))</f>
        <v>1000000000000</v>
      </c>
      <c r="BR23" s="181">
        <f ca="1">IF($D23&lt;&gt;"Serviço",0,IF(AND(AUTOEVENTO="Manual",$M23=1),0,IF(OFFSET(CRONOPLE!$F$14,$M23,BR$13)="",10^12,OFFSET(CRONOPLE!$F$14,$M23,BR$13))))</f>
        <v>1000000000000</v>
      </c>
      <c r="BS23" s="181">
        <f ca="1">IF($D23&lt;&gt;"Serviço",0,IF(AND(AUTOEVENTO="Manual",$M23=1),0,IF(OFFSET(CRONOPLE!$F$14,$M23,BS$13)="",10^12,OFFSET(CRONOPLE!$F$14,$M23,BS$13))))</f>
        <v>1000000000000</v>
      </c>
      <c r="BT23" s="181">
        <f ca="1">IF($D23&lt;&gt;"Serviço",0,IF(AND(AUTOEVENTO="Manual",$M23=1),0,IF(OFFSET(CRONOPLE!$F$14,$M23,BT$13)="",10^12,OFFSET(CRONOPLE!$F$14,$M23,BT$13))))</f>
        <v>1000000000000</v>
      </c>
      <c r="BV23" s="182">
        <f ca="1">IF($D23&lt;&gt;"Serviço",0,IF(OR(AND(AUTOEVENTO="Manual",$M23=1),$M23&gt;(ROW(PLE.lastrow)-ROW(PLE.firstrow))),0,IF(OFFSET(PLE!$G$14,$M23,BV$13)="",10^12,OFFSET(PLE!$G$14,$M23,BV$13))))</f>
        <v>1000000000000</v>
      </c>
      <c r="BW23" s="182">
        <f ca="1">IF($D23&lt;&gt;"Serviço",0,IF(OR(AND(AUTOEVENTO="Manual",$M23=1),$M23&gt;(ROW(PLE.lastrow)-ROW(PLE.firstrow))),0,IF(OFFSET(PLE!$G$14,$M23,BW$13)="",10^12,OFFSET(PLE!$G$14,$M23,BW$13))))</f>
        <v>1000000000000</v>
      </c>
      <c r="BX23" s="182">
        <f ca="1">IF($D23&lt;&gt;"Serviço",0,IF(OR(AND(AUTOEVENTO="Manual",$M23=1),$M23&gt;(ROW(PLE.lastrow)-ROW(PLE.firstrow))),0,IF(OFFSET(PLE!$G$14,$M23,BX$13)="",10^12,OFFSET(PLE!$G$14,$M23,BX$13))))</f>
        <v>1000000000000</v>
      </c>
      <c r="BY23" s="182">
        <f ca="1">IF($D23&lt;&gt;"Serviço",0,IF(OR(AND(AUTOEVENTO="Manual",$M23=1),$M23&gt;(ROW(PLE.lastrow)-ROW(PLE.firstrow))),0,IF(OFFSET(PLE!$G$14,$M23,BY$13)="",10^12,OFFSET(PLE!$G$14,$M23,BY$13))))</f>
        <v>1000000000000</v>
      </c>
      <c r="BZ23" s="182">
        <f ca="1">IF($D23&lt;&gt;"Serviço",0,IF(OR(AND(AUTOEVENTO="Manual",$M23=1),$M23&gt;(ROW(PLE.lastrow)-ROW(PLE.firstrow))),0,IF(OFFSET(PLE!$G$14,$M23,BZ$13)="",10^12,OFFSET(PLE!$G$14,$M23,BZ$13))))</f>
        <v>1000000000000</v>
      </c>
      <c r="CA23" s="182">
        <f ca="1">IF($D23&lt;&gt;"Serviço",0,IF(OR(AND(AUTOEVENTO="Manual",$M23=1),$M23&gt;(ROW(PLE.lastrow)-ROW(PLE.firstrow))),0,IF(OFFSET(PLE!$G$14,$M23,CA$13)="",10^12,OFFSET(PLE!$G$14,$M23,CA$13))))</f>
        <v>1000000000000</v>
      </c>
      <c r="CB23" s="182">
        <f ca="1">IF($D23&lt;&gt;"Serviço",0,IF(OR(AND(AUTOEVENTO="Manual",$M23=1),$M23&gt;(ROW(PLE.lastrow)-ROW(PLE.firstrow))),0,IF(OFFSET(PLE!$G$14,$M23,CB$13)="",10^12,OFFSET(PLE!$G$14,$M23,CB$13))))</f>
        <v>1000000000000</v>
      </c>
      <c r="CC23" s="182">
        <f ca="1">IF($D23&lt;&gt;"Serviço",0,IF(OR(AND(AUTOEVENTO="Manual",$M23=1),$M23&gt;(ROW(PLE.lastrow)-ROW(PLE.firstrow))),0,IF(OFFSET(PLE!$G$14,$M23,CC$13)="",10^12,OFFSET(PLE!$G$14,$M23,CC$13))))</f>
        <v>1000000000000</v>
      </c>
      <c r="CD23" s="182">
        <f ca="1">IF($D23&lt;&gt;"Serviço",0,IF(OR(AND(AUTOEVENTO="Manual",$M23=1),$M23&gt;(ROW(PLE.lastrow)-ROW(PLE.firstrow))),0,IF(OFFSET(PLE!$G$14,$M23,CD$13)="",10^12,OFFSET(PLE!$G$14,$M23,CD$13))))</f>
        <v>1000000000000</v>
      </c>
      <c r="CE23" s="182">
        <f ca="1">IF($D23&lt;&gt;"Serviço",0,IF(OR(AND(AUTOEVENTO="Manual",$M23=1),$M23&gt;(ROW(PLE.lastrow)-ROW(PLE.firstrow))),0,IF(OFFSET(PLE!$G$14,$M23,CE$13)="",10^12,OFFSET(PLE!$G$14,$M23,CE$13))))</f>
        <v>1000000000000</v>
      </c>
      <c r="CF23" s="182">
        <f ca="1">IF($D23&lt;&gt;"Serviço",0,IF(OR(AND(AUTOEVENTO="Manual",$M23=1),$M23&gt;(ROW(PLE.lastrow)-ROW(PLE.firstrow))),0,IF(OFFSET(PLE!$G$14,$M23,CF$13)="",10^12,OFFSET(PLE!$G$14,$M23,CF$13))))</f>
        <v>1000000000000</v>
      </c>
      <c r="CG23" s="182">
        <f ca="1">IF($D23&lt;&gt;"Serviço",0,IF(OR(AND(AUTOEVENTO="Manual",$M23=1),$M23&gt;(ROW(PLE.lastrow)-ROW(PLE.firstrow))),0,IF(OFFSET(PLE!$G$14,$M23,CG$13)="",10^12,OFFSET(PLE!$G$14,$M23,CG$13))))</f>
        <v>1000000000000</v>
      </c>
      <c r="CH23" s="182">
        <f ca="1">IF($D23&lt;&gt;"Serviço",0,IF(OR(AND(AUTOEVENTO="Manual",$M23=1),$M23&gt;(ROW(PLE.lastrow)-ROW(PLE.firstrow))),0,IF(OFFSET(PLE!$G$14,$M23,CH$13)="",10^12,OFFSET(PLE!$G$14,$M23,CH$13))))</f>
        <v>1000000000000</v>
      </c>
      <c r="CI23" s="182">
        <f ca="1">IF($D23&lt;&gt;"Serviço",0,IF(OR(AND(AUTOEVENTO="Manual",$M23=1),$M23&gt;(ROW(PLE.lastrow)-ROW(PLE.firstrow))),0,IF(OFFSET(PLE!$G$14,$M23,CI$13)="",10^12,OFFSET(PLE!$G$14,$M23,CI$13))))</f>
        <v>1000000000000</v>
      </c>
      <c r="CJ23" s="182">
        <f ca="1">IF($D23&lt;&gt;"Serviço",0,IF(OR(AND(AUTOEVENTO="Manual",$M23=1),$M23&gt;(ROW(PLE.lastrow)-ROW(PLE.firstrow))),0,IF(OFFSET(PLE!$G$14,$M23,CJ$13)="",10^12,OFFSET(PLE!$G$14,$M23,CJ$13))))</f>
        <v>1000000000000</v>
      </c>
      <c r="CK23" s="182">
        <f ca="1">IF($D23&lt;&gt;"Serviço",0,IF(OR(AND(AUTOEVENTO="Manual",$M23=1),$M23&gt;(ROW(PLE.lastrow)-ROW(PLE.firstrow))),0,IF(OFFSET(PLE!$G$14,$M23,CK$13)="",10^12,OFFSET(PLE!$G$14,$M23,CK$13))))</f>
        <v>1000000000000</v>
      </c>
      <c r="CL23" s="182">
        <f ca="1">IF($D23&lt;&gt;"Serviço",0,IF(OR(AND(AUTOEVENTO="Manual",$M23=1),$M23&gt;(ROW(PLE.lastrow)-ROW(PLE.firstrow))),0,IF(OFFSET(PLE!$G$14,$M23,CL$13)="",10^12,OFFSET(PLE!$G$14,$M23,CL$13))))</f>
        <v>1000000000000</v>
      </c>
      <c r="CM23" s="182">
        <f ca="1">IF($D23&lt;&gt;"Serviço",0,IF(OR(AND(AUTOEVENTO="Manual",$M23=1),$M23&gt;(ROW(PLE.lastrow)-ROW(PLE.firstrow))),0,IF(OFFSET(PLE!$G$14,$M23,CM$13)="",10^12,OFFSET(PLE!$G$14,$M23,CM$13))))</f>
        <v>1000000000000</v>
      </c>
    </row>
    <row r="24" spans="1:91" ht="25.5" x14ac:dyDescent="0.2">
      <c r="A24" s="7" t="str">
        <f t="shared" ca="1" si="9"/>
        <v>2</v>
      </c>
      <c r="B24" s="7" t="str">
        <f ca="1">OFFSET(ORÇAMENTO!C$15,ROW(B24)-ROW(B$15),0)</f>
        <v>S</v>
      </c>
      <c r="C24" s="7" t="str">
        <f ca="1">OFFSET(ORÇAMENTO!L$15,ROW(C24)-ROW(C$15),0)</f>
        <v/>
      </c>
      <c r="D24" s="118" t="str">
        <f ca="1">OFFSET(ORÇAMENTO!N$15,ROW(D24)-ROW(D$15),0)</f>
        <v>Serviço</v>
      </c>
      <c r="E24" s="119" t="str">
        <f ca="1">OFFSET(ORÇAMENTO!O$15,ROW(E24)-ROW(E$15),0)</f>
        <v>-</v>
      </c>
      <c r="F24" s="172" t="str">
        <f ca="1">OFFSET(ORÇAMENTO!R$15,ROW(F24)-ROW(F$15),0)</f>
        <v>(abra o arquivo 'Referência 03-Sunday.xlsm)</v>
      </c>
      <c r="G24" s="173" t="str">
        <f ca="1">IF($D24&lt;&gt;"Serviço","",OFFSET(ORÇAMENTO!S$15,ROW(G24)-ROW(G$15),0))</f>
        <v>-</v>
      </c>
      <c r="H24" s="124">
        <f ca="1">IF($D24&lt;&gt;"Serviço",0,IF(ACOMPANHAMENTO="BM",ROUND(OFFSET(ORÇAMENTO!AJ$15,ROW(H24)-ROW(H$15),0),15-13*ORÇAMENTO!$AF$7),SUMPRODUCT(($Q$12:$AI$12&lt;&gt;"")*ROUND($Q24:$AI24,15-13*ORÇAMENTO!$AF$7))))</f>
        <v>7000</v>
      </c>
      <c r="I24" s="539" t="s">
        <v>510</v>
      </c>
      <c r="K24" s="174"/>
      <c r="L24" s="175" t="s">
        <v>254</v>
      </c>
      <c r="M24" s="176">
        <f ca="1">IF($D24&lt;&gt;"Serviço","",IF(AUTOEVENTO="manual",$A24,IF(ISERROR(MATCH($A24,$A$15:OFFSET($A24,-1,0),0)),MAX($M$15:OFFSET(M24,-1,0))+1,INDEX($M$15:OFFSET(M24,-1,0),MATCH($A24,$A$15:OFFSET($A24,-1,0),0)))))</f>
        <v>2</v>
      </c>
      <c r="N24" s="177" t="str">
        <f ca="1">IF($D24&lt;&gt;"Serviço","",IF(AUTOEVENTO="Manual",IF($A24=0,"&lt;-- defina o número do agrupador",OFFSET(EVENTOS!$D$14,$A24,0)),OFFSET($F$15,$A24,0)))</f>
        <v>Lote 01  - Manutenção e Reparos Abrigos Passagerios Onibus e Táxi</v>
      </c>
      <c r="O24" s="178"/>
      <c r="Q24" s="178">
        <f>100*70</f>
        <v>7000</v>
      </c>
      <c r="R24" s="179"/>
      <c r="S24" s="179"/>
      <c r="T24" s="179"/>
      <c r="U24" s="179"/>
      <c r="V24" s="179"/>
      <c r="W24" s="179"/>
      <c r="X24" s="179"/>
      <c r="Y24" s="179"/>
      <c r="Z24" s="180"/>
      <c r="AA24" s="179"/>
      <c r="AB24" s="179"/>
      <c r="AC24" s="179"/>
      <c r="AD24" s="179"/>
      <c r="AE24" s="179"/>
      <c r="AF24" s="179"/>
      <c r="AG24" s="179"/>
      <c r="AH24" s="180"/>
      <c r="AJ24" s="522">
        <f ca="1">IF(AND($D24="Serviço",AJ$12&lt;&gt;0,$H24&gt;0,OR(AUTOEVENTO&lt;&gt;"manual",$M24&lt;&gt;1)),
IF(Import.TipoArredondamento&lt;&gt;"TransfereGOV",
ROUND(OFFSET($P24,0,AJ$13),15-13*ORÇAMENTO!$AF$7)/$H24*OFFSET(ORÇAMENTO!$X$15,ROW(AJ24)-ROW(AJ$15),0),
ROUND(ROUND(OFFSET($P24,0,AJ$13),15-13*ORÇAMENTO!$AF$7)*OFFSET(ORÇAMENTO!$W$15,ROW(AJ24)-ROW(AJ$15),0),15-13*ORÇAMENTO!$AF$11)),0)</f>
        <v>0</v>
      </c>
      <c r="AK24" s="523">
        <f ca="1">IF(AND($D24="Serviço",AK$12&lt;&gt;0,$H24&gt;0,OR(AUTOEVENTO&lt;&gt;"manual",$M24&lt;&gt;1)),
IF(Import.TipoArredondamento&lt;&gt;"TransfereGOV",
ROUND(OFFSET($P24,0,AK$13),15-13*ORÇAMENTO!$AF$7)/$H24*OFFSET(ORÇAMENTO!$X$15,ROW(AK24)-ROW(AK$15),0),
ROUND(ROUND(OFFSET($P24,0,AK$13),15-13*ORÇAMENTO!$AF$7)*OFFSET(ORÇAMENTO!$W$15,ROW(AK24)-ROW(AK$15),0),15-13*ORÇAMENTO!$AF$11)),0)</f>
        <v>0</v>
      </c>
      <c r="AL24" s="523">
        <f ca="1">IF(AND($D24="Serviço",AL$12&lt;&gt;0,$H24&gt;0,OR(AUTOEVENTO&lt;&gt;"manual",$M24&lt;&gt;1)),
IF(Import.TipoArredondamento&lt;&gt;"TransfereGOV",
ROUND(OFFSET($P24,0,AL$13),15-13*ORÇAMENTO!$AF$7)/$H24*OFFSET(ORÇAMENTO!$X$15,ROW(AL24)-ROW(AL$15),0),
ROUND(ROUND(OFFSET($P24,0,AL$13),15-13*ORÇAMENTO!$AF$7)*OFFSET(ORÇAMENTO!$W$15,ROW(AL24)-ROW(AL$15),0),15-13*ORÇAMENTO!$AF$11)),0)</f>
        <v>0</v>
      </c>
      <c r="AM24" s="523">
        <f ca="1">IF(AND($D24="Serviço",AM$12&lt;&gt;0,$H24&gt;0,OR(AUTOEVENTO&lt;&gt;"manual",$M24&lt;&gt;1)),
IF(Import.TipoArredondamento&lt;&gt;"TransfereGOV",
ROUND(OFFSET($P24,0,AM$13),15-13*ORÇAMENTO!$AF$7)/$H24*OFFSET(ORÇAMENTO!$X$15,ROW(AM24)-ROW(AM$15),0),
ROUND(ROUND(OFFSET($P24,0,AM$13),15-13*ORÇAMENTO!$AF$7)*OFFSET(ORÇAMENTO!$W$15,ROW(AM24)-ROW(AM$15),0),15-13*ORÇAMENTO!$AF$11)),0)</f>
        <v>0</v>
      </c>
      <c r="AN24" s="523">
        <f ca="1">IF(AND($D24="Serviço",AN$12&lt;&gt;0,$H24&gt;0,OR(AUTOEVENTO&lt;&gt;"manual",$M24&lt;&gt;1)),
IF(Import.TipoArredondamento&lt;&gt;"TransfereGOV",
ROUND(OFFSET($P24,0,AN$13),15-13*ORÇAMENTO!$AF$7)/$H24*OFFSET(ORÇAMENTO!$X$15,ROW(AN24)-ROW(AN$15),0),
ROUND(ROUND(OFFSET($P24,0,AN$13),15-13*ORÇAMENTO!$AF$7)*OFFSET(ORÇAMENTO!$W$15,ROW(AN24)-ROW(AN$15),0),15-13*ORÇAMENTO!$AF$11)),0)</f>
        <v>0</v>
      </c>
      <c r="AO24" s="523">
        <f ca="1">IF(AND($D24="Serviço",AO$12&lt;&gt;0,$H24&gt;0,OR(AUTOEVENTO&lt;&gt;"manual",$M24&lt;&gt;1)),
IF(Import.TipoArredondamento&lt;&gt;"TransfereGOV",
ROUND(OFFSET($P24,0,AO$13),15-13*ORÇAMENTO!$AF$7)/$H24*OFFSET(ORÇAMENTO!$X$15,ROW(AO24)-ROW(AO$15),0),
ROUND(ROUND(OFFSET($P24,0,AO$13),15-13*ORÇAMENTO!$AF$7)*OFFSET(ORÇAMENTO!$W$15,ROW(AO24)-ROW(AO$15),0),15-13*ORÇAMENTO!$AF$11)),0)</f>
        <v>0</v>
      </c>
      <c r="AP24" s="523">
        <f ca="1">IF(AND($D24="Serviço",AP$12&lt;&gt;0,$H24&gt;0,OR(AUTOEVENTO&lt;&gt;"manual",$M24&lt;&gt;1)),
IF(Import.TipoArredondamento&lt;&gt;"TransfereGOV",
ROUND(OFFSET($P24,0,AP$13),15-13*ORÇAMENTO!$AF$7)/$H24*OFFSET(ORÇAMENTO!$X$15,ROW(AP24)-ROW(AP$15),0),
ROUND(ROUND(OFFSET($P24,0,AP$13),15-13*ORÇAMENTO!$AF$7)*OFFSET(ORÇAMENTO!$W$15,ROW(AP24)-ROW(AP$15),0),15-13*ORÇAMENTO!$AF$11)),0)</f>
        <v>0</v>
      </c>
      <c r="AQ24" s="523">
        <f ca="1">IF(AND($D24="Serviço",AQ$12&lt;&gt;0,$H24&gt;0,OR(AUTOEVENTO&lt;&gt;"manual",$M24&lt;&gt;1)),
IF(Import.TipoArredondamento&lt;&gt;"TransfereGOV",
ROUND(OFFSET($P24,0,AQ$13),15-13*ORÇAMENTO!$AF$7)/$H24*OFFSET(ORÇAMENTO!$X$15,ROW(AQ24)-ROW(AQ$15),0),
ROUND(ROUND(OFFSET($P24,0,AQ$13),15-13*ORÇAMENTO!$AF$7)*OFFSET(ORÇAMENTO!$W$15,ROW(AQ24)-ROW(AQ$15),0),15-13*ORÇAMENTO!$AF$11)),0)</f>
        <v>0</v>
      </c>
      <c r="AR24" s="523">
        <f ca="1">IF(AND($D24="Serviço",AR$12&lt;&gt;0,$H24&gt;0,OR(AUTOEVENTO&lt;&gt;"manual",$M24&lt;&gt;1)),
IF(Import.TipoArredondamento&lt;&gt;"TransfereGOV",
ROUND(OFFSET($P24,0,AR$13),15-13*ORÇAMENTO!$AF$7)/$H24*OFFSET(ORÇAMENTO!$X$15,ROW(AR24)-ROW(AR$15),0),
ROUND(ROUND(OFFSET($P24,0,AR$13),15-13*ORÇAMENTO!$AF$7)*OFFSET(ORÇAMENTO!$W$15,ROW(AR24)-ROW(AR$15),0),15-13*ORÇAMENTO!$AF$11)),0)</f>
        <v>0</v>
      </c>
      <c r="AS24" s="524">
        <f ca="1">IF(AND($D24="Serviço",AS$12&lt;&gt;0,$H24&gt;0,OR(AUTOEVENTO&lt;&gt;"manual",$M24&lt;&gt;1)),
IF(Import.TipoArredondamento&lt;&gt;"TransfereGOV",
ROUND(OFFSET($P24,0,AS$13),15-13*ORÇAMENTO!$AF$7)/$H24*OFFSET(ORÇAMENTO!$X$15,ROW(AS24)-ROW(AS$15),0),
ROUND(ROUND(OFFSET($P24,0,AS$13),15-13*ORÇAMENTO!$AF$7)*OFFSET(ORÇAMENTO!$W$15,ROW(AS24)-ROW(AS$15),0),15-13*ORÇAMENTO!$AF$11)),0)</f>
        <v>0</v>
      </c>
      <c r="AT24" s="523">
        <f ca="1">IF(AND($D24="Serviço",AT$12&lt;&gt;0,$H24&gt;0,OR(AUTOEVENTO&lt;&gt;"manual",$M24&lt;&gt;1)),
IF(Import.TipoArredondamento&lt;&gt;"TransfereGOV",
ROUND(OFFSET($P24,0,AT$13),15-13*ORÇAMENTO!$AF$7)/$H24*OFFSET(ORÇAMENTO!$X$15,ROW(AT24)-ROW(AT$15),0),
ROUND(ROUND(OFFSET($P24,0,AT$13),15-13*ORÇAMENTO!$AF$7)*OFFSET(ORÇAMENTO!$W$15,ROW(AT24)-ROW(AT$15),0),15-13*ORÇAMENTO!$AF$11)),0)</f>
        <v>0</v>
      </c>
      <c r="AU24" s="523">
        <f ca="1">IF(AND($D24="Serviço",AU$12&lt;&gt;0,$H24&gt;0,OR(AUTOEVENTO&lt;&gt;"manual",$M24&lt;&gt;1)),
IF(Import.TipoArredondamento&lt;&gt;"TransfereGOV",
ROUND(OFFSET($P24,0,AU$13),15-13*ORÇAMENTO!$AF$7)/$H24*OFFSET(ORÇAMENTO!$X$15,ROW(AU24)-ROW(AU$15),0),
ROUND(ROUND(OFFSET($P24,0,AU$13),15-13*ORÇAMENTO!$AF$7)*OFFSET(ORÇAMENTO!$W$15,ROW(AU24)-ROW(AU$15),0),15-13*ORÇAMENTO!$AF$11)),0)</f>
        <v>0</v>
      </c>
      <c r="AV24" s="523">
        <f ca="1">IF(AND($D24="Serviço",AV$12&lt;&gt;0,$H24&gt;0,OR(AUTOEVENTO&lt;&gt;"manual",$M24&lt;&gt;1)),
IF(Import.TipoArredondamento&lt;&gt;"TransfereGOV",
ROUND(OFFSET($P24,0,AV$13),15-13*ORÇAMENTO!$AF$7)/$H24*OFFSET(ORÇAMENTO!$X$15,ROW(AV24)-ROW(AV$15),0),
ROUND(ROUND(OFFSET($P24,0,AV$13),15-13*ORÇAMENTO!$AF$7)*OFFSET(ORÇAMENTO!$W$15,ROW(AV24)-ROW(AV$15),0),15-13*ORÇAMENTO!$AF$11)),0)</f>
        <v>0</v>
      </c>
      <c r="AW24" s="523">
        <f ca="1">IF(AND($D24="Serviço",AW$12&lt;&gt;0,$H24&gt;0,OR(AUTOEVENTO&lt;&gt;"manual",$M24&lt;&gt;1)),
IF(Import.TipoArredondamento&lt;&gt;"TransfereGOV",
ROUND(OFFSET($P24,0,AW$13),15-13*ORÇAMENTO!$AF$7)/$H24*OFFSET(ORÇAMENTO!$X$15,ROW(AW24)-ROW(AW$15),0),
ROUND(ROUND(OFFSET($P24,0,AW$13),15-13*ORÇAMENTO!$AF$7)*OFFSET(ORÇAMENTO!$W$15,ROW(AW24)-ROW(AW$15),0),15-13*ORÇAMENTO!$AF$11)),0)</f>
        <v>0</v>
      </c>
      <c r="AX24" s="523">
        <f ca="1">IF(AND($D24="Serviço",AX$12&lt;&gt;0,$H24&gt;0,OR(AUTOEVENTO&lt;&gt;"manual",$M24&lt;&gt;1)),
IF(Import.TipoArredondamento&lt;&gt;"TransfereGOV",
ROUND(OFFSET($P24,0,AX$13),15-13*ORÇAMENTO!$AF$7)/$H24*OFFSET(ORÇAMENTO!$X$15,ROW(AX24)-ROW(AX$15),0),
ROUND(ROUND(OFFSET($P24,0,AX$13),15-13*ORÇAMENTO!$AF$7)*OFFSET(ORÇAMENTO!$W$15,ROW(AX24)-ROW(AX$15),0),15-13*ORÇAMENTO!$AF$11)),0)</f>
        <v>0</v>
      </c>
      <c r="AY24" s="523">
        <f ca="1">IF(AND($D24="Serviço",AY$12&lt;&gt;0,$H24&gt;0,OR(AUTOEVENTO&lt;&gt;"manual",$M24&lt;&gt;1)),
IF(Import.TipoArredondamento&lt;&gt;"TransfereGOV",
ROUND(OFFSET($P24,0,AY$13),15-13*ORÇAMENTO!$AF$7)/$H24*OFFSET(ORÇAMENTO!$X$15,ROW(AY24)-ROW(AY$15),0),
ROUND(ROUND(OFFSET($P24,0,AY$13),15-13*ORÇAMENTO!$AF$7)*OFFSET(ORÇAMENTO!$W$15,ROW(AY24)-ROW(AY$15),0),15-13*ORÇAMENTO!$AF$11)),0)</f>
        <v>0</v>
      </c>
      <c r="AZ24" s="523">
        <f ca="1">IF(AND($D24="Serviço",AZ$12&lt;&gt;0,$H24&gt;0,OR(AUTOEVENTO&lt;&gt;"manual",$M24&lt;&gt;1)),
IF(Import.TipoArredondamento&lt;&gt;"TransfereGOV",
ROUND(OFFSET($P24,0,AZ$13),15-13*ORÇAMENTO!$AF$7)/$H24*OFFSET(ORÇAMENTO!$X$15,ROW(AZ24)-ROW(AZ$15),0),
ROUND(ROUND(OFFSET($P24,0,AZ$13),15-13*ORÇAMENTO!$AF$7)*OFFSET(ORÇAMENTO!$W$15,ROW(AZ24)-ROW(AZ$15),0),15-13*ORÇAMENTO!$AF$11)),0)</f>
        <v>0</v>
      </c>
      <c r="BA24" s="524">
        <f ca="1">IF(AND($D24="Serviço",BA$12&lt;&gt;0,$H24&gt;0,OR(AUTOEVENTO&lt;&gt;"manual",$M24&lt;&gt;1)),
IF(Import.TipoArredondamento&lt;&gt;"TransfereGOV",
ROUND(OFFSET($P24,0,BA$13),15-13*ORÇAMENTO!$AF$7)/$H24*OFFSET(ORÇAMENTO!$X$15,ROW(BA24)-ROW(BA$15),0),
ROUND(ROUND(OFFSET($P24,0,BA$13),15-13*ORÇAMENTO!$AF$7)*OFFSET(ORÇAMENTO!$W$15,ROW(BA24)-ROW(BA$15),0),15-13*ORÇAMENTO!$AF$11)),0)</f>
        <v>0</v>
      </c>
      <c r="BC24" s="181">
        <f ca="1">IF($D24&lt;&gt;"Serviço",0,IF(AND(AUTOEVENTO="Manual",$M24=1),0,IF(OFFSET(CRONOPLE!$F$14,$M24,BC$13)="",10^12,OFFSET(CRONOPLE!$F$14,$M24,BC$13))))</f>
        <v>12</v>
      </c>
      <c r="BD24" s="181">
        <f ca="1">IF($D24&lt;&gt;"Serviço",0,IF(AND(AUTOEVENTO="Manual",$M24=1),0,IF(OFFSET(CRONOPLE!$F$14,$M24,BD$13)="",10^12,OFFSET(CRONOPLE!$F$14,$M24,BD$13))))</f>
        <v>1000000000000</v>
      </c>
      <c r="BE24" s="181">
        <f ca="1">IF($D24&lt;&gt;"Serviço",0,IF(AND(AUTOEVENTO="Manual",$M24=1),0,IF(OFFSET(CRONOPLE!$F$14,$M24,BE$13)="",10^12,OFFSET(CRONOPLE!$F$14,$M24,BE$13))))</f>
        <v>1000000000000</v>
      </c>
      <c r="BF24" s="181">
        <f ca="1">IF($D24&lt;&gt;"Serviço",0,IF(AND(AUTOEVENTO="Manual",$M24=1),0,IF(OFFSET(CRONOPLE!$F$14,$M24,BF$13)="",10^12,OFFSET(CRONOPLE!$F$14,$M24,BF$13))))</f>
        <v>1000000000000</v>
      </c>
      <c r="BG24" s="181">
        <f ca="1">IF($D24&lt;&gt;"Serviço",0,IF(AND(AUTOEVENTO="Manual",$M24=1),0,IF(OFFSET(CRONOPLE!$F$14,$M24,BG$13)="",10^12,OFFSET(CRONOPLE!$F$14,$M24,BG$13))))</f>
        <v>1000000000000</v>
      </c>
      <c r="BH24" s="181">
        <f ca="1">IF($D24&lt;&gt;"Serviço",0,IF(AND(AUTOEVENTO="Manual",$M24=1),0,IF(OFFSET(CRONOPLE!$F$14,$M24,BH$13)="",10^12,OFFSET(CRONOPLE!$F$14,$M24,BH$13))))</f>
        <v>1000000000000</v>
      </c>
      <c r="BI24" s="181">
        <f ca="1">IF($D24&lt;&gt;"Serviço",0,IF(AND(AUTOEVENTO="Manual",$M24=1),0,IF(OFFSET(CRONOPLE!$F$14,$M24,BI$13)="",10^12,OFFSET(CRONOPLE!$F$14,$M24,BI$13))))</f>
        <v>1000000000000</v>
      </c>
      <c r="BJ24" s="181">
        <f ca="1">IF($D24&lt;&gt;"Serviço",0,IF(AND(AUTOEVENTO="Manual",$M24=1),0,IF(OFFSET(CRONOPLE!$F$14,$M24,BJ$13)="",10^12,OFFSET(CRONOPLE!$F$14,$M24,BJ$13))))</f>
        <v>1000000000000</v>
      </c>
      <c r="BK24" s="181">
        <f ca="1">IF($D24&lt;&gt;"Serviço",0,IF(AND(AUTOEVENTO="Manual",$M24=1),0,IF(OFFSET(CRONOPLE!$F$14,$M24,BK$13)="",10^12,OFFSET(CRONOPLE!$F$14,$M24,BK$13))))</f>
        <v>1000000000000</v>
      </c>
      <c r="BL24" s="181">
        <f ca="1">IF($D24&lt;&gt;"Serviço",0,IF(AND(AUTOEVENTO="Manual",$M24=1),0,IF(OFFSET(CRONOPLE!$F$14,$M24,BL$13)="",10^12,OFFSET(CRONOPLE!$F$14,$M24,BL$13))))</f>
        <v>1000000000000</v>
      </c>
      <c r="BM24" s="181">
        <f ca="1">IF($D24&lt;&gt;"Serviço",0,IF(AND(AUTOEVENTO="Manual",$M24=1),0,IF(OFFSET(CRONOPLE!$F$14,$M24,BM$13)="",10^12,OFFSET(CRONOPLE!$F$14,$M24,BM$13))))</f>
        <v>1000000000000</v>
      </c>
      <c r="BN24" s="181">
        <f ca="1">IF($D24&lt;&gt;"Serviço",0,IF(AND(AUTOEVENTO="Manual",$M24=1),0,IF(OFFSET(CRONOPLE!$F$14,$M24,BN$13)="",10^12,OFFSET(CRONOPLE!$F$14,$M24,BN$13))))</f>
        <v>1000000000000</v>
      </c>
      <c r="BO24" s="181">
        <f ca="1">IF($D24&lt;&gt;"Serviço",0,IF(AND(AUTOEVENTO="Manual",$M24=1),0,IF(OFFSET(CRONOPLE!$F$14,$M24,BO$13)="",10^12,OFFSET(CRONOPLE!$F$14,$M24,BO$13))))</f>
        <v>1000000000000</v>
      </c>
      <c r="BP24" s="181">
        <f ca="1">IF($D24&lt;&gt;"Serviço",0,IF(AND(AUTOEVENTO="Manual",$M24=1),0,IF(OFFSET(CRONOPLE!$F$14,$M24,BP$13)="",10^12,OFFSET(CRONOPLE!$F$14,$M24,BP$13))))</f>
        <v>1000000000000</v>
      </c>
      <c r="BQ24" s="181">
        <f ca="1">IF($D24&lt;&gt;"Serviço",0,IF(AND(AUTOEVENTO="Manual",$M24=1),0,IF(OFFSET(CRONOPLE!$F$14,$M24,BQ$13)="",10^12,OFFSET(CRONOPLE!$F$14,$M24,BQ$13))))</f>
        <v>1000000000000</v>
      </c>
      <c r="BR24" s="181">
        <f ca="1">IF($D24&lt;&gt;"Serviço",0,IF(AND(AUTOEVENTO="Manual",$M24=1),0,IF(OFFSET(CRONOPLE!$F$14,$M24,BR$13)="",10^12,OFFSET(CRONOPLE!$F$14,$M24,BR$13))))</f>
        <v>1000000000000</v>
      </c>
      <c r="BS24" s="181">
        <f ca="1">IF($D24&lt;&gt;"Serviço",0,IF(AND(AUTOEVENTO="Manual",$M24=1),0,IF(OFFSET(CRONOPLE!$F$14,$M24,BS$13)="",10^12,OFFSET(CRONOPLE!$F$14,$M24,BS$13))))</f>
        <v>1000000000000</v>
      </c>
      <c r="BT24" s="181">
        <f ca="1">IF($D24&lt;&gt;"Serviço",0,IF(AND(AUTOEVENTO="Manual",$M24=1),0,IF(OFFSET(CRONOPLE!$F$14,$M24,BT$13)="",10^12,OFFSET(CRONOPLE!$F$14,$M24,BT$13))))</f>
        <v>1000000000000</v>
      </c>
      <c r="BV24" s="182">
        <f ca="1">IF($D24&lt;&gt;"Serviço",0,IF(OR(AND(AUTOEVENTO="Manual",$M24=1),$M24&gt;(ROW(PLE.lastrow)-ROW(PLE.firstrow))),0,IF(OFFSET(PLE!$G$14,$M24,BV$13)="",10^12,OFFSET(PLE!$G$14,$M24,BV$13))))</f>
        <v>1000000000000</v>
      </c>
      <c r="BW24" s="182">
        <f ca="1">IF($D24&lt;&gt;"Serviço",0,IF(OR(AND(AUTOEVENTO="Manual",$M24=1),$M24&gt;(ROW(PLE.lastrow)-ROW(PLE.firstrow))),0,IF(OFFSET(PLE!$G$14,$M24,BW$13)="",10^12,OFFSET(PLE!$G$14,$M24,BW$13))))</f>
        <v>1000000000000</v>
      </c>
      <c r="BX24" s="182">
        <f ca="1">IF($D24&lt;&gt;"Serviço",0,IF(OR(AND(AUTOEVENTO="Manual",$M24=1),$M24&gt;(ROW(PLE.lastrow)-ROW(PLE.firstrow))),0,IF(OFFSET(PLE!$G$14,$M24,BX$13)="",10^12,OFFSET(PLE!$G$14,$M24,BX$13))))</f>
        <v>1000000000000</v>
      </c>
      <c r="BY24" s="182">
        <f ca="1">IF($D24&lt;&gt;"Serviço",0,IF(OR(AND(AUTOEVENTO="Manual",$M24=1),$M24&gt;(ROW(PLE.lastrow)-ROW(PLE.firstrow))),0,IF(OFFSET(PLE!$G$14,$M24,BY$13)="",10^12,OFFSET(PLE!$G$14,$M24,BY$13))))</f>
        <v>1000000000000</v>
      </c>
      <c r="BZ24" s="182">
        <f ca="1">IF($D24&lt;&gt;"Serviço",0,IF(OR(AND(AUTOEVENTO="Manual",$M24=1),$M24&gt;(ROW(PLE.lastrow)-ROW(PLE.firstrow))),0,IF(OFFSET(PLE!$G$14,$M24,BZ$13)="",10^12,OFFSET(PLE!$G$14,$M24,BZ$13))))</f>
        <v>1000000000000</v>
      </c>
      <c r="CA24" s="182">
        <f ca="1">IF($D24&lt;&gt;"Serviço",0,IF(OR(AND(AUTOEVENTO="Manual",$M24=1),$M24&gt;(ROW(PLE.lastrow)-ROW(PLE.firstrow))),0,IF(OFFSET(PLE!$G$14,$M24,CA$13)="",10^12,OFFSET(PLE!$G$14,$M24,CA$13))))</f>
        <v>1000000000000</v>
      </c>
      <c r="CB24" s="182">
        <f ca="1">IF($D24&lt;&gt;"Serviço",0,IF(OR(AND(AUTOEVENTO="Manual",$M24=1),$M24&gt;(ROW(PLE.lastrow)-ROW(PLE.firstrow))),0,IF(OFFSET(PLE!$G$14,$M24,CB$13)="",10^12,OFFSET(PLE!$G$14,$M24,CB$13))))</f>
        <v>1000000000000</v>
      </c>
      <c r="CC24" s="182">
        <f ca="1">IF($D24&lt;&gt;"Serviço",0,IF(OR(AND(AUTOEVENTO="Manual",$M24=1),$M24&gt;(ROW(PLE.lastrow)-ROW(PLE.firstrow))),0,IF(OFFSET(PLE!$G$14,$M24,CC$13)="",10^12,OFFSET(PLE!$G$14,$M24,CC$13))))</f>
        <v>1000000000000</v>
      </c>
      <c r="CD24" s="182">
        <f ca="1">IF($D24&lt;&gt;"Serviço",0,IF(OR(AND(AUTOEVENTO="Manual",$M24=1),$M24&gt;(ROW(PLE.lastrow)-ROW(PLE.firstrow))),0,IF(OFFSET(PLE!$G$14,$M24,CD$13)="",10^12,OFFSET(PLE!$G$14,$M24,CD$13))))</f>
        <v>1000000000000</v>
      </c>
      <c r="CE24" s="182">
        <f ca="1">IF($D24&lt;&gt;"Serviço",0,IF(OR(AND(AUTOEVENTO="Manual",$M24=1),$M24&gt;(ROW(PLE.lastrow)-ROW(PLE.firstrow))),0,IF(OFFSET(PLE!$G$14,$M24,CE$13)="",10^12,OFFSET(PLE!$G$14,$M24,CE$13))))</f>
        <v>1000000000000</v>
      </c>
      <c r="CF24" s="182">
        <f ca="1">IF($D24&lt;&gt;"Serviço",0,IF(OR(AND(AUTOEVENTO="Manual",$M24=1),$M24&gt;(ROW(PLE.lastrow)-ROW(PLE.firstrow))),0,IF(OFFSET(PLE!$G$14,$M24,CF$13)="",10^12,OFFSET(PLE!$G$14,$M24,CF$13))))</f>
        <v>1000000000000</v>
      </c>
      <c r="CG24" s="182">
        <f ca="1">IF($D24&lt;&gt;"Serviço",0,IF(OR(AND(AUTOEVENTO="Manual",$M24=1),$M24&gt;(ROW(PLE.lastrow)-ROW(PLE.firstrow))),0,IF(OFFSET(PLE!$G$14,$M24,CG$13)="",10^12,OFFSET(PLE!$G$14,$M24,CG$13))))</f>
        <v>1000000000000</v>
      </c>
      <c r="CH24" s="182">
        <f ca="1">IF($D24&lt;&gt;"Serviço",0,IF(OR(AND(AUTOEVENTO="Manual",$M24=1),$M24&gt;(ROW(PLE.lastrow)-ROW(PLE.firstrow))),0,IF(OFFSET(PLE!$G$14,$M24,CH$13)="",10^12,OFFSET(PLE!$G$14,$M24,CH$13))))</f>
        <v>1000000000000</v>
      </c>
      <c r="CI24" s="182">
        <f ca="1">IF($D24&lt;&gt;"Serviço",0,IF(OR(AND(AUTOEVENTO="Manual",$M24=1),$M24&gt;(ROW(PLE.lastrow)-ROW(PLE.firstrow))),0,IF(OFFSET(PLE!$G$14,$M24,CI$13)="",10^12,OFFSET(PLE!$G$14,$M24,CI$13))))</f>
        <v>1000000000000</v>
      </c>
      <c r="CJ24" s="182">
        <f ca="1">IF($D24&lt;&gt;"Serviço",0,IF(OR(AND(AUTOEVENTO="Manual",$M24=1),$M24&gt;(ROW(PLE.lastrow)-ROW(PLE.firstrow))),0,IF(OFFSET(PLE!$G$14,$M24,CJ$13)="",10^12,OFFSET(PLE!$G$14,$M24,CJ$13))))</f>
        <v>1000000000000</v>
      </c>
      <c r="CK24" s="182">
        <f ca="1">IF($D24&lt;&gt;"Serviço",0,IF(OR(AND(AUTOEVENTO="Manual",$M24=1),$M24&gt;(ROW(PLE.lastrow)-ROW(PLE.firstrow))),0,IF(OFFSET(PLE!$G$14,$M24,CK$13)="",10^12,OFFSET(PLE!$G$14,$M24,CK$13))))</f>
        <v>1000000000000</v>
      </c>
      <c r="CL24" s="182">
        <f ca="1">IF($D24&lt;&gt;"Serviço",0,IF(OR(AND(AUTOEVENTO="Manual",$M24=1),$M24&gt;(ROW(PLE.lastrow)-ROW(PLE.firstrow))),0,IF(OFFSET(PLE!$G$14,$M24,CL$13)="",10^12,OFFSET(PLE!$G$14,$M24,CL$13))))</f>
        <v>1000000000000</v>
      </c>
      <c r="CM24" s="182">
        <f ca="1">IF($D24&lt;&gt;"Serviço",0,IF(OR(AND(AUTOEVENTO="Manual",$M24=1),$M24&gt;(ROW(PLE.lastrow)-ROW(PLE.firstrow))),0,IF(OFFSET(PLE!$G$14,$M24,CM$13)="",10^12,OFFSET(PLE!$G$14,$M24,CM$13))))</f>
        <v>1000000000000</v>
      </c>
    </row>
    <row r="25" spans="1:91" ht="38.25" x14ac:dyDescent="0.2">
      <c r="A25" s="7" t="str">
        <f t="shared" ca="1" si="9"/>
        <v>2</v>
      </c>
      <c r="B25" s="7" t="str">
        <f ca="1">OFFSET(ORÇAMENTO!C$15,ROW(B25)-ROW(B$15),0)</f>
        <v>S</v>
      </c>
      <c r="C25" s="7" t="str">
        <f ca="1">OFFSET(ORÇAMENTO!L$15,ROW(C25)-ROW(C$15),0)</f>
        <v/>
      </c>
      <c r="D25" s="118" t="str">
        <f ca="1">OFFSET(ORÇAMENTO!N$15,ROW(D25)-ROW(D$15),0)</f>
        <v>Serviço</v>
      </c>
      <c r="E25" s="119" t="str">
        <f ca="1">OFFSET(ORÇAMENTO!O$15,ROW(E25)-ROW(E$15),0)</f>
        <v>-</v>
      </c>
      <c r="F25" s="172" t="str">
        <f ca="1">OFFSET(ORÇAMENTO!R$15,ROW(F25)-ROW(F$15),0)</f>
        <v>(abra o arquivo 'Referência 03-Sunday.xlsm)</v>
      </c>
      <c r="G25" s="173" t="str">
        <f ca="1">IF($D25&lt;&gt;"Serviço","",OFFSET(ORÇAMENTO!S$15,ROW(G25)-ROW(G$15),0))</f>
        <v>-</v>
      </c>
      <c r="H25" s="124">
        <f ca="1">IF($D25&lt;&gt;"Serviço",0,IF(ACOMPANHAMENTO="BM",ROUND(OFFSET(ORÇAMENTO!AJ$15,ROW(H25)-ROW(H$15),0),15-13*ORÇAMENTO!$AF$7),SUMPRODUCT(($Q$12:$AI$12&lt;&gt;"")*ROUND($Q25:$AI25,15-13*ORÇAMENTO!$AF$7))))</f>
        <v>1200</v>
      </c>
      <c r="I25" s="539" t="s">
        <v>511</v>
      </c>
      <c r="K25" s="174"/>
      <c r="L25" s="175" t="s">
        <v>254</v>
      </c>
      <c r="M25" s="176">
        <f ca="1">IF($D25&lt;&gt;"Serviço","",IF(AUTOEVENTO="manual",$A25,IF(ISERROR(MATCH($A25,$A$15:OFFSET($A25,-1,0),0)),MAX($M$15:OFFSET(M25,-1,0))+1,INDEX($M$15:OFFSET(M25,-1,0),MATCH($A25,$A$15:OFFSET($A25,-1,0),0)))))</f>
        <v>2</v>
      </c>
      <c r="N25" s="177" t="str">
        <f ca="1">IF($D25&lt;&gt;"Serviço","",IF(AUTOEVENTO="Manual",IF($A25=0,"&lt;-- defina o número do agrupador",OFFSET(EVENTOS!$D$14,$A25,0)),OFFSET($F$15,$A25,0)))</f>
        <v>Lote 01  - Manutenção e Reparos Abrigos Passagerios Onibus e Táxi</v>
      </c>
      <c r="O25" s="178"/>
      <c r="Q25" s="178">
        <f>100*12</f>
        <v>1200</v>
      </c>
      <c r="R25" s="179"/>
      <c r="S25" s="179"/>
      <c r="T25" s="179"/>
      <c r="U25" s="179"/>
      <c r="V25" s="179"/>
      <c r="W25" s="179"/>
      <c r="X25" s="179"/>
      <c r="Y25" s="179"/>
      <c r="Z25" s="180"/>
      <c r="AA25" s="179"/>
      <c r="AB25" s="179"/>
      <c r="AC25" s="179"/>
      <c r="AD25" s="179"/>
      <c r="AE25" s="179"/>
      <c r="AF25" s="179"/>
      <c r="AG25" s="179"/>
      <c r="AH25" s="180"/>
      <c r="AJ25" s="522">
        <f ca="1">IF(AND($D25="Serviço",AJ$12&lt;&gt;0,$H25&gt;0,OR(AUTOEVENTO&lt;&gt;"manual",$M25&lt;&gt;1)),
IF(Import.TipoArredondamento&lt;&gt;"TransfereGOV",
ROUND(OFFSET($P25,0,AJ$13),15-13*ORÇAMENTO!$AF$7)/$H25*OFFSET(ORÇAMENTO!$X$15,ROW(AJ25)-ROW(AJ$15),0),
ROUND(ROUND(OFFSET($P25,0,AJ$13),15-13*ORÇAMENTO!$AF$7)*OFFSET(ORÇAMENTO!$W$15,ROW(AJ25)-ROW(AJ$15),0),15-13*ORÇAMENTO!$AF$11)),0)</f>
        <v>0</v>
      </c>
      <c r="AK25" s="523">
        <f ca="1">IF(AND($D25="Serviço",AK$12&lt;&gt;0,$H25&gt;0,OR(AUTOEVENTO&lt;&gt;"manual",$M25&lt;&gt;1)),
IF(Import.TipoArredondamento&lt;&gt;"TransfereGOV",
ROUND(OFFSET($P25,0,AK$13),15-13*ORÇAMENTO!$AF$7)/$H25*OFFSET(ORÇAMENTO!$X$15,ROW(AK25)-ROW(AK$15),0),
ROUND(ROUND(OFFSET($P25,0,AK$13),15-13*ORÇAMENTO!$AF$7)*OFFSET(ORÇAMENTO!$W$15,ROW(AK25)-ROW(AK$15),0),15-13*ORÇAMENTO!$AF$11)),0)</f>
        <v>0</v>
      </c>
      <c r="AL25" s="523">
        <f ca="1">IF(AND($D25="Serviço",AL$12&lt;&gt;0,$H25&gt;0,OR(AUTOEVENTO&lt;&gt;"manual",$M25&lt;&gt;1)),
IF(Import.TipoArredondamento&lt;&gt;"TransfereGOV",
ROUND(OFFSET($P25,0,AL$13),15-13*ORÇAMENTO!$AF$7)/$H25*OFFSET(ORÇAMENTO!$X$15,ROW(AL25)-ROW(AL$15),0),
ROUND(ROUND(OFFSET($P25,0,AL$13),15-13*ORÇAMENTO!$AF$7)*OFFSET(ORÇAMENTO!$W$15,ROW(AL25)-ROW(AL$15),0),15-13*ORÇAMENTO!$AF$11)),0)</f>
        <v>0</v>
      </c>
      <c r="AM25" s="523">
        <f ca="1">IF(AND($D25="Serviço",AM$12&lt;&gt;0,$H25&gt;0,OR(AUTOEVENTO&lt;&gt;"manual",$M25&lt;&gt;1)),
IF(Import.TipoArredondamento&lt;&gt;"TransfereGOV",
ROUND(OFFSET($P25,0,AM$13),15-13*ORÇAMENTO!$AF$7)/$H25*OFFSET(ORÇAMENTO!$X$15,ROW(AM25)-ROW(AM$15),0),
ROUND(ROUND(OFFSET($P25,0,AM$13),15-13*ORÇAMENTO!$AF$7)*OFFSET(ORÇAMENTO!$W$15,ROW(AM25)-ROW(AM$15),0),15-13*ORÇAMENTO!$AF$11)),0)</f>
        <v>0</v>
      </c>
      <c r="AN25" s="523">
        <f ca="1">IF(AND($D25="Serviço",AN$12&lt;&gt;0,$H25&gt;0,OR(AUTOEVENTO&lt;&gt;"manual",$M25&lt;&gt;1)),
IF(Import.TipoArredondamento&lt;&gt;"TransfereGOV",
ROUND(OFFSET($P25,0,AN$13),15-13*ORÇAMENTO!$AF$7)/$H25*OFFSET(ORÇAMENTO!$X$15,ROW(AN25)-ROW(AN$15),0),
ROUND(ROUND(OFFSET($P25,0,AN$13),15-13*ORÇAMENTO!$AF$7)*OFFSET(ORÇAMENTO!$W$15,ROW(AN25)-ROW(AN$15),0),15-13*ORÇAMENTO!$AF$11)),0)</f>
        <v>0</v>
      </c>
      <c r="AO25" s="523">
        <f ca="1">IF(AND($D25="Serviço",AO$12&lt;&gt;0,$H25&gt;0,OR(AUTOEVENTO&lt;&gt;"manual",$M25&lt;&gt;1)),
IF(Import.TipoArredondamento&lt;&gt;"TransfereGOV",
ROUND(OFFSET($P25,0,AO$13),15-13*ORÇAMENTO!$AF$7)/$H25*OFFSET(ORÇAMENTO!$X$15,ROW(AO25)-ROW(AO$15),0),
ROUND(ROUND(OFFSET($P25,0,AO$13),15-13*ORÇAMENTO!$AF$7)*OFFSET(ORÇAMENTO!$W$15,ROW(AO25)-ROW(AO$15),0),15-13*ORÇAMENTO!$AF$11)),0)</f>
        <v>0</v>
      </c>
      <c r="AP25" s="523">
        <f ca="1">IF(AND($D25="Serviço",AP$12&lt;&gt;0,$H25&gt;0,OR(AUTOEVENTO&lt;&gt;"manual",$M25&lt;&gt;1)),
IF(Import.TipoArredondamento&lt;&gt;"TransfereGOV",
ROUND(OFFSET($P25,0,AP$13),15-13*ORÇAMENTO!$AF$7)/$H25*OFFSET(ORÇAMENTO!$X$15,ROW(AP25)-ROW(AP$15),0),
ROUND(ROUND(OFFSET($P25,0,AP$13),15-13*ORÇAMENTO!$AF$7)*OFFSET(ORÇAMENTO!$W$15,ROW(AP25)-ROW(AP$15),0),15-13*ORÇAMENTO!$AF$11)),0)</f>
        <v>0</v>
      </c>
      <c r="AQ25" s="523">
        <f ca="1">IF(AND($D25="Serviço",AQ$12&lt;&gt;0,$H25&gt;0,OR(AUTOEVENTO&lt;&gt;"manual",$M25&lt;&gt;1)),
IF(Import.TipoArredondamento&lt;&gt;"TransfereGOV",
ROUND(OFFSET($P25,0,AQ$13),15-13*ORÇAMENTO!$AF$7)/$H25*OFFSET(ORÇAMENTO!$X$15,ROW(AQ25)-ROW(AQ$15),0),
ROUND(ROUND(OFFSET($P25,0,AQ$13),15-13*ORÇAMENTO!$AF$7)*OFFSET(ORÇAMENTO!$W$15,ROW(AQ25)-ROW(AQ$15),0),15-13*ORÇAMENTO!$AF$11)),0)</f>
        <v>0</v>
      </c>
      <c r="AR25" s="523">
        <f ca="1">IF(AND($D25="Serviço",AR$12&lt;&gt;0,$H25&gt;0,OR(AUTOEVENTO&lt;&gt;"manual",$M25&lt;&gt;1)),
IF(Import.TipoArredondamento&lt;&gt;"TransfereGOV",
ROUND(OFFSET($P25,0,AR$13),15-13*ORÇAMENTO!$AF$7)/$H25*OFFSET(ORÇAMENTO!$X$15,ROW(AR25)-ROW(AR$15),0),
ROUND(ROUND(OFFSET($P25,0,AR$13),15-13*ORÇAMENTO!$AF$7)*OFFSET(ORÇAMENTO!$W$15,ROW(AR25)-ROW(AR$15),0),15-13*ORÇAMENTO!$AF$11)),0)</f>
        <v>0</v>
      </c>
      <c r="AS25" s="524">
        <f ca="1">IF(AND($D25="Serviço",AS$12&lt;&gt;0,$H25&gt;0,OR(AUTOEVENTO&lt;&gt;"manual",$M25&lt;&gt;1)),
IF(Import.TipoArredondamento&lt;&gt;"TransfereGOV",
ROUND(OFFSET($P25,0,AS$13),15-13*ORÇAMENTO!$AF$7)/$H25*OFFSET(ORÇAMENTO!$X$15,ROW(AS25)-ROW(AS$15),0),
ROUND(ROUND(OFFSET($P25,0,AS$13),15-13*ORÇAMENTO!$AF$7)*OFFSET(ORÇAMENTO!$W$15,ROW(AS25)-ROW(AS$15),0),15-13*ORÇAMENTO!$AF$11)),0)</f>
        <v>0</v>
      </c>
      <c r="AT25" s="523">
        <f ca="1">IF(AND($D25="Serviço",AT$12&lt;&gt;0,$H25&gt;0,OR(AUTOEVENTO&lt;&gt;"manual",$M25&lt;&gt;1)),
IF(Import.TipoArredondamento&lt;&gt;"TransfereGOV",
ROUND(OFFSET($P25,0,AT$13),15-13*ORÇAMENTO!$AF$7)/$H25*OFFSET(ORÇAMENTO!$X$15,ROW(AT25)-ROW(AT$15),0),
ROUND(ROUND(OFFSET($P25,0,AT$13),15-13*ORÇAMENTO!$AF$7)*OFFSET(ORÇAMENTO!$W$15,ROW(AT25)-ROW(AT$15),0),15-13*ORÇAMENTO!$AF$11)),0)</f>
        <v>0</v>
      </c>
      <c r="AU25" s="523">
        <f ca="1">IF(AND($D25="Serviço",AU$12&lt;&gt;0,$H25&gt;0,OR(AUTOEVENTO&lt;&gt;"manual",$M25&lt;&gt;1)),
IF(Import.TipoArredondamento&lt;&gt;"TransfereGOV",
ROUND(OFFSET($P25,0,AU$13),15-13*ORÇAMENTO!$AF$7)/$H25*OFFSET(ORÇAMENTO!$X$15,ROW(AU25)-ROW(AU$15),0),
ROUND(ROUND(OFFSET($P25,0,AU$13),15-13*ORÇAMENTO!$AF$7)*OFFSET(ORÇAMENTO!$W$15,ROW(AU25)-ROW(AU$15),0),15-13*ORÇAMENTO!$AF$11)),0)</f>
        <v>0</v>
      </c>
      <c r="AV25" s="523">
        <f ca="1">IF(AND($D25="Serviço",AV$12&lt;&gt;0,$H25&gt;0,OR(AUTOEVENTO&lt;&gt;"manual",$M25&lt;&gt;1)),
IF(Import.TipoArredondamento&lt;&gt;"TransfereGOV",
ROUND(OFFSET($P25,0,AV$13),15-13*ORÇAMENTO!$AF$7)/$H25*OFFSET(ORÇAMENTO!$X$15,ROW(AV25)-ROW(AV$15),0),
ROUND(ROUND(OFFSET($P25,0,AV$13),15-13*ORÇAMENTO!$AF$7)*OFFSET(ORÇAMENTO!$W$15,ROW(AV25)-ROW(AV$15),0),15-13*ORÇAMENTO!$AF$11)),0)</f>
        <v>0</v>
      </c>
      <c r="AW25" s="523">
        <f ca="1">IF(AND($D25="Serviço",AW$12&lt;&gt;0,$H25&gt;0,OR(AUTOEVENTO&lt;&gt;"manual",$M25&lt;&gt;1)),
IF(Import.TipoArredondamento&lt;&gt;"TransfereGOV",
ROUND(OFFSET($P25,0,AW$13),15-13*ORÇAMENTO!$AF$7)/$H25*OFFSET(ORÇAMENTO!$X$15,ROW(AW25)-ROW(AW$15),0),
ROUND(ROUND(OFFSET($P25,0,AW$13),15-13*ORÇAMENTO!$AF$7)*OFFSET(ORÇAMENTO!$W$15,ROW(AW25)-ROW(AW$15),0),15-13*ORÇAMENTO!$AF$11)),0)</f>
        <v>0</v>
      </c>
      <c r="AX25" s="523">
        <f ca="1">IF(AND($D25="Serviço",AX$12&lt;&gt;0,$H25&gt;0,OR(AUTOEVENTO&lt;&gt;"manual",$M25&lt;&gt;1)),
IF(Import.TipoArredondamento&lt;&gt;"TransfereGOV",
ROUND(OFFSET($P25,0,AX$13),15-13*ORÇAMENTO!$AF$7)/$H25*OFFSET(ORÇAMENTO!$X$15,ROW(AX25)-ROW(AX$15),0),
ROUND(ROUND(OFFSET($P25,0,AX$13),15-13*ORÇAMENTO!$AF$7)*OFFSET(ORÇAMENTO!$W$15,ROW(AX25)-ROW(AX$15),0),15-13*ORÇAMENTO!$AF$11)),0)</f>
        <v>0</v>
      </c>
      <c r="AY25" s="523">
        <f ca="1">IF(AND($D25="Serviço",AY$12&lt;&gt;0,$H25&gt;0,OR(AUTOEVENTO&lt;&gt;"manual",$M25&lt;&gt;1)),
IF(Import.TipoArredondamento&lt;&gt;"TransfereGOV",
ROUND(OFFSET($P25,0,AY$13),15-13*ORÇAMENTO!$AF$7)/$H25*OFFSET(ORÇAMENTO!$X$15,ROW(AY25)-ROW(AY$15),0),
ROUND(ROUND(OFFSET($P25,0,AY$13),15-13*ORÇAMENTO!$AF$7)*OFFSET(ORÇAMENTO!$W$15,ROW(AY25)-ROW(AY$15),0),15-13*ORÇAMENTO!$AF$11)),0)</f>
        <v>0</v>
      </c>
      <c r="AZ25" s="523">
        <f ca="1">IF(AND($D25="Serviço",AZ$12&lt;&gt;0,$H25&gt;0,OR(AUTOEVENTO&lt;&gt;"manual",$M25&lt;&gt;1)),
IF(Import.TipoArredondamento&lt;&gt;"TransfereGOV",
ROUND(OFFSET($P25,0,AZ$13),15-13*ORÇAMENTO!$AF$7)/$H25*OFFSET(ORÇAMENTO!$X$15,ROW(AZ25)-ROW(AZ$15),0),
ROUND(ROUND(OFFSET($P25,0,AZ$13),15-13*ORÇAMENTO!$AF$7)*OFFSET(ORÇAMENTO!$W$15,ROW(AZ25)-ROW(AZ$15),0),15-13*ORÇAMENTO!$AF$11)),0)</f>
        <v>0</v>
      </c>
      <c r="BA25" s="524">
        <f ca="1">IF(AND($D25="Serviço",BA$12&lt;&gt;0,$H25&gt;0,OR(AUTOEVENTO&lt;&gt;"manual",$M25&lt;&gt;1)),
IF(Import.TipoArredondamento&lt;&gt;"TransfereGOV",
ROUND(OFFSET($P25,0,BA$13),15-13*ORÇAMENTO!$AF$7)/$H25*OFFSET(ORÇAMENTO!$X$15,ROW(BA25)-ROW(BA$15),0),
ROUND(ROUND(OFFSET($P25,0,BA$13),15-13*ORÇAMENTO!$AF$7)*OFFSET(ORÇAMENTO!$W$15,ROW(BA25)-ROW(BA$15),0),15-13*ORÇAMENTO!$AF$11)),0)</f>
        <v>0</v>
      </c>
      <c r="BC25" s="181">
        <f ca="1">IF($D25&lt;&gt;"Serviço",0,IF(AND(AUTOEVENTO="Manual",$M25=1),0,IF(OFFSET(CRONOPLE!$F$14,$M25,BC$13)="",10^12,OFFSET(CRONOPLE!$F$14,$M25,BC$13))))</f>
        <v>12</v>
      </c>
      <c r="BD25" s="181">
        <f ca="1">IF($D25&lt;&gt;"Serviço",0,IF(AND(AUTOEVENTO="Manual",$M25=1),0,IF(OFFSET(CRONOPLE!$F$14,$M25,BD$13)="",10^12,OFFSET(CRONOPLE!$F$14,$M25,BD$13))))</f>
        <v>1000000000000</v>
      </c>
      <c r="BE25" s="181">
        <f ca="1">IF($D25&lt;&gt;"Serviço",0,IF(AND(AUTOEVENTO="Manual",$M25=1),0,IF(OFFSET(CRONOPLE!$F$14,$M25,BE$13)="",10^12,OFFSET(CRONOPLE!$F$14,$M25,BE$13))))</f>
        <v>1000000000000</v>
      </c>
      <c r="BF25" s="181">
        <f ca="1">IF($D25&lt;&gt;"Serviço",0,IF(AND(AUTOEVENTO="Manual",$M25=1),0,IF(OFFSET(CRONOPLE!$F$14,$M25,BF$13)="",10^12,OFFSET(CRONOPLE!$F$14,$M25,BF$13))))</f>
        <v>1000000000000</v>
      </c>
      <c r="BG25" s="181">
        <f ca="1">IF($D25&lt;&gt;"Serviço",0,IF(AND(AUTOEVENTO="Manual",$M25=1),0,IF(OFFSET(CRONOPLE!$F$14,$M25,BG$13)="",10^12,OFFSET(CRONOPLE!$F$14,$M25,BG$13))))</f>
        <v>1000000000000</v>
      </c>
      <c r="BH25" s="181">
        <f ca="1">IF($D25&lt;&gt;"Serviço",0,IF(AND(AUTOEVENTO="Manual",$M25=1),0,IF(OFFSET(CRONOPLE!$F$14,$M25,BH$13)="",10^12,OFFSET(CRONOPLE!$F$14,$M25,BH$13))))</f>
        <v>1000000000000</v>
      </c>
      <c r="BI25" s="181">
        <f ca="1">IF($D25&lt;&gt;"Serviço",0,IF(AND(AUTOEVENTO="Manual",$M25=1),0,IF(OFFSET(CRONOPLE!$F$14,$M25,BI$13)="",10^12,OFFSET(CRONOPLE!$F$14,$M25,BI$13))))</f>
        <v>1000000000000</v>
      </c>
      <c r="BJ25" s="181">
        <f ca="1">IF($D25&lt;&gt;"Serviço",0,IF(AND(AUTOEVENTO="Manual",$M25=1),0,IF(OFFSET(CRONOPLE!$F$14,$M25,BJ$13)="",10^12,OFFSET(CRONOPLE!$F$14,$M25,BJ$13))))</f>
        <v>1000000000000</v>
      </c>
      <c r="BK25" s="181">
        <f ca="1">IF($D25&lt;&gt;"Serviço",0,IF(AND(AUTOEVENTO="Manual",$M25=1),0,IF(OFFSET(CRONOPLE!$F$14,$M25,BK$13)="",10^12,OFFSET(CRONOPLE!$F$14,$M25,BK$13))))</f>
        <v>1000000000000</v>
      </c>
      <c r="BL25" s="181">
        <f ca="1">IF($D25&lt;&gt;"Serviço",0,IF(AND(AUTOEVENTO="Manual",$M25=1),0,IF(OFFSET(CRONOPLE!$F$14,$M25,BL$13)="",10^12,OFFSET(CRONOPLE!$F$14,$M25,BL$13))))</f>
        <v>1000000000000</v>
      </c>
      <c r="BM25" s="181">
        <f ca="1">IF($D25&lt;&gt;"Serviço",0,IF(AND(AUTOEVENTO="Manual",$M25=1),0,IF(OFFSET(CRONOPLE!$F$14,$M25,BM$13)="",10^12,OFFSET(CRONOPLE!$F$14,$M25,BM$13))))</f>
        <v>1000000000000</v>
      </c>
      <c r="BN25" s="181">
        <f ca="1">IF($D25&lt;&gt;"Serviço",0,IF(AND(AUTOEVENTO="Manual",$M25=1),0,IF(OFFSET(CRONOPLE!$F$14,$M25,BN$13)="",10^12,OFFSET(CRONOPLE!$F$14,$M25,BN$13))))</f>
        <v>1000000000000</v>
      </c>
      <c r="BO25" s="181">
        <f ca="1">IF($D25&lt;&gt;"Serviço",0,IF(AND(AUTOEVENTO="Manual",$M25=1),0,IF(OFFSET(CRONOPLE!$F$14,$M25,BO$13)="",10^12,OFFSET(CRONOPLE!$F$14,$M25,BO$13))))</f>
        <v>1000000000000</v>
      </c>
      <c r="BP25" s="181">
        <f ca="1">IF($D25&lt;&gt;"Serviço",0,IF(AND(AUTOEVENTO="Manual",$M25=1),0,IF(OFFSET(CRONOPLE!$F$14,$M25,BP$13)="",10^12,OFFSET(CRONOPLE!$F$14,$M25,BP$13))))</f>
        <v>1000000000000</v>
      </c>
      <c r="BQ25" s="181">
        <f ca="1">IF($D25&lt;&gt;"Serviço",0,IF(AND(AUTOEVENTO="Manual",$M25=1),0,IF(OFFSET(CRONOPLE!$F$14,$M25,BQ$13)="",10^12,OFFSET(CRONOPLE!$F$14,$M25,BQ$13))))</f>
        <v>1000000000000</v>
      </c>
      <c r="BR25" s="181">
        <f ca="1">IF($D25&lt;&gt;"Serviço",0,IF(AND(AUTOEVENTO="Manual",$M25=1),0,IF(OFFSET(CRONOPLE!$F$14,$M25,BR$13)="",10^12,OFFSET(CRONOPLE!$F$14,$M25,BR$13))))</f>
        <v>1000000000000</v>
      </c>
      <c r="BS25" s="181">
        <f ca="1">IF($D25&lt;&gt;"Serviço",0,IF(AND(AUTOEVENTO="Manual",$M25=1),0,IF(OFFSET(CRONOPLE!$F$14,$M25,BS$13)="",10^12,OFFSET(CRONOPLE!$F$14,$M25,BS$13))))</f>
        <v>1000000000000</v>
      </c>
      <c r="BT25" s="181">
        <f ca="1">IF($D25&lt;&gt;"Serviço",0,IF(AND(AUTOEVENTO="Manual",$M25=1),0,IF(OFFSET(CRONOPLE!$F$14,$M25,BT$13)="",10^12,OFFSET(CRONOPLE!$F$14,$M25,BT$13))))</f>
        <v>1000000000000</v>
      </c>
      <c r="BV25" s="182">
        <f ca="1">IF($D25&lt;&gt;"Serviço",0,IF(OR(AND(AUTOEVENTO="Manual",$M25=1),$M25&gt;(ROW(PLE.lastrow)-ROW(PLE.firstrow))),0,IF(OFFSET(PLE!$G$14,$M25,BV$13)="",10^12,OFFSET(PLE!$G$14,$M25,BV$13))))</f>
        <v>1000000000000</v>
      </c>
      <c r="BW25" s="182">
        <f ca="1">IF($D25&lt;&gt;"Serviço",0,IF(OR(AND(AUTOEVENTO="Manual",$M25=1),$M25&gt;(ROW(PLE.lastrow)-ROW(PLE.firstrow))),0,IF(OFFSET(PLE!$G$14,$M25,BW$13)="",10^12,OFFSET(PLE!$G$14,$M25,BW$13))))</f>
        <v>1000000000000</v>
      </c>
      <c r="BX25" s="182">
        <f ca="1">IF($D25&lt;&gt;"Serviço",0,IF(OR(AND(AUTOEVENTO="Manual",$M25=1),$M25&gt;(ROW(PLE.lastrow)-ROW(PLE.firstrow))),0,IF(OFFSET(PLE!$G$14,$M25,BX$13)="",10^12,OFFSET(PLE!$G$14,$M25,BX$13))))</f>
        <v>1000000000000</v>
      </c>
      <c r="BY25" s="182">
        <f ca="1">IF($D25&lt;&gt;"Serviço",0,IF(OR(AND(AUTOEVENTO="Manual",$M25=1),$M25&gt;(ROW(PLE.lastrow)-ROW(PLE.firstrow))),0,IF(OFFSET(PLE!$G$14,$M25,BY$13)="",10^12,OFFSET(PLE!$G$14,$M25,BY$13))))</f>
        <v>1000000000000</v>
      </c>
      <c r="BZ25" s="182">
        <f ca="1">IF($D25&lt;&gt;"Serviço",0,IF(OR(AND(AUTOEVENTO="Manual",$M25=1),$M25&gt;(ROW(PLE.lastrow)-ROW(PLE.firstrow))),0,IF(OFFSET(PLE!$G$14,$M25,BZ$13)="",10^12,OFFSET(PLE!$G$14,$M25,BZ$13))))</f>
        <v>1000000000000</v>
      </c>
      <c r="CA25" s="182">
        <f ca="1">IF($D25&lt;&gt;"Serviço",0,IF(OR(AND(AUTOEVENTO="Manual",$M25=1),$M25&gt;(ROW(PLE.lastrow)-ROW(PLE.firstrow))),0,IF(OFFSET(PLE!$G$14,$M25,CA$13)="",10^12,OFFSET(PLE!$G$14,$M25,CA$13))))</f>
        <v>1000000000000</v>
      </c>
      <c r="CB25" s="182">
        <f ca="1">IF($D25&lt;&gt;"Serviço",0,IF(OR(AND(AUTOEVENTO="Manual",$M25=1),$M25&gt;(ROW(PLE.lastrow)-ROW(PLE.firstrow))),0,IF(OFFSET(PLE!$G$14,$M25,CB$13)="",10^12,OFFSET(PLE!$G$14,$M25,CB$13))))</f>
        <v>1000000000000</v>
      </c>
      <c r="CC25" s="182">
        <f ca="1">IF($D25&lt;&gt;"Serviço",0,IF(OR(AND(AUTOEVENTO="Manual",$M25=1),$M25&gt;(ROW(PLE.lastrow)-ROW(PLE.firstrow))),0,IF(OFFSET(PLE!$G$14,$M25,CC$13)="",10^12,OFFSET(PLE!$G$14,$M25,CC$13))))</f>
        <v>1000000000000</v>
      </c>
      <c r="CD25" s="182">
        <f ca="1">IF($D25&lt;&gt;"Serviço",0,IF(OR(AND(AUTOEVENTO="Manual",$M25=1),$M25&gt;(ROW(PLE.lastrow)-ROW(PLE.firstrow))),0,IF(OFFSET(PLE!$G$14,$M25,CD$13)="",10^12,OFFSET(PLE!$G$14,$M25,CD$13))))</f>
        <v>1000000000000</v>
      </c>
      <c r="CE25" s="182">
        <f ca="1">IF($D25&lt;&gt;"Serviço",0,IF(OR(AND(AUTOEVENTO="Manual",$M25=1),$M25&gt;(ROW(PLE.lastrow)-ROW(PLE.firstrow))),0,IF(OFFSET(PLE!$G$14,$M25,CE$13)="",10^12,OFFSET(PLE!$G$14,$M25,CE$13))))</f>
        <v>1000000000000</v>
      </c>
      <c r="CF25" s="182">
        <f ca="1">IF($D25&lt;&gt;"Serviço",0,IF(OR(AND(AUTOEVENTO="Manual",$M25=1),$M25&gt;(ROW(PLE.lastrow)-ROW(PLE.firstrow))),0,IF(OFFSET(PLE!$G$14,$M25,CF$13)="",10^12,OFFSET(PLE!$G$14,$M25,CF$13))))</f>
        <v>1000000000000</v>
      </c>
      <c r="CG25" s="182">
        <f ca="1">IF($D25&lt;&gt;"Serviço",0,IF(OR(AND(AUTOEVENTO="Manual",$M25=1),$M25&gt;(ROW(PLE.lastrow)-ROW(PLE.firstrow))),0,IF(OFFSET(PLE!$G$14,$M25,CG$13)="",10^12,OFFSET(PLE!$G$14,$M25,CG$13))))</f>
        <v>1000000000000</v>
      </c>
      <c r="CH25" s="182">
        <f ca="1">IF($D25&lt;&gt;"Serviço",0,IF(OR(AND(AUTOEVENTO="Manual",$M25=1),$M25&gt;(ROW(PLE.lastrow)-ROW(PLE.firstrow))),0,IF(OFFSET(PLE!$G$14,$M25,CH$13)="",10^12,OFFSET(PLE!$G$14,$M25,CH$13))))</f>
        <v>1000000000000</v>
      </c>
      <c r="CI25" s="182">
        <f ca="1">IF($D25&lt;&gt;"Serviço",0,IF(OR(AND(AUTOEVENTO="Manual",$M25=1),$M25&gt;(ROW(PLE.lastrow)-ROW(PLE.firstrow))),0,IF(OFFSET(PLE!$G$14,$M25,CI$13)="",10^12,OFFSET(PLE!$G$14,$M25,CI$13))))</f>
        <v>1000000000000</v>
      </c>
      <c r="CJ25" s="182">
        <f ca="1">IF($D25&lt;&gt;"Serviço",0,IF(OR(AND(AUTOEVENTO="Manual",$M25=1),$M25&gt;(ROW(PLE.lastrow)-ROW(PLE.firstrow))),0,IF(OFFSET(PLE!$G$14,$M25,CJ$13)="",10^12,OFFSET(PLE!$G$14,$M25,CJ$13))))</f>
        <v>1000000000000</v>
      </c>
      <c r="CK25" s="182">
        <f ca="1">IF($D25&lt;&gt;"Serviço",0,IF(OR(AND(AUTOEVENTO="Manual",$M25=1),$M25&gt;(ROW(PLE.lastrow)-ROW(PLE.firstrow))),0,IF(OFFSET(PLE!$G$14,$M25,CK$13)="",10^12,OFFSET(PLE!$G$14,$M25,CK$13))))</f>
        <v>1000000000000</v>
      </c>
      <c r="CL25" s="182">
        <f ca="1">IF($D25&lt;&gt;"Serviço",0,IF(OR(AND(AUTOEVENTO="Manual",$M25=1),$M25&gt;(ROW(PLE.lastrow)-ROW(PLE.firstrow))),0,IF(OFFSET(PLE!$G$14,$M25,CL$13)="",10^12,OFFSET(PLE!$G$14,$M25,CL$13))))</f>
        <v>1000000000000</v>
      </c>
      <c r="CM25" s="182">
        <f ca="1">IF($D25&lt;&gt;"Serviço",0,IF(OR(AND(AUTOEVENTO="Manual",$M25=1),$M25&gt;(ROW(PLE.lastrow)-ROW(PLE.firstrow))),0,IF(OFFSET(PLE!$G$14,$M25,CM$13)="",10^12,OFFSET(PLE!$G$14,$M25,CM$13))))</f>
        <v>1000000000000</v>
      </c>
    </row>
    <row r="26" spans="1:91" ht="25.5" x14ac:dyDescent="0.2">
      <c r="A26" s="7" t="str">
        <f t="shared" ca="1" si="9"/>
        <v>2</v>
      </c>
      <c r="B26" s="7" t="str">
        <f ca="1">OFFSET(ORÇAMENTO!C$15,ROW(B26)-ROW(B$15),0)</f>
        <v>S</v>
      </c>
      <c r="C26" s="7" t="str">
        <f ca="1">OFFSET(ORÇAMENTO!L$15,ROW(C26)-ROW(C$15),0)</f>
        <v/>
      </c>
      <c r="D26" s="118" t="str">
        <f ca="1">OFFSET(ORÇAMENTO!N$15,ROW(D26)-ROW(D$15),0)</f>
        <v>Serviço</v>
      </c>
      <c r="E26" s="119" t="str">
        <f ca="1">OFFSET(ORÇAMENTO!O$15,ROW(E26)-ROW(E$15),0)</f>
        <v>-</v>
      </c>
      <c r="F26" s="172" t="str">
        <f ca="1">OFFSET(ORÇAMENTO!R$15,ROW(F26)-ROW(F$15),0)</f>
        <v>(abra o arquivo 'Referência 03-Sunday.xlsm)</v>
      </c>
      <c r="G26" s="173" t="str">
        <f ca="1">IF($D26&lt;&gt;"Serviço","",OFFSET(ORÇAMENTO!S$15,ROW(G26)-ROW(G$15),0))</f>
        <v>-</v>
      </c>
      <c r="H26" s="124">
        <f ca="1">IF($D26&lt;&gt;"Serviço",0,IF(ACOMPANHAMENTO="BM",ROUND(OFFSET(ORÇAMENTO!AJ$15,ROW(H26)-ROW(H$15),0),15-13*ORÇAMENTO!$AF$7),SUMPRODUCT(($Q$12:$AI$12&lt;&gt;"")*ROUND($Q26:$AI26,15-13*ORÇAMENTO!$AF$7))))</f>
        <v>1200</v>
      </c>
      <c r="I26" s="539" t="s">
        <v>511</v>
      </c>
      <c r="K26" s="174"/>
      <c r="L26" s="175" t="s">
        <v>254</v>
      </c>
      <c r="M26" s="176">
        <f ca="1">IF($D26&lt;&gt;"Serviço","",IF(AUTOEVENTO="manual",$A26,IF(ISERROR(MATCH($A26,$A$15:OFFSET($A26,-1,0),0)),MAX($M$15:OFFSET(M26,-1,0))+1,INDEX($M$15:OFFSET(M26,-1,0),MATCH($A26,$A$15:OFFSET($A26,-1,0),0)))))</f>
        <v>2</v>
      </c>
      <c r="N26" s="177" t="str">
        <f ca="1">IF($D26&lt;&gt;"Serviço","",IF(AUTOEVENTO="Manual",IF($A26=0,"&lt;-- defina o número do agrupador",OFFSET(EVENTOS!$D$14,$A26,0)),OFFSET($F$15,$A26,0)))</f>
        <v>Lote 01  - Manutenção e Reparos Abrigos Passagerios Onibus e Táxi</v>
      </c>
      <c r="O26" s="178"/>
      <c r="Q26" s="178">
        <f>100*12</f>
        <v>1200</v>
      </c>
      <c r="R26" s="179"/>
      <c r="S26" s="179"/>
      <c r="T26" s="179"/>
      <c r="U26" s="179"/>
      <c r="V26" s="179"/>
      <c r="W26" s="179"/>
      <c r="X26" s="179"/>
      <c r="Y26" s="179"/>
      <c r="Z26" s="180"/>
      <c r="AA26" s="179"/>
      <c r="AB26" s="179"/>
      <c r="AC26" s="179"/>
      <c r="AD26" s="179"/>
      <c r="AE26" s="179"/>
      <c r="AF26" s="179"/>
      <c r="AG26" s="179"/>
      <c r="AH26" s="180"/>
      <c r="AJ26" s="522">
        <f ca="1">IF(AND($D26="Serviço",AJ$12&lt;&gt;0,$H26&gt;0,OR(AUTOEVENTO&lt;&gt;"manual",$M26&lt;&gt;1)),
IF(Import.TipoArredondamento&lt;&gt;"TransfereGOV",
ROUND(OFFSET($P26,0,AJ$13),15-13*ORÇAMENTO!$AF$7)/$H26*OFFSET(ORÇAMENTO!$X$15,ROW(AJ26)-ROW(AJ$15),0),
ROUND(ROUND(OFFSET($P26,0,AJ$13),15-13*ORÇAMENTO!$AF$7)*OFFSET(ORÇAMENTO!$W$15,ROW(AJ26)-ROW(AJ$15),0),15-13*ORÇAMENTO!$AF$11)),0)</f>
        <v>0</v>
      </c>
      <c r="AK26" s="523">
        <f ca="1">IF(AND($D26="Serviço",AK$12&lt;&gt;0,$H26&gt;0,OR(AUTOEVENTO&lt;&gt;"manual",$M26&lt;&gt;1)),
IF(Import.TipoArredondamento&lt;&gt;"TransfereGOV",
ROUND(OFFSET($P26,0,AK$13),15-13*ORÇAMENTO!$AF$7)/$H26*OFFSET(ORÇAMENTO!$X$15,ROW(AK26)-ROW(AK$15),0),
ROUND(ROUND(OFFSET($P26,0,AK$13),15-13*ORÇAMENTO!$AF$7)*OFFSET(ORÇAMENTO!$W$15,ROW(AK26)-ROW(AK$15),0),15-13*ORÇAMENTO!$AF$11)),0)</f>
        <v>0</v>
      </c>
      <c r="AL26" s="523">
        <f ca="1">IF(AND($D26="Serviço",AL$12&lt;&gt;0,$H26&gt;0,OR(AUTOEVENTO&lt;&gt;"manual",$M26&lt;&gt;1)),
IF(Import.TipoArredondamento&lt;&gt;"TransfereGOV",
ROUND(OFFSET($P26,0,AL$13),15-13*ORÇAMENTO!$AF$7)/$H26*OFFSET(ORÇAMENTO!$X$15,ROW(AL26)-ROW(AL$15),0),
ROUND(ROUND(OFFSET($P26,0,AL$13),15-13*ORÇAMENTO!$AF$7)*OFFSET(ORÇAMENTO!$W$15,ROW(AL26)-ROW(AL$15),0),15-13*ORÇAMENTO!$AF$11)),0)</f>
        <v>0</v>
      </c>
      <c r="AM26" s="523">
        <f ca="1">IF(AND($D26="Serviço",AM$12&lt;&gt;0,$H26&gt;0,OR(AUTOEVENTO&lt;&gt;"manual",$M26&lt;&gt;1)),
IF(Import.TipoArredondamento&lt;&gt;"TransfereGOV",
ROUND(OFFSET($P26,0,AM$13),15-13*ORÇAMENTO!$AF$7)/$H26*OFFSET(ORÇAMENTO!$X$15,ROW(AM26)-ROW(AM$15),0),
ROUND(ROUND(OFFSET($P26,0,AM$13),15-13*ORÇAMENTO!$AF$7)*OFFSET(ORÇAMENTO!$W$15,ROW(AM26)-ROW(AM$15),0),15-13*ORÇAMENTO!$AF$11)),0)</f>
        <v>0</v>
      </c>
      <c r="AN26" s="523">
        <f ca="1">IF(AND($D26="Serviço",AN$12&lt;&gt;0,$H26&gt;0,OR(AUTOEVENTO&lt;&gt;"manual",$M26&lt;&gt;1)),
IF(Import.TipoArredondamento&lt;&gt;"TransfereGOV",
ROUND(OFFSET($P26,0,AN$13),15-13*ORÇAMENTO!$AF$7)/$H26*OFFSET(ORÇAMENTO!$X$15,ROW(AN26)-ROW(AN$15),0),
ROUND(ROUND(OFFSET($P26,0,AN$13),15-13*ORÇAMENTO!$AF$7)*OFFSET(ORÇAMENTO!$W$15,ROW(AN26)-ROW(AN$15),0),15-13*ORÇAMENTO!$AF$11)),0)</f>
        <v>0</v>
      </c>
      <c r="AO26" s="523">
        <f ca="1">IF(AND($D26="Serviço",AO$12&lt;&gt;0,$H26&gt;0,OR(AUTOEVENTO&lt;&gt;"manual",$M26&lt;&gt;1)),
IF(Import.TipoArredondamento&lt;&gt;"TransfereGOV",
ROUND(OFFSET($P26,0,AO$13),15-13*ORÇAMENTO!$AF$7)/$H26*OFFSET(ORÇAMENTO!$X$15,ROW(AO26)-ROW(AO$15),0),
ROUND(ROUND(OFFSET($P26,0,AO$13),15-13*ORÇAMENTO!$AF$7)*OFFSET(ORÇAMENTO!$W$15,ROW(AO26)-ROW(AO$15),0),15-13*ORÇAMENTO!$AF$11)),0)</f>
        <v>0</v>
      </c>
      <c r="AP26" s="523">
        <f ca="1">IF(AND($D26="Serviço",AP$12&lt;&gt;0,$H26&gt;0,OR(AUTOEVENTO&lt;&gt;"manual",$M26&lt;&gt;1)),
IF(Import.TipoArredondamento&lt;&gt;"TransfereGOV",
ROUND(OFFSET($P26,0,AP$13),15-13*ORÇAMENTO!$AF$7)/$H26*OFFSET(ORÇAMENTO!$X$15,ROW(AP26)-ROW(AP$15),0),
ROUND(ROUND(OFFSET($P26,0,AP$13),15-13*ORÇAMENTO!$AF$7)*OFFSET(ORÇAMENTO!$W$15,ROW(AP26)-ROW(AP$15),0),15-13*ORÇAMENTO!$AF$11)),0)</f>
        <v>0</v>
      </c>
      <c r="AQ26" s="523">
        <f ca="1">IF(AND($D26="Serviço",AQ$12&lt;&gt;0,$H26&gt;0,OR(AUTOEVENTO&lt;&gt;"manual",$M26&lt;&gt;1)),
IF(Import.TipoArredondamento&lt;&gt;"TransfereGOV",
ROUND(OFFSET($P26,0,AQ$13),15-13*ORÇAMENTO!$AF$7)/$H26*OFFSET(ORÇAMENTO!$X$15,ROW(AQ26)-ROW(AQ$15),0),
ROUND(ROUND(OFFSET($P26,0,AQ$13),15-13*ORÇAMENTO!$AF$7)*OFFSET(ORÇAMENTO!$W$15,ROW(AQ26)-ROW(AQ$15),0),15-13*ORÇAMENTO!$AF$11)),0)</f>
        <v>0</v>
      </c>
      <c r="AR26" s="523">
        <f ca="1">IF(AND($D26="Serviço",AR$12&lt;&gt;0,$H26&gt;0,OR(AUTOEVENTO&lt;&gt;"manual",$M26&lt;&gt;1)),
IF(Import.TipoArredondamento&lt;&gt;"TransfereGOV",
ROUND(OFFSET($P26,0,AR$13),15-13*ORÇAMENTO!$AF$7)/$H26*OFFSET(ORÇAMENTO!$X$15,ROW(AR26)-ROW(AR$15),0),
ROUND(ROUND(OFFSET($P26,0,AR$13),15-13*ORÇAMENTO!$AF$7)*OFFSET(ORÇAMENTO!$W$15,ROW(AR26)-ROW(AR$15),0),15-13*ORÇAMENTO!$AF$11)),0)</f>
        <v>0</v>
      </c>
      <c r="AS26" s="524">
        <f ca="1">IF(AND($D26="Serviço",AS$12&lt;&gt;0,$H26&gt;0,OR(AUTOEVENTO&lt;&gt;"manual",$M26&lt;&gt;1)),
IF(Import.TipoArredondamento&lt;&gt;"TransfereGOV",
ROUND(OFFSET($P26,0,AS$13),15-13*ORÇAMENTO!$AF$7)/$H26*OFFSET(ORÇAMENTO!$X$15,ROW(AS26)-ROW(AS$15),0),
ROUND(ROUND(OFFSET($P26,0,AS$13),15-13*ORÇAMENTO!$AF$7)*OFFSET(ORÇAMENTO!$W$15,ROW(AS26)-ROW(AS$15),0),15-13*ORÇAMENTO!$AF$11)),0)</f>
        <v>0</v>
      </c>
      <c r="AT26" s="523">
        <f ca="1">IF(AND($D26="Serviço",AT$12&lt;&gt;0,$H26&gt;0,OR(AUTOEVENTO&lt;&gt;"manual",$M26&lt;&gt;1)),
IF(Import.TipoArredondamento&lt;&gt;"TransfereGOV",
ROUND(OFFSET($P26,0,AT$13),15-13*ORÇAMENTO!$AF$7)/$H26*OFFSET(ORÇAMENTO!$X$15,ROW(AT26)-ROW(AT$15),0),
ROUND(ROUND(OFFSET($P26,0,AT$13),15-13*ORÇAMENTO!$AF$7)*OFFSET(ORÇAMENTO!$W$15,ROW(AT26)-ROW(AT$15),0),15-13*ORÇAMENTO!$AF$11)),0)</f>
        <v>0</v>
      </c>
      <c r="AU26" s="523">
        <f ca="1">IF(AND($D26="Serviço",AU$12&lt;&gt;0,$H26&gt;0,OR(AUTOEVENTO&lt;&gt;"manual",$M26&lt;&gt;1)),
IF(Import.TipoArredondamento&lt;&gt;"TransfereGOV",
ROUND(OFFSET($P26,0,AU$13),15-13*ORÇAMENTO!$AF$7)/$H26*OFFSET(ORÇAMENTO!$X$15,ROW(AU26)-ROW(AU$15),0),
ROUND(ROUND(OFFSET($P26,0,AU$13),15-13*ORÇAMENTO!$AF$7)*OFFSET(ORÇAMENTO!$W$15,ROW(AU26)-ROW(AU$15),0),15-13*ORÇAMENTO!$AF$11)),0)</f>
        <v>0</v>
      </c>
      <c r="AV26" s="523">
        <f ca="1">IF(AND($D26="Serviço",AV$12&lt;&gt;0,$H26&gt;0,OR(AUTOEVENTO&lt;&gt;"manual",$M26&lt;&gt;1)),
IF(Import.TipoArredondamento&lt;&gt;"TransfereGOV",
ROUND(OFFSET($P26,0,AV$13),15-13*ORÇAMENTO!$AF$7)/$H26*OFFSET(ORÇAMENTO!$X$15,ROW(AV26)-ROW(AV$15),0),
ROUND(ROUND(OFFSET($P26,0,AV$13),15-13*ORÇAMENTO!$AF$7)*OFFSET(ORÇAMENTO!$W$15,ROW(AV26)-ROW(AV$15),0),15-13*ORÇAMENTO!$AF$11)),0)</f>
        <v>0</v>
      </c>
      <c r="AW26" s="523">
        <f ca="1">IF(AND($D26="Serviço",AW$12&lt;&gt;0,$H26&gt;0,OR(AUTOEVENTO&lt;&gt;"manual",$M26&lt;&gt;1)),
IF(Import.TipoArredondamento&lt;&gt;"TransfereGOV",
ROUND(OFFSET($P26,0,AW$13),15-13*ORÇAMENTO!$AF$7)/$H26*OFFSET(ORÇAMENTO!$X$15,ROW(AW26)-ROW(AW$15),0),
ROUND(ROUND(OFFSET($P26,0,AW$13),15-13*ORÇAMENTO!$AF$7)*OFFSET(ORÇAMENTO!$W$15,ROW(AW26)-ROW(AW$15),0),15-13*ORÇAMENTO!$AF$11)),0)</f>
        <v>0</v>
      </c>
      <c r="AX26" s="523">
        <f ca="1">IF(AND($D26="Serviço",AX$12&lt;&gt;0,$H26&gt;0,OR(AUTOEVENTO&lt;&gt;"manual",$M26&lt;&gt;1)),
IF(Import.TipoArredondamento&lt;&gt;"TransfereGOV",
ROUND(OFFSET($P26,0,AX$13),15-13*ORÇAMENTO!$AF$7)/$H26*OFFSET(ORÇAMENTO!$X$15,ROW(AX26)-ROW(AX$15),0),
ROUND(ROUND(OFFSET($P26,0,AX$13),15-13*ORÇAMENTO!$AF$7)*OFFSET(ORÇAMENTO!$W$15,ROW(AX26)-ROW(AX$15),0),15-13*ORÇAMENTO!$AF$11)),0)</f>
        <v>0</v>
      </c>
      <c r="AY26" s="523">
        <f ca="1">IF(AND($D26="Serviço",AY$12&lt;&gt;0,$H26&gt;0,OR(AUTOEVENTO&lt;&gt;"manual",$M26&lt;&gt;1)),
IF(Import.TipoArredondamento&lt;&gt;"TransfereGOV",
ROUND(OFFSET($P26,0,AY$13),15-13*ORÇAMENTO!$AF$7)/$H26*OFFSET(ORÇAMENTO!$X$15,ROW(AY26)-ROW(AY$15),0),
ROUND(ROUND(OFFSET($P26,0,AY$13),15-13*ORÇAMENTO!$AF$7)*OFFSET(ORÇAMENTO!$W$15,ROW(AY26)-ROW(AY$15),0),15-13*ORÇAMENTO!$AF$11)),0)</f>
        <v>0</v>
      </c>
      <c r="AZ26" s="523">
        <f ca="1">IF(AND($D26="Serviço",AZ$12&lt;&gt;0,$H26&gt;0,OR(AUTOEVENTO&lt;&gt;"manual",$M26&lt;&gt;1)),
IF(Import.TipoArredondamento&lt;&gt;"TransfereGOV",
ROUND(OFFSET($P26,0,AZ$13),15-13*ORÇAMENTO!$AF$7)/$H26*OFFSET(ORÇAMENTO!$X$15,ROW(AZ26)-ROW(AZ$15),0),
ROUND(ROUND(OFFSET($P26,0,AZ$13),15-13*ORÇAMENTO!$AF$7)*OFFSET(ORÇAMENTO!$W$15,ROW(AZ26)-ROW(AZ$15),0),15-13*ORÇAMENTO!$AF$11)),0)</f>
        <v>0</v>
      </c>
      <c r="BA26" s="524">
        <f ca="1">IF(AND($D26="Serviço",BA$12&lt;&gt;0,$H26&gt;0,OR(AUTOEVENTO&lt;&gt;"manual",$M26&lt;&gt;1)),
IF(Import.TipoArredondamento&lt;&gt;"TransfereGOV",
ROUND(OFFSET($P26,0,BA$13),15-13*ORÇAMENTO!$AF$7)/$H26*OFFSET(ORÇAMENTO!$X$15,ROW(BA26)-ROW(BA$15),0),
ROUND(ROUND(OFFSET($P26,0,BA$13),15-13*ORÇAMENTO!$AF$7)*OFFSET(ORÇAMENTO!$W$15,ROW(BA26)-ROW(BA$15),0),15-13*ORÇAMENTO!$AF$11)),0)</f>
        <v>0</v>
      </c>
      <c r="BC26" s="181">
        <f ca="1">IF($D26&lt;&gt;"Serviço",0,IF(AND(AUTOEVENTO="Manual",$M26=1),0,IF(OFFSET(CRONOPLE!$F$14,$M26,BC$13)="",10^12,OFFSET(CRONOPLE!$F$14,$M26,BC$13))))</f>
        <v>12</v>
      </c>
      <c r="BD26" s="181">
        <f ca="1">IF($D26&lt;&gt;"Serviço",0,IF(AND(AUTOEVENTO="Manual",$M26=1),0,IF(OFFSET(CRONOPLE!$F$14,$M26,BD$13)="",10^12,OFFSET(CRONOPLE!$F$14,$M26,BD$13))))</f>
        <v>1000000000000</v>
      </c>
      <c r="BE26" s="181">
        <f ca="1">IF($D26&lt;&gt;"Serviço",0,IF(AND(AUTOEVENTO="Manual",$M26=1),0,IF(OFFSET(CRONOPLE!$F$14,$M26,BE$13)="",10^12,OFFSET(CRONOPLE!$F$14,$M26,BE$13))))</f>
        <v>1000000000000</v>
      </c>
      <c r="BF26" s="181">
        <f ca="1">IF($D26&lt;&gt;"Serviço",0,IF(AND(AUTOEVENTO="Manual",$M26=1),0,IF(OFFSET(CRONOPLE!$F$14,$M26,BF$13)="",10^12,OFFSET(CRONOPLE!$F$14,$M26,BF$13))))</f>
        <v>1000000000000</v>
      </c>
      <c r="BG26" s="181">
        <f ca="1">IF($D26&lt;&gt;"Serviço",0,IF(AND(AUTOEVENTO="Manual",$M26=1),0,IF(OFFSET(CRONOPLE!$F$14,$M26,BG$13)="",10^12,OFFSET(CRONOPLE!$F$14,$M26,BG$13))))</f>
        <v>1000000000000</v>
      </c>
      <c r="BH26" s="181">
        <f ca="1">IF($D26&lt;&gt;"Serviço",0,IF(AND(AUTOEVENTO="Manual",$M26=1),0,IF(OFFSET(CRONOPLE!$F$14,$M26,BH$13)="",10^12,OFFSET(CRONOPLE!$F$14,$M26,BH$13))))</f>
        <v>1000000000000</v>
      </c>
      <c r="BI26" s="181">
        <f ca="1">IF($D26&lt;&gt;"Serviço",0,IF(AND(AUTOEVENTO="Manual",$M26=1),0,IF(OFFSET(CRONOPLE!$F$14,$M26,BI$13)="",10^12,OFFSET(CRONOPLE!$F$14,$M26,BI$13))))</f>
        <v>1000000000000</v>
      </c>
      <c r="BJ26" s="181">
        <f ca="1">IF($D26&lt;&gt;"Serviço",0,IF(AND(AUTOEVENTO="Manual",$M26=1),0,IF(OFFSET(CRONOPLE!$F$14,$M26,BJ$13)="",10^12,OFFSET(CRONOPLE!$F$14,$M26,BJ$13))))</f>
        <v>1000000000000</v>
      </c>
      <c r="BK26" s="181">
        <f ca="1">IF($D26&lt;&gt;"Serviço",0,IF(AND(AUTOEVENTO="Manual",$M26=1),0,IF(OFFSET(CRONOPLE!$F$14,$M26,BK$13)="",10^12,OFFSET(CRONOPLE!$F$14,$M26,BK$13))))</f>
        <v>1000000000000</v>
      </c>
      <c r="BL26" s="181">
        <f ca="1">IF($D26&lt;&gt;"Serviço",0,IF(AND(AUTOEVENTO="Manual",$M26=1),0,IF(OFFSET(CRONOPLE!$F$14,$M26,BL$13)="",10^12,OFFSET(CRONOPLE!$F$14,$M26,BL$13))))</f>
        <v>1000000000000</v>
      </c>
      <c r="BM26" s="181">
        <f ca="1">IF($D26&lt;&gt;"Serviço",0,IF(AND(AUTOEVENTO="Manual",$M26=1),0,IF(OFFSET(CRONOPLE!$F$14,$M26,BM$13)="",10^12,OFFSET(CRONOPLE!$F$14,$M26,BM$13))))</f>
        <v>1000000000000</v>
      </c>
      <c r="BN26" s="181">
        <f ca="1">IF($D26&lt;&gt;"Serviço",0,IF(AND(AUTOEVENTO="Manual",$M26=1),0,IF(OFFSET(CRONOPLE!$F$14,$M26,BN$13)="",10^12,OFFSET(CRONOPLE!$F$14,$M26,BN$13))))</f>
        <v>1000000000000</v>
      </c>
      <c r="BO26" s="181">
        <f ca="1">IF($D26&lt;&gt;"Serviço",0,IF(AND(AUTOEVENTO="Manual",$M26=1),0,IF(OFFSET(CRONOPLE!$F$14,$M26,BO$13)="",10^12,OFFSET(CRONOPLE!$F$14,$M26,BO$13))))</f>
        <v>1000000000000</v>
      </c>
      <c r="BP26" s="181">
        <f ca="1">IF($D26&lt;&gt;"Serviço",0,IF(AND(AUTOEVENTO="Manual",$M26=1),0,IF(OFFSET(CRONOPLE!$F$14,$M26,BP$13)="",10^12,OFFSET(CRONOPLE!$F$14,$M26,BP$13))))</f>
        <v>1000000000000</v>
      </c>
      <c r="BQ26" s="181">
        <f ca="1">IF($D26&lt;&gt;"Serviço",0,IF(AND(AUTOEVENTO="Manual",$M26=1),0,IF(OFFSET(CRONOPLE!$F$14,$M26,BQ$13)="",10^12,OFFSET(CRONOPLE!$F$14,$M26,BQ$13))))</f>
        <v>1000000000000</v>
      </c>
      <c r="BR26" s="181">
        <f ca="1">IF($D26&lt;&gt;"Serviço",0,IF(AND(AUTOEVENTO="Manual",$M26=1),0,IF(OFFSET(CRONOPLE!$F$14,$M26,BR$13)="",10^12,OFFSET(CRONOPLE!$F$14,$M26,BR$13))))</f>
        <v>1000000000000</v>
      </c>
      <c r="BS26" s="181">
        <f ca="1">IF($D26&lt;&gt;"Serviço",0,IF(AND(AUTOEVENTO="Manual",$M26=1),0,IF(OFFSET(CRONOPLE!$F$14,$M26,BS$13)="",10^12,OFFSET(CRONOPLE!$F$14,$M26,BS$13))))</f>
        <v>1000000000000</v>
      </c>
      <c r="BT26" s="181">
        <f ca="1">IF($D26&lt;&gt;"Serviço",0,IF(AND(AUTOEVENTO="Manual",$M26=1),0,IF(OFFSET(CRONOPLE!$F$14,$M26,BT$13)="",10^12,OFFSET(CRONOPLE!$F$14,$M26,BT$13))))</f>
        <v>1000000000000</v>
      </c>
      <c r="BV26" s="182">
        <f ca="1">IF($D26&lt;&gt;"Serviço",0,IF(OR(AND(AUTOEVENTO="Manual",$M26=1),$M26&gt;(ROW(PLE.lastrow)-ROW(PLE.firstrow))),0,IF(OFFSET(PLE!$G$14,$M26,BV$13)="",10^12,OFFSET(PLE!$G$14,$M26,BV$13))))</f>
        <v>1000000000000</v>
      </c>
      <c r="BW26" s="182">
        <f ca="1">IF($D26&lt;&gt;"Serviço",0,IF(OR(AND(AUTOEVENTO="Manual",$M26=1),$M26&gt;(ROW(PLE.lastrow)-ROW(PLE.firstrow))),0,IF(OFFSET(PLE!$G$14,$M26,BW$13)="",10^12,OFFSET(PLE!$G$14,$M26,BW$13))))</f>
        <v>1000000000000</v>
      </c>
      <c r="BX26" s="182">
        <f ca="1">IF($D26&lt;&gt;"Serviço",0,IF(OR(AND(AUTOEVENTO="Manual",$M26=1),$M26&gt;(ROW(PLE.lastrow)-ROW(PLE.firstrow))),0,IF(OFFSET(PLE!$G$14,$M26,BX$13)="",10^12,OFFSET(PLE!$G$14,$M26,BX$13))))</f>
        <v>1000000000000</v>
      </c>
      <c r="BY26" s="182">
        <f ca="1">IF($D26&lt;&gt;"Serviço",0,IF(OR(AND(AUTOEVENTO="Manual",$M26=1),$M26&gt;(ROW(PLE.lastrow)-ROW(PLE.firstrow))),0,IF(OFFSET(PLE!$G$14,$M26,BY$13)="",10^12,OFFSET(PLE!$G$14,$M26,BY$13))))</f>
        <v>1000000000000</v>
      </c>
      <c r="BZ26" s="182">
        <f ca="1">IF($D26&lt;&gt;"Serviço",0,IF(OR(AND(AUTOEVENTO="Manual",$M26=1),$M26&gt;(ROW(PLE.lastrow)-ROW(PLE.firstrow))),0,IF(OFFSET(PLE!$G$14,$M26,BZ$13)="",10^12,OFFSET(PLE!$G$14,$M26,BZ$13))))</f>
        <v>1000000000000</v>
      </c>
      <c r="CA26" s="182">
        <f ca="1">IF($D26&lt;&gt;"Serviço",0,IF(OR(AND(AUTOEVENTO="Manual",$M26=1),$M26&gt;(ROW(PLE.lastrow)-ROW(PLE.firstrow))),0,IF(OFFSET(PLE!$G$14,$M26,CA$13)="",10^12,OFFSET(PLE!$G$14,$M26,CA$13))))</f>
        <v>1000000000000</v>
      </c>
      <c r="CB26" s="182">
        <f ca="1">IF($D26&lt;&gt;"Serviço",0,IF(OR(AND(AUTOEVENTO="Manual",$M26=1),$M26&gt;(ROW(PLE.lastrow)-ROW(PLE.firstrow))),0,IF(OFFSET(PLE!$G$14,$M26,CB$13)="",10^12,OFFSET(PLE!$G$14,$M26,CB$13))))</f>
        <v>1000000000000</v>
      </c>
      <c r="CC26" s="182">
        <f ca="1">IF($D26&lt;&gt;"Serviço",0,IF(OR(AND(AUTOEVENTO="Manual",$M26=1),$M26&gt;(ROW(PLE.lastrow)-ROW(PLE.firstrow))),0,IF(OFFSET(PLE!$G$14,$M26,CC$13)="",10^12,OFFSET(PLE!$G$14,$M26,CC$13))))</f>
        <v>1000000000000</v>
      </c>
      <c r="CD26" s="182">
        <f ca="1">IF($D26&lt;&gt;"Serviço",0,IF(OR(AND(AUTOEVENTO="Manual",$M26=1),$M26&gt;(ROW(PLE.lastrow)-ROW(PLE.firstrow))),0,IF(OFFSET(PLE!$G$14,$M26,CD$13)="",10^12,OFFSET(PLE!$G$14,$M26,CD$13))))</f>
        <v>1000000000000</v>
      </c>
      <c r="CE26" s="182">
        <f ca="1">IF($D26&lt;&gt;"Serviço",0,IF(OR(AND(AUTOEVENTO="Manual",$M26=1),$M26&gt;(ROW(PLE.lastrow)-ROW(PLE.firstrow))),0,IF(OFFSET(PLE!$G$14,$M26,CE$13)="",10^12,OFFSET(PLE!$G$14,$M26,CE$13))))</f>
        <v>1000000000000</v>
      </c>
      <c r="CF26" s="182">
        <f ca="1">IF($D26&lt;&gt;"Serviço",0,IF(OR(AND(AUTOEVENTO="Manual",$M26=1),$M26&gt;(ROW(PLE.lastrow)-ROW(PLE.firstrow))),0,IF(OFFSET(PLE!$G$14,$M26,CF$13)="",10^12,OFFSET(PLE!$G$14,$M26,CF$13))))</f>
        <v>1000000000000</v>
      </c>
      <c r="CG26" s="182">
        <f ca="1">IF($D26&lt;&gt;"Serviço",0,IF(OR(AND(AUTOEVENTO="Manual",$M26=1),$M26&gt;(ROW(PLE.lastrow)-ROW(PLE.firstrow))),0,IF(OFFSET(PLE!$G$14,$M26,CG$13)="",10^12,OFFSET(PLE!$G$14,$M26,CG$13))))</f>
        <v>1000000000000</v>
      </c>
      <c r="CH26" s="182">
        <f ca="1">IF($D26&lt;&gt;"Serviço",0,IF(OR(AND(AUTOEVENTO="Manual",$M26=1),$M26&gt;(ROW(PLE.lastrow)-ROW(PLE.firstrow))),0,IF(OFFSET(PLE!$G$14,$M26,CH$13)="",10^12,OFFSET(PLE!$G$14,$M26,CH$13))))</f>
        <v>1000000000000</v>
      </c>
      <c r="CI26" s="182">
        <f ca="1">IF($D26&lt;&gt;"Serviço",0,IF(OR(AND(AUTOEVENTO="Manual",$M26=1),$M26&gt;(ROW(PLE.lastrow)-ROW(PLE.firstrow))),0,IF(OFFSET(PLE!$G$14,$M26,CI$13)="",10^12,OFFSET(PLE!$G$14,$M26,CI$13))))</f>
        <v>1000000000000</v>
      </c>
      <c r="CJ26" s="182">
        <f ca="1">IF($D26&lt;&gt;"Serviço",0,IF(OR(AND(AUTOEVENTO="Manual",$M26=1),$M26&gt;(ROW(PLE.lastrow)-ROW(PLE.firstrow))),0,IF(OFFSET(PLE!$G$14,$M26,CJ$13)="",10^12,OFFSET(PLE!$G$14,$M26,CJ$13))))</f>
        <v>1000000000000</v>
      </c>
      <c r="CK26" s="182">
        <f ca="1">IF($D26&lt;&gt;"Serviço",0,IF(OR(AND(AUTOEVENTO="Manual",$M26=1),$M26&gt;(ROW(PLE.lastrow)-ROW(PLE.firstrow))),0,IF(OFFSET(PLE!$G$14,$M26,CK$13)="",10^12,OFFSET(PLE!$G$14,$M26,CK$13))))</f>
        <v>1000000000000</v>
      </c>
      <c r="CL26" s="182">
        <f ca="1">IF($D26&lt;&gt;"Serviço",0,IF(OR(AND(AUTOEVENTO="Manual",$M26=1),$M26&gt;(ROW(PLE.lastrow)-ROW(PLE.firstrow))),0,IF(OFFSET(PLE!$G$14,$M26,CL$13)="",10^12,OFFSET(PLE!$G$14,$M26,CL$13))))</f>
        <v>1000000000000</v>
      </c>
      <c r="CM26" s="182">
        <f ca="1">IF($D26&lt;&gt;"Serviço",0,IF(OR(AND(AUTOEVENTO="Manual",$M26=1),$M26&gt;(ROW(PLE.lastrow)-ROW(PLE.firstrow))),0,IF(OFFSET(PLE!$G$14,$M26,CM$13)="",10^12,OFFSET(PLE!$G$14,$M26,CM$13))))</f>
        <v>1000000000000</v>
      </c>
    </row>
    <row r="27" spans="1:91" ht="51" x14ac:dyDescent="0.2">
      <c r="A27" s="7" t="str">
        <f t="shared" ca="1" si="9"/>
        <v>2</v>
      </c>
      <c r="B27" s="7" t="str">
        <f ca="1">OFFSET(ORÇAMENTO!C$15,ROW(B27)-ROW(B$15),0)</f>
        <v>S</v>
      </c>
      <c r="C27" s="7" t="str">
        <f ca="1">OFFSET(ORÇAMENTO!L$15,ROW(C27)-ROW(C$15),0)</f>
        <v/>
      </c>
      <c r="D27" s="118" t="str">
        <f ca="1">OFFSET(ORÇAMENTO!N$15,ROW(D27)-ROW(D$15),0)</f>
        <v>Serviço</v>
      </c>
      <c r="E27" s="119" t="str">
        <f ca="1">OFFSET(ORÇAMENTO!O$15,ROW(E27)-ROW(E$15),0)</f>
        <v>-</v>
      </c>
      <c r="F27" s="172" t="str">
        <f ca="1">OFFSET(ORÇAMENTO!R$15,ROW(F27)-ROW(F$15),0)</f>
        <v>(abra o arquivo 'Referência 03-Sunday.xlsm)</v>
      </c>
      <c r="G27" s="173" t="str">
        <f ca="1">IF($D27&lt;&gt;"Serviço","",OFFSET(ORÇAMENTO!S$15,ROW(G27)-ROW(G$15),0))</f>
        <v>-</v>
      </c>
      <c r="H27" s="124">
        <f ca="1">IF($D27&lt;&gt;"Serviço",0,IF(ACOMPANHAMENTO="BM",ROUND(OFFSET(ORÇAMENTO!AJ$15,ROW(H27)-ROW(H$15),0),15-13*ORÇAMENTO!$AF$7),SUMPRODUCT(($Q$12:$AI$12&lt;&gt;"")*ROUND($Q27:$AI27,15-13*ORÇAMENTO!$AF$7))))</f>
        <v>880</v>
      </c>
      <c r="I27" s="539" t="s">
        <v>512</v>
      </c>
      <c r="K27" s="174"/>
      <c r="L27" s="175" t="s">
        <v>254</v>
      </c>
      <c r="M27" s="176">
        <f ca="1">IF($D27&lt;&gt;"Serviço","",IF(AUTOEVENTO="manual",$A27,IF(ISERROR(MATCH($A27,$A$15:OFFSET($A27,-1,0),0)),MAX($M$15:OFFSET(M27,-1,0))+1,INDEX($M$15:OFFSET(M27,-1,0),MATCH($A27,$A$15:OFFSET($A27,-1,0),0)))))</f>
        <v>2</v>
      </c>
      <c r="N27" s="177" t="str">
        <f ca="1">IF($D27&lt;&gt;"Serviço","",IF(AUTOEVENTO="Manual",IF($A27=0,"&lt;-- defina o número do agrupador",OFFSET(EVENTOS!$D$14,$A27,0)),OFFSET($F$15,$A27,0)))</f>
        <v>Lote 01  - Manutenção e Reparos Abrigos Passagerios Onibus e Táxi</v>
      </c>
      <c r="O27" s="178"/>
      <c r="Q27" s="178">
        <f>8.8*100</f>
        <v>880.00000000000011</v>
      </c>
      <c r="R27" s="179"/>
      <c r="S27" s="179"/>
      <c r="T27" s="179"/>
      <c r="U27" s="179"/>
      <c r="V27" s="179"/>
      <c r="W27" s="179"/>
      <c r="X27" s="179"/>
      <c r="Y27" s="179"/>
      <c r="Z27" s="180"/>
      <c r="AA27" s="179"/>
      <c r="AB27" s="179"/>
      <c r="AC27" s="179"/>
      <c r="AD27" s="179"/>
      <c r="AE27" s="179"/>
      <c r="AF27" s="179"/>
      <c r="AG27" s="179"/>
      <c r="AH27" s="180"/>
      <c r="AJ27" s="522">
        <f ca="1">IF(AND($D27="Serviço",AJ$12&lt;&gt;0,$H27&gt;0,OR(AUTOEVENTO&lt;&gt;"manual",$M27&lt;&gt;1)),
IF(Import.TipoArredondamento&lt;&gt;"TransfereGOV",
ROUND(OFFSET($P27,0,AJ$13),15-13*ORÇAMENTO!$AF$7)/$H27*OFFSET(ORÇAMENTO!$X$15,ROW(AJ27)-ROW(AJ$15),0),
ROUND(ROUND(OFFSET($P27,0,AJ$13),15-13*ORÇAMENTO!$AF$7)*OFFSET(ORÇAMENTO!$W$15,ROW(AJ27)-ROW(AJ$15),0),15-13*ORÇAMENTO!$AF$11)),0)</f>
        <v>0</v>
      </c>
      <c r="AK27" s="523">
        <f ca="1">IF(AND($D27="Serviço",AK$12&lt;&gt;0,$H27&gt;0,OR(AUTOEVENTO&lt;&gt;"manual",$M27&lt;&gt;1)),
IF(Import.TipoArredondamento&lt;&gt;"TransfereGOV",
ROUND(OFFSET($P27,0,AK$13),15-13*ORÇAMENTO!$AF$7)/$H27*OFFSET(ORÇAMENTO!$X$15,ROW(AK27)-ROW(AK$15),0),
ROUND(ROUND(OFFSET($P27,0,AK$13),15-13*ORÇAMENTO!$AF$7)*OFFSET(ORÇAMENTO!$W$15,ROW(AK27)-ROW(AK$15),0),15-13*ORÇAMENTO!$AF$11)),0)</f>
        <v>0</v>
      </c>
      <c r="AL27" s="523">
        <f ca="1">IF(AND($D27="Serviço",AL$12&lt;&gt;0,$H27&gt;0,OR(AUTOEVENTO&lt;&gt;"manual",$M27&lt;&gt;1)),
IF(Import.TipoArredondamento&lt;&gt;"TransfereGOV",
ROUND(OFFSET($P27,0,AL$13),15-13*ORÇAMENTO!$AF$7)/$H27*OFFSET(ORÇAMENTO!$X$15,ROW(AL27)-ROW(AL$15),0),
ROUND(ROUND(OFFSET($P27,0,AL$13),15-13*ORÇAMENTO!$AF$7)*OFFSET(ORÇAMENTO!$W$15,ROW(AL27)-ROW(AL$15),0),15-13*ORÇAMENTO!$AF$11)),0)</f>
        <v>0</v>
      </c>
      <c r="AM27" s="523">
        <f ca="1">IF(AND($D27="Serviço",AM$12&lt;&gt;0,$H27&gt;0,OR(AUTOEVENTO&lt;&gt;"manual",$M27&lt;&gt;1)),
IF(Import.TipoArredondamento&lt;&gt;"TransfereGOV",
ROUND(OFFSET($P27,0,AM$13),15-13*ORÇAMENTO!$AF$7)/$H27*OFFSET(ORÇAMENTO!$X$15,ROW(AM27)-ROW(AM$15),0),
ROUND(ROUND(OFFSET($P27,0,AM$13),15-13*ORÇAMENTO!$AF$7)*OFFSET(ORÇAMENTO!$W$15,ROW(AM27)-ROW(AM$15),0),15-13*ORÇAMENTO!$AF$11)),0)</f>
        <v>0</v>
      </c>
      <c r="AN27" s="523">
        <f ca="1">IF(AND($D27="Serviço",AN$12&lt;&gt;0,$H27&gt;0,OR(AUTOEVENTO&lt;&gt;"manual",$M27&lt;&gt;1)),
IF(Import.TipoArredondamento&lt;&gt;"TransfereGOV",
ROUND(OFFSET($P27,0,AN$13),15-13*ORÇAMENTO!$AF$7)/$H27*OFFSET(ORÇAMENTO!$X$15,ROW(AN27)-ROW(AN$15),0),
ROUND(ROUND(OFFSET($P27,0,AN$13),15-13*ORÇAMENTO!$AF$7)*OFFSET(ORÇAMENTO!$W$15,ROW(AN27)-ROW(AN$15),0),15-13*ORÇAMENTO!$AF$11)),0)</f>
        <v>0</v>
      </c>
      <c r="AO27" s="523">
        <f ca="1">IF(AND($D27="Serviço",AO$12&lt;&gt;0,$H27&gt;0,OR(AUTOEVENTO&lt;&gt;"manual",$M27&lt;&gt;1)),
IF(Import.TipoArredondamento&lt;&gt;"TransfereGOV",
ROUND(OFFSET($P27,0,AO$13),15-13*ORÇAMENTO!$AF$7)/$H27*OFFSET(ORÇAMENTO!$X$15,ROW(AO27)-ROW(AO$15),0),
ROUND(ROUND(OFFSET($P27,0,AO$13),15-13*ORÇAMENTO!$AF$7)*OFFSET(ORÇAMENTO!$W$15,ROW(AO27)-ROW(AO$15),0),15-13*ORÇAMENTO!$AF$11)),0)</f>
        <v>0</v>
      </c>
      <c r="AP27" s="523">
        <f ca="1">IF(AND($D27="Serviço",AP$12&lt;&gt;0,$H27&gt;0,OR(AUTOEVENTO&lt;&gt;"manual",$M27&lt;&gt;1)),
IF(Import.TipoArredondamento&lt;&gt;"TransfereGOV",
ROUND(OFFSET($P27,0,AP$13),15-13*ORÇAMENTO!$AF$7)/$H27*OFFSET(ORÇAMENTO!$X$15,ROW(AP27)-ROW(AP$15),0),
ROUND(ROUND(OFFSET($P27,0,AP$13),15-13*ORÇAMENTO!$AF$7)*OFFSET(ORÇAMENTO!$W$15,ROW(AP27)-ROW(AP$15),0),15-13*ORÇAMENTO!$AF$11)),0)</f>
        <v>0</v>
      </c>
      <c r="AQ27" s="523">
        <f ca="1">IF(AND($D27="Serviço",AQ$12&lt;&gt;0,$H27&gt;0,OR(AUTOEVENTO&lt;&gt;"manual",$M27&lt;&gt;1)),
IF(Import.TipoArredondamento&lt;&gt;"TransfereGOV",
ROUND(OFFSET($P27,0,AQ$13),15-13*ORÇAMENTO!$AF$7)/$H27*OFFSET(ORÇAMENTO!$X$15,ROW(AQ27)-ROW(AQ$15),0),
ROUND(ROUND(OFFSET($P27,0,AQ$13),15-13*ORÇAMENTO!$AF$7)*OFFSET(ORÇAMENTO!$W$15,ROW(AQ27)-ROW(AQ$15),0),15-13*ORÇAMENTO!$AF$11)),0)</f>
        <v>0</v>
      </c>
      <c r="AR27" s="523">
        <f ca="1">IF(AND($D27="Serviço",AR$12&lt;&gt;0,$H27&gt;0,OR(AUTOEVENTO&lt;&gt;"manual",$M27&lt;&gt;1)),
IF(Import.TipoArredondamento&lt;&gt;"TransfereGOV",
ROUND(OFFSET($P27,0,AR$13),15-13*ORÇAMENTO!$AF$7)/$H27*OFFSET(ORÇAMENTO!$X$15,ROW(AR27)-ROW(AR$15),0),
ROUND(ROUND(OFFSET($P27,0,AR$13),15-13*ORÇAMENTO!$AF$7)*OFFSET(ORÇAMENTO!$W$15,ROW(AR27)-ROW(AR$15),0),15-13*ORÇAMENTO!$AF$11)),0)</f>
        <v>0</v>
      </c>
      <c r="AS27" s="524">
        <f ca="1">IF(AND($D27="Serviço",AS$12&lt;&gt;0,$H27&gt;0,OR(AUTOEVENTO&lt;&gt;"manual",$M27&lt;&gt;1)),
IF(Import.TipoArredondamento&lt;&gt;"TransfereGOV",
ROUND(OFFSET($P27,0,AS$13),15-13*ORÇAMENTO!$AF$7)/$H27*OFFSET(ORÇAMENTO!$X$15,ROW(AS27)-ROW(AS$15),0),
ROUND(ROUND(OFFSET($P27,0,AS$13),15-13*ORÇAMENTO!$AF$7)*OFFSET(ORÇAMENTO!$W$15,ROW(AS27)-ROW(AS$15),0),15-13*ORÇAMENTO!$AF$11)),0)</f>
        <v>0</v>
      </c>
      <c r="AT27" s="523">
        <f ca="1">IF(AND($D27="Serviço",AT$12&lt;&gt;0,$H27&gt;0,OR(AUTOEVENTO&lt;&gt;"manual",$M27&lt;&gt;1)),
IF(Import.TipoArredondamento&lt;&gt;"TransfereGOV",
ROUND(OFFSET($P27,0,AT$13),15-13*ORÇAMENTO!$AF$7)/$H27*OFFSET(ORÇAMENTO!$X$15,ROW(AT27)-ROW(AT$15),0),
ROUND(ROUND(OFFSET($P27,0,AT$13),15-13*ORÇAMENTO!$AF$7)*OFFSET(ORÇAMENTO!$W$15,ROW(AT27)-ROW(AT$15),0),15-13*ORÇAMENTO!$AF$11)),0)</f>
        <v>0</v>
      </c>
      <c r="AU27" s="523">
        <f ca="1">IF(AND($D27="Serviço",AU$12&lt;&gt;0,$H27&gt;0,OR(AUTOEVENTO&lt;&gt;"manual",$M27&lt;&gt;1)),
IF(Import.TipoArredondamento&lt;&gt;"TransfereGOV",
ROUND(OFFSET($P27,0,AU$13),15-13*ORÇAMENTO!$AF$7)/$H27*OFFSET(ORÇAMENTO!$X$15,ROW(AU27)-ROW(AU$15),0),
ROUND(ROUND(OFFSET($P27,0,AU$13),15-13*ORÇAMENTO!$AF$7)*OFFSET(ORÇAMENTO!$W$15,ROW(AU27)-ROW(AU$15),0),15-13*ORÇAMENTO!$AF$11)),0)</f>
        <v>0</v>
      </c>
      <c r="AV27" s="523">
        <f ca="1">IF(AND($D27="Serviço",AV$12&lt;&gt;0,$H27&gt;0,OR(AUTOEVENTO&lt;&gt;"manual",$M27&lt;&gt;1)),
IF(Import.TipoArredondamento&lt;&gt;"TransfereGOV",
ROUND(OFFSET($P27,0,AV$13),15-13*ORÇAMENTO!$AF$7)/$H27*OFFSET(ORÇAMENTO!$X$15,ROW(AV27)-ROW(AV$15),0),
ROUND(ROUND(OFFSET($P27,0,AV$13),15-13*ORÇAMENTO!$AF$7)*OFFSET(ORÇAMENTO!$W$15,ROW(AV27)-ROW(AV$15),0),15-13*ORÇAMENTO!$AF$11)),0)</f>
        <v>0</v>
      </c>
      <c r="AW27" s="523">
        <f ca="1">IF(AND($D27="Serviço",AW$12&lt;&gt;0,$H27&gt;0,OR(AUTOEVENTO&lt;&gt;"manual",$M27&lt;&gt;1)),
IF(Import.TipoArredondamento&lt;&gt;"TransfereGOV",
ROUND(OFFSET($P27,0,AW$13),15-13*ORÇAMENTO!$AF$7)/$H27*OFFSET(ORÇAMENTO!$X$15,ROW(AW27)-ROW(AW$15),0),
ROUND(ROUND(OFFSET($P27,0,AW$13),15-13*ORÇAMENTO!$AF$7)*OFFSET(ORÇAMENTO!$W$15,ROW(AW27)-ROW(AW$15),0),15-13*ORÇAMENTO!$AF$11)),0)</f>
        <v>0</v>
      </c>
      <c r="AX27" s="523">
        <f ca="1">IF(AND($D27="Serviço",AX$12&lt;&gt;0,$H27&gt;0,OR(AUTOEVENTO&lt;&gt;"manual",$M27&lt;&gt;1)),
IF(Import.TipoArredondamento&lt;&gt;"TransfereGOV",
ROUND(OFFSET($P27,0,AX$13),15-13*ORÇAMENTO!$AF$7)/$H27*OFFSET(ORÇAMENTO!$X$15,ROW(AX27)-ROW(AX$15),0),
ROUND(ROUND(OFFSET($P27,0,AX$13),15-13*ORÇAMENTO!$AF$7)*OFFSET(ORÇAMENTO!$W$15,ROW(AX27)-ROW(AX$15),0),15-13*ORÇAMENTO!$AF$11)),0)</f>
        <v>0</v>
      </c>
      <c r="AY27" s="523">
        <f ca="1">IF(AND($D27="Serviço",AY$12&lt;&gt;0,$H27&gt;0,OR(AUTOEVENTO&lt;&gt;"manual",$M27&lt;&gt;1)),
IF(Import.TipoArredondamento&lt;&gt;"TransfereGOV",
ROUND(OFFSET($P27,0,AY$13),15-13*ORÇAMENTO!$AF$7)/$H27*OFFSET(ORÇAMENTO!$X$15,ROW(AY27)-ROW(AY$15),0),
ROUND(ROUND(OFFSET($P27,0,AY$13),15-13*ORÇAMENTO!$AF$7)*OFFSET(ORÇAMENTO!$W$15,ROW(AY27)-ROW(AY$15),0),15-13*ORÇAMENTO!$AF$11)),0)</f>
        <v>0</v>
      </c>
      <c r="AZ27" s="523">
        <f ca="1">IF(AND($D27="Serviço",AZ$12&lt;&gt;0,$H27&gt;0,OR(AUTOEVENTO&lt;&gt;"manual",$M27&lt;&gt;1)),
IF(Import.TipoArredondamento&lt;&gt;"TransfereGOV",
ROUND(OFFSET($P27,0,AZ$13),15-13*ORÇAMENTO!$AF$7)/$H27*OFFSET(ORÇAMENTO!$X$15,ROW(AZ27)-ROW(AZ$15),0),
ROUND(ROUND(OFFSET($P27,0,AZ$13),15-13*ORÇAMENTO!$AF$7)*OFFSET(ORÇAMENTO!$W$15,ROW(AZ27)-ROW(AZ$15),0),15-13*ORÇAMENTO!$AF$11)),0)</f>
        <v>0</v>
      </c>
      <c r="BA27" s="524">
        <f ca="1">IF(AND($D27="Serviço",BA$12&lt;&gt;0,$H27&gt;0,OR(AUTOEVENTO&lt;&gt;"manual",$M27&lt;&gt;1)),
IF(Import.TipoArredondamento&lt;&gt;"TransfereGOV",
ROUND(OFFSET($P27,0,BA$13),15-13*ORÇAMENTO!$AF$7)/$H27*OFFSET(ORÇAMENTO!$X$15,ROW(BA27)-ROW(BA$15),0),
ROUND(ROUND(OFFSET($P27,0,BA$13),15-13*ORÇAMENTO!$AF$7)*OFFSET(ORÇAMENTO!$W$15,ROW(BA27)-ROW(BA$15),0),15-13*ORÇAMENTO!$AF$11)),0)</f>
        <v>0</v>
      </c>
      <c r="BC27" s="181">
        <f ca="1">IF($D27&lt;&gt;"Serviço",0,IF(AND(AUTOEVENTO="Manual",$M27=1),0,IF(OFFSET(CRONOPLE!$F$14,$M27,BC$13)="",10^12,OFFSET(CRONOPLE!$F$14,$M27,BC$13))))</f>
        <v>12</v>
      </c>
      <c r="BD27" s="181">
        <f ca="1">IF($D27&lt;&gt;"Serviço",0,IF(AND(AUTOEVENTO="Manual",$M27=1),0,IF(OFFSET(CRONOPLE!$F$14,$M27,BD$13)="",10^12,OFFSET(CRONOPLE!$F$14,$M27,BD$13))))</f>
        <v>1000000000000</v>
      </c>
      <c r="BE27" s="181">
        <f ca="1">IF($D27&lt;&gt;"Serviço",0,IF(AND(AUTOEVENTO="Manual",$M27=1),0,IF(OFFSET(CRONOPLE!$F$14,$M27,BE$13)="",10^12,OFFSET(CRONOPLE!$F$14,$M27,BE$13))))</f>
        <v>1000000000000</v>
      </c>
      <c r="BF27" s="181">
        <f ca="1">IF($D27&lt;&gt;"Serviço",0,IF(AND(AUTOEVENTO="Manual",$M27=1),0,IF(OFFSET(CRONOPLE!$F$14,$M27,BF$13)="",10^12,OFFSET(CRONOPLE!$F$14,$M27,BF$13))))</f>
        <v>1000000000000</v>
      </c>
      <c r="BG27" s="181">
        <f ca="1">IF($D27&lt;&gt;"Serviço",0,IF(AND(AUTOEVENTO="Manual",$M27=1),0,IF(OFFSET(CRONOPLE!$F$14,$M27,BG$13)="",10^12,OFFSET(CRONOPLE!$F$14,$M27,BG$13))))</f>
        <v>1000000000000</v>
      </c>
      <c r="BH27" s="181">
        <f ca="1">IF($D27&lt;&gt;"Serviço",0,IF(AND(AUTOEVENTO="Manual",$M27=1),0,IF(OFFSET(CRONOPLE!$F$14,$M27,BH$13)="",10^12,OFFSET(CRONOPLE!$F$14,$M27,BH$13))))</f>
        <v>1000000000000</v>
      </c>
      <c r="BI27" s="181">
        <f ca="1">IF($D27&lt;&gt;"Serviço",0,IF(AND(AUTOEVENTO="Manual",$M27=1),0,IF(OFFSET(CRONOPLE!$F$14,$M27,BI$13)="",10^12,OFFSET(CRONOPLE!$F$14,$M27,BI$13))))</f>
        <v>1000000000000</v>
      </c>
      <c r="BJ27" s="181">
        <f ca="1">IF($D27&lt;&gt;"Serviço",0,IF(AND(AUTOEVENTO="Manual",$M27=1),0,IF(OFFSET(CRONOPLE!$F$14,$M27,BJ$13)="",10^12,OFFSET(CRONOPLE!$F$14,$M27,BJ$13))))</f>
        <v>1000000000000</v>
      </c>
      <c r="BK27" s="181">
        <f ca="1">IF($D27&lt;&gt;"Serviço",0,IF(AND(AUTOEVENTO="Manual",$M27=1),0,IF(OFFSET(CRONOPLE!$F$14,$M27,BK$13)="",10^12,OFFSET(CRONOPLE!$F$14,$M27,BK$13))))</f>
        <v>1000000000000</v>
      </c>
      <c r="BL27" s="181">
        <f ca="1">IF($D27&lt;&gt;"Serviço",0,IF(AND(AUTOEVENTO="Manual",$M27=1),0,IF(OFFSET(CRONOPLE!$F$14,$M27,BL$13)="",10^12,OFFSET(CRONOPLE!$F$14,$M27,BL$13))))</f>
        <v>1000000000000</v>
      </c>
      <c r="BM27" s="181">
        <f ca="1">IF($D27&lt;&gt;"Serviço",0,IF(AND(AUTOEVENTO="Manual",$M27=1),0,IF(OFFSET(CRONOPLE!$F$14,$M27,BM$13)="",10^12,OFFSET(CRONOPLE!$F$14,$M27,BM$13))))</f>
        <v>1000000000000</v>
      </c>
      <c r="BN27" s="181">
        <f ca="1">IF($D27&lt;&gt;"Serviço",0,IF(AND(AUTOEVENTO="Manual",$M27=1),0,IF(OFFSET(CRONOPLE!$F$14,$M27,BN$13)="",10^12,OFFSET(CRONOPLE!$F$14,$M27,BN$13))))</f>
        <v>1000000000000</v>
      </c>
      <c r="BO27" s="181">
        <f ca="1">IF($D27&lt;&gt;"Serviço",0,IF(AND(AUTOEVENTO="Manual",$M27=1),0,IF(OFFSET(CRONOPLE!$F$14,$M27,BO$13)="",10^12,OFFSET(CRONOPLE!$F$14,$M27,BO$13))))</f>
        <v>1000000000000</v>
      </c>
      <c r="BP27" s="181">
        <f ca="1">IF($D27&lt;&gt;"Serviço",0,IF(AND(AUTOEVENTO="Manual",$M27=1),0,IF(OFFSET(CRONOPLE!$F$14,$M27,BP$13)="",10^12,OFFSET(CRONOPLE!$F$14,$M27,BP$13))))</f>
        <v>1000000000000</v>
      </c>
      <c r="BQ27" s="181">
        <f ca="1">IF($D27&lt;&gt;"Serviço",0,IF(AND(AUTOEVENTO="Manual",$M27=1),0,IF(OFFSET(CRONOPLE!$F$14,$M27,BQ$13)="",10^12,OFFSET(CRONOPLE!$F$14,$M27,BQ$13))))</f>
        <v>1000000000000</v>
      </c>
      <c r="BR27" s="181">
        <f ca="1">IF($D27&lt;&gt;"Serviço",0,IF(AND(AUTOEVENTO="Manual",$M27=1),0,IF(OFFSET(CRONOPLE!$F$14,$M27,BR$13)="",10^12,OFFSET(CRONOPLE!$F$14,$M27,BR$13))))</f>
        <v>1000000000000</v>
      </c>
      <c r="BS27" s="181">
        <f ca="1">IF($D27&lt;&gt;"Serviço",0,IF(AND(AUTOEVENTO="Manual",$M27=1),0,IF(OFFSET(CRONOPLE!$F$14,$M27,BS$13)="",10^12,OFFSET(CRONOPLE!$F$14,$M27,BS$13))))</f>
        <v>1000000000000</v>
      </c>
      <c r="BT27" s="181">
        <f ca="1">IF($D27&lt;&gt;"Serviço",0,IF(AND(AUTOEVENTO="Manual",$M27=1),0,IF(OFFSET(CRONOPLE!$F$14,$M27,BT$13)="",10^12,OFFSET(CRONOPLE!$F$14,$M27,BT$13))))</f>
        <v>1000000000000</v>
      </c>
      <c r="BV27" s="182">
        <f ca="1">IF($D27&lt;&gt;"Serviço",0,IF(OR(AND(AUTOEVENTO="Manual",$M27=1),$M27&gt;(ROW(PLE.lastrow)-ROW(PLE.firstrow))),0,IF(OFFSET(PLE!$G$14,$M27,BV$13)="",10^12,OFFSET(PLE!$G$14,$M27,BV$13))))</f>
        <v>1000000000000</v>
      </c>
      <c r="BW27" s="182">
        <f ca="1">IF($D27&lt;&gt;"Serviço",0,IF(OR(AND(AUTOEVENTO="Manual",$M27=1),$M27&gt;(ROW(PLE.lastrow)-ROW(PLE.firstrow))),0,IF(OFFSET(PLE!$G$14,$M27,BW$13)="",10^12,OFFSET(PLE!$G$14,$M27,BW$13))))</f>
        <v>1000000000000</v>
      </c>
      <c r="BX27" s="182">
        <f ca="1">IF($D27&lt;&gt;"Serviço",0,IF(OR(AND(AUTOEVENTO="Manual",$M27=1),$M27&gt;(ROW(PLE.lastrow)-ROW(PLE.firstrow))),0,IF(OFFSET(PLE!$G$14,$M27,BX$13)="",10^12,OFFSET(PLE!$G$14,$M27,BX$13))))</f>
        <v>1000000000000</v>
      </c>
      <c r="BY27" s="182">
        <f ca="1">IF($D27&lt;&gt;"Serviço",0,IF(OR(AND(AUTOEVENTO="Manual",$M27=1),$M27&gt;(ROW(PLE.lastrow)-ROW(PLE.firstrow))),0,IF(OFFSET(PLE!$G$14,$M27,BY$13)="",10^12,OFFSET(PLE!$G$14,$M27,BY$13))))</f>
        <v>1000000000000</v>
      </c>
      <c r="BZ27" s="182">
        <f ca="1">IF($D27&lt;&gt;"Serviço",0,IF(OR(AND(AUTOEVENTO="Manual",$M27=1),$M27&gt;(ROW(PLE.lastrow)-ROW(PLE.firstrow))),0,IF(OFFSET(PLE!$G$14,$M27,BZ$13)="",10^12,OFFSET(PLE!$G$14,$M27,BZ$13))))</f>
        <v>1000000000000</v>
      </c>
      <c r="CA27" s="182">
        <f ca="1">IF($D27&lt;&gt;"Serviço",0,IF(OR(AND(AUTOEVENTO="Manual",$M27=1),$M27&gt;(ROW(PLE.lastrow)-ROW(PLE.firstrow))),0,IF(OFFSET(PLE!$G$14,$M27,CA$13)="",10^12,OFFSET(PLE!$G$14,$M27,CA$13))))</f>
        <v>1000000000000</v>
      </c>
      <c r="CB27" s="182">
        <f ca="1">IF($D27&lt;&gt;"Serviço",0,IF(OR(AND(AUTOEVENTO="Manual",$M27=1),$M27&gt;(ROW(PLE.lastrow)-ROW(PLE.firstrow))),0,IF(OFFSET(PLE!$G$14,$M27,CB$13)="",10^12,OFFSET(PLE!$G$14,$M27,CB$13))))</f>
        <v>1000000000000</v>
      </c>
      <c r="CC27" s="182">
        <f ca="1">IF($D27&lt;&gt;"Serviço",0,IF(OR(AND(AUTOEVENTO="Manual",$M27=1),$M27&gt;(ROW(PLE.lastrow)-ROW(PLE.firstrow))),0,IF(OFFSET(PLE!$G$14,$M27,CC$13)="",10^12,OFFSET(PLE!$G$14,$M27,CC$13))))</f>
        <v>1000000000000</v>
      </c>
      <c r="CD27" s="182">
        <f ca="1">IF($D27&lt;&gt;"Serviço",0,IF(OR(AND(AUTOEVENTO="Manual",$M27=1),$M27&gt;(ROW(PLE.lastrow)-ROW(PLE.firstrow))),0,IF(OFFSET(PLE!$G$14,$M27,CD$13)="",10^12,OFFSET(PLE!$G$14,$M27,CD$13))))</f>
        <v>1000000000000</v>
      </c>
      <c r="CE27" s="182">
        <f ca="1">IF($D27&lt;&gt;"Serviço",0,IF(OR(AND(AUTOEVENTO="Manual",$M27=1),$M27&gt;(ROW(PLE.lastrow)-ROW(PLE.firstrow))),0,IF(OFFSET(PLE!$G$14,$M27,CE$13)="",10^12,OFFSET(PLE!$G$14,$M27,CE$13))))</f>
        <v>1000000000000</v>
      </c>
      <c r="CF27" s="182">
        <f ca="1">IF($D27&lt;&gt;"Serviço",0,IF(OR(AND(AUTOEVENTO="Manual",$M27=1),$M27&gt;(ROW(PLE.lastrow)-ROW(PLE.firstrow))),0,IF(OFFSET(PLE!$G$14,$M27,CF$13)="",10^12,OFFSET(PLE!$G$14,$M27,CF$13))))</f>
        <v>1000000000000</v>
      </c>
      <c r="CG27" s="182">
        <f ca="1">IF($D27&lt;&gt;"Serviço",0,IF(OR(AND(AUTOEVENTO="Manual",$M27=1),$M27&gt;(ROW(PLE.lastrow)-ROW(PLE.firstrow))),0,IF(OFFSET(PLE!$G$14,$M27,CG$13)="",10^12,OFFSET(PLE!$G$14,$M27,CG$13))))</f>
        <v>1000000000000</v>
      </c>
      <c r="CH27" s="182">
        <f ca="1">IF($D27&lt;&gt;"Serviço",0,IF(OR(AND(AUTOEVENTO="Manual",$M27=1),$M27&gt;(ROW(PLE.lastrow)-ROW(PLE.firstrow))),0,IF(OFFSET(PLE!$G$14,$M27,CH$13)="",10^12,OFFSET(PLE!$G$14,$M27,CH$13))))</f>
        <v>1000000000000</v>
      </c>
      <c r="CI27" s="182">
        <f ca="1">IF($D27&lt;&gt;"Serviço",0,IF(OR(AND(AUTOEVENTO="Manual",$M27=1),$M27&gt;(ROW(PLE.lastrow)-ROW(PLE.firstrow))),0,IF(OFFSET(PLE!$G$14,$M27,CI$13)="",10^12,OFFSET(PLE!$G$14,$M27,CI$13))))</f>
        <v>1000000000000</v>
      </c>
      <c r="CJ27" s="182">
        <f ca="1">IF($D27&lt;&gt;"Serviço",0,IF(OR(AND(AUTOEVENTO="Manual",$M27=1),$M27&gt;(ROW(PLE.lastrow)-ROW(PLE.firstrow))),0,IF(OFFSET(PLE!$G$14,$M27,CJ$13)="",10^12,OFFSET(PLE!$G$14,$M27,CJ$13))))</f>
        <v>1000000000000</v>
      </c>
      <c r="CK27" s="182">
        <f ca="1">IF($D27&lt;&gt;"Serviço",0,IF(OR(AND(AUTOEVENTO="Manual",$M27=1),$M27&gt;(ROW(PLE.lastrow)-ROW(PLE.firstrow))),0,IF(OFFSET(PLE!$G$14,$M27,CK$13)="",10^12,OFFSET(PLE!$G$14,$M27,CK$13))))</f>
        <v>1000000000000</v>
      </c>
      <c r="CL27" s="182">
        <f ca="1">IF($D27&lt;&gt;"Serviço",0,IF(OR(AND(AUTOEVENTO="Manual",$M27=1),$M27&gt;(ROW(PLE.lastrow)-ROW(PLE.firstrow))),0,IF(OFFSET(PLE!$G$14,$M27,CL$13)="",10^12,OFFSET(PLE!$G$14,$M27,CL$13))))</f>
        <v>1000000000000</v>
      </c>
      <c r="CM27" s="182">
        <f ca="1">IF($D27&lt;&gt;"Serviço",0,IF(OR(AND(AUTOEVENTO="Manual",$M27=1),$M27&gt;(ROW(PLE.lastrow)-ROW(PLE.firstrow))),0,IF(OFFSET(PLE!$G$14,$M27,CM$13)="",10^12,OFFSET(PLE!$G$14,$M27,CM$13))))</f>
        <v>1000000000000</v>
      </c>
    </row>
    <row r="28" spans="1:91" ht="38.25" x14ac:dyDescent="0.2">
      <c r="A28" s="7" t="str">
        <f t="shared" ca="1" si="9"/>
        <v>2</v>
      </c>
      <c r="B28" s="7" t="str">
        <f ca="1">OFFSET(ORÇAMENTO!C$15,ROW(B28)-ROW(B$15),0)</f>
        <v>S</v>
      </c>
      <c r="C28" s="7" t="str">
        <f ca="1">OFFSET(ORÇAMENTO!L$15,ROW(C28)-ROW(C$15),0)</f>
        <v/>
      </c>
      <c r="D28" s="118" t="str">
        <f ca="1">OFFSET(ORÇAMENTO!N$15,ROW(D28)-ROW(D$15),0)</f>
        <v>Serviço</v>
      </c>
      <c r="E28" s="119" t="str">
        <f ca="1">OFFSET(ORÇAMENTO!O$15,ROW(E28)-ROW(E$15),0)</f>
        <v>-</v>
      </c>
      <c r="F28" s="172" t="str">
        <f ca="1">OFFSET(ORÇAMENTO!R$15,ROW(F28)-ROW(F$15),0)</f>
        <v>(abra o arquivo 'Referência 03-Sunday.xlsm)</v>
      </c>
      <c r="G28" s="173" t="str">
        <f ca="1">IF($D28&lt;&gt;"Serviço","",OFFSET(ORÇAMENTO!S$15,ROW(G28)-ROW(G$15),0))</f>
        <v>-</v>
      </c>
      <c r="H28" s="124">
        <f ca="1">IF($D28&lt;&gt;"Serviço",0,IF(ACOMPANHAMENTO="BM",ROUND(OFFSET(ORÇAMENTO!AJ$15,ROW(H28)-ROW(H$15),0),15-13*ORÇAMENTO!$AF$7),SUMPRODUCT(($Q$12:$AI$12&lt;&gt;"")*ROUND($Q28:$AI28,15-13*ORÇAMENTO!$AF$7))))</f>
        <v>600</v>
      </c>
      <c r="I28" s="539" t="s">
        <v>513</v>
      </c>
      <c r="K28" s="174"/>
      <c r="L28" s="175" t="s">
        <v>254</v>
      </c>
      <c r="M28" s="176">
        <f ca="1">IF($D28&lt;&gt;"Serviço","",IF(AUTOEVENTO="manual",$A28,IF(ISERROR(MATCH($A28,$A$15:OFFSET($A28,-1,0),0)),MAX($M$15:OFFSET(M28,-1,0))+1,INDEX($M$15:OFFSET(M28,-1,0),MATCH($A28,$A$15:OFFSET($A28,-1,0),0)))))</f>
        <v>2</v>
      </c>
      <c r="N28" s="177" t="str">
        <f ca="1">IF($D28&lt;&gt;"Serviço","",IF(AUTOEVENTO="Manual",IF($A28=0,"&lt;-- defina o número do agrupador",OFFSET(EVENTOS!$D$14,$A28,0)),OFFSET($F$15,$A28,0)))</f>
        <v>Lote 01  - Manutenção e Reparos Abrigos Passagerios Onibus e Táxi</v>
      </c>
      <c r="O28" s="178"/>
      <c r="Q28" s="178">
        <f>6*100</f>
        <v>600</v>
      </c>
      <c r="R28" s="179"/>
      <c r="S28" s="179"/>
      <c r="T28" s="179"/>
      <c r="U28" s="179"/>
      <c r="V28" s="179"/>
      <c r="W28" s="179"/>
      <c r="X28" s="179"/>
      <c r="Y28" s="179"/>
      <c r="Z28" s="180"/>
      <c r="AA28" s="179"/>
      <c r="AB28" s="179"/>
      <c r="AC28" s="179"/>
      <c r="AD28" s="179"/>
      <c r="AE28" s="179"/>
      <c r="AF28" s="179"/>
      <c r="AG28" s="179"/>
      <c r="AH28" s="180"/>
      <c r="AJ28" s="522">
        <f ca="1">IF(AND($D28="Serviço",AJ$12&lt;&gt;0,$H28&gt;0,OR(AUTOEVENTO&lt;&gt;"manual",$M28&lt;&gt;1)),
IF(Import.TipoArredondamento&lt;&gt;"TransfereGOV",
ROUND(OFFSET($P28,0,AJ$13),15-13*ORÇAMENTO!$AF$7)/$H28*OFFSET(ORÇAMENTO!$X$15,ROW(AJ28)-ROW(AJ$15),0),
ROUND(ROUND(OFFSET($P28,0,AJ$13),15-13*ORÇAMENTO!$AF$7)*OFFSET(ORÇAMENTO!$W$15,ROW(AJ28)-ROW(AJ$15),0),15-13*ORÇAMENTO!$AF$11)),0)</f>
        <v>0</v>
      </c>
      <c r="AK28" s="523">
        <f ca="1">IF(AND($D28="Serviço",AK$12&lt;&gt;0,$H28&gt;0,OR(AUTOEVENTO&lt;&gt;"manual",$M28&lt;&gt;1)),
IF(Import.TipoArredondamento&lt;&gt;"TransfereGOV",
ROUND(OFFSET($P28,0,AK$13),15-13*ORÇAMENTO!$AF$7)/$H28*OFFSET(ORÇAMENTO!$X$15,ROW(AK28)-ROW(AK$15),0),
ROUND(ROUND(OFFSET($P28,0,AK$13),15-13*ORÇAMENTO!$AF$7)*OFFSET(ORÇAMENTO!$W$15,ROW(AK28)-ROW(AK$15),0),15-13*ORÇAMENTO!$AF$11)),0)</f>
        <v>0</v>
      </c>
      <c r="AL28" s="523">
        <f ca="1">IF(AND($D28="Serviço",AL$12&lt;&gt;0,$H28&gt;0,OR(AUTOEVENTO&lt;&gt;"manual",$M28&lt;&gt;1)),
IF(Import.TipoArredondamento&lt;&gt;"TransfereGOV",
ROUND(OFFSET($P28,0,AL$13),15-13*ORÇAMENTO!$AF$7)/$H28*OFFSET(ORÇAMENTO!$X$15,ROW(AL28)-ROW(AL$15),0),
ROUND(ROUND(OFFSET($P28,0,AL$13),15-13*ORÇAMENTO!$AF$7)*OFFSET(ORÇAMENTO!$W$15,ROW(AL28)-ROW(AL$15),0),15-13*ORÇAMENTO!$AF$11)),0)</f>
        <v>0</v>
      </c>
      <c r="AM28" s="523">
        <f ca="1">IF(AND($D28="Serviço",AM$12&lt;&gt;0,$H28&gt;0,OR(AUTOEVENTO&lt;&gt;"manual",$M28&lt;&gt;1)),
IF(Import.TipoArredondamento&lt;&gt;"TransfereGOV",
ROUND(OFFSET($P28,0,AM$13),15-13*ORÇAMENTO!$AF$7)/$H28*OFFSET(ORÇAMENTO!$X$15,ROW(AM28)-ROW(AM$15),0),
ROUND(ROUND(OFFSET($P28,0,AM$13),15-13*ORÇAMENTO!$AF$7)*OFFSET(ORÇAMENTO!$W$15,ROW(AM28)-ROW(AM$15),0),15-13*ORÇAMENTO!$AF$11)),0)</f>
        <v>0</v>
      </c>
      <c r="AN28" s="523">
        <f ca="1">IF(AND($D28="Serviço",AN$12&lt;&gt;0,$H28&gt;0,OR(AUTOEVENTO&lt;&gt;"manual",$M28&lt;&gt;1)),
IF(Import.TipoArredondamento&lt;&gt;"TransfereGOV",
ROUND(OFFSET($P28,0,AN$13),15-13*ORÇAMENTO!$AF$7)/$H28*OFFSET(ORÇAMENTO!$X$15,ROW(AN28)-ROW(AN$15),0),
ROUND(ROUND(OFFSET($P28,0,AN$13),15-13*ORÇAMENTO!$AF$7)*OFFSET(ORÇAMENTO!$W$15,ROW(AN28)-ROW(AN$15),0),15-13*ORÇAMENTO!$AF$11)),0)</f>
        <v>0</v>
      </c>
      <c r="AO28" s="523">
        <f ca="1">IF(AND($D28="Serviço",AO$12&lt;&gt;0,$H28&gt;0,OR(AUTOEVENTO&lt;&gt;"manual",$M28&lt;&gt;1)),
IF(Import.TipoArredondamento&lt;&gt;"TransfereGOV",
ROUND(OFFSET($P28,0,AO$13),15-13*ORÇAMENTO!$AF$7)/$H28*OFFSET(ORÇAMENTO!$X$15,ROW(AO28)-ROW(AO$15),0),
ROUND(ROUND(OFFSET($P28,0,AO$13),15-13*ORÇAMENTO!$AF$7)*OFFSET(ORÇAMENTO!$W$15,ROW(AO28)-ROW(AO$15),0),15-13*ORÇAMENTO!$AF$11)),0)</f>
        <v>0</v>
      </c>
      <c r="AP28" s="523">
        <f ca="1">IF(AND($D28="Serviço",AP$12&lt;&gt;0,$H28&gt;0,OR(AUTOEVENTO&lt;&gt;"manual",$M28&lt;&gt;1)),
IF(Import.TipoArredondamento&lt;&gt;"TransfereGOV",
ROUND(OFFSET($P28,0,AP$13),15-13*ORÇAMENTO!$AF$7)/$H28*OFFSET(ORÇAMENTO!$X$15,ROW(AP28)-ROW(AP$15),0),
ROUND(ROUND(OFFSET($P28,0,AP$13),15-13*ORÇAMENTO!$AF$7)*OFFSET(ORÇAMENTO!$W$15,ROW(AP28)-ROW(AP$15),0),15-13*ORÇAMENTO!$AF$11)),0)</f>
        <v>0</v>
      </c>
      <c r="AQ28" s="523">
        <f ca="1">IF(AND($D28="Serviço",AQ$12&lt;&gt;0,$H28&gt;0,OR(AUTOEVENTO&lt;&gt;"manual",$M28&lt;&gt;1)),
IF(Import.TipoArredondamento&lt;&gt;"TransfereGOV",
ROUND(OFFSET($P28,0,AQ$13),15-13*ORÇAMENTO!$AF$7)/$H28*OFFSET(ORÇAMENTO!$X$15,ROW(AQ28)-ROW(AQ$15),0),
ROUND(ROUND(OFFSET($P28,0,AQ$13),15-13*ORÇAMENTO!$AF$7)*OFFSET(ORÇAMENTO!$W$15,ROW(AQ28)-ROW(AQ$15),0),15-13*ORÇAMENTO!$AF$11)),0)</f>
        <v>0</v>
      </c>
      <c r="AR28" s="523">
        <f ca="1">IF(AND($D28="Serviço",AR$12&lt;&gt;0,$H28&gt;0,OR(AUTOEVENTO&lt;&gt;"manual",$M28&lt;&gt;1)),
IF(Import.TipoArredondamento&lt;&gt;"TransfereGOV",
ROUND(OFFSET($P28,0,AR$13),15-13*ORÇAMENTO!$AF$7)/$H28*OFFSET(ORÇAMENTO!$X$15,ROW(AR28)-ROW(AR$15),0),
ROUND(ROUND(OFFSET($P28,0,AR$13),15-13*ORÇAMENTO!$AF$7)*OFFSET(ORÇAMENTO!$W$15,ROW(AR28)-ROW(AR$15),0),15-13*ORÇAMENTO!$AF$11)),0)</f>
        <v>0</v>
      </c>
      <c r="AS28" s="524">
        <f ca="1">IF(AND($D28="Serviço",AS$12&lt;&gt;0,$H28&gt;0,OR(AUTOEVENTO&lt;&gt;"manual",$M28&lt;&gt;1)),
IF(Import.TipoArredondamento&lt;&gt;"TransfereGOV",
ROUND(OFFSET($P28,0,AS$13),15-13*ORÇAMENTO!$AF$7)/$H28*OFFSET(ORÇAMENTO!$X$15,ROW(AS28)-ROW(AS$15),0),
ROUND(ROUND(OFFSET($P28,0,AS$13),15-13*ORÇAMENTO!$AF$7)*OFFSET(ORÇAMENTO!$W$15,ROW(AS28)-ROW(AS$15),0),15-13*ORÇAMENTO!$AF$11)),0)</f>
        <v>0</v>
      </c>
      <c r="AT28" s="523">
        <f ca="1">IF(AND($D28="Serviço",AT$12&lt;&gt;0,$H28&gt;0,OR(AUTOEVENTO&lt;&gt;"manual",$M28&lt;&gt;1)),
IF(Import.TipoArredondamento&lt;&gt;"TransfereGOV",
ROUND(OFFSET($P28,0,AT$13),15-13*ORÇAMENTO!$AF$7)/$H28*OFFSET(ORÇAMENTO!$X$15,ROW(AT28)-ROW(AT$15),0),
ROUND(ROUND(OFFSET($P28,0,AT$13),15-13*ORÇAMENTO!$AF$7)*OFFSET(ORÇAMENTO!$W$15,ROW(AT28)-ROW(AT$15),0),15-13*ORÇAMENTO!$AF$11)),0)</f>
        <v>0</v>
      </c>
      <c r="AU28" s="523">
        <f ca="1">IF(AND($D28="Serviço",AU$12&lt;&gt;0,$H28&gt;0,OR(AUTOEVENTO&lt;&gt;"manual",$M28&lt;&gt;1)),
IF(Import.TipoArredondamento&lt;&gt;"TransfereGOV",
ROUND(OFFSET($P28,0,AU$13),15-13*ORÇAMENTO!$AF$7)/$H28*OFFSET(ORÇAMENTO!$X$15,ROW(AU28)-ROW(AU$15),0),
ROUND(ROUND(OFFSET($P28,0,AU$13),15-13*ORÇAMENTO!$AF$7)*OFFSET(ORÇAMENTO!$W$15,ROW(AU28)-ROW(AU$15),0),15-13*ORÇAMENTO!$AF$11)),0)</f>
        <v>0</v>
      </c>
      <c r="AV28" s="523">
        <f ca="1">IF(AND($D28="Serviço",AV$12&lt;&gt;0,$H28&gt;0,OR(AUTOEVENTO&lt;&gt;"manual",$M28&lt;&gt;1)),
IF(Import.TipoArredondamento&lt;&gt;"TransfereGOV",
ROUND(OFFSET($P28,0,AV$13),15-13*ORÇAMENTO!$AF$7)/$H28*OFFSET(ORÇAMENTO!$X$15,ROW(AV28)-ROW(AV$15),0),
ROUND(ROUND(OFFSET($P28,0,AV$13),15-13*ORÇAMENTO!$AF$7)*OFFSET(ORÇAMENTO!$W$15,ROW(AV28)-ROW(AV$15),0),15-13*ORÇAMENTO!$AF$11)),0)</f>
        <v>0</v>
      </c>
      <c r="AW28" s="523">
        <f ca="1">IF(AND($D28="Serviço",AW$12&lt;&gt;0,$H28&gt;0,OR(AUTOEVENTO&lt;&gt;"manual",$M28&lt;&gt;1)),
IF(Import.TipoArredondamento&lt;&gt;"TransfereGOV",
ROUND(OFFSET($P28,0,AW$13),15-13*ORÇAMENTO!$AF$7)/$H28*OFFSET(ORÇAMENTO!$X$15,ROW(AW28)-ROW(AW$15),0),
ROUND(ROUND(OFFSET($P28,0,AW$13),15-13*ORÇAMENTO!$AF$7)*OFFSET(ORÇAMENTO!$W$15,ROW(AW28)-ROW(AW$15),0),15-13*ORÇAMENTO!$AF$11)),0)</f>
        <v>0</v>
      </c>
      <c r="AX28" s="523">
        <f ca="1">IF(AND($D28="Serviço",AX$12&lt;&gt;0,$H28&gt;0,OR(AUTOEVENTO&lt;&gt;"manual",$M28&lt;&gt;1)),
IF(Import.TipoArredondamento&lt;&gt;"TransfereGOV",
ROUND(OFFSET($P28,0,AX$13),15-13*ORÇAMENTO!$AF$7)/$H28*OFFSET(ORÇAMENTO!$X$15,ROW(AX28)-ROW(AX$15),0),
ROUND(ROUND(OFFSET($P28,0,AX$13),15-13*ORÇAMENTO!$AF$7)*OFFSET(ORÇAMENTO!$W$15,ROW(AX28)-ROW(AX$15),0),15-13*ORÇAMENTO!$AF$11)),0)</f>
        <v>0</v>
      </c>
      <c r="AY28" s="523">
        <f ca="1">IF(AND($D28="Serviço",AY$12&lt;&gt;0,$H28&gt;0,OR(AUTOEVENTO&lt;&gt;"manual",$M28&lt;&gt;1)),
IF(Import.TipoArredondamento&lt;&gt;"TransfereGOV",
ROUND(OFFSET($P28,0,AY$13),15-13*ORÇAMENTO!$AF$7)/$H28*OFFSET(ORÇAMENTO!$X$15,ROW(AY28)-ROW(AY$15),0),
ROUND(ROUND(OFFSET($P28,0,AY$13),15-13*ORÇAMENTO!$AF$7)*OFFSET(ORÇAMENTO!$W$15,ROW(AY28)-ROW(AY$15),0),15-13*ORÇAMENTO!$AF$11)),0)</f>
        <v>0</v>
      </c>
      <c r="AZ28" s="523">
        <f ca="1">IF(AND($D28="Serviço",AZ$12&lt;&gt;0,$H28&gt;0,OR(AUTOEVENTO&lt;&gt;"manual",$M28&lt;&gt;1)),
IF(Import.TipoArredondamento&lt;&gt;"TransfereGOV",
ROUND(OFFSET($P28,0,AZ$13),15-13*ORÇAMENTO!$AF$7)/$H28*OFFSET(ORÇAMENTO!$X$15,ROW(AZ28)-ROW(AZ$15),0),
ROUND(ROUND(OFFSET($P28,0,AZ$13),15-13*ORÇAMENTO!$AF$7)*OFFSET(ORÇAMENTO!$W$15,ROW(AZ28)-ROW(AZ$15),0),15-13*ORÇAMENTO!$AF$11)),0)</f>
        <v>0</v>
      </c>
      <c r="BA28" s="524">
        <f ca="1">IF(AND($D28="Serviço",BA$12&lt;&gt;0,$H28&gt;0,OR(AUTOEVENTO&lt;&gt;"manual",$M28&lt;&gt;1)),
IF(Import.TipoArredondamento&lt;&gt;"TransfereGOV",
ROUND(OFFSET($P28,0,BA$13),15-13*ORÇAMENTO!$AF$7)/$H28*OFFSET(ORÇAMENTO!$X$15,ROW(BA28)-ROW(BA$15),0),
ROUND(ROUND(OFFSET($P28,0,BA$13),15-13*ORÇAMENTO!$AF$7)*OFFSET(ORÇAMENTO!$W$15,ROW(BA28)-ROW(BA$15),0),15-13*ORÇAMENTO!$AF$11)),0)</f>
        <v>0</v>
      </c>
      <c r="BC28" s="181">
        <f ca="1">IF($D28&lt;&gt;"Serviço",0,IF(AND(AUTOEVENTO="Manual",$M28=1),0,IF(OFFSET(CRONOPLE!$F$14,$M28,BC$13)="",10^12,OFFSET(CRONOPLE!$F$14,$M28,BC$13))))</f>
        <v>12</v>
      </c>
      <c r="BD28" s="181">
        <f ca="1">IF($D28&lt;&gt;"Serviço",0,IF(AND(AUTOEVENTO="Manual",$M28=1),0,IF(OFFSET(CRONOPLE!$F$14,$M28,BD$13)="",10^12,OFFSET(CRONOPLE!$F$14,$M28,BD$13))))</f>
        <v>1000000000000</v>
      </c>
      <c r="BE28" s="181">
        <f ca="1">IF($D28&lt;&gt;"Serviço",0,IF(AND(AUTOEVENTO="Manual",$M28=1),0,IF(OFFSET(CRONOPLE!$F$14,$M28,BE$13)="",10^12,OFFSET(CRONOPLE!$F$14,$M28,BE$13))))</f>
        <v>1000000000000</v>
      </c>
      <c r="BF28" s="181">
        <f ca="1">IF($D28&lt;&gt;"Serviço",0,IF(AND(AUTOEVENTO="Manual",$M28=1),0,IF(OFFSET(CRONOPLE!$F$14,$M28,BF$13)="",10^12,OFFSET(CRONOPLE!$F$14,$M28,BF$13))))</f>
        <v>1000000000000</v>
      </c>
      <c r="BG28" s="181">
        <f ca="1">IF($D28&lt;&gt;"Serviço",0,IF(AND(AUTOEVENTO="Manual",$M28=1),0,IF(OFFSET(CRONOPLE!$F$14,$M28,BG$13)="",10^12,OFFSET(CRONOPLE!$F$14,$M28,BG$13))))</f>
        <v>1000000000000</v>
      </c>
      <c r="BH28" s="181">
        <f ca="1">IF($D28&lt;&gt;"Serviço",0,IF(AND(AUTOEVENTO="Manual",$M28=1),0,IF(OFFSET(CRONOPLE!$F$14,$M28,BH$13)="",10^12,OFFSET(CRONOPLE!$F$14,$M28,BH$13))))</f>
        <v>1000000000000</v>
      </c>
      <c r="BI28" s="181">
        <f ca="1">IF($D28&lt;&gt;"Serviço",0,IF(AND(AUTOEVENTO="Manual",$M28=1),0,IF(OFFSET(CRONOPLE!$F$14,$M28,BI$13)="",10^12,OFFSET(CRONOPLE!$F$14,$M28,BI$13))))</f>
        <v>1000000000000</v>
      </c>
      <c r="BJ28" s="181">
        <f ca="1">IF($D28&lt;&gt;"Serviço",0,IF(AND(AUTOEVENTO="Manual",$M28=1),0,IF(OFFSET(CRONOPLE!$F$14,$M28,BJ$13)="",10^12,OFFSET(CRONOPLE!$F$14,$M28,BJ$13))))</f>
        <v>1000000000000</v>
      </c>
      <c r="BK28" s="181">
        <f ca="1">IF($D28&lt;&gt;"Serviço",0,IF(AND(AUTOEVENTO="Manual",$M28=1),0,IF(OFFSET(CRONOPLE!$F$14,$M28,BK$13)="",10^12,OFFSET(CRONOPLE!$F$14,$M28,BK$13))))</f>
        <v>1000000000000</v>
      </c>
      <c r="BL28" s="181">
        <f ca="1">IF($D28&lt;&gt;"Serviço",0,IF(AND(AUTOEVENTO="Manual",$M28=1),0,IF(OFFSET(CRONOPLE!$F$14,$M28,BL$13)="",10^12,OFFSET(CRONOPLE!$F$14,$M28,BL$13))))</f>
        <v>1000000000000</v>
      </c>
      <c r="BM28" s="181">
        <f ca="1">IF($D28&lt;&gt;"Serviço",0,IF(AND(AUTOEVENTO="Manual",$M28=1),0,IF(OFFSET(CRONOPLE!$F$14,$M28,BM$13)="",10^12,OFFSET(CRONOPLE!$F$14,$M28,BM$13))))</f>
        <v>1000000000000</v>
      </c>
      <c r="BN28" s="181">
        <f ca="1">IF($D28&lt;&gt;"Serviço",0,IF(AND(AUTOEVENTO="Manual",$M28=1),0,IF(OFFSET(CRONOPLE!$F$14,$M28,BN$13)="",10^12,OFFSET(CRONOPLE!$F$14,$M28,BN$13))))</f>
        <v>1000000000000</v>
      </c>
      <c r="BO28" s="181">
        <f ca="1">IF($D28&lt;&gt;"Serviço",0,IF(AND(AUTOEVENTO="Manual",$M28=1),0,IF(OFFSET(CRONOPLE!$F$14,$M28,BO$13)="",10^12,OFFSET(CRONOPLE!$F$14,$M28,BO$13))))</f>
        <v>1000000000000</v>
      </c>
      <c r="BP28" s="181">
        <f ca="1">IF($D28&lt;&gt;"Serviço",0,IF(AND(AUTOEVENTO="Manual",$M28=1),0,IF(OFFSET(CRONOPLE!$F$14,$M28,BP$13)="",10^12,OFFSET(CRONOPLE!$F$14,$M28,BP$13))))</f>
        <v>1000000000000</v>
      </c>
      <c r="BQ28" s="181">
        <f ca="1">IF($D28&lt;&gt;"Serviço",0,IF(AND(AUTOEVENTO="Manual",$M28=1),0,IF(OFFSET(CRONOPLE!$F$14,$M28,BQ$13)="",10^12,OFFSET(CRONOPLE!$F$14,$M28,BQ$13))))</f>
        <v>1000000000000</v>
      </c>
      <c r="BR28" s="181">
        <f ca="1">IF($D28&lt;&gt;"Serviço",0,IF(AND(AUTOEVENTO="Manual",$M28=1),0,IF(OFFSET(CRONOPLE!$F$14,$M28,BR$13)="",10^12,OFFSET(CRONOPLE!$F$14,$M28,BR$13))))</f>
        <v>1000000000000</v>
      </c>
      <c r="BS28" s="181">
        <f ca="1">IF($D28&lt;&gt;"Serviço",0,IF(AND(AUTOEVENTO="Manual",$M28=1),0,IF(OFFSET(CRONOPLE!$F$14,$M28,BS$13)="",10^12,OFFSET(CRONOPLE!$F$14,$M28,BS$13))))</f>
        <v>1000000000000</v>
      </c>
      <c r="BT28" s="181">
        <f ca="1">IF($D28&lt;&gt;"Serviço",0,IF(AND(AUTOEVENTO="Manual",$M28=1),0,IF(OFFSET(CRONOPLE!$F$14,$M28,BT$13)="",10^12,OFFSET(CRONOPLE!$F$14,$M28,BT$13))))</f>
        <v>1000000000000</v>
      </c>
      <c r="BV28" s="182">
        <f ca="1">IF($D28&lt;&gt;"Serviço",0,IF(OR(AND(AUTOEVENTO="Manual",$M28=1),$M28&gt;(ROW(PLE.lastrow)-ROW(PLE.firstrow))),0,IF(OFFSET(PLE!$G$14,$M28,BV$13)="",10^12,OFFSET(PLE!$G$14,$M28,BV$13))))</f>
        <v>1000000000000</v>
      </c>
      <c r="BW28" s="182">
        <f ca="1">IF($D28&lt;&gt;"Serviço",0,IF(OR(AND(AUTOEVENTO="Manual",$M28=1),$M28&gt;(ROW(PLE.lastrow)-ROW(PLE.firstrow))),0,IF(OFFSET(PLE!$G$14,$M28,BW$13)="",10^12,OFFSET(PLE!$G$14,$M28,BW$13))))</f>
        <v>1000000000000</v>
      </c>
      <c r="BX28" s="182">
        <f ca="1">IF($D28&lt;&gt;"Serviço",0,IF(OR(AND(AUTOEVENTO="Manual",$M28=1),$M28&gt;(ROW(PLE.lastrow)-ROW(PLE.firstrow))),0,IF(OFFSET(PLE!$G$14,$M28,BX$13)="",10^12,OFFSET(PLE!$G$14,$M28,BX$13))))</f>
        <v>1000000000000</v>
      </c>
      <c r="BY28" s="182">
        <f ca="1">IF($D28&lt;&gt;"Serviço",0,IF(OR(AND(AUTOEVENTO="Manual",$M28=1),$M28&gt;(ROW(PLE.lastrow)-ROW(PLE.firstrow))),0,IF(OFFSET(PLE!$G$14,$M28,BY$13)="",10^12,OFFSET(PLE!$G$14,$M28,BY$13))))</f>
        <v>1000000000000</v>
      </c>
      <c r="BZ28" s="182">
        <f ca="1">IF($D28&lt;&gt;"Serviço",0,IF(OR(AND(AUTOEVENTO="Manual",$M28=1),$M28&gt;(ROW(PLE.lastrow)-ROW(PLE.firstrow))),0,IF(OFFSET(PLE!$G$14,$M28,BZ$13)="",10^12,OFFSET(PLE!$G$14,$M28,BZ$13))))</f>
        <v>1000000000000</v>
      </c>
      <c r="CA28" s="182">
        <f ca="1">IF($D28&lt;&gt;"Serviço",0,IF(OR(AND(AUTOEVENTO="Manual",$M28=1),$M28&gt;(ROW(PLE.lastrow)-ROW(PLE.firstrow))),0,IF(OFFSET(PLE!$G$14,$M28,CA$13)="",10^12,OFFSET(PLE!$G$14,$M28,CA$13))))</f>
        <v>1000000000000</v>
      </c>
      <c r="CB28" s="182">
        <f ca="1">IF($D28&lt;&gt;"Serviço",0,IF(OR(AND(AUTOEVENTO="Manual",$M28=1),$M28&gt;(ROW(PLE.lastrow)-ROW(PLE.firstrow))),0,IF(OFFSET(PLE!$G$14,$M28,CB$13)="",10^12,OFFSET(PLE!$G$14,$M28,CB$13))))</f>
        <v>1000000000000</v>
      </c>
      <c r="CC28" s="182">
        <f ca="1">IF($D28&lt;&gt;"Serviço",0,IF(OR(AND(AUTOEVENTO="Manual",$M28=1),$M28&gt;(ROW(PLE.lastrow)-ROW(PLE.firstrow))),0,IF(OFFSET(PLE!$G$14,$M28,CC$13)="",10^12,OFFSET(PLE!$G$14,$M28,CC$13))))</f>
        <v>1000000000000</v>
      </c>
      <c r="CD28" s="182">
        <f ca="1">IF($D28&lt;&gt;"Serviço",0,IF(OR(AND(AUTOEVENTO="Manual",$M28=1),$M28&gt;(ROW(PLE.lastrow)-ROW(PLE.firstrow))),0,IF(OFFSET(PLE!$G$14,$M28,CD$13)="",10^12,OFFSET(PLE!$G$14,$M28,CD$13))))</f>
        <v>1000000000000</v>
      </c>
      <c r="CE28" s="182">
        <f ca="1">IF($D28&lt;&gt;"Serviço",0,IF(OR(AND(AUTOEVENTO="Manual",$M28=1),$M28&gt;(ROW(PLE.lastrow)-ROW(PLE.firstrow))),0,IF(OFFSET(PLE!$G$14,$M28,CE$13)="",10^12,OFFSET(PLE!$G$14,$M28,CE$13))))</f>
        <v>1000000000000</v>
      </c>
      <c r="CF28" s="182">
        <f ca="1">IF($D28&lt;&gt;"Serviço",0,IF(OR(AND(AUTOEVENTO="Manual",$M28=1),$M28&gt;(ROW(PLE.lastrow)-ROW(PLE.firstrow))),0,IF(OFFSET(PLE!$G$14,$M28,CF$13)="",10^12,OFFSET(PLE!$G$14,$M28,CF$13))))</f>
        <v>1000000000000</v>
      </c>
      <c r="CG28" s="182">
        <f ca="1">IF($D28&lt;&gt;"Serviço",0,IF(OR(AND(AUTOEVENTO="Manual",$M28=1),$M28&gt;(ROW(PLE.lastrow)-ROW(PLE.firstrow))),0,IF(OFFSET(PLE!$G$14,$M28,CG$13)="",10^12,OFFSET(PLE!$G$14,$M28,CG$13))))</f>
        <v>1000000000000</v>
      </c>
      <c r="CH28" s="182">
        <f ca="1">IF($D28&lt;&gt;"Serviço",0,IF(OR(AND(AUTOEVENTO="Manual",$M28=1),$M28&gt;(ROW(PLE.lastrow)-ROW(PLE.firstrow))),0,IF(OFFSET(PLE!$G$14,$M28,CH$13)="",10^12,OFFSET(PLE!$G$14,$M28,CH$13))))</f>
        <v>1000000000000</v>
      </c>
      <c r="CI28" s="182">
        <f ca="1">IF($D28&lt;&gt;"Serviço",0,IF(OR(AND(AUTOEVENTO="Manual",$M28=1),$M28&gt;(ROW(PLE.lastrow)-ROW(PLE.firstrow))),0,IF(OFFSET(PLE!$G$14,$M28,CI$13)="",10^12,OFFSET(PLE!$G$14,$M28,CI$13))))</f>
        <v>1000000000000</v>
      </c>
      <c r="CJ28" s="182">
        <f ca="1">IF($D28&lt;&gt;"Serviço",0,IF(OR(AND(AUTOEVENTO="Manual",$M28=1),$M28&gt;(ROW(PLE.lastrow)-ROW(PLE.firstrow))),0,IF(OFFSET(PLE!$G$14,$M28,CJ$13)="",10^12,OFFSET(PLE!$G$14,$M28,CJ$13))))</f>
        <v>1000000000000</v>
      </c>
      <c r="CK28" s="182">
        <f ca="1">IF($D28&lt;&gt;"Serviço",0,IF(OR(AND(AUTOEVENTO="Manual",$M28=1),$M28&gt;(ROW(PLE.lastrow)-ROW(PLE.firstrow))),0,IF(OFFSET(PLE!$G$14,$M28,CK$13)="",10^12,OFFSET(PLE!$G$14,$M28,CK$13))))</f>
        <v>1000000000000</v>
      </c>
      <c r="CL28" s="182">
        <f ca="1">IF($D28&lt;&gt;"Serviço",0,IF(OR(AND(AUTOEVENTO="Manual",$M28=1),$M28&gt;(ROW(PLE.lastrow)-ROW(PLE.firstrow))),0,IF(OFFSET(PLE!$G$14,$M28,CL$13)="",10^12,OFFSET(PLE!$G$14,$M28,CL$13))))</f>
        <v>1000000000000</v>
      </c>
      <c r="CM28" s="182">
        <f ca="1">IF($D28&lt;&gt;"Serviço",0,IF(OR(AND(AUTOEVENTO="Manual",$M28=1),$M28&gt;(ROW(PLE.lastrow)-ROW(PLE.firstrow))),0,IF(OFFSET(PLE!$G$14,$M28,CM$13)="",10^12,OFFSET(PLE!$G$14,$M28,CM$13))))</f>
        <v>1000000000000</v>
      </c>
    </row>
    <row r="29" spans="1:91" ht="38.25" x14ac:dyDescent="0.2">
      <c r="A29" s="7" t="str">
        <f t="shared" ca="1" si="9"/>
        <v>2</v>
      </c>
      <c r="B29" s="7" t="str">
        <f ca="1">OFFSET(ORÇAMENTO!C$15,ROW(B29)-ROW(B$15),0)</f>
        <v>S</v>
      </c>
      <c r="C29" s="7" t="str">
        <f ca="1">OFFSET(ORÇAMENTO!L$15,ROW(C29)-ROW(C$15),0)</f>
        <v/>
      </c>
      <c r="D29" s="118" t="str">
        <f ca="1">OFFSET(ORÇAMENTO!N$15,ROW(D29)-ROW(D$15),0)</f>
        <v>Serviço</v>
      </c>
      <c r="E29" s="119" t="str">
        <f ca="1">OFFSET(ORÇAMENTO!O$15,ROW(E29)-ROW(E$15),0)</f>
        <v>-</v>
      </c>
      <c r="F29" s="172" t="str">
        <f ca="1">OFFSET(ORÇAMENTO!R$15,ROW(F29)-ROW(F$15),0)</f>
        <v>(abra o arquivo 'Referência 03-Sunday.xlsm)</v>
      </c>
      <c r="G29" s="173" t="str">
        <f ca="1">IF($D29&lt;&gt;"Serviço","",OFFSET(ORÇAMENTO!S$15,ROW(G29)-ROW(G$15),0))</f>
        <v>-</v>
      </c>
      <c r="H29" s="124">
        <f ca="1">IF($D29&lt;&gt;"Serviço",0,IF(ACOMPANHAMENTO="BM",ROUND(OFFSET(ORÇAMENTO!AJ$15,ROW(H29)-ROW(H$15),0),15-13*ORÇAMENTO!$AF$7),SUMPRODUCT(($Q$12:$AI$12&lt;&gt;"")*ROUND($Q29:$AI29,15-13*ORÇAMENTO!$AF$7))))</f>
        <v>300</v>
      </c>
      <c r="I29" s="539" t="s">
        <v>514</v>
      </c>
      <c r="K29" s="174"/>
      <c r="L29" s="175" t="s">
        <v>254</v>
      </c>
      <c r="M29" s="176">
        <f ca="1">IF($D29&lt;&gt;"Serviço","",IF(AUTOEVENTO="manual",$A29,IF(ISERROR(MATCH($A29,$A$15:OFFSET($A29,-1,0),0)),MAX($M$15:OFFSET(M29,-1,0))+1,INDEX($M$15:OFFSET(M29,-1,0),MATCH($A29,$A$15:OFFSET($A29,-1,0),0)))))</f>
        <v>2</v>
      </c>
      <c r="N29" s="177" t="str">
        <f ca="1">IF($D29&lt;&gt;"Serviço","",IF(AUTOEVENTO="Manual",IF($A29=0,"&lt;-- defina o número do agrupador",OFFSET(EVENTOS!$D$14,$A29,0)),OFFSET($F$15,$A29,0)))</f>
        <v>Lote 01  - Manutenção e Reparos Abrigos Passagerios Onibus e Táxi</v>
      </c>
      <c r="O29" s="178"/>
      <c r="Q29" s="178">
        <f>100*3</f>
        <v>300</v>
      </c>
      <c r="R29" s="179"/>
      <c r="S29" s="179"/>
      <c r="T29" s="179"/>
      <c r="U29" s="179"/>
      <c r="V29" s="179"/>
      <c r="W29" s="179"/>
      <c r="X29" s="179"/>
      <c r="Y29" s="179"/>
      <c r="Z29" s="180"/>
      <c r="AA29" s="179"/>
      <c r="AB29" s="179"/>
      <c r="AC29" s="179"/>
      <c r="AD29" s="179"/>
      <c r="AE29" s="179"/>
      <c r="AF29" s="179"/>
      <c r="AG29" s="179"/>
      <c r="AH29" s="180"/>
      <c r="AJ29" s="522">
        <f ca="1">IF(AND($D29="Serviço",AJ$12&lt;&gt;0,$H29&gt;0,OR(AUTOEVENTO&lt;&gt;"manual",$M29&lt;&gt;1)),
IF(Import.TipoArredondamento&lt;&gt;"TransfereGOV",
ROUND(OFFSET($P29,0,AJ$13),15-13*ORÇAMENTO!$AF$7)/$H29*OFFSET(ORÇAMENTO!$X$15,ROW(AJ29)-ROW(AJ$15),0),
ROUND(ROUND(OFFSET($P29,0,AJ$13),15-13*ORÇAMENTO!$AF$7)*OFFSET(ORÇAMENTO!$W$15,ROW(AJ29)-ROW(AJ$15),0),15-13*ORÇAMENTO!$AF$11)),0)</f>
        <v>0</v>
      </c>
      <c r="AK29" s="523">
        <f ca="1">IF(AND($D29="Serviço",AK$12&lt;&gt;0,$H29&gt;0,OR(AUTOEVENTO&lt;&gt;"manual",$M29&lt;&gt;1)),
IF(Import.TipoArredondamento&lt;&gt;"TransfereGOV",
ROUND(OFFSET($P29,0,AK$13),15-13*ORÇAMENTO!$AF$7)/$H29*OFFSET(ORÇAMENTO!$X$15,ROW(AK29)-ROW(AK$15),0),
ROUND(ROUND(OFFSET($P29,0,AK$13),15-13*ORÇAMENTO!$AF$7)*OFFSET(ORÇAMENTO!$W$15,ROW(AK29)-ROW(AK$15),0),15-13*ORÇAMENTO!$AF$11)),0)</f>
        <v>0</v>
      </c>
      <c r="AL29" s="523">
        <f ca="1">IF(AND($D29="Serviço",AL$12&lt;&gt;0,$H29&gt;0,OR(AUTOEVENTO&lt;&gt;"manual",$M29&lt;&gt;1)),
IF(Import.TipoArredondamento&lt;&gt;"TransfereGOV",
ROUND(OFFSET($P29,0,AL$13),15-13*ORÇAMENTO!$AF$7)/$H29*OFFSET(ORÇAMENTO!$X$15,ROW(AL29)-ROW(AL$15),0),
ROUND(ROUND(OFFSET($P29,0,AL$13),15-13*ORÇAMENTO!$AF$7)*OFFSET(ORÇAMENTO!$W$15,ROW(AL29)-ROW(AL$15),0),15-13*ORÇAMENTO!$AF$11)),0)</f>
        <v>0</v>
      </c>
      <c r="AM29" s="523">
        <f ca="1">IF(AND($D29="Serviço",AM$12&lt;&gt;0,$H29&gt;0,OR(AUTOEVENTO&lt;&gt;"manual",$M29&lt;&gt;1)),
IF(Import.TipoArredondamento&lt;&gt;"TransfereGOV",
ROUND(OFFSET($P29,0,AM$13),15-13*ORÇAMENTO!$AF$7)/$H29*OFFSET(ORÇAMENTO!$X$15,ROW(AM29)-ROW(AM$15),0),
ROUND(ROUND(OFFSET($P29,0,AM$13),15-13*ORÇAMENTO!$AF$7)*OFFSET(ORÇAMENTO!$W$15,ROW(AM29)-ROW(AM$15),0),15-13*ORÇAMENTO!$AF$11)),0)</f>
        <v>0</v>
      </c>
      <c r="AN29" s="523">
        <f ca="1">IF(AND($D29="Serviço",AN$12&lt;&gt;0,$H29&gt;0,OR(AUTOEVENTO&lt;&gt;"manual",$M29&lt;&gt;1)),
IF(Import.TipoArredondamento&lt;&gt;"TransfereGOV",
ROUND(OFFSET($P29,0,AN$13),15-13*ORÇAMENTO!$AF$7)/$H29*OFFSET(ORÇAMENTO!$X$15,ROW(AN29)-ROW(AN$15),0),
ROUND(ROUND(OFFSET($P29,0,AN$13),15-13*ORÇAMENTO!$AF$7)*OFFSET(ORÇAMENTO!$W$15,ROW(AN29)-ROW(AN$15),0),15-13*ORÇAMENTO!$AF$11)),0)</f>
        <v>0</v>
      </c>
      <c r="AO29" s="523">
        <f ca="1">IF(AND($D29="Serviço",AO$12&lt;&gt;0,$H29&gt;0,OR(AUTOEVENTO&lt;&gt;"manual",$M29&lt;&gt;1)),
IF(Import.TipoArredondamento&lt;&gt;"TransfereGOV",
ROUND(OFFSET($P29,0,AO$13),15-13*ORÇAMENTO!$AF$7)/$H29*OFFSET(ORÇAMENTO!$X$15,ROW(AO29)-ROW(AO$15),0),
ROUND(ROUND(OFFSET($P29,0,AO$13),15-13*ORÇAMENTO!$AF$7)*OFFSET(ORÇAMENTO!$W$15,ROW(AO29)-ROW(AO$15),0),15-13*ORÇAMENTO!$AF$11)),0)</f>
        <v>0</v>
      </c>
      <c r="AP29" s="523">
        <f ca="1">IF(AND($D29="Serviço",AP$12&lt;&gt;0,$H29&gt;0,OR(AUTOEVENTO&lt;&gt;"manual",$M29&lt;&gt;1)),
IF(Import.TipoArredondamento&lt;&gt;"TransfereGOV",
ROUND(OFFSET($P29,0,AP$13),15-13*ORÇAMENTO!$AF$7)/$H29*OFFSET(ORÇAMENTO!$X$15,ROW(AP29)-ROW(AP$15),0),
ROUND(ROUND(OFFSET($P29,0,AP$13),15-13*ORÇAMENTO!$AF$7)*OFFSET(ORÇAMENTO!$W$15,ROW(AP29)-ROW(AP$15),0),15-13*ORÇAMENTO!$AF$11)),0)</f>
        <v>0</v>
      </c>
      <c r="AQ29" s="523">
        <f ca="1">IF(AND($D29="Serviço",AQ$12&lt;&gt;0,$H29&gt;0,OR(AUTOEVENTO&lt;&gt;"manual",$M29&lt;&gt;1)),
IF(Import.TipoArredondamento&lt;&gt;"TransfereGOV",
ROUND(OFFSET($P29,0,AQ$13),15-13*ORÇAMENTO!$AF$7)/$H29*OFFSET(ORÇAMENTO!$X$15,ROW(AQ29)-ROW(AQ$15),0),
ROUND(ROUND(OFFSET($P29,0,AQ$13),15-13*ORÇAMENTO!$AF$7)*OFFSET(ORÇAMENTO!$W$15,ROW(AQ29)-ROW(AQ$15),0),15-13*ORÇAMENTO!$AF$11)),0)</f>
        <v>0</v>
      </c>
      <c r="AR29" s="523">
        <f ca="1">IF(AND($D29="Serviço",AR$12&lt;&gt;0,$H29&gt;0,OR(AUTOEVENTO&lt;&gt;"manual",$M29&lt;&gt;1)),
IF(Import.TipoArredondamento&lt;&gt;"TransfereGOV",
ROUND(OFFSET($P29,0,AR$13),15-13*ORÇAMENTO!$AF$7)/$H29*OFFSET(ORÇAMENTO!$X$15,ROW(AR29)-ROW(AR$15),0),
ROUND(ROUND(OFFSET($P29,0,AR$13),15-13*ORÇAMENTO!$AF$7)*OFFSET(ORÇAMENTO!$W$15,ROW(AR29)-ROW(AR$15),0),15-13*ORÇAMENTO!$AF$11)),0)</f>
        <v>0</v>
      </c>
      <c r="AS29" s="524">
        <f ca="1">IF(AND($D29="Serviço",AS$12&lt;&gt;0,$H29&gt;0,OR(AUTOEVENTO&lt;&gt;"manual",$M29&lt;&gt;1)),
IF(Import.TipoArredondamento&lt;&gt;"TransfereGOV",
ROUND(OFFSET($P29,0,AS$13),15-13*ORÇAMENTO!$AF$7)/$H29*OFFSET(ORÇAMENTO!$X$15,ROW(AS29)-ROW(AS$15),0),
ROUND(ROUND(OFFSET($P29,0,AS$13),15-13*ORÇAMENTO!$AF$7)*OFFSET(ORÇAMENTO!$W$15,ROW(AS29)-ROW(AS$15),0),15-13*ORÇAMENTO!$AF$11)),0)</f>
        <v>0</v>
      </c>
      <c r="AT29" s="523">
        <f ca="1">IF(AND($D29="Serviço",AT$12&lt;&gt;0,$H29&gt;0,OR(AUTOEVENTO&lt;&gt;"manual",$M29&lt;&gt;1)),
IF(Import.TipoArredondamento&lt;&gt;"TransfereGOV",
ROUND(OFFSET($P29,0,AT$13),15-13*ORÇAMENTO!$AF$7)/$H29*OFFSET(ORÇAMENTO!$X$15,ROW(AT29)-ROW(AT$15),0),
ROUND(ROUND(OFFSET($P29,0,AT$13),15-13*ORÇAMENTO!$AF$7)*OFFSET(ORÇAMENTO!$W$15,ROW(AT29)-ROW(AT$15),0),15-13*ORÇAMENTO!$AF$11)),0)</f>
        <v>0</v>
      </c>
      <c r="AU29" s="523">
        <f ca="1">IF(AND($D29="Serviço",AU$12&lt;&gt;0,$H29&gt;0,OR(AUTOEVENTO&lt;&gt;"manual",$M29&lt;&gt;1)),
IF(Import.TipoArredondamento&lt;&gt;"TransfereGOV",
ROUND(OFFSET($P29,0,AU$13),15-13*ORÇAMENTO!$AF$7)/$H29*OFFSET(ORÇAMENTO!$X$15,ROW(AU29)-ROW(AU$15),0),
ROUND(ROUND(OFFSET($P29,0,AU$13),15-13*ORÇAMENTO!$AF$7)*OFFSET(ORÇAMENTO!$W$15,ROW(AU29)-ROW(AU$15),0),15-13*ORÇAMENTO!$AF$11)),0)</f>
        <v>0</v>
      </c>
      <c r="AV29" s="523">
        <f ca="1">IF(AND($D29="Serviço",AV$12&lt;&gt;0,$H29&gt;0,OR(AUTOEVENTO&lt;&gt;"manual",$M29&lt;&gt;1)),
IF(Import.TipoArredondamento&lt;&gt;"TransfereGOV",
ROUND(OFFSET($P29,0,AV$13),15-13*ORÇAMENTO!$AF$7)/$H29*OFFSET(ORÇAMENTO!$X$15,ROW(AV29)-ROW(AV$15),0),
ROUND(ROUND(OFFSET($P29,0,AV$13),15-13*ORÇAMENTO!$AF$7)*OFFSET(ORÇAMENTO!$W$15,ROW(AV29)-ROW(AV$15),0),15-13*ORÇAMENTO!$AF$11)),0)</f>
        <v>0</v>
      </c>
      <c r="AW29" s="523">
        <f ca="1">IF(AND($D29="Serviço",AW$12&lt;&gt;0,$H29&gt;0,OR(AUTOEVENTO&lt;&gt;"manual",$M29&lt;&gt;1)),
IF(Import.TipoArredondamento&lt;&gt;"TransfereGOV",
ROUND(OFFSET($P29,0,AW$13),15-13*ORÇAMENTO!$AF$7)/$H29*OFFSET(ORÇAMENTO!$X$15,ROW(AW29)-ROW(AW$15),0),
ROUND(ROUND(OFFSET($P29,0,AW$13),15-13*ORÇAMENTO!$AF$7)*OFFSET(ORÇAMENTO!$W$15,ROW(AW29)-ROW(AW$15),0),15-13*ORÇAMENTO!$AF$11)),0)</f>
        <v>0</v>
      </c>
      <c r="AX29" s="523">
        <f ca="1">IF(AND($D29="Serviço",AX$12&lt;&gt;0,$H29&gt;0,OR(AUTOEVENTO&lt;&gt;"manual",$M29&lt;&gt;1)),
IF(Import.TipoArredondamento&lt;&gt;"TransfereGOV",
ROUND(OFFSET($P29,0,AX$13),15-13*ORÇAMENTO!$AF$7)/$H29*OFFSET(ORÇAMENTO!$X$15,ROW(AX29)-ROW(AX$15),0),
ROUND(ROUND(OFFSET($P29,0,AX$13),15-13*ORÇAMENTO!$AF$7)*OFFSET(ORÇAMENTO!$W$15,ROW(AX29)-ROW(AX$15),0),15-13*ORÇAMENTO!$AF$11)),0)</f>
        <v>0</v>
      </c>
      <c r="AY29" s="523">
        <f ca="1">IF(AND($D29="Serviço",AY$12&lt;&gt;0,$H29&gt;0,OR(AUTOEVENTO&lt;&gt;"manual",$M29&lt;&gt;1)),
IF(Import.TipoArredondamento&lt;&gt;"TransfereGOV",
ROUND(OFFSET($P29,0,AY$13),15-13*ORÇAMENTO!$AF$7)/$H29*OFFSET(ORÇAMENTO!$X$15,ROW(AY29)-ROW(AY$15),0),
ROUND(ROUND(OFFSET($P29,0,AY$13),15-13*ORÇAMENTO!$AF$7)*OFFSET(ORÇAMENTO!$W$15,ROW(AY29)-ROW(AY$15),0),15-13*ORÇAMENTO!$AF$11)),0)</f>
        <v>0</v>
      </c>
      <c r="AZ29" s="523">
        <f ca="1">IF(AND($D29="Serviço",AZ$12&lt;&gt;0,$H29&gt;0,OR(AUTOEVENTO&lt;&gt;"manual",$M29&lt;&gt;1)),
IF(Import.TipoArredondamento&lt;&gt;"TransfereGOV",
ROUND(OFFSET($P29,0,AZ$13),15-13*ORÇAMENTO!$AF$7)/$H29*OFFSET(ORÇAMENTO!$X$15,ROW(AZ29)-ROW(AZ$15),0),
ROUND(ROUND(OFFSET($P29,0,AZ$13),15-13*ORÇAMENTO!$AF$7)*OFFSET(ORÇAMENTO!$W$15,ROW(AZ29)-ROW(AZ$15),0),15-13*ORÇAMENTO!$AF$11)),0)</f>
        <v>0</v>
      </c>
      <c r="BA29" s="524">
        <f ca="1">IF(AND($D29="Serviço",BA$12&lt;&gt;0,$H29&gt;0,OR(AUTOEVENTO&lt;&gt;"manual",$M29&lt;&gt;1)),
IF(Import.TipoArredondamento&lt;&gt;"TransfereGOV",
ROUND(OFFSET($P29,0,BA$13),15-13*ORÇAMENTO!$AF$7)/$H29*OFFSET(ORÇAMENTO!$X$15,ROW(BA29)-ROW(BA$15),0),
ROUND(ROUND(OFFSET($P29,0,BA$13),15-13*ORÇAMENTO!$AF$7)*OFFSET(ORÇAMENTO!$W$15,ROW(BA29)-ROW(BA$15),0),15-13*ORÇAMENTO!$AF$11)),0)</f>
        <v>0</v>
      </c>
      <c r="BC29" s="181">
        <f ca="1">IF($D29&lt;&gt;"Serviço",0,IF(AND(AUTOEVENTO="Manual",$M29=1),0,IF(OFFSET(CRONOPLE!$F$14,$M29,BC$13)="",10^12,OFFSET(CRONOPLE!$F$14,$M29,BC$13))))</f>
        <v>12</v>
      </c>
      <c r="BD29" s="181">
        <f ca="1">IF($D29&lt;&gt;"Serviço",0,IF(AND(AUTOEVENTO="Manual",$M29=1),0,IF(OFFSET(CRONOPLE!$F$14,$M29,BD$13)="",10^12,OFFSET(CRONOPLE!$F$14,$M29,BD$13))))</f>
        <v>1000000000000</v>
      </c>
      <c r="BE29" s="181">
        <f ca="1">IF($D29&lt;&gt;"Serviço",0,IF(AND(AUTOEVENTO="Manual",$M29=1),0,IF(OFFSET(CRONOPLE!$F$14,$M29,BE$13)="",10^12,OFFSET(CRONOPLE!$F$14,$M29,BE$13))))</f>
        <v>1000000000000</v>
      </c>
      <c r="BF29" s="181">
        <f ca="1">IF($D29&lt;&gt;"Serviço",0,IF(AND(AUTOEVENTO="Manual",$M29=1),0,IF(OFFSET(CRONOPLE!$F$14,$M29,BF$13)="",10^12,OFFSET(CRONOPLE!$F$14,$M29,BF$13))))</f>
        <v>1000000000000</v>
      </c>
      <c r="BG29" s="181">
        <f ca="1">IF($D29&lt;&gt;"Serviço",0,IF(AND(AUTOEVENTO="Manual",$M29=1),0,IF(OFFSET(CRONOPLE!$F$14,$M29,BG$13)="",10^12,OFFSET(CRONOPLE!$F$14,$M29,BG$13))))</f>
        <v>1000000000000</v>
      </c>
      <c r="BH29" s="181">
        <f ca="1">IF($D29&lt;&gt;"Serviço",0,IF(AND(AUTOEVENTO="Manual",$M29=1),0,IF(OFFSET(CRONOPLE!$F$14,$M29,BH$13)="",10^12,OFFSET(CRONOPLE!$F$14,$M29,BH$13))))</f>
        <v>1000000000000</v>
      </c>
      <c r="BI29" s="181">
        <f ca="1">IF($D29&lt;&gt;"Serviço",0,IF(AND(AUTOEVENTO="Manual",$M29=1),0,IF(OFFSET(CRONOPLE!$F$14,$M29,BI$13)="",10^12,OFFSET(CRONOPLE!$F$14,$M29,BI$13))))</f>
        <v>1000000000000</v>
      </c>
      <c r="BJ29" s="181">
        <f ca="1">IF($D29&lt;&gt;"Serviço",0,IF(AND(AUTOEVENTO="Manual",$M29=1),0,IF(OFFSET(CRONOPLE!$F$14,$M29,BJ$13)="",10^12,OFFSET(CRONOPLE!$F$14,$M29,BJ$13))))</f>
        <v>1000000000000</v>
      </c>
      <c r="BK29" s="181">
        <f ca="1">IF($D29&lt;&gt;"Serviço",0,IF(AND(AUTOEVENTO="Manual",$M29=1),0,IF(OFFSET(CRONOPLE!$F$14,$M29,BK$13)="",10^12,OFFSET(CRONOPLE!$F$14,$M29,BK$13))))</f>
        <v>1000000000000</v>
      </c>
      <c r="BL29" s="181">
        <f ca="1">IF($D29&lt;&gt;"Serviço",0,IF(AND(AUTOEVENTO="Manual",$M29=1),0,IF(OFFSET(CRONOPLE!$F$14,$M29,BL$13)="",10^12,OFFSET(CRONOPLE!$F$14,$M29,BL$13))))</f>
        <v>1000000000000</v>
      </c>
      <c r="BM29" s="181">
        <f ca="1">IF($D29&lt;&gt;"Serviço",0,IF(AND(AUTOEVENTO="Manual",$M29=1),0,IF(OFFSET(CRONOPLE!$F$14,$M29,BM$13)="",10^12,OFFSET(CRONOPLE!$F$14,$M29,BM$13))))</f>
        <v>1000000000000</v>
      </c>
      <c r="BN29" s="181">
        <f ca="1">IF($D29&lt;&gt;"Serviço",0,IF(AND(AUTOEVENTO="Manual",$M29=1),0,IF(OFFSET(CRONOPLE!$F$14,$M29,BN$13)="",10^12,OFFSET(CRONOPLE!$F$14,$M29,BN$13))))</f>
        <v>1000000000000</v>
      </c>
      <c r="BO29" s="181">
        <f ca="1">IF($D29&lt;&gt;"Serviço",0,IF(AND(AUTOEVENTO="Manual",$M29=1),0,IF(OFFSET(CRONOPLE!$F$14,$M29,BO$13)="",10^12,OFFSET(CRONOPLE!$F$14,$M29,BO$13))))</f>
        <v>1000000000000</v>
      </c>
      <c r="BP29" s="181">
        <f ca="1">IF($D29&lt;&gt;"Serviço",0,IF(AND(AUTOEVENTO="Manual",$M29=1),0,IF(OFFSET(CRONOPLE!$F$14,$M29,BP$13)="",10^12,OFFSET(CRONOPLE!$F$14,$M29,BP$13))))</f>
        <v>1000000000000</v>
      </c>
      <c r="BQ29" s="181">
        <f ca="1">IF($D29&lt;&gt;"Serviço",0,IF(AND(AUTOEVENTO="Manual",$M29=1),0,IF(OFFSET(CRONOPLE!$F$14,$M29,BQ$13)="",10^12,OFFSET(CRONOPLE!$F$14,$M29,BQ$13))))</f>
        <v>1000000000000</v>
      </c>
      <c r="BR29" s="181">
        <f ca="1">IF($D29&lt;&gt;"Serviço",0,IF(AND(AUTOEVENTO="Manual",$M29=1),0,IF(OFFSET(CRONOPLE!$F$14,$M29,BR$13)="",10^12,OFFSET(CRONOPLE!$F$14,$M29,BR$13))))</f>
        <v>1000000000000</v>
      </c>
      <c r="BS29" s="181">
        <f ca="1">IF($D29&lt;&gt;"Serviço",0,IF(AND(AUTOEVENTO="Manual",$M29=1),0,IF(OFFSET(CRONOPLE!$F$14,$M29,BS$13)="",10^12,OFFSET(CRONOPLE!$F$14,$M29,BS$13))))</f>
        <v>1000000000000</v>
      </c>
      <c r="BT29" s="181">
        <f ca="1">IF($D29&lt;&gt;"Serviço",0,IF(AND(AUTOEVENTO="Manual",$M29=1),0,IF(OFFSET(CRONOPLE!$F$14,$M29,BT$13)="",10^12,OFFSET(CRONOPLE!$F$14,$M29,BT$13))))</f>
        <v>1000000000000</v>
      </c>
      <c r="BV29" s="182">
        <f ca="1">IF($D29&lt;&gt;"Serviço",0,IF(OR(AND(AUTOEVENTO="Manual",$M29=1),$M29&gt;(ROW(PLE.lastrow)-ROW(PLE.firstrow))),0,IF(OFFSET(PLE!$G$14,$M29,BV$13)="",10^12,OFFSET(PLE!$G$14,$M29,BV$13))))</f>
        <v>1000000000000</v>
      </c>
      <c r="BW29" s="182">
        <f ca="1">IF($D29&lt;&gt;"Serviço",0,IF(OR(AND(AUTOEVENTO="Manual",$M29=1),$M29&gt;(ROW(PLE.lastrow)-ROW(PLE.firstrow))),0,IF(OFFSET(PLE!$G$14,$M29,BW$13)="",10^12,OFFSET(PLE!$G$14,$M29,BW$13))))</f>
        <v>1000000000000</v>
      </c>
      <c r="BX29" s="182">
        <f ca="1">IF($D29&lt;&gt;"Serviço",0,IF(OR(AND(AUTOEVENTO="Manual",$M29=1),$M29&gt;(ROW(PLE.lastrow)-ROW(PLE.firstrow))),0,IF(OFFSET(PLE!$G$14,$M29,BX$13)="",10^12,OFFSET(PLE!$G$14,$M29,BX$13))))</f>
        <v>1000000000000</v>
      </c>
      <c r="BY29" s="182">
        <f ca="1">IF($D29&lt;&gt;"Serviço",0,IF(OR(AND(AUTOEVENTO="Manual",$M29=1),$M29&gt;(ROW(PLE.lastrow)-ROW(PLE.firstrow))),0,IF(OFFSET(PLE!$G$14,$M29,BY$13)="",10^12,OFFSET(PLE!$G$14,$M29,BY$13))))</f>
        <v>1000000000000</v>
      </c>
      <c r="BZ29" s="182">
        <f ca="1">IF($D29&lt;&gt;"Serviço",0,IF(OR(AND(AUTOEVENTO="Manual",$M29=1),$M29&gt;(ROW(PLE.lastrow)-ROW(PLE.firstrow))),0,IF(OFFSET(PLE!$G$14,$M29,BZ$13)="",10^12,OFFSET(PLE!$G$14,$M29,BZ$13))))</f>
        <v>1000000000000</v>
      </c>
      <c r="CA29" s="182">
        <f ca="1">IF($D29&lt;&gt;"Serviço",0,IF(OR(AND(AUTOEVENTO="Manual",$M29=1),$M29&gt;(ROW(PLE.lastrow)-ROW(PLE.firstrow))),0,IF(OFFSET(PLE!$G$14,$M29,CA$13)="",10^12,OFFSET(PLE!$G$14,$M29,CA$13))))</f>
        <v>1000000000000</v>
      </c>
      <c r="CB29" s="182">
        <f ca="1">IF($D29&lt;&gt;"Serviço",0,IF(OR(AND(AUTOEVENTO="Manual",$M29=1),$M29&gt;(ROW(PLE.lastrow)-ROW(PLE.firstrow))),0,IF(OFFSET(PLE!$G$14,$M29,CB$13)="",10^12,OFFSET(PLE!$G$14,$M29,CB$13))))</f>
        <v>1000000000000</v>
      </c>
      <c r="CC29" s="182">
        <f ca="1">IF($D29&lt;&gt;"Serviço",0,IF(OR(AND(AUTOEVENTO="Manual",$M29=1),$M29&gt;(ROW(PLE.lastrow)-ROW(PLE.firstrow))),0,IF(OFFSET(PLE!$G$14,$M29,CC$13)="",10^12,OFFSET(PLE!$G$14,$M29,CC$13))))</f>
        <v>1000000000000</v>
      </c>
      <c r="CD29" s="182">
        <f ca="1">IF($D29&lt;&gt;"Serviço",0,IF(OR(AND(AUTOEVENTO="Manual",$M29=1),$M29&gt;(ROW(PLE.lastrow)-ROW(PLE.firstrow))),0,IF(OFFSET(PLE!$G$14,$M29,CD$13)="",10^12,OFFSET(PLE!$G$14,$M29,CD$13))))</f>
        <v>1000000000000</v>
      </c>
      <c r="CE29" s="182">
        <f ca="1">IF($D29&lt;&gt;"Serviço",0,IF(OR(AND(AUTOEVENTO="Manual",$M29=1),$M29&gt;(ROW(PLE.lastrow)-ROW(PLE.firstrow))),0,IF(OFFSET(PLE!$G$14,$M29,CE$13)="",10^12,OFFSET(PLE!$G$14,$M29,CE$13))))</f>
        <v>1000000000000</v>
      </c>
      <c r="CF29" s="182">
        <f ca="1">IF($D29&lt;&gt;"Serviço",0,IF(OR(AND(AUTOEVENTO="Manual",$M29=1),$M29&gt;(ROW(PLE.lastrow)-ROW(PLE.firstrow))),0,IF(OFFSET(PLE!$G$14,$M29,CF$13)="",10^12,OFFSET(PLE!$G$14,$M29,CF$13))))</f>
        <v>1000000000000</v>
      </c>
      <c r="CG29" s="182">
        <f ca="1">IF($D29&lt;&gt;"Serviço",0,IF(OR(AND(AUTOEVENTO="Manual",$M29=1),$M29&gt;(ROW(PLE.lastrow)-ROW(PLE.firstrow))),0,IF(OFFSET(PLE!$G$14,$M29,CG$13)="",10^12,OFFSET(PLE!$G$14,$M29,CG$13))))</f>
        <v>1000000000000</v>
      </c>
      <c r="CH29" s="182">
        <f ca="1">IF($D29&lt;&gt;"Serviço",0,IF(OR(AND(AUTOEVENTO="Manual",$M29=1),$M29&gt;(ROW(PLE.lastrow)-ROW(PLE.firstrow))),0,IF(OFFSET(PLE!$G$14,$M29,CH$13)="",10^12,OFFSET(PLE!$G$14,$M29,CH$13))))</f>
        <v>1000000000000</v>
      </c>
      <c r="CI29" s="182">
        <f ca="1">IF($D29&lt;&gt;"Serviço",0,IF(OR(AND(AUTOEVENTO="Manual",$M29=1),$M29&gt;(ROW(PLE.lastrow)-ROW(PLE.firstrow))),0,IF(OFFSET(PLE!$G$14,$M29,CI$13)="",10^12,OFFSET(PLE!$G$14,$M29,CI$13))))</f>
        <v>1000000000000</v>
      </c>
      <c r="CJ29" s="182">
        <f ca="1">IF($D29&lt;&gt;"Serviço",0,IF(OR(AND(AUTOEVENTO="Manual",$M29=1),$M29&gt;(ROW(PLE.lastrow)-ROW(PLE.firstrow))),0,IF(OFFSET(PLE!$G$14,$M29,CJ$13)="",10^12,OFFSET(PLE!$G$14,$M29,CJ$13))))</f>
        <v>1000000000000</v>
      </c>
      <c r="CK29" s="182">
        <f ca="1">IF($D29&lt;&gt;"Serviço",0,IF(OR(AND(AUTOEVENTO="Manual",$M29=1),$M29&gt;(ROW(PLE.lastrow)-ROW(PLE.firstrow))),0,IF(OFFSET(PLE!$G$14,$M29,CK$13)="",10^12,OFFSET(PLE!$G$14,$M29,CK$13))))</f>
        <v>1000000000000</v>
      </c>
      <c r="CL29" s="182">
        <f ca="1">IF($D29&lt;&gt;"Serviço",0,IF(OR(AND(AUTOEVENTO="Manual",$M29=1),$M29&gt;(ROW(PLE.lastrow)-ROW(PLE.firstrow))),0,IF(OFFSET(PLE!$G$14,$M29,CL$13)="",10^12,OFFSET(PLE!$G$14,$M29,CL$13))))</f>
        <v>1000000000000</v>
      </c>
      <c r="CM29" s="182">
        <f ca="1">IF($D29&lt;&gt;"Serviço",0,IF(OR(AND(AUTOEVENTO="Manual",$M29=1),$M29&gt;(ROW(PLE.lastrow)-ROW(PLE.firstrow))),0,IF(OFFSET(PLE!$G$14,$M29,CM$13)="",10^12,OFFSET(PLE!$G$14,$M29,CM$13))))</f>
        <v>1000000000000</v>
      </c>
    </row>
    <row r="30" spans="1:91" ht="38.25" x14ac:dyDescent="0.2">
      <c r="A30" s="7" t="str">
        <f t="shared" ca="1" si="9"/>
        <v>2</v>
      </c>
      <c r="B30" s="7" t="str">
        <f ca="1">OFFSET(ORÇAMENTO!C$15,ROW(B30)-ROW(B$15),0)</f>
        <v>S</v>
      </c>
      <c r="C30" s="7" t="str">
        <f ca="1">OFFSET(ORÇAMENTO!L$15,ROW(C30)-ROW(C$15),0)</f>
        <v/>
      </c>
      <c r="D30" s="118" t="str">
        <f ca="1">OFFSET(ORÇAMENTO!N$15,ROW(D30)-ROW(D$15),0)</f>
        <v>Serviço</v>
      </c>
      <c r="E30" s="119" t="str">
        <f ca="1">OFFSET(ORÇAMENTO!O$15,ROW(E30)-ROW(E$15),0)</f>
        <v>-</v>
      </c>
      <c r="F30" s="172" t="str">
        <f ca="1">OFFSET(ORÇAMENTO!R$15,ROW(F30)-ROW(F$15),0)</f>
        <v>(abra o arquivo 'Referência 03-Sunday.xlsm)</v>
      </c>
      <c r="G30" s="173" t="str">
        <f ca="1">IF($D30&lt;&gt;"Serviço","",OFFSET(ORÇAMENTO!S$15,ROW(G30)-ROW(G$15),0))</f>
        <v>-</v>
      </c>
      <c r="H30" s="124">
        <f ca="1">IF($D30&lt;&gt;"Serviço",0,IF(ACOMPANHAMENTO="BM",ROUND(OFFSET(ORÇAMENTO!AJ$15,ROW(H30)-ROW(H$15),0),15-13*ORÇAMENTO!$AF$7),SUMPRODUCT(($Q$12:$AI$12&lt;&gt;"")*ROUND($Q30:$AI30,15-13*ORÇAMENTO!$AF$7))))</f>
        <v>600</v>
      </c>
      <c r="I30" s="539" t="s">
        <v>513</v>
      </c>
      <c r="K30" s="174"/>
      <c r="L30" s="175" t="s">
        <v>254</v>
      </c>
      <c r="M30" s="176">
        <f ca="1">IF($D30&lt;&gt;"Serviço","",IF(AUTOEVENTO="manual",$A30,IF(ISERROR(MATCH($A30,$A$15:OFFSET($A30,-1,0),0)),MAX($M$15:OFFSET(M30,-1,0))+1,INDEX($M$15:OFFSET(M30,-1,0),MATCH($A30,$A$15:OFFSET($A30,-1,0),0)))))</f>
        <v>2</v>
      </c>
      <c r="N30" s="177" t="str">
        <f ca="1">IF($D30&lt;&gt;"Serviço","",IF(AUTOEVENTO="Manual",IF($A30=0,"&lt;-- defina o número do agrupador",OFFSET(EVENTOS!$D$14,$A30,0)),OFFSET($F$15,$A30,0)))</f>
        <v>Lote 01  - Manutenção e Reparos Abrigos Passagerios Onibus e Táxi</v>
      </c>
      <c r="O30" s="178"/>
      <c r="Q30" s="178">
        <f>6*100</f>
        <v>600</v>
      </c>
      <c r="R30" s="179"/>
      <c r="S30" s="179"/>
      <c r="T30" s="179"/>
      <c r="U30" s="179"/>
      <c r="V30" s="179"/>
      <c r="W30" s="179"/>
      <c r="X30" s="179"/>
      <c r="Y30" s="179"/>
      <c r="Z30" s="180"/>
      <c r="AA30" s="179"/>
      <c r="AB30" s="179"/>
      <c r="AC30" s="179"/>
      <c r="AD30" s="179"/>
      <c r="AE30" s="179"/>
      <c r="AF30" s="179"/>
      <c r="AG30" s="179"/>
      <c r="AH30" s="180"/>
      <c r="AJ30" s="522">
        <f ca="1">IF(AND($D30="Serviço",AJ$12&lt;&gt;0,$H30&gt;0,OR(AUTOEVENTO&lt;&gt;"manual",$M30&lt;&gt;1)),
IF(Import.TipoArredondamento&lt;&gt;"TransfereGOV",
ROUND(OFFSET($P30,0,AJ$13),15-13*ORÇAMENTO!$AF$7)/$H30*OFFSET(ORÇAMENTO!$X$15,ROW(AJ30)-ROW(AJ$15),0),
ROUND(ROUND(OFFSET($P30,0,AJ$13),15-13*ORÇAMENTO!$AF$7)*OFFSET(ORÇAMENTO!$W$15,ROW(AJ30)-ROW(AJ$15),0),15-13*ORÇAMENTO!$AF$11)),0)</f>
        <v>0</v>
      </c>
      <c r="AK30" s="523">
        <f ca="1">IF(AND($D30="Serviço",AK$12&lt;&gt;0,$H30&gt;0,OR(AUTOEVENTO&lt;&gt;"manual",$M30&lt;&gt;1)),
IF(Import.TipoArredondamento&lt;&gt;"TransfereGOV",
ROUND(OFFSET($P30,0,AK$13),15-13*ORÇAMENTO!$AF$7)/$H30*OFFSET(ORÇAMENTO!$X$15,ROW(AK30)-ROW(AK$15),0),
ROUND(ROUND(OFFSET($P30,0,AK$13),15-13*ORÇAMENTO!$AF$7)*OFFSET(ORÇAMENTO!$W$15,ROW(AK30)-ROW(AK$15),0),15-13*ORÇAMENTO!$AF$11)),0)</f>
        <v>0</v>
      </c>
      <c r="AL30" s="523">
        <f ca="1">IF(AND($D30="Serviço",AL$12&lt;&gt;0,$H30&gt;0,OR(AUTOEVENTO&lt;&gt;"manual",$M30&lt;&gt;1)),
IF(Import.TipoArredondamento&lt;&gt;"TransfereGOV",
ROUND(OFFSET($P30,0,AL$13),15-13*ORÇAMENTO!$AF$7)/$H30*OFFSET(ORÇAMENTO!$X$15,ROW(AL30)-ROW(AL$15),0),
ROUND(ROUND(OFFSET($P30,0,AL$13),15-13*ORÇAMENTO!$AF$7)*OFFSET(ORÇAMENTO!$W$15,ROW(AL30)-ROW(AL$15),0),15-13*ORÇAMENTO!$AF$11)),0)</f>
        <v>0</v>
      </c>
      <c r="AM30" s="523">
        <f ca="1">IF(AND($D30="Serviço",AM$12&lt;&gt;0,$H30&gt;0,OR(AUTOEVENTO&lt;&gt;"manual",$M30&lt;&gt;1)),
IF(Import.TipoArredondamento&lt;&gt;"TransfereGOV",
ROUND(OFFSET($P30,0,AM$13),15-13*ORÇAMENTO!$AF$7)/$H30*OFFSET(ORÇAMENTO!$X$15,ROW(AM30)-ROW(AM$15),0),
ROUND(ROUND(OFFSET($P30,0,AM$13),15-13*ORÇAMENTO!$AF$7)*OFFSET(ORÇAMENTO!$W$15,ROW(AM30)-ROW(AM$15),0),15-13*ORÇAMENTO!$AF$11)),0)</f>
        <v>0</v>
      </c>
      <c r="AN30" s="523">
        <f ca="1">IF(AND($D30="Serviço",AN$12&lt;&gt;0,$H30&gt;0,OR(AUTOEVENTO&lt;&gt;"manual",$M30&lt;&gt;1)),
IF(Import.TipoArredondamento&lt;&gt;"TransfereGOV",
ROUND(OFFSET($P30,0,AN$13),15-13*ORÇAMENTO!$AF$7)/$H30*OFFSET(ORÇAMENTO!$X$15,ROW(AN30)-ROW(AN$15),0),
ROUND(ROUND(OFFSET($P30,0,AN$13),15-13*ORÇAMENTO!$AF$7)*OFFSET(ORÇAMENTO!$W$15,ROW(AN30)-ROW(AN$15),0),15-13*ORÇAMENTO!$AF$11)),0)</f>
        <v>0</v>
      </c>
      <c r="AO30" s="523">
        <f ca="1">IF(AND($D30="Serviço",AO$12&lt;&gt;0,$H30&gt;0,OR(AUTOEVENTO&lt;&gt;"manual",$M30&lt;&gt;1)),
IF(Import.TipoArredondamento&lt;&gt;"TransfereGOV",
ROUND(OFFSET($P30,0,AO$13),15-13*ORÇAMENTO!$AF$7)/$H30*OFFSET(ORÇAMENTO!$X$15,ROW(AO30)-ROW(AO$15),0),
ROUND(ROUND(OFFSET($P30,0,AO$13),15-13*ORÇAMENTO!$AF$7)*OFFSET(ORÇAMENTO!$W$15,ROW(AO30)-ROW(AO$15),0),15-13*ORÇAMENTO!$AF$11)),0)</f>
        <v>0</v>
      </c>
      <c r="AP30" s="523">
        <f ca="1">IF(AND($D30="Serviço",AP$12&lt;&gt;0,$H30&gt;0,OR(AUTOEVENTO&lt;&gt;"manual",$M30&lt;&gt;1)),
IF(Import.TipoArredondamento&lt;&gt;"TransfereGOV",
ROUND(OFFSET($P30,0,AP$13),15-13*ORÇAMENTO!$AF$7)/$H30*OFFSET(ORÇAMENTO!$X$15,ROW(AP30)-ROW(AP$15),0),
ROUND(ROUND(OFFSET($P30,0,AP$13),15-13*ORÇAMENTO!$AF$7)*OFFSET(ORÇAMENTO!$W$15,ROW(AP30)-ROW(AP$15),0),15-13*ORÇAMENTO!$AF$11)),0)</f>
        <v>0</v>
      </c>
      <c r="AQ30" s="523">
        <f ca="1">IF(AND($D30="Serviço",AQ$12&lt;&gt;0,$H30&gt;0,OR(AUTOEVENTO&lt;&gt;"manual",$M30&lt;&gt;1)),
IF(Import.TipoArredondamento&lt;&gt;"TransfereGOV",
ROUND(OFFSET($P30,0,AQ$13),15-13*ORÇAMENTO!$AF$7)/$H30*OFFSET(ORÇAMENTO!$X$15,ROW(AQ30)-ROW(AQ$15),0),
ROUND(ROUND(OFFSET($P30,0,AQ$13),15-13*ORÇAMENTO!$AF$7)*OFFSET(ORÇAMENTO!$W$15,ROW(AQ30)-ROW(AQ$15),0),15-13*ORÇAMENTO!$AF$11)),0)</f>
        <v>0</v>
      </c>
      <c r="AR30" s="523">
        <f ca="1">IF(AND($D30="Serviço",AR$12&lt;&gt;0,$H30&gt;0,OR(AUTOEVENTO&lt;&gt;"manual",$M30&lt;&gt;1)),
IF(Import.TipoArredondamento&lt;&gt;"TransfereGOV",
ROUND(OFFSET($P30,0,AR$13),15-13*ORÇAMENTO!$AF$7)/$H30*OFFSET(ORÇAMENTO!$X$15,ROW(AR30)-ROW(AR$15),0),
ROUND(ROUND(OFFSET($P30,0,AR$13),15-13*ORÇAMENTO!$AF$7)*OFFSET(ORÇAMENTO!$W$15,ROW(AR30)-ROW(AR$15),0),15-13*ORÇAMENTO!$AF$11)),0)</f>
        <v>0</v>
      </c>
      <c r="AS30" s="524">
        <f ca="1">IF(AND($D30="Serviço",AS$12&lt;&gt;0,$H30&gt;0,OR(AUTOEVENTO&lt;&gt;"manual",$M30&lt;&gt;1)),
IF(Import.TipoArredondamento&lt;&gt;"TransfereGOV",
ROUND(OFFSET($P30,0,AS$13),15-13*ORÇAMENTO!$AF$7)/$H30*OFFSET(ORÇAMENTO!$X$15,ROW(AS30)-ROW(AS$15),0),
ROUND(ROUND(OFFSET($P30,0,AS$13),15-13*ORÇAMENTO!$AF$7)*OFFSET(ORÇAMENTO!$W$15,ROW(AS30)-ROW(AS$15),0),15-13*ORÇAMENTO!$AF$11)),0)</f>
        <v>0</v>
      </c>
      <c r="AT30" s="523">
        <f ca="1">IF(AND($D30="Serviço",AT$12&lt;&gt;0,$H30&gt;0,OR(AUTOEVENTO&lt;&gt;"manual",$M30&lt;&gt;1)),
IF(Import.TipoArredondamento&lt;&gt;"TransfereGOV",
ROUND(OFFSET($P30,0,AT$13),15-13*ORÇAMENTO!$AF$7)/$H30*OFFSET(ORÇAMENTO!$X$15,ROW(AT30)-ROW(AT$15),0),
ROUND(ROUND(OFFSET($P30,0,AT$13),15-13*ORÇAMENTO!$AF$7)*OFFSET(ORÇAMENTO!$W$15,ROW(AT30)-ROW(AT$15),0),15-13*ORÇAMENTO!$AF$11)),0)</f>
        <v>0</v>
      </c>
      <c r="AU30" s="523">
        <f ca="1">IF(AND($D30="Serviço",AU$12&lt;&gt;0,$H30&gt;0,OR(AUTOEVENTO&lt;&gt;"manual",$M30&lt;&gt;1)),
IF(Import.TipoArredondamento&lt;&gt;"TransfereGOV",
ROUND(OFFSET($P30,0,AU$13),15-13*ORÇAMENTO!$AF$7)/$H30*OFFSET(ORÇAMENTO!$X$15,ROW(AU30)-ROW(AU$15),0),
ROUND(ROUND(OFFSET($P30,0,AU$13),15-13*ORÇAMENTO!$AF$7)*OFFSET(ORÇAMENTO!$W$15,ROW(AU30)-ROW(AU$15),0),15-13*ORÇAMENTO!$AF$11)),0)</f>
        <v>0</v>
      </c>
      <c r="AV30" s="523">
        <f ca="1">IF(AND($D30="Serviço",AV$12&lt;&gt;0,$H30&gt;0,OR(AUTOEVENTO&lt;&gt;"manual",$M30&lt;&gt;1)),
IF(Import.TipoArredondamento&lt;&gt;"TransfereGOV",
ROUND(OFFSET($P30,0,AV$13),15-13*ORÇAMENTO!$AF$7)/$H30*OFFSET(ORÇAMENTO!$X$15,ROW(AV30)-ROW(AV$15),0),
ROUND(ROUND(OFFSET($P30,0,AV$13),15-13*ORÇAMENTO!$AF$7)*OFFSET(ORÇAMENTO!$W$15,ROW(AV30)-ROW(AV$15),0),15-13*ORÇAMENTO!$AF$11)),0)</f>
        <v>0</v>
      </c>
      <c r="AW30" s="523">
        <f ca="1">IF(AND($D30="Serviço",AW$12&lt;&gt;0,$H30&gt;0,OR(AUTOEVENTO&lt;&gt;"manual",$M30&lt;&gt;1)),
IF(Import.TipoArredondamento&lt;&gt;"TransfereGOV",
ROUND(OFFSET($P30,0,AW$13),15-13*ORÇAMENTO!$AF$7)/$H30*OFFSET(ORÇAMENTO!$X$15,ROW(AW30)-ROW(AW$15),0),
ROUND(ROUND(OFFSET($P30,0,AW$13),15-13*ORÇAMENTO!$AF$7)*OFFSET(ORÇAMENTO!$W$15,ROW(AW30)-ROW(AW$15),0),15-13*ORÇAMENTO!$AF$11)),0)</f>
        <v>0</v>
      </c>
      <c r="AX30" s="523">
        <f ca="1">IF(AND($D30="Serviço",AX$12&lt;&gt;0,$H30&gt;0,OR(AUTOEVENTO&lt;&gt;"manual",$M30&lt;&gt;1)),
IF(Import.TipoArredondamento&lt;&gt;"TransfereGOV",
ROUND(OFFSET($P30,0,AX$13),15-13*ORÇAMENTO!$AF$7)/$H30*OFFSET(ORÇAMENTO!$X$15,ROW(AX30)-ROW(AX$15),0),
ROUND(ROUND(OFFSET($P30,0,AX$13),15-13*ORÇAMENTO!$AF$7)*OFFSET(ORÇAMENTO!$W$15,ROW(AX30)-ROW(AX$15),0),15-13*ORÇAMENTO!$AF$11)),0)</f>
        <v>0</v>
      </c>
      <c r="AY30" s="523">
        <f ca="1">IF(AND($D30="Serviço",AY$12&lt;&gt;0,$H30&gt;0,OR(AUTOEVENTO&lt;&gt;"manual",$M30&lt;&gt;1)),
IF(Import.TipoArredondamento&lt;&gt;"TransfereGOV",
ROUND(OFFSET($P30,0,AY$13),15-13*ORÇAMENTO!$AF$7)/$H30*OFFSET(ORÇAMENTO!$X$15,ROW(AY30)-ROW(AY$15),0),
ROUND(ROUND(OFFSET($P30,0,AY$13),15-13*ORÇAMENTO!$AF$7)*OFFSET(ORÇAMENTO!$W$15,ROW(AY30)-ROW(AY$15),0),15-13*ORÇAMENTO!$AF$11)),0)</f>
        <v>0</v>
      </c>
      <c r="AZ30" s="523">
        <f ca="1">IF(AND($D30="Serviço",AZ$12&lt;&gt;0,$H30&gt;0,OR(AUTOEVENTO&lt;&gt;"manual",$M30&lt;&gt;1)),
IF(Import.TipoArredondamento&lt;&gt;"TransfereGOV",
ROUND(OFFSET($P30,0,AZ$13),15-13*ORÇAMENTO!$AF$7)/$H30*OFFSET(ORÇAMENTO!$X$15,ROW(AZ30)-ROW(AZ$15),0),
ROUND(ROUND(OFFSET($P30,0,AZ$13),15-13*ORÇAMENTO!$AF$7)*OFFSET(ORÇAMENTO!$W$15,ROW(AZ30)-ROW(AZ$15),0),15-13*ORÇAMENTO!$AF$11)),0)</f>
        <v>0</v>
      </c>
      <c r="BA30" s="524">
        <f ca="1">IF(AND($D30="Serviço",BA$12&lt;&gt;0,$H30&gt;0,OR(AUTOEVENTO&lt;&gt;"manual",$M30&lt;&gt;1)),
IF(Import.TipoArredondamento&lt;&gt;"TransfereGOV",
ROUND(OFFSET($P30,0,BA$13),15-13*ORÇAMENTO!$AF$7)/$H30*OFFSET(ORÇAMENTO!$X$15,ROW(BA30)-ROW(BA$15),0),
ROUND(ROUND(OFFSET($P30,0,BA$13),15-13*ORÇAMENTO!$AF$7)*OFFSET(ORÇAMENTO!$W$15,ROW(BA30)-ROW(BA$15),0),15-13*ORÇAMENTO!$AF$11)),0)</f>
        <v>0</v>
      </c>
      <c r="BC30" s="181">
        <f ca="1">IF($D30&lt;&gt;"Serviço",0,IF(AND(AUTOEVENTO="Manual",$M30=1),0,IF(OFFSET(CRONOPLE!$F$14,$M30,BC$13)="",10^12,OFFSET(CRONOPLE!$F$14,$M30,BC$13))))</f>
        <v>12</v>
      </c>
      <c r="BD30" s="181">
        <f ca="1">IF($D30&lt;&gt;"Serviço",0,IF(AND(AUTOEVENTO="Manual",$M30=1),0,IF(OFFSET(CRONOPLE!$F$14,$M30,BD$13)="",10^12,OFFSET(CRONOPLE!$F$14,$M30,BD$13))))</f>
        <v>1000000000000</v>
      </c>
      <c r="BE30" s="181">
        <f ca="1">IF($D30&lt;&gt;"Serviço",0,IF(AND(AUTOEVENTO="Manual",$M30=1),0,IF(OFFSET(CRONOPLE!$F$14,$M30,BE$13)="",10^12,OFFSET(CRONOPLE!$F$14,$M30,BE$13))))</f>
        <v>1000000000000</v>
      </c>
      <c r="BF30" s="181">
        <f ca="1">IF($D30&lt;&gt;"Serviço",0,IF(AND(AUTOEVENTO="Manual",$M30=1),0,IF(OFFSET(CRONOPLE!$F$14,$M30,BF$13)="",10^12,OFFSET(CRONOPLE!$F$14,$M30,BF$13))))</f>
        <v>1000000000000</v>
      </c>
      <c r="BG30" s="181">
        <f ca="1">IF($D30&lt;&gt;"Serviço",0,IF(AND(AUTOEVENTO="Manual",$M30=1),0,IF(OFFSET(CRONOPLE!$F$14,$M30,BG$13)="",10^12,OFFSET(CRONOPLE!$F$14,$M30,BG$13))))</f>
        <v>1000000000000</v>
      </c>
      <c r="BH30" s="181">
        <f ca="1">IF($D30&lt;&gt;"Serviço",0,IF(AND(AUTOEVENTO="Manual",$M30=1),0,IF(OFFSET(CRONOPLE!$F$14,$M30,BH$13)="",10^12,OFFSET(CRONOPLE!$F$14,$M30,BH$13))))</f>
        <v>1000000000000</v>
      </c>
      <c r="BI30" s="181">
        <f ca="1">IF($D30&lt;&gt;"Serviço",0,IF(AND(AUTOEVENTO="Manual",$M30=1),0,IF(OFFSET(CRONOPLE!$F$14,$M30,BI$13)="",10^12,OFFSET(CRONOPLE!$F$14,$M30,BI$13))))</f>
        <v>1000000000000</v>
      </c>
      <c r="BJ30" s="181">
        <f ca="1">IF($D30&lt;&gt;"Serviço",0,IF(AND(AUTOEVENTO="Manual",$M30=1),0,IF(OFFSET(CRONOPLE!$F$14,$M30,BJ$13)="",10^12,OFFSET(CRONOPLE!$F$14,$M30,BJ$13))))</f>
        <v>1000000000000</v>
      </c>
      <c r="BK30" s="181">
        <f ca="1">IF($D30&lt;&gt;"Serviço",0,IF(AND(AUTOEVENTO="Manual",$M30=1),0,IF(OFFSET(CRONOPLE!$F$14,$M30,BK$13)="",10^12,OFFSET(CRONOPLE!$F$14,$M30,BK$13))))</f>
        <v>1000000000000</v>
      </c>
      <c r="BL30" s="181">
        <f ca="1">IF($D30&lt;&gt;"Serviço",0,IF(AND(AUTOEVENTO="Manual",$M30=1),0,IF(OFFSET(CRONOPLE!$F$14,$M30,BL$13)="",10^12,OFFSET(CRONOPLE!$F$14,$M30,BL$13))))</f>
        <v>1000000000000</v>
      </c>
      <c r="BM30" s="181">
        <f ca="1">IF($D30&lt;&gt;"Serviço",0,IF(AND(AUTOEVENTO="Manual",$M30=1),0,IF(OFFSET(CRONOPLE!$F$14,$M30,BM$13)="",10^12,OFFSET(CRONOPLE!$F$14,$M30,BM$13))))</f>
        <v>1000000000000</v>
      </c>
      <c r="BN30" s="181">
        <f ca="1">IF($D30&lt;&gt;"Serviço",0,IF(AND(AUTOEVENTO="Manual",$M30=1),0,IF(OFFSET(CRONOPLE!$F$14,$M30,BN$13)="",10^12,OFFSET(CRONOPLE!$F$14,$M30,BN$13))))</f>
        <v>1000000000000</v>
      </c>
      <c r="BO30" s="181">
        <f ca="1">IF($D30&lt;&gt;"Serviço",0,IF(AND(AUTOEVENTO="Manual",$M30=1),0,IF(OFFSET(CRONOPLE!$F$14,$M30,BO$13)="",10^12,OFFSET(CRONOPLE!$F$14,$M30,BO$13))))</f>
        <v>1000000000000</v>
      </c>
      <c r="BP30" s="181">
        <f ca="1">IF($D30&lt;&gt;"Serviço",0,IF(AND(AUTOEVENTO="Manual",$M30=1),0,IF(OFFSET(CRONOPLE!$F$14,$M30,BP$13)="",10^12,OFFSET(CRONOPLE!$F$14,$M30,BP$13))))</f>
        <v>1000000000000</v>
      </c>
      <c r="BQ30" s="181">
        <f ca="1">IF($D30&lt;&gt;"Serviço",0,IF(AND(AUTOEVENTO="Manual",$M30=1),0,IF(OFFSET(CRONOPLE!$F$14,$M30,BQ$13)="",10^12,OFFSET(CRONOPLE!$F$14,$M30,BQ$13))))</f>
        <v>1000000000000</v>
      </c>
      <c r="BR30" s="181">
        <f ca="1">IF($D30&lt;&gt;"Serviço",0,IF(AND(AUTOEVENTO="Manual",$M30=1),0,IF(OFFSET(CRONOPLE!$F$14,$M30,BR$13)="",10^12,OFFSET(CRONOPLE!$F$14,$M30,BR$13))))</f>
        <v>1000000000000</v>
      </c>
      <c r="BS30" s="181">
        <f ca="1">IF($D30&lt;&gt;"Serviço",0,IF(AND(AUTOEVENTO="Manual",$M30=1),0,IF(OFFSET(CRONOPLE!$F$14,$M30,BS$13)="",10^12,OFFSET(CRONOPLE!$F$14,$M30,BS$13))))</f>
        <v>1000000000000</v>
      </c>
      <c r="BT30" s="181">
        <f ca="1">IF($D30&lt;&gt;"Serviço",0,IF(AND(AUTOEVENTO="Manual",$M30=1),0,IF(OFFSET(CRONOPLE!$F$14,$M30,BT$13)="",10^12,OFFSET(CRONOPLE!$F$14,$M30,BT$13))))</f>
        <v>1000000000000</v>
      </c>
      <c r="BV30" s="182">
        <f ca="1">IF($D30&lt;&gt;"Serviço",0,IF(OR(AND(AUTOEVENTO="Manual",$M30=1),$M30&gt;(ROW(PLE.lastrow)-ROW(PLE.firstrow))),0,IF(OFFSET(PLE!$G$14,$M30,BV$13)="",10^12,OFFSET(PLE!$G$14,$M30,BV$13))))</f>
        <v>1000000000000</v>
      </c>
      <c r="BW30" s="182">
        <f ca="1">IF($D30&lt;&gt;"Serviço",0,IF(OR(AND(AUTOEVENTO="Manual",$M30=1),$M30&gt;(ROW(PLE.lastrow)-ROW(PLE.firstrow))),0,IF(OFFSET(PLE!$G$14,$M30,BW$13)="",10^12,OFFSET(PLE!$G$14,$M30,BW$13))))</f>
        <v>1000000000000</v>
      </c>
      <c r="BX30" s="182">
        <f ca="1">IF($D30&lt;&gt;"Serviço",0,IF(OR(AND(AUTOEVENTO="Manual",$M30=1),$M30&gt;(ROW(PLE.lastrow)-ROW(PLE.firstrow))),0,IF(OFFSET(PLE!$G$14,$M30,BX$13)="",10^12,OFFSET(PLE!$G$14,$M30,BX$13))))</f>
        <v>1000000000000</v>
      </c>
      <c r="BY30" s="182">
        <f ca="1">IF($D30&lt;&gt;"Serviço",0,IF(OR(AND(AUTOEVENTO="Manual",$M30=1),$M30&gt;(ROW(PLE.lastrow)-ROW(PLE.firstrow))),0,IF(OFFSET(PLE!$G$14,$M30,BY$13)="",10^12,OFFSET(PLE!$G$14,$M30,BY$13))))</f>
        <v>1000000000000</v>
      </c>
      <c r="BZ30" s="182">
        <f ca="1">IF($D30&lt;&gt;"Serviço",0,IF(OR(AND(AUTOEVENTO="Manual",$M30=1),$M30&gt;(ROW(PLE.lastrow)-ROW(PLE.firstrow))),0,IF(OFFSET(PLE!$G$14,$M30,BZ$13)="",10^12,OFFSET(PLE!$G$14,$M30,BZ$13))))</f>
        <v>1000000000000</v>
      </c>
      <c r="CA30" s="182">
        <f ca="1">IF($D30&lt;&gt;"Serviço",0,IF(OR(AND(AUTOEVENTO="Manual",$M30=1),$M30&gt;(ROW(PLE.lastrow)-ROW(PLE.firstrow))),0,IF(OFFSET(PLE!$G$14,$M30,CA$13)="",10^12,OFFSET(PLE!$G$14,$M30,CA$13))))</f>
        <v>1000000000000</v>
      </c>
      <c r="CB30" s="182">
        <f ca="1">IF($D30&lt;&gt;"Serviço",0,IF(OR(AND(AUTOEVENTO="Manual",$M30=1),$M30&gt;(ROW(PLE.lastrow)-ROW(PLE.firstrow))),0,IF(OFFSET(PLE!$G$14,$M30,CB$13)="",10^12,OFFSET(PLE!$G$14,$M30,CB$13))))</f>
        <v>1000000000000</v>
      </c>
      <c r="CC30" s="182">
        <f ca="1">IF($D30&lt;&gt;"Serviço",0,IF(OR(AND(AUTOEVENTO="Manual",$M30=1),$M30&gt;(ROW(PLE.lastrow)-ROW(PLE.firstrow))),0,IF(OFFSET(PLE!$G$14,$M30,CC$13)="",10^12,OFFSET(PLE!$G$14,$M30,CC$13))))</f>
        <v>1000000000000</v>
      </c>
      <c r="CD30" s="182">
        <f ca="1">IF($D30&lt;&gt;"Serviço",0,IF(OR(AND(AUTOEVENTO="Manual",$M30=1),$M30&gt;(ROW(PLE.lastrow)-ROW(PLE.firstrow))),0,IF(OFFSET(PLE!$G$14,$M30,CD$13)="",10^12,OFFSET(PLE!$G$14,$M30,CD$13))))</f>
        <v>1000000000000</v>
      </c>
      <c r="CE30" s="182">
        <f ca="1">IF($D30&lt;&gt;"Serviço",0,IF(OR(AND(AUTOEVENTO="Manual",$M30=1),$M30&gt;(ROW(PLE.lastrow)-ROW(PLE.firstrow))),0,IF(OFFSET(PLE!$G$14,$M30,CE$13)="",10^12,OFFSET(PLE!$G$14,$M30,CE$13))))</f>
        <v>1000000000000</v>
      </c>
      <c r="CF30" s="182">
        <f ca="1">IF($D30&lt;&gt;"Serviço",0,IF(OR(AND(AUTOEVENTO="Manual",$M30=1),$M30&gt;(ROW(PLE.lastrow)-ROW(PLE.firstrow))),0,IF(OFFSET(PLE!$G$14,$M30,CF$13)="",10^12,OFFSET(PLE!$G$14,$M30,CF$13))))</f>
        <v>1000000000000</v>
      </c>
      <c r="CG30" s="182">
        <f ca="1">IF($D30&lt;&gt;"Serviço",0,IF(OR(AND(AUTOEVENTO="Manual",$M30=1),$M30&gt;(ROW(PLE.lastrow)-ROW(PLE.firstrow))),0,IF(OFFSET(PLE!$G$14,$M30,CG$13)="",10^12,OFFSET(PLE!$G$14,$M30,CG$13))))</f>
        <v>1000000000000</v>
      </c>
      <c r="CH30" s="182">
        <f ca="1">IF($D30&lt;&gt;"Serviço",0,IF(OR(AND(AUTOEVENTO="Manual",$M30=1),$M30&gt;(ROW(PLE.lastrow)-ROW(PLE.firstrow))),0,IF(OFFSET(PLE!$G$14,$M30,CH$13)="",10^12,OFFSET(PLE!$G$14,$M30,CH$13))))</f>
        <v>1000000000000</v>
      </c>
      <c r="CI30" s="182">
        <f ca="1">IF($D30&lt;&gt;"Serviço",0,IF(OR(AND(AUTOEVENTO="Manual",$M30=1),$M30&gt;(ROW(PLE.lastrow)-ROW(PLE.firstrow))),0,IF(OFFSET(PLE!$G$14,$M30,CI$13)="",10^12,OFFSET(PLE!$G$14,$M30,CI$13))))</f>
        <v>1000000000000</v>
      </c>
      <c r="CJ30" s="182">
        <f ca="1">IF($D30&lt;&gt;"Serviço",0,IF(OR(AND(AUTOEVENTO="Manual",$M30=1),$M30&gt;(ROW(PLE.lastrow)-ROW(PLE.firstrow))),0,IF(OFFSET(PLE!$G$14,$M30,CJ$13)="",10^12,OFFSET(PLE!$G$14,$M30,CJ$13))))</f>
        <v>1000000000000</v>
      </c>
      <c r="CK30" s="182">
        <f ca="1">IF($D30&lt;&gt;"Serviço",0,IF(OR(AND(AUTOEVENTO="Manual",$M30=1),$M30&gt;(ROW(PLE.lastrow)-ROW(PLE.firstrow))),0,IF(OFFSET(PLE!$G$14,$M30,CK$13)="",10^12,OFFSET(PLE!$G$14,$M30,CK$13))))</f>
        <v>1000000000000</v>
      </c>
      <c r="CL30" s="182">
        <f ca="1">IF($D30&lt;&gt;"Serviço",0,IF(OR(AND(AUTOEVENTO="Manual",$M30=1),$M30&gt;(ROW(PLE.lastrow)-ROW(PLE.firstrow))),0,IF(OFFSET(PLE!$G$14,$M30,CL$13)="",10^12,OFFSET(PLE!$G$14,$M30,CL$13))))</f>
        <v>1000000000000</v>
      </c>
      <c r="CM30" s="182">
        <f ca="1">IF($D30&lt;&gt;"Serviço",0,IF(OR(AND(AUTOEVENTO="Manual",$M30=1),$M30&gt;(ROW(PLE.lastrow)-ROW(PLE.firstrow))),0,IF(OFFSET(PLE!$G$14,$M30,CM$13)="",10^12,OFFSET(PLE!$G$14,$M30,CM$13))))</f>
        <v>1000000000000</v>
      </c>
    </row>
    <row r="31" spans="1:91" ht="38.25" x14ac:dyDescent="0.2">
      <c r="A31" s="7" t="str">
        <f t="shared" ca="1" si="9"/>
        <v>2</v>
      </c>
      <c r="B31" s="7" t="str">
        <f ca="1">OFFSET(ORÇAMENTO!C$15,ROW(B31)-ROW(B$15),0)</f>
        <v>S</v>
      </c>
      <c r="C31" s="7" t="str">
        <f ca="1">OFFSET(ORÇAMENTO!L$15,ROW(C31)-ROW(C$15),0)</f>
        <v/>
      </c>
      <c r="D31" s="118" t="str">
        <f ca="1">OFFSET(ORÇAMENTO!N$15,ROW(D31)-ROW(D$15),0)</f>
        <v>Serviço</v>
      </c>
      <c r="E31" s="119" t="str">
        <f ca="1">OFFSET(ORÇAMENTO!O$15,ROW(E31)-ROW(E$15),0)</f>
        <v>-</v>
      </c>
      <c r="F31" s="172" t="str">
        <f ca="1">OFFSET(ORÇAMENTO!R$15,ROW(F31)-ROW(F$15),0)</f>
        <v>(abra o arquivo 'Referência 03-Sunday.xlsm)</v>
      </c>
      <c r="G31" s="173" t="str">
        <f ca="1">IF($D31&lt;&gt;"Serviço","",OFFSET(ORÇAMENTO!S$15,ROW(G31)-ROW(G$15),0))</f>
        <v>-</v>
      </c>
      <c r="H31" s="124">
        <f ca="1">IF($D31&lt;&gt;"Serviço",0,IF(ACOMPANHAMENTO="BM",ROUND(OFFSET(ORÇAMENTO!AJ$15,ROW(H31)-ROW(H$15),0),15-13*ORÇAMENTO!$AF$7),SUMPRODUCT(($Q$12:$AI$12&lt;&gt;"")*ROUND($Q31:$AI31,15-13*ORÇAMENTO!$AF$7))))</f>
        <v>8</v>
      </c>
      <c r="I31" s="539" t="s">
        <v>515</v>
      </c>
      <c r="K31" s="174"/>
      <c r="L31" s="175" t="s">
        <v>254</v>
      </c>
      <c r="M31" s="176">
        <f ca="1">IF($D31&lt;&gt;"Serviço","",IF(AUTOEVENTO="manual",$A31,IF(ISERROR(MATCH($A31,$A$15:OFFSET($A31,-1,0),0)),MAX($M$15:OFFSET(M31,-1,0))+1,INDEX($M$15:OFFSET(M31,-1,0),MATCH($A31,$A$15:OFFSET($A31,-1,0),0)))))</f>
        <v>2</v>
      </c>
      <c r="N31" s="177" t="str">
        <f ca="1">IF($D31&lt;&gt;"Serviço","",IF(AUTOEVENTO="Manual",IF($A31=0,"&lt;-- defina o número do agrupador",OFFSET(EVENTOS!$D$14,$A31,0)),OFFSET($F$15,$A31,0)))</f>
        <v>Lote 01  - Manutenção e Reparos Abrigos Passagerios Onibus e Táxi</v>
      </c>
      <c r="O31" s="178"/>
      <c r="Q31" s="178">
        <f>100*0.4*0.4*0.5</f>
        <v>8</v>
      </c>
      <c r="R31" s="179"/>
      <c r="S31" s="179"/>
      <c r="T31" s="179"/>
      <c r="U31" s="179"/>
      <c r="V31" s="179"/>
      <c r="W31" s="179"/>
      <c r="X31" s="179"/>
      <c r="Y31" s="179"/>
      <c r="Z31" s="180"/>
      <c r="AA31" s="179"/>
      <c r="AB31" s="179"/>
      <c r="AC31" s="179"/>
      <c r="AD31" s="179"/>
      <c r="AE31" s="179"/>
      <c r="AF31" s="179"/>
      <c r="AG31" s="179"/>
      <c r="AH31" s="180"/>
      <c r="AJ31" s="522">
        <f ca="1">IF(AND($D31="Serviço",AJ$12&lt;&gt;0,$H31&gt;0,OR(AUTOEVENTO&lt;&gt;"manual",$M31&lt;&gt;1)),
IF(Import.TipoArredondamento&lt;&gt;"TransfereGOV",
ROUND(OFFSET($P31,0,AJ$13),15-13*ORÇAMENTO!$AF$7)/$H31*OFFSET(ORÇAMENTO!$X$15,ROW(AJ31)-ROW(AJ$15),0),
ROUND(ROUND(OFFSET($P31,0,AJ$13),15-13*ORÇAMENTO!$AF$7)*OFFSET(ORÇAMENTO!$W$15,ROW(AJ31)-ROW(AJ$15),0),15-13*ORÇAMENTO!$AF$11)),0)</f>
        <v>0</v>
      </c>
      <c r="AK31" s="523">
        <f ca="1">IF(AND($D31="Serviço",AK$12&lt;&gt;0,$H31&gt;0,OR(AUTOEVENTO&lt;&gt;"manual",$M31&lt;&gt;1)),
IF(Import.TipoArredondamento&lt;&gt;"TransfereGOV",
ROUND(OFFSET($P31,0,AK$13),15-13*ORÇAMENTO!$AF$7)/$H31*OFFSET(ORÇAMENTO!$X$15,ROW(AK31)-ROW(AK$15),0),
ROUND(ROUND(OFFSET($P31,0,AK$13),15-13*ORÇAMENTO!$AF$7)*OFFSET(ORÇAMENTO!$W$15,ROW(AK31)-ROW(AK$15),0),15-13*ORÇAMENTO!$AF$11)),0)</f>
        <v>0</v>
      </c>
      <c r="AL31" s="523">
        <f ca="1">IF(AND($D31="Serviço",AL$12&lt;&gt;0,$H31&gt;0,OR(AUTOEVENTO&lt;&gt;"manual",$M31&lt;&gt;1)),
IF(Import.TipoArredondamento&lt;&gt;"TransfereGOV",
ROUND(OFFSET($P31,0,AL$13),15-13*ORÇAMENTO!$AF$7)/$H31*OFFSET(ORÇAMENTO!$X$15,ROW(AL31)-ROW(AL$15),0),
ROUND(ROUND(OFFSET($P31,0,AL$13),15-13*ORÇAMENTO!$AF$7)*OFFSET(ORÇAMENTO!$W$15,ROW(AL31)-ROW(AL$15),0),15-13*ORÇAMENTO!$AF$11)),0)</f>
        <v>0</v>
      </c>
      <c r="AM31" s="523">
        <f ca="1">IF(AND($D31="Serviço",AM$12&lt;&gt;0,$H31&gt;0,OR(AUTOEVENTO&lt;&gt;"manual",$M31&lt;&gt;1)),
IF(Import.TipoArredondamento&lt;&gt;"TransfereGOV",
ROUND(OFFSET($P31,0,AM$13),15-13*ORÇAMENTO!$AF$7)/$H31*OFFSET(ORÇAMENTO!$X$15,ROW(AM31)-ROW(AM$15),0),
ROUND(ROUND(OFFSET($P31,0,AM$13),15-13*ORÇAMENTO!$AF$7)*OFFSET(ORÇAMENTO!$W$15,ROW(AM31)-ROW(AM$15),0),15-13*ORÇAMENTO!$AF$11)),0)</f>
        <v>0</v>
      </c>
      <c r="AN31" s="523">
        <f ca="1">IF(AND($D31="Serviço",AN$12&lt;&gt;0,$H31&gt;0,OR(AUTOEVENTO&lt;&gt;"manual",$M31&lt;&gt;1)),
IF(Import.TipoArredondamento&lt;&gt;"TransfereGOV",
ROUND(OFFSET($P31,0,AN$13),15-13*ORÇAMENTO!$AF$7)/$H31*OFFSET(ORÇAMENTO!$X$15,ROW(AN31)-ROW(AN$15),0),
ROUND(ROUND(OFFSET($P31,0,AN$13),15-13*ORÇAMENTO!$AF$7)*OFFSET(ORÇAMENTO!$W$15,ROW(AN31)-ROW(AN$15),0),15-13*ORÇAMENTO!$AF$11)),0)</f>
        <v>0</v>
      </c>
      <c r="AO31" s="523">
        <f ca="1">IF(AND($D31="Serviço",AO$12&lt;&gt;0,$H31&gt;0,OR(AUTOEVENTO&lt;&gt;"manual",$M31&lt;&gt;1)),
IF(Import.TipoArredondamento&lt;&gt;"TransfereGOV",
ROUND(OFFSET($P31,0,AO$13),15-13*ORÇAMENTO!$AF$7)/$H31*OFFSET(ORÇAMENTO!$X$15,ROW(AO31)-ROW(AO$15),0),
ROUND(ROUND(OFFSET($P31,0,AO$13),15-13*ORÇAMENTO!$AF$7)*OFFSET(ORÇAMENTO!$W$15,ROW(AO31)-ROW(AO$15),0),15-13*ORÇAMENTO!$AF$11)),0)</f>
        <v>0</v>
      </c>
      <c r="AP31" s="523">
        <f ca="1">IF(AND($D31="Serviço",AP$12&lt;&gt;0,$H31&gt;0,OR(AUTOEVENTO&lt;&gt;"manual",$M31&lt;&gt;1)),
IF(Import.TipoArredondamento&lt;&gt;"TransfereGOV",
ROUND(OFFSET($P31,0,AP$13),15-13*ORÇAMENTO!$AF$7)/$H31*OFFSET(ORÇAMENTO!$X$15,ROW(AP31)-ROW(AP$15),0),
ROUND(ROUND(OFFSET($P31,0,AP$13),15-13*ORÇAMENTO!$AF$7)*OFFSET(ORÇAMENTO!$W$15,ROW(AP31)-ROW(AP$15),0),15-13*ORÇAMENTO!$AF$11)),0)</f>
        <v>0</v>
      </c>
      <c r="AQ31" s="523">
        <f ca="1">IF(AND($D31="Serviço",AQ$12&lt;&gt;0,$H31&gt;0,OR(AUTOEVENTO&lt;&gt;"manual",$M31&lt;&gt;1)),
IF(Import.TipoArredondamento&lt;&gt;"TransfereGOV",
ROUND(OFFSET($P31,0,AQ$13),15-13*ORÇAMENTO!$AF$7)/$H31*OFFSET(ORÇAMENTO!$X$15,ROW(AQ31)-ROW(AQ$15),0),
ROUND(ROUND(OFFSET($P31,0,AQ$13),15-13*ORÇAMENTO!$AF$7)*OFFSET(ORÇAMENTO!$W$15,ROW(AQ31)-ROW(AQ$15),0),15-13*ORÇAMENTO!$AF$11)),0)</f>
        <v>0</v>
      </c>
      <c r="AR31" s="523">
        <f ca="1">IF(AND($D31="Serviço",AR$12&lt;&gt;0,$H31&gt;0,OR(AUTOEVENTO&lt;&gt;"manual",$M31&lt;&gt;1)),
IF(Import.TipoArredondamento&lt;&gt;"TransfereGOV",
ROUND(OFFSET($P31,0,AR$13),15-13*ORÇAMENTO!$AF$7)/$H31*OFFSET(ORÇAMENTO!$X$15,ROW(AR31)-ROW(AR$15),0),
ROUND(ROUND(OFFSET($P31,0,AR$13),15-13*ORÇAMENTO!$AF$7)*OFFSET(ORÇAMENTO!$W$15,ROW(AR31)-ROW(AR$15),0),15-13*ORÇAMENTO!$AF$11)),0)</f>
        <v>0</v>
      </c>
      <c r="AS31" s="524">
        <f ca="1">IF(AND($D31="Serviço",AS$12&lt;&gt;0,$H31&gt;0,OR(AUTOEVENTO&lt;&gt;"manual",$M31&lt;&gt;1)),
IF(Import.TipoArredondamento&lt;&gt;"TransfereGOV",
ROUND(OFFSET($P31,0,AS$13),15-13*ORÇAMENTO!$AF$7)/$H31*OFFSET(ORÇAMENTO!$X$15,ROW(AS31)-ROW(AS$15),0),
ROUND(ROUND(OFFSET($P31,0,AS$13),15-13*ORÇAMENTO!$AF$7)*OFFSET(ORÇAMENTO!$W$15,ROW(AS31)-ROW(AS$15),0),15-13*ORÇAMENTO!$AF$11)),0)</f>
        <v>0</v>
      </c>
      <c r="AT31" s="523">
        <f ca="1">IF(AND($D31="Serviço",AT$12&lt;&gt;0,$H31&gt;0,OR(AUTOEVENTO&lt;&gt;"manual",$M31&lt;&gt;1)),
IF(Import.TipoArredondamento&lt;&gt;"TransfereGOV",
ROUND(OFFSET($P31,0,AT$13),15-13*ORÇAMENTO!$AF$7)/$H31*OFFSET(ORÇAMENTO!$X$15,ROW(AT31)-ROW(AT$15),0),
ROUND(ROUND(OFFSET($P31,0,AT$13),15-13*ORÇAMENTO!$AF$7)*OFFSET(ORÇAMENTO!$W$15,ROW(AT31)-ROW(AT$15),0),15-13*ORÇAMENTO!$AF$11)),0)</f>
        <v>0</v>
      </c>
      <c r="AU31" s="523">
        <f ca="1">IF(AND($D31="Serviço",AU$12&lt;&gt;0,$H31&gt;0,OR(AUTOEVENTO&lt;&gt;"manual",$M31&lt;&gt;1)),
IF(Import.TipoArredondamento&lt;&gt;"TransfereGOV",
ROUND(OFFSET($P31,0,AU$13),15-13*ORÇAMENTO!$AF$7)/$H31*OFFSET(ORÇAMENTO!$X$15,ROW(AU31)-ROW(AU$15),0),
ROUND(ROUND(OFFSET($P31,0,AU$13),15-13*ORÇAMENTO!$AF$7)*OFFSET(ORÇAMENTO!$W$15,ROW(AU31)-ROW(AU$15),0),15-13*ORÇAMENTO!$AF$11)),0)</f>
        <v>0</v>
      </c>
      <c r="AV31" s="523">
        <f ca="1">IF(AND($D31="Serviço",AV$12&lt;&gt;0,$H31&gt;0,OR(AUTOEVENTO&lt;&gt;"manual",$M31&lt;&gt;1)),
IF(Import.TipoArredondamento&lt;&gt;"TransfereGOV",
ROUND(OFFSET($P31,0,AV$13),15-13*ORÇAMENTO!$AF$7)/$H31*OFFSET(ORÇAMENTO!$X$15,ROW(AV31)-ROW(AV$15),0),
ROUND(ROUND(OFFSET($P31,0,AV$13),15-13*ORÇAMENTO!$AF$7)*OFFSET(ORÇAMENTO!$W$15,ROW(AV31)-ROW(AV$15),0),15-13*ORÇAMENTO!$AF$11)),0)</f>
        <v>0</v>
      </c>
      <c r="AW31" s="523">
        <f ca="1">IF(AND($D31="Serviço",AW$12&lt;&gt;0,$H31&gt;0,OR(AUTOEVENTO&lt;&gt;"manual",$M31&lt;&gt;1)),
IF(Import.TipoArredondamento&lt;&gt;"TransfereGOV",
ROUND(OFFSET($P31,0,AW$13),15-13*ORÇAMENTO!$AF$7)/$H31*OFFSET(ORÇAMENTO!$X$15,ROW(AW31)-ROW(AW$15),0),
ROUND(ROUND(OFFSET($P31,0,AW$13),15-13*ORÇAMENTO!$AF$7)*OFFSET(ORÇAMENTO!$W$15,ROW(AW31)-ROW(AW$15),0),15-13*ORÇAMENTO!$AF$11)),0)</f>
        <v>0</v>
      </c>
      <c r="AX31" s="523">
        <f ca="1">IF(AND($D31="Serviço",AX$12&lt;&gt;0,$H31&gt;0,OR(AUTOEVENTO&lt;&gt;"manual",$M31&lt;&gt;1)),
IF(Import.TipoArredondamento&lt;&gt;"TransfereGOV",
ROUND(OFFSET($P31,0,AX$13),15-13*ORÇAMENTO!$AF$7)/$H31*OFFSET(ORÇAMENTO!$X$15,ROW(AX31)-ROW(AX$15),0),
ROUND(ROUND(OFFSET($P31,0,AX$13),15-13*ORÇAMENTO!$AF$7)*OFFSET(ORÇAMENTO!$W$15,ROW(AX31)-ROW(AX$15),0),15-13*ORÇAMENTO!$AF$11)),0)</f>
        <v>0</v>
      </c>
      <c r="AY31" s="523">
        <f ca="1">IF(AND($D31="Serviço",AY$12&lt;&gt;0,$H31&gt;0,OR(AUTOEVENTO&lt;&gt;"manual",$M31&lt;&gt;1)),
IF(Import.TipoArredondamento&lt;&gt;"TransfereGOV",
ROUND(OFFSET($P31,0,AY$13),15-13*ORÇAMENTO!$AF$7)/$H31*OFFSET(ORÇAMENTO!$X$15,ROW(AY31)-ROW(AY$15),0),
ROUND(ROUND(OFFSET($P31,0,AY$13),15-13*ORÇAMENTO!$AF$7)*OFFSET(ORÇAMENTO!$W$15,ROW(AY31)-ROW(AY$15),0),15-13*ORÇAMENTO!$AF$11)),0)</f>
        <v>0</v>
      </c>
      <c r="AZ31" s="523">
        <f ca="1">IF(AND($D31="Serviço",AZ$12&lt;&gt;0,$H31&gt;0,OR(AUTOEVENTO&lt;&gt;"manual",$M31&lt;&gt;1)),
IF(Import.TipoArredondamento&lt;&gt;"TransfereGOV",
ROUND(OFFSET($P31,0,AZ$13),15-13*ORÇAMENTO!$AF$7)/$H31*OFFSET(ORÇAMENTO!$X$15,ROW(AZ31)-ROW(AZ$15),0),
ROUND(ROUND(OFFSET($P31,0,AZ$13),15-13*ORÇAMENTO!$AF$7)*OFFSET(ORÇAMENTO!$W$15,ROW(AZ31)-ROW(AZ$15),0),15-13*ORÇAMENTO!$AF$11)),0)</f>
        <v>0</v>
      </c>
      <c r="BA31" s="524">
        <f ca="1">IF(AND($D31="Serviço",BA$12&lt;&gt;0,$H31&gt;0,OR(AUTOEVENTO&lt;&gt;"manual",$M31&lt;&gt;1)),
IF(Import.TipoArredondamento&lt;&gt;"TransfereGOV",
ROUND(OFFSET($P31,0,BA$13),15-13*ORÇAMENTO!$AF$7)/$H31*OFFSET(ORÇAMENTO!$X$15,ROW(BA31)-ROW(BA$15),0),
ROUND(ROUND(OFFSET($P31,0,BA$13),15-13*ORÇAMENTO!$AF$7)*OFFSET(ORÇAMENTO!$W$15,ROW(BA31)-ROW(BA$15),0),15-13*ORÇAMENTO!$AF$11)),0)</f>
        <v>0</v>
      </c>
      <c r="BC31" s="181">
        <f ca="1">IF($D31&lt;&gt;"Serviço",0,IF(AND(AUTOEVENTO="Manual",$M31=1),0,IF(OFFSET(CRONOPLE!$F$14,$M31,BC$13)="",10^12,OFFSET(CRONOPLE!$F$14,$M31,BC$13))))</f>
        <v>12</v>
      </c>
      <c r="BD31" s="181">
        <f ca="1">IF($D31&lt;&gt;"Serviço",0,IF(AND(AUTOEVENTO="Manual",$M31=1),0,IF(OFFSET(CRONOPLE!$F$14,$M31,BD$13)="",10^12,OFFSET(CRONOPLE!$F$14,$M31,BD$13))))</f>
        <v>1000000000000</v>
      </c>
      <c r="BE31" s="181">
        <f ca="1">IF($D31&lt;&gt;"Serviço",0,IF(AND(AUTOEVENTO="Manual",$M31=1),0,IF(OFFSET(CRONOPLE!$F$14,$M31,BE$13)="",10^12,OFFSET(CRONOPLE!$F$14,$M31,BE$13))))</f>
        <v>1000000000000</v>
      </c>
      <c r="BF31" s="181">
        <f ca="1">IF($D31&lt;&gt;"Serviço",0,IF(AND(AUTOEVENTO="Manual",$M31=1),0,IF(OFFSET(CRONOPLE!$F$14,$M31,BF$13)="",10^12,OFFSET(CRONOPLE!$F$14,$M31,BF$13))))</f>
        <v>1000000000000</v>
      </c>
      <c r="BG31" s="181">
        <f ca="1">IF($D31&lt;&gt;"Serviço",0,IF(AND(AUTOEVENTO="Manual",$M31=1),0,IF(OFFSET(CRONOPLE!$F$14,$M31,BG$13)="",10^12,OFFSET(CRONOPLE!$F$14,$M31,BG$13))))</f>
        <v>1000000000000</v>
      </c>
      <c r="BH31" s="181">
        <f ca="1">IF($D31&lt;&gt;"Serviço",0,IF(AND(AUTOEVENTO="Manual",$M31=1),0,IF(OFFSET(CRONOPLE!$F$14,$M31,BH$13)="",10^12,OFFSET(CRONOPLE!$F$14,$M31,BH$13))))</f>
        <v>1000000000000</v>
      </c>
      <c r="BI31" s="181">
        <f ca="1">IF($D31&lt;&gt;"Serviço",0,IF(AND(AUTOEVENTO="Manual",$M31=1),0,IF(OFFSET(CRONOPLE!$F$14,$M31,BI$13)="",10^12,OFFSET(CRONOPLE!$F$14,$M31,BI$13))))</f>
        <v>1000000000000</v>
      </c>
      <c r="BJ31" s="181">
        <f ca="1">IF($D31&lt;&gt;"Serviço",0,IF(AND(AUTOEVENTO="Manual",$M31=1),0,IF(OFFSET(CRONOPLE!$F$14,$M31,BJ$13)="",10^12,OFFSET(CRONOPLE!$F$14,$M31,BJ$13))))</f>
        <v>1000000000000</v>
      </c>
      <c r="BK31" s="181">
        <f ca="1">IF($D31&lt;&gt;"Serviço",0,IF(AND(AUTOEVENTO="Manual",$M31=1),0,IF(OFFSET(CRONOPLE!$F$14,$M31,BK$13)="",10^12,OFFSET(CRONOPLE!$F$14,$M31,BK$13))))</f>
        <v>1000000000000</v>
      </c>
      <c r="BL31" s="181">
        <f ca="1">IF($D31&lt;&gt;"Serviço",0,IF(AND(AUTOEVENTO="Manual",$M31=1),0,IF(OFFSET(CRONOPLE!$F$14,$M31,BL$13)="",10^12,OFFSET(CRONOPLE!$F$14,$M31,BL$13))))</f>
        <v>1000000000000</v>
      </c>
      <c r="BM31" s="181">
        <f ca="1">IF($D31&lt;&gt;"Serviço",0,IF(AND(AUTOEVENTO="Manual",$M31=1),0,IF(OFFSET(CRONOPLE!$F$14,$M31,BM$13)="",10^12,OFFSET(CRONOPLE!$F$14,$M31,BM$13))))</f>
        <v>1000000000000</v>
      </c>
      <c r="BN31" s="181">
        <f ca="1">IF($D31&lt;&gt;"Serviço",0,IF(AND(AUTOEVENTO="Manual",$M31=1),0,IF(OFFSET(CRONOPLE!$F$14,$M31,BN$13)="",10^12,OFFSET(CRONOPLE!$F$14,$M31,BN$13))))</f>
        <v>1000000000000</v>
      </c>
      <c r="BO31" s="181">
        <f ca="1">IF($D31&lt;&gt;"Serviço",0,IF(AND(AUTOEVENTO="Manual",$M31=1),0,IF(OFFSET(CRONOPLE!$F$14,$M31,BO$13)="",10^12,OFFSET(CRONOPLE!$F$14,$M31,BO$13))))</f>
        <v>1000000000000</v>
      </c>
      <c r="BP31" s="181">
        <f ca="1">IF($D31&lt;&gt;"Serviço",0,IF(AND(AUTOEVENTO="Manual",$M31=1),0,IF(OFFSET(CRONOPLE!$F$14,$M31,BP$13)="",10^12,OFFSET(CRONOPLE!$F$14,$M31,BP$13))))</f>
        <v>1000000000000</v>
      </c>
      <c r="BQ31" s="181">
        <f ca="1">IF($D31&lt;&gt;"Serviço",0,IF(AND(AUTOEVENTO="Manual",$M31=1),0,IF(OFFSET(CRONOPLE!$F$14,$M31,BQ$13)="",10^12,OFFSET(CRONOPLE!$F$14,$M31,BQ$13))))</f>
        <v>1000000000000</v>
      </c>
      <c r="BR31" s="181">
        <f ca="1">IF($D31&lt;&gt;"Serviço",0,IF(AND(AUTOEVENTO="Manual",$M31=1),0,IF(OFFSET(CRONOPLE!$F$14,$M31,BR$13)="",10^12,OFFSET(CRONOPLE!$F$14,$M31,BR$13))))</f>
        <v>1000000000000</v>
      </c>
      <c r="BS31" s="181">
        <f ca="1">IF($D31&lt;&gt;"Serviço",0,IF(AND(AUTOEVENTO="Manual",$M31=1),0,IF(OFFSET(CRONOPLE!$F$14,$M31,BS$13)="",10^12,OFFSET(CRONOPLE!$F$14,$M31,BS$13))))</f>
        <v>1000000000000</v>
      </c>
      <c r="BT31" s="181">
        <f ca="1">IF($D31&lt;&gt;"Serviço",0,IF(AND(AUTOEVENTO="Manual",$M31=1),0,IF(OFFSET(CRONOPLE!$F$14,$M31,BT$13)="",10^12,OFFSET(CRONOPLE!$F$14,$M31,BT$13))))</f>
        <v>1000000000000</v>
      </c>
      <c r="BV31" s="182">
        <f ca="1">IF($D31&lt;&gt;"Serviço",0,IF(OR(AND(AUTOEVENTO="Manual",$M31=1),$M31&gt;(ROW(PLE.lastrow)-ROW(PLE.firstrow))),0,IF(OFFSET(PLE!$G$14,$M31,BV$13)="",10^12,OFFSET(PLE!$G$14,$M31,BV$13))))</f>
        <v>1000000000000</v>
      </c>
      <c r="BW31" s="182">
        <f ca="1">IF($D31&lt;&gt;"Serviço",0,IF(OR(AND(AUTOEVENTO="Manual",$M31=1),$M31&gt;(ROW(PLE.lastrow)-ROW(PLE.firstrow))),0,IF(OFFSET(PLE!$G$14,$M31,BW$13)="",10^12,OFFSET(PLE!$G$14,$M31,BW$13))))</f>
        <v>1000000000000</v>
      </c>
      <c r="BX31" s="182">
        <f ca="1">IF($D31&lt;&gt;"Serviço",0,IF(OR(AND(AUTOEVENTO="Manual",$M31=1),$M31&gt;(ROW(PLE.lastrow)-ROW(PLE.firstrow))),0,IF(OFFSET(PLE!$G$14,$M31,BX$13)="",10^12,OFFSET(PLE!$G$14,$M31,BX$13))))</f>
        <v>1000000000000</v>
      </c>
      <c r="BY31" s="182">
        <f ca="1">IF($D31&lt;&gt;"Serviço",0,IF(OR(AND(AUTOEVENTO="Manual",$M31=1),$M31&gt;(ROW(PLE.lastrow)-ROW(PLE.firstrow))),0,IF(OFFSET(PLE!$G$14,$M31,BY$13)="",10^12,OFFSET(PLE!$G$14,$M31,BY$13))))</f>
        <v>1000000000000</v>
      </c>
      <c r="BZ31" s="182">
        <f ca="1">IF($D31&lt;&gt;"Serviço",0,IF(OR(AND(AUTOEVENTO="Manual",$M31=1),$M31&gt;(ROW(PLE.lastrow)-ROW(PLE.firstrow))),0,IF(OFFSET(PLE!$G$14,$M31,BZ$13)="",10^12,OFFSET(PLE!$G$14,$M31,BZ$13))))</f>
        <v>1000000000000</v>
      </c>
      <c r="CA31" s="182">
        <f ca="1">IF($D31&lt;&gt;"Serviço",0,IF(OR(AND(AUTOEVENTO="Manual",$M31=1),$M31&gt;(ROW(PLE.lastrow)-ROW(PLE.firstrow))),0,IF(OFFSET(PLE!$G$14,$M31,CA$13)="",10^12,OFFSET(PLE!$G$14,$M31,CA$13))))</f>
        <v>1000000000000</v>
      </c>
      <c r="CB31" s="182">
        <f ca="1">IF($D31&lt;&gt;"Serviço",0,IF(OR(AND(AUTOEVENTO="Manual",$M31=1),$M31&gt;(ROW(PLE.lastrow)-ROW(PLE.firstrow))),0,IF(OFFSET(PLE!$G$14,$M31,CB$13)="",10^12,OFFSET(PLE!$G$14,$M31,CB$13))))</f>
        <v>1000000000000</v>
      </c>
      <c r="CC31" s="182">
        <f ca="1">IF($D31&lt;&gt;"Serviço",0,IF(OR(AND(AUTOEVENTO="Manual",$M31=1),$M31&gt;(ROW(PLE.lastrow)-ROW(PLE.firstrow))),0,IF(OFFSET(PLE!$G$14,$M31,CC$13)="",10^12,OFFSET(PLE!$G$14,$M31,CC$13))))</f>
        <v>1000000000000</v>
      </c>
      <c r="CD31" s="182">
        <f ca="1">IF($D31&lt;&gt;"Serviço",0,IF(OR(AND(AUTOEVENTO="Manual",$M31=1),$M31&gt;(ROW(PLE.lastrow)-ROW(PLE.firstrow))),0,IF(OFFSET(PLE!$G$14,$M31,CD$13)="",10^12,OFFSET(PLE!$G$14,$M31,CD$13))))</f>
        <v>1000000000000</v>
      </c>
      <c r="CE31" s="182">
        <f ca="1">IF($D31&lt;&gt;"Serviço",0,IF(OR(AND(AUTOEVENTO="Manual",$M31=1),$M31&gt;(ROW(PLE.lastrow)-ROW(PLE.firstrow))),0,IF(OFFSET(PLE!$G$14,$M31,CE$13)="",10^12,OFFSET(PLE!$G$14,$M31,CE$13))))</f>
        <v>1000000000000</v>
      </c>
      <c r="CF31" s="182">
        <f ca="1">IF($D31&lt;&gt;"Serviço",0,IF(OR(AND(AUTOEVENTO="Manual",$M31=1),$M31&gt;(ROW(PLE.lastrow)-ROW(PLE.firstrow))),0,IF(OFFSET(PLE!$G$14,$M31,CF$13)="",10^12,OFFSET(PLE!$G$14,$M31,CF$13))))</f>
        <v>1000000000000</v>
      </c>
      <c r="CG31" s="182">
        <f ca="1">IF($D31&lt;&gt;"Serviço",0,IF(OR(AND(AUTOEVENTO="Manual",$M31=1),$M31&gt;(ROW(PLE.lastrow)-ROW(PLE.firstrow))),0,IF(OFFSET(PLE!$G$14,$M31,CG$13)="",10^12,OFFSET(PLE!$G$14,$M31,CG$13))))</f>
        <v>1000000000000</v>
      </c>
      <c r="CH31" s="182">
        <f ca="1">IF($D31&lt;&gt;"Serviço",0,IF(OR(AND(AUTOEVENTO="Manual",$M31=1),$M31&gt;(ROW(PLE.lastrow)-ROW(PLE.firstrow))),0,IF(OFFSET(PLE!$G$14,$M31,CH$13)="",10^12,OFFSET(PLE!$G$14,$M31,CH$13))))</f>
        <v>1000000000000</v>
      </c>
      <c r="CI31" s="182">
        <f ca="1">IF($D31&lt;&gt;"Serviço",0,IF(OR(AND(AUTOEVENTO="Manual",$M31=1),$M31&gt;(ROW(PLE.lastrow)-ROW(PLE.firstrow))),0,IF(OFFSET(PLE!$G$14,$M31,CI$13)="",10^12,OFFSET(PLE!$G$14,$M31,CI$13))))</f>
        <v>1000000000000</v>
      </c>
      <c r="CJ31" s="182">
        <f ca="1">IF($D31&lt;&gt;"Serviço",0,IF(OR(AND(AUTOEVENTO="Manual",$M31=1),$M31&gt;(ROW(PLE.lastrow)-ROW(PLE.firstrow))),0,IF(OFFSET(PLE!$G$14,$M31,CJ$13)="",10^12,OFFSET(PLE!$G$14,$M31,CJ$13))))</f>
        <v>1000000000000</v>
      </c>
      <c r="CK31" s="182">
        <f ca="1">IF($D31&lt;&gt;"Serviço",0,IF(OR(AND(AUTOEVENTO="Manual",$M31=1),$M31&gt;(ROW(PLE.lastrow)-ROW(PLE.firstrow))),0,IF(OFFSET(PLE!$G$14,$M31,CK$13)="",10^12,OFFSET(PLE!$G$14,$M31,CK$13))))</f>
        <v>1000000000000</v>
      </c>
      <c r="CL31" s="182">
        <f ca="1">IF($D31&lt;&gt;"Serviço",0,IF(OR(AND(AUTOEVENTO="Manual",$M31=1),$M31&gt;(ROW(PLE.lastrow)-ROW(PLE.firstrow))),0,IF(OFFSET(PLE!$G$14,$M31,CL$13)="",10^12,OFFSET(PLE!$G$14,$M31,CL$13))))</f>
        <v>1000000000000</v>
      </c>
      <c r="CM31" s="182">
        <f ca="1">IF($D31&lt;&gt;"Serviço",0,IF(OR(AND(AUTOEVENTO="Manual",$M31=1),$M31&gt;(ROW(PLE.lastrow)-ROW(PLE.firstrow))),0,IF(OFFSET(PLE!$G$14,$M31,CM$13)="",10^12,OFFSET(PLE!$G$14,$M31,CM$13))))</f>
        <v>1000000000000</v>
      </c>
    </row>
    <row r="32" spans="1:91" ht="25.5" x14ac:dyDescent="0.2">
      <c r="A32" s="7" t="str">
        <f t="shared" ca="1" si="9"/>
        <v>2</v>
      </c>
      <c r="B32" s="7" t="str">
        <f ca="1">OFFSET(ORÇAMENTO!C$15,ROW(B32)-ROW(B$15),0)</f>
        <v>S</v>
      </c>
      <c r="C32" s="7" t="str">
        <f ca="1">OFFSET(ORÇAMENTO!L$15,ROW(C32)-ROW(C$15),0)</f>
        <v/>
      </c>
      <c r="D32" s="118" t="str">
        <f ca="1">OFFSET(ORÇAMENTO!N$15,ROW(D32)-ROW(D$15),0)</f>
        <v>Serviço</v>
      </c>
      <c r="E32" s="119" t="str">
        <f ca="1">OFFSET(ORÇAMENTO!O$15,ROW(E32)-ROW(E$15),0)</f>
        <v>-</v>
      </c>
      <c r="F32" s="172" t="str">
        <f ca="1">OFFSET(ORÇAMENTO!R$15,ROW(F32)-ROW(F$15),0)</f>
        <v>(abra o arquivo 'Referência 03-Sunday.xlsm)</v>
      </c>
      <c r="G32" s="173" t="str">
        <f ca="1">IF($D32&lt;&gt;"Serviço","",OFFSET(ORÇAMENTO!S$15,ROW(G32)-ROW(G$15),0))</f>
        <v>-</v>
      </c>
      <c r="H32" s="124">
        <f ca="1">IF($D32&lt;&gt;"Serviço",0,IF(ACOMPANHAMENTO="BM",ROUND(OFFSET(ORÇAMENTO!AJ$15,ROW(H32)-ROW(H$15),0),15-13*ORÇAMENTO!$AF$7),SUMPRODUCT(($Q$12:$AI$12&lt;&gt;"")*ROUND($Q32:$AI32,15-13*ORÇAMENTO!$AF$7))))</f>
        <v>8</v>
      </c>
      <c r="I32" s="539" t="s">
        <v>515</v>
      </c>
      <c r="K32" s="174"/>
      <c r="L32" s="175" t="s">
        <v>254</v>
      </c>
      <c r="M32" s="176">
        <f ca="1">IF($D32&lt;&gt;"Serviço","",IF(AUTOEVENTO="manual",$A32,IF(ISERROR(MATCH($A32,$A$15:OFFSET($A32,-1,0),0)),MAX($M$15:OFFSET(M32,-1,0))+1,INDEX($M$15:OFFSET(M32,-1,0),MATCH($A32,$A$15:OFFSET($A32,-1,0),0)))))</f>
        <v>2</v>
      </c>
      <c r="N32" s="177" t="str">
        <f ca="1">IF($D32&lt;&gt;"Serviço","",IF(AUTOEVENTO="Manual",IF($A32=0,"&lt;-- defina o número do agrupador",OFFSET(EVENTOS!$D$14,$A32,0)),OFFSET($F$15,$A32,0)))</f>
        <v>Lote 01  - Manutenção e Reparos Abrigos Passagerios Onibus e Táxi</v>
      </c>
      <c r="O32" s="178"/>
      <c r="Q32" s="178">
        <f>100*0.4*0.4*0.5</f>
        <v>8</v>
      </c>
      <c r="R32" s="179"/>
      <c r="S32" s="179"/>
      <c r="T32" s="179"/>
      <c r="U32" s="179"/>
      <c r="V32" s="179"/>
      <c r="W32" s="179"/>
      <c r="X32" s="179"/>
      <c r="Y32" s="179"/>
      <c r="Z32" s="180"/>
      <c r="AA32" s="179"/>
      <c r="AB32" s="179"/>
      <c r="AC32" s="179"/>
      <c r="AD32" s="179"/>
      <c r="AE32" s="179"/>
      <c r="AF32" s="179"/>
      <c r="AG32" s="179"/>
      <c r="AH32" s="180"/>
      <c r="AJ32" s="522">
        <f ca="1">IF(AND($D32="Serviço",AJ$12&lt;&gt;0,$H32&gt;0,OR(AUTOEVENTO&lt;&gt;"manual",$M32&lt;&gt;1)),
IF(Import.TipoArredondamento&lt;&gt;"TransfereGOV",
ROUND(OFFSET($P32,0,AJ$13),15-13*ORÇAMENTO!$AF$7)/$H32*OFFSET(ORÇAMENTO!$X$15,ROW(AJ32)-ROW(AJ$15),0),
ROUND(ROUND(OFFSET($P32,0,AJ$13),15-13*ORÇAMENTO!$AF$7)*OFFSET(ORÇAMENTO!$W$15,ROW(AJ32)-ROW(AJ$15),0),15-13*ORÇAMENTO!$AF$11)),0)</f>
        <v>0</v>
      </c>
      <c r="AK32" s="523">
        <f ca="1">IF(AND($D32="Serviço",AK$12&lt;&gt;0,$H32&gt;0,OR(AUTOEVENTO&lt;&gt;"manual",$M32&lt;&gt;1)),
IF(Import.TipoArredondamento&lt;&gt;"TransfereGOV",
ROUND(OFFSET($P32,0,AK$13),15-13*ORÇAMENTO!$AF$7)/$H32*OFFSET(ORÇAMENTO!$X$15,ROW(AK32)-ROW(AK$15),0),
ROUND(ROUND(OFFSET($P32,0,AK$13),15-13*ORÇAMENTO!$AF$7)*OFFSET(ORÇAMENTO!$W$15,ROW(AK32)-ROW(AK$15),0),15-13*ORÇAMENTO!$AF$11)),0)</f>
        <v>0</v>
      </c>
      <c r="AL32" s="523">
        <f ca="1">IF(AND($D32="Serviço",AL$12&lt;&gt;0,$H32&gt;0,OR(AUTOEVENTO&lt;&gt;"manual",$M32&lt;&gt;1)),
IF(Import.TipoArredondamento&lt;&gt;"TransfereGOV",
ROUND(OFFSET($P32,0,AL$13),15-13*ORÇAMENTO!$AF$7)/$H32*OFFSET(ORÇAMENTO!$X$15,ROW(AL32)-ROW(AL$15),0),
ROUND(ROUND(OFFSET($P32,0,AL$13),15-13*ORÇAMENTO!$AF$7)*OFFSET(ORÇAMENTO!$W$15,ROW(AL32)-ROW(AL$15),0),15-13*ORÇAMENTO!$AF$11)),0)</f>
        <v>0</v>
      </c>
      <c r="AM32" s="523">
        <f ca="1">IF(AND($D32="Serviço",AM$12&lt;&gt;0,$H32&gt;0,OR(AUTOEVENTO&lt;&gt;"manual",$M32&lt;&gt;1)),
IF(Import.TipoArredondamento&lt;&gt;"TransfereGOV",
ROUND(OFFSET($P32,0,AM$13),15-13*ORÇAMENTO!$AF$7)/$H32*OFFSET(ORÇAMENTO!$X$15,ROW(AM32)-ROW(AM$15),0),
ROUND(ROUND(OFFSET($P32,0,AM$13),15-13*ORÇAMENTO!$AF$7)*OFFSET(ORÇAMENTO!$W$15,ROW(AM32)-ROW(AM$15),0),15-13*ORÇAMENTO!$AF$11)),0)</f>
        <v>0</v>
      </c>
      <c r="AN32" s="523">
        <f ca="1">IF(AND($D32="Serviço",AN$12&lt;&gt;0,$H32&gt;0,OR(AUTOEVENTO&lt;&gt;"manual",$M32&lt;&gt;1)),
IF(Import.TipoArredondamento&lt;&gt;"TransfereGOV",
ROUND(OFFSET($P32,0,AN$13),15-13*ORÇAMENTO!$AF$7)/$H32*OFFSET(ORÇAMENTO!$X$15,ROW(AN32)-ROW(AN$15),0),
ROUND(ROUND(OFFSET($P32,0,AN$13),15-13*ORÇAMENTO!$AF$7)*OFFSET(ORÇAMENTO!$W$15,ROW(AN32)-ROW(AN$15),0),15-13*ORÇAMENTO!$AF$11)),0)</f>
        <v>0</v>
      </c>
      <c r="AO32" s="523">
        <f ca="1">IF(AND($D32="Serviço",AO$12&lt;&gt;0,$H32&gt;0,OR(AUTOEVENTO&lt;&gt;"manual",$M32&lt;&gt;1)),
IF(Import.TipoArredondamento&lt;&gt;"TransfereGOV",
ROUND(OFFSET($P32,0,AO$13),15-13*ORÇAMENTO!$AF$7)/$H32*OFFSET(ORÇAMENTO!$X$15,ROW(AO32)-ROW(AO$15),0),
ROUND(ROUND(OFFSET($P32,0,AO$13),15-13*ORÇAMENTO!$AF$7)*OFFSET(ORÇAMENTO!$W$15,ROW(AO32)-ROW(AO$15),0),15-13*ORÇAMENTO!$AF$11)),0)</f>
        <v>0</v>
      </c>
      <c r="AP32" s="523">
        <f ca="1">IF(AND($D32="Serviço",AP$12&lt;&gt;0,$H32&gt;0,OR(AUTOEVENTO&lt;&gt;"manual",$M32&lt;&gt;1)),
IF(Import.TipoArredondamento&lt;&gt;"TransfereGOV",
ROUND(OFFSET($P32,0,AP$13),15-13*ORÇAMENTO!$AF$7)/$H32*OFFSET(ORÇAMENTO!$X$15,ROW(AP32)-ROW(AP$15),0),
ROUND(ROUND(OFFSET($P32,0,AP$13),15-13*ORÇAMENTO!$AF$7)*OFFSET(ORÇAMENTO!$W$15,ROW(AP32)-ROW(AP$15),0),15-13*ORÇAMENTO!$AF$11)),0)</f>
        <v>0</v>
      </c>
      <c r="AQ32" s="523">
        <f ca="1">IF(AND($D32="Serviço",AQ$12&lt;&gt;0,$H32&gt;0,OR(AUTOEVENTO&lt;&gt;"manual",$M32&lt;&gt;1)),
IF(Import.TipoArredondamento&lt;&gt;"TransfereGOV",
ROUND(OFFSET($P32,0,AQ$13),15-13*ORÇAMENTO!$AF$7)/$H32*OFFSET(ORÇAMENTO!$X$15,ROW(AQ32)-ROW(AQ$15),0),
ROUND(ROUND(OFFSET($P32,0,AQ$13),15-13*ORÇAMENTO!$AF$7)*OFFSET(ORÇAMENTO!$W$15,ROW(AQ32)-ROW(AQ$15),0),15-13*ORÇAMENTO!$AF$11)),0)</f>
        <v>0</v>
      </c>
      <c r="AR32" s="523">
        <f ca="1">IF(AND($D32="Serviço",AR$12&lt;&gt;0,$H32&gt;0,OR(AUTOEVENTO&lt;&gt;"manual",$M32&lt;&gt;1)),
IF(Import.TipoArredondamento&lt;&gt;"TransfereGOV",
ROUND(OFFSET($P32,0,AR$13),15-13*ORÇAMENTO!$AF$7)/$H32*OFFSET(ORÇAMENTO!$X$15,ROW(AR32)-ROW(AR$15),0),
ROUND(ROUND(OFFSET($P32,0,AR$13),15-13*ORÇAMENTO!$AF$7)*OFFSET(ORÇAMENTO!$W$15,ROW(AR32)-ROW(AR$15),0),15-13*ORÇAMENTO!$AF$11)),0)</f>
        <v>0</v>
      </c>
      <c r="AS32" s="524">
        <f ca="1">IF(AND($D32="Serviço",AS$12&lt;&gt;0,$H32&gt;0,OR(AUTOEVENTO&lt;&gt;"manual",$M32&lt;&gt;1)),
IF(Import.TipoArredondamento&lt;&gt;"TransfereGOV",
ROUND(OFFSET($P32,0,AS$13),15-13*ORÇAMENTO!$AF$7)/$H32*OFFSET(ORÇAMENTO!$X$15,ROW(AS32)-ROW(AS$15),0),
ROUND(ROUND(OFFSET($P32,0,AS$13),15-13*ORÇAMENTO!$AF$7)*OFFSET(ORÇAMENTO!$W$15,ROW(AS32)-ROW(AS$15),0),15-13*ORÇAMENTO!$AF$11)),0)</f>
        <v>0</v>
      </c>
      <c r="AT32" s="523">
        <f ca="1">IF(AND($D32="Serviço",AT$12&lt;&gt;0,$H32&gt;0,OR(AUTOEVENTO&lt;&gt;"manual",$M32&lt;&gt;1)),
IF(Import.TipoArredondamento&lt;&gt;"TransfereGOV",
ROUND(OFFSET($P32,0,AT$13),15-13*ORÇAMENTO!$AF$7)/$H32*OFFSET(ORÇAMENTO!$X$15,ROW(AT32)-ROW(AT$15),0),
ROUND(ROUND(OFFSET($P32,0,AT$13),15-13*ORÇAMENTO!$AF$7)*OFFSET(ORÇAMENTO!$W$15,ROW(AT32)-ROW(AT$15),0),15-13*ORÇAMENTO!$AF$11)),0)</f>
        <v>0</v>
      </c>
      <c r="AU32" s="523">
        <f ca="1">IF(AND($D32="Serviço",AU$12&lt;&gt;0,$H32&gt;0,OR(AUTOEVENTO&lt;&gt;"manual",$M32&lt;&gt;1)),
IF(Import.TipoArredondamento&lt;&gt;"TransfereGOV",
ROUND(OFFSET($P32,0,AU$13),15-13*ORÇAMENTO!$AF$7)/$H32*OFFSET(ORÇAMENTO!$X$15,ROW(AU32)-ROW(AU$15),0),
ROUND(ROUND(OFFSET($P32,0,AU$13),15-13*ORÇAMENTO!$AF$7)*OFFSET(ORÇAMENTO!$W$15,ROW(AU32)-ROW(AU$15),0),15-13*ORÇAMENTO!$AF$11)),0)</f>
        <v>0</v>
      </c>
      <c r="AV32" s="523">
        <f ca="1">IF(AND($D32="Serviço",AV$12&lt;&gt;0,$H32&gt;0,OR(AUTOEVENTO&lt;&gt;"manual",$M32&lt;&gt;1)),
IF(Import.TipoArredondamento&lt;&gt;"TransfereGOV",
ROUND(OFFSET($P32,0,AV$13),15-13*ORÇAMENTO!$AF$7)/$H32*OFFSET(ORÇAMENTO!$X$15,ROW(AV32)-ROW(AV$15),0),
ROUND(ROUND(OFFSET($P32,0,AV$13),15-13*ORÇAMENTO!$AF$7)*OFFSET(ORÇAMENTO!$W$15,ROW(AV32)-ROW(AV$15),0),15-13*ORÇAMENTO!$AF$11)),0)</f>
        <v>0</v>
      </c>
      <c r="AW32" s="523">
        <f ca="1">IF(AND($D32="Serviço",AW$12&lt;&gt;0,$H32&gt;0,OR(AUTOEVENTO&lt;&gt;"manual",$M32&lt;&gt;1)),
IF(Import.TipoArredondamento&lt;&gt;"TransfereGOV",
ROUND(OFFSET($P32,0,AW$13),15-13*ORÇAMENTO!$AF$7)/$H32*OFFSET(ORÇAMENTO!$X$15,ROW(AW32)-ROW(AW$15),0),
ROUND(ROUND(OFFSET($P32,0,AW$13),15-13*ORÇAMENTO!$AF$7)*OFFSET(ORÇAMENTO!$W$15,ROW(AW32)-ROW(AW$15),0),15-13*ORÇAMENTO!$AF$11)),0)</f>
        <v>0</v>
      </c>
      <c r="AX32" s="523">
        <f ca="1">IF(AND($D32="Serviço",AX$12&lt;&gt;0,$H32&gt;0,OR(AUTOEVENTO&lt;&gt;"manual",$M32&lt;&gt;1)),
IF(Import.TipoArredondamento&lt;&gt;"TransfereGOV",
ROUND(OFFSET($P32,0,AX$13),15-13*ORÇAMENTO!$AF$7)/$H32*OFFSET(ORÇAMENTO!$X$15,ROW(AX32)-ROW(AX$15),0),
ROUND(ROUND(OFFSET($P32,0,AX$13),15-13*ORÇAMENTO!$AF$7)*OFFSET(ORÇAMENTO!$W$15,ROW(AX32)-ROW(AX$15),0),15-13*ORÇAMENTO!$AF$11)),0)</f>
        <v>0</v>
      </c>
      <c r="AY32" s="523">
        <f ca="1">IF(AND($D32="Serviço",AY$12&lt;&gt;0,$H32&gt;0,OR(AUTOEVENTO&lt;&gt;"manual",$M32&lt;&gt;1)),
IF(Import.TipoArredondamento&lt;&gt;"TransfereGOV",
ROUND(OFFSET($P32,0,AY$13),15-13*ORÇAMENTO!$AF$7)/$H32*OFFSET(ORÇAMENTO!$X$15,ROW(AY32)-ROW(AY$15),0),
ROUND(ROUND(OFFSET($P32,0,AY$13),15-13*ORÇAMENTO!$AF$7)*OFFSET(ORÇAMENTO!$W$15,ROW(AY32)-ROW(AY$15),0),15-13*ORÇAMENTO!$AF$11)),0)</f>
        <v>0</v>
      </c>
      <c r="AZ32" s="523">
        <f ca="1">IF(AND($D32="Serviço",AZ$12&lt;&gt;0,$H32&gt;0,OR(AUTOEVENTO&lt;&gt;"manual",$M32&lt;&gt;1)),
IF(Import.TipoArredondamento&lt;&gt;"TransfereGOV",
ROUND(OFFSET($P32,0,AZ$13),15-13*ORÇAMENTO!$AF$7)/$H32*OFFSET(ORÇAMENTO!$X$15,ROW(AZ32)-ROW(AZ$15),0),
ROUND(ROUND(OFFSET($P32,0,AZ$13),15-13*ORÇAMENTO!$AF$7)*OFFSET(ORÇAMENTO!$W$15,ROW(AZ32)-ROW(AZ$15),0),15-13*ORÇAMENTO!$AF$11)),0)</f>
        <v>0</v>
      </c>
      <c r="BA32" s="524">
        <f ca="1">IF(AND($D32="Serviço",BA$12&lt;&gt;0,$H32&gt;0,OR(AUTOEVENTO&lt;&gt;"manual",$M32&lt;&gt;1)),
IF(Import.TipoArredondamento&lt;&gt;"TransfereGOV",
ROUND(OFFSET($P32,0,BA$13),15-13*ORÇAMENTO!$AF$7)/$H32*OFFSET(ORÇAMENTO!$X$15,ROW(BA32)-ROW(BA$15),0),
ROUND(ROUND(OFFSET($P32,0,BA$13),15-13*ORÇAMENTO!$AF$7)*OFFSET(ORÇAMENTO!$W$15,ROW(BA32)-ROW(BA$15),0),15-13*ORÇAMENTO!$AF$11)),0)</f>
        <v>0</v>
      </c>
      <c r="BC32" s="181">
        <f ca="1">IF($D32&lt;&gt;"Serviço",0,IF(AND(AUTOEVENTO="Manual",$M32=1),0,IF(OFFSET(CRONOPLE!$F$14,$M32,BC$13)="",10^12,OFFSET(CRONOPLE!$F$14,$M32,BC$13))))</f>
        <v>12</v>
      </c>
      <c r="BD32" s="181">
        <f ca="1">IF($D32&lt;&gt;"Serviço",0,IF(AND(AUTOEVENTO="Manual",$M32=1),0,IF(OFFSET(CRONOPLE!$F$14,$M32,BD$13)="",10^12,OFFSET(CRONOPLE!$F$14,$M32,BD$13))))</f>
        <v>1000000000000</v>
      </c>
      <c r="BE32" s="181">
        <f ca="1">IF($D32&lt;&gt;"Serviço",0,IF(AND(AUTOEVENTO="Manual",$M32=1),0,IF(OFFSET(CRONOPLE!$F$14,$M32,BE$13)="",10^12,OFFSET(CRONOPLE!$F$14,$M32,BE$13))))</f>
        <v>1000000000000</v>
      </c>
      <c r="BF32" s="181">
        <f ca="1">IF($D32&lt;&gt;"Serviço",0,IF(AND(AUTOEVENTO="Manual",$M32=1),0,IF(OFFSET(CRONOPLE!$F$14,$M32,BF$13)="",10^12,OFFSET(CRONOPLE!$F$14,$M32,BF$13))))</f>
        <v>1000000000000</v>
      </c>
      <c r="BG32" s="181">
        <f ca="1">IF($D32&lt;&gt;"Serviço",0,IF(AND(AUTOEVENTO="Manual",$M32=1),0,IF(OFFSET(CRONOPLE!$F$14,$M32,BG$13)="",10^12,OFFSET(CRONOPLE!$F$14,$M32,BG$13))))</f>
        <v>1000000000000</v>
      </c>
      <c r="BH32" s="181">
        <f ca="1">IF($D32&lt;&gt;"Serviço",0,IF(AND(AUTOEVENTO="Manual",$M32=1),0,IF(OFFSET(CRONOPLE!$F$14,$M32,BH$13)="",10^12,OFFSET(CRONOPLE!$F$14,$M32,BH$13))))</f>
        <v>1000000000000</v>
      </c>
      <c r="BI32" s="181">
        <f ca="1">IF($D32&lt;&gt;"Serviço",0,IF(AND(AUTOEVENTO="Manual",$M32=1),0,IF(OFFSET(CRONOPLE!$F$14,$M32,BI$13)="",10^12,OFFSET(CRONOPLE!$F$14,$M32,BI$13))))</f>
        <v>1000000000000</v>
      </c>
      <c r="BJ32" s="181">
        <f ca="1">IF($D32&lt;&gt;"Serviço",0,IF(AND(AUTOEVENTO="Manual",$M32=1),0,IF(OFFSET(CRONOPLE!$F$14,$M32,BJ$13)="",10^12,OFFSET(CRONOPLE!$F$14,$M32,BJ$13))))</f>
        <v>1000000000000</v>
      </c>
      <c r="BK32" s="181">
        <f ca="1">IF($D32&lt;&gt;"Serviço",0,IF(AND(AUTOEVENTO="Manual",$M32=1),0,IF(OFFSET(CRONOPLE!$F$14,$M32,BK$13)="",10^12,OFFSET(CRONOPLE!$F$14,$M32,BK$13))))</f>
        <v>1000000000000</v>
      </c>
      <c r="BL32" s="181">
        <f ca="1">IF($D32&lt;&gt;"Serviço",0,IF(AND(AUTOEVENTO="Manual",$M32=1),0,IF(OFFSET(CRONOPLE!$F$14,$M32,BL$13)="",10^12,OFFSET(CRONOPLE!$F$14,$M32,BL$13))))</f>
        <v>1000000000000</v>
      </c>
      <c r="BM32" s="181">
        <f ca="1">IF($D32&lt;&gt;"Serviço",0,IF(AND(AUTOEVENTO="Manual",$M32=1),0,IF(OFFSET(CRONOPLE!$F$14,$M32,BM$13)="",10^12,OFFSET(CRONOPLE!$F$14,$M32,BM$13))))</f>
        <v>1000000000000</v>
      </c>
      <c r="BN32" s="181">
        <f ca="1">IF($D32&lt;&gt;"Serviço",0,IF(AND(AUTOEVENTO="Manual",$M32=1),0,IF(OFFSET(CRONOPLE!$F$14,$M32,BN$13)="",10^12,OFFSET(CRONOPLE!$F$14,$M32,BN$13))))</f>
        <v>1000000000000</v>
      </c>
      <c r="BO32" s="181">
        <f ca="1">IF($D32&lt;&gt;"Serviço",0,IF(AND(AUTOEVENTO="Manual",$M32=1),0,IF(OFFSET(CRONOPLE!$F$14,$M32,BO$13)="",10^12,OFFSET(CRONOPLE!$F$14,$M32,BO$13))))</f>
        <v>1000000000000</v>
      </c>
      <c r="BP32" s="181">
        <f ca="1">IF($D32&lt;&gt;"Serviço",0,IF(AND(AUTOEVENTO="Manual",$M32=1),0,IF(OFFSET(CRONOPLE!$F$14,$M32,BP$13)="",10^12,OFFSET(CRONOPLE!$F$14,$M32,BP$13))))</f>
        <v>1000000000000</v>
      </c>
      <c r="BQ32" s="181">
        <f ca="1">IF($D32&lt;&gt;"Serviço",0,IF(AND(AUTOEVENTO="Manual",$M32=1),0,IF(OFFSET(CRONOPLE!$F$14,$M32,BQ$13)="",10^12,OFFSET(CRONOPLE!$F$14,$M32,BQ$13))))</f>
        <v>1000000000000</v>
      </c>
      <c r="BR32" s="181">
        <f ca="1">IF($D32&lt;&gt;"Serviço",0,IF(AND(AUTOEVENTO="Manual",$M32=1),0,IF(OFFSET(CRONOPLE!$F$14,$M32,BR$13)="",10^12,OFFSET(CRONOPLE!$F$14,$M32,BR$13))))</f>
        <v>1000000000000</v>
      </c>
      <c r="BS32" s="181">
        <f ca="1">IF($D32&lt;&gt;"Serviço",0,IF(AND(AUTOEVENTO="Manual",$M32=1),0,IF(OFFSET(CRONOPLE!$F$14,$M32,BS$13)="",10^12,OFFSET(CRONOPLE!$F$14,$M32,BS$13))))</f>
        <v>1000000000000</v>
      </c>
      <c r="BT32" s="181">
        <f ca="1">IF($D32&lt;&gt;"Serviço",0,IF(AND(AUTOEVENTO="Manual",$M32=1),0,IF(OFFSET(CRONOPLE!$F$14,$M32,BT$13)="",10^12,OFFSET(CRONOPLE!$F$14,$M32,BT$13))))</f>
        <v>1000000000000</v>
      </c>
      <c r="BV32" s="182">
        <f ca="1">IF($D32&lt;&gt;"Serviço",0,IF(OR(AND(AUTOEVENTO="Manual",$M32=1),$M32&gt;(ROW(PLE.lastrow)-ROW(PLE.firstrow))),0,IF(OFFSET(PLE!$G$14,$M32,BV$13)="",10^12,OFFSET(PLE!$G$14,$M32,BV$13))))</f>
        <v>1000000000000</v>
      </c>
      <c r="BW32" s="182">
        <f ca="1">IF($D32&lt;&gt;"Serviço",0,IF(OR(AND(AUTOEVENTO="Manual",$M32=1),$M32&gt;(ROW(PLE.lastrow)-ROW(PLE.firstrow))),0,IF(OFFSET(PLE!$G$14,$M32,BW$13)="",10^12,OFFSET(PLE!$G$14,$M32,BW$13))))</f>
        <v>1000000000000</v>
      </c>
      <c r="BX32" s="182">
        <f ca="1">IF($D32&lt;&gt;"Serviço",0,IF(OR(AND(AUTOEVENTO="Manual",$M32=1),$M32&gt;(ROW(PLE.lastrow)-ROW(PLE.firstrow))),0,IF(OFFSET(PLE!$G$14,$M32,BX$13)="",10^12,OFFSET(PLE!$G$14,$M32,BX$13))))</f>
        <v>1000000000000</v>
      </c>
      <c r="BY32" s="182">
        <f ca="1">IF($D32&lt;&gt;"Serviço",0,IF(OR(AND(AUTOEVENTO="Manual",$M32=1),$M32&gt;(ROW(PLE.lastrow)-ROW(PLE.firstrow))),0,IF(OFFSET(PLE!$G$14,$M32,BY$13)="",10^12,OFFSET(PLE!$G$14,$M32,BY$13))))</f>
        <v>1000000000000</v>
      </c>
      <c r="BZ32" s="182">
        <f ca="1">IF($D32&lt;&gt;"Serviço",0,IF(OR(AND(AUTOEVENTO="Manual",$M32=1),$M32&gt;(ROW(PLE.lastrow)-ROW(PLE.firstrow))),0,IF(OFFSET(PLE!$G$14,$M32,BZ$13)="",10^12,OFFSET(PLE!$G$14,$M32,BZ$13))))</f>
        <v>1000000000000</v>
      </c>
      <c r="CA32" s="182">
        <f ca="1">IF($D32&lt;&gt;"Serviço",0,IF(OR(AND(AUTOEVENTO="Manual",$M32=1),$M32&gt;(ROW(PLE.lastrow)-ROW(PLE.firstrow))),0,IF(OFFSET(PLE!$G$14,$M32,CA$13)="",10^12,OFFSET(PLE!$G$14,$M32,CA$13))))</f>
        <v>1000000000000</v>
      </c>
      <c r="CB32" s="182">
        <f ca="1">IF($D32&lt;&gt;"Serviço",0,IF(OR(AND(AUTOEVENTO="Manual",$M32=1),$M32&gt;(ROW(PLE.lastrow)-ROW(PLE.firstrow))),0,IF(OFFSET(PLE!$G$14,$M32,CB$13)="",10^12,OFFSET(PLE!$G$14,$M32,CB$13))))</f>
        <v>1000000000000</v>
      </c>
      <c r="CC32" s="182">
        <f ca="1">IF($D32&lt;&gt;"Serviço",0,IF(OR(AND(AUTOEVENTO="Manual",$M32=1),$M32&gt;(ROW(PLE.lastrow)-ROW(PLE.firstrow))),0,IF(OFFSET(PLE!$G$14,$M32,CC$13)="",10^12,OFFSET(PLE!$G$14,$M32,CC$13))))</f>
        <v>1000000000000</v>
      </c>
      <c r="CD32" s="182">
        <f ca="1">IF($D32&lt;&gt;"Serviço",0,IF(OR(AND(AUTOEVENTO="Manual",$M32=1),$M32&gt;(ROW(PLE.lastrow)-ROW(PLE.firstrow))),0,IF(OFFSET(PLE!$G$14,$M32,CD$13)="",10^12,OFFSET(PLE!$G$14,$M32,CD$13))))</f>
        <v>1000000000000</v>
      </c>
      <c r="CE32" s="182">
        <f ca="1">IF($D32&lt;&gt;"Serviço",0,IF(OR(AND(AUTOEVENTO="Manual",$M32=1),$M32&gt;(ROW(PLE.lastrow)-ROW(PLE.firstrow))),0,IF(OFFSET(PLE!$G$14,$M32,CE$13)="",10^12,OFFSET(PLE!$G$14,$M32,CE$13))))</f>
        <v>1000000000000</v>
      </c>
      <c r="CF32" s="182">
        <f ca="1">IF($D32&lt;&gt;"Serviço",0,IF(OR(AND(AUTOEVENTO="Manual",$M32=1),$M32&gt;(ROW(PLE.lastrow)-ROW(PLE.firstrow))),0,IF(OFFSET(PLE!$G$14,$M32,CF$13)="",10^12,OFFSET(PLE!$G$14,$M32,CF$13))))</f>
        <v>1000000000000</v>
      </c>
      <c r="CG32" s="182">
        <f ca="1">IF($D32&lt;&gt;"Serviço",0,IF(OR(AND(AUTOEVENTO="Manual",$M32=1),$M32&gt;(ROW(PLE.lastrow)-ROW(PLE.firstrow))),0,IF(OFFSET(PLE!$G$14,$M32,CG$13)="",10^12,OFFSET(PLE!$G$14,$M32,CG$13))))</f>
        <v>1000000000000</v>
      </c>
      <c r="CH32" s="182">
        <f ca="1">IF($D32&lt;&gt;"Serviço",0,IF(OR(AND(AUTOEVENTO="Manual",$M32=1),$M32&gt;(ROW(PLE.lastrow)-ROW(PLE.firstrow))),0,IF(OFFSET(PLE!$G$14,$M32,CH$13)="",10^12,OFFSET(PLE!$G$14,$M32,CH$13))))</f>
        <v>1000000000000</v>
      </c>
      <c r="CI32" s="182">
        <f ca="1">IF($D32&lt;&gt;"Serviço",0,IF(OR(AND(AUTOEVENTO="Manual",$M32=1),$M32&gt;(ROW(PLE.lastrow)-ROW(PLE.firstrow))),0,IF(OFFSET(PLE!$G$14,$M32,CI$13)="",10^12,OFFSET(PLE!$G$14,$M32,CI$13))))</f>
        <v>1000000000000</v>
      </c>
      <c r="CJ32" s="182">
        <f ca="1">IF($D32&lt;&gt;"Serviço",0,IF(OR(AND(AUTOEVENTO="Manual",$M32=1),$M32&gt;(ROW(PLE.lastrow)-ROW(PLE.firstrow))),0,IF(OFFSET(PLE!$G$14,$M32,CJ$13)="",10^12,OFFSET(PLE!$G$14,$M32,CJ$13))))</f>
        <v>1000000000000</v>
      </c>
      <c r="CK32" s="182">
        <f ca="1">IF($D32&lt;&gt;"Serviço",0,IF(OR(AND(AUTOEVENTO="Manual",$M32=1),$M32&gt;(ROW(PLE.lastrow)-ROW(PLE.firstrow))),0,IF(OFFSET(PLE!$G$14,$M32,CK$13)="",10^12,OFFSET(PLE!$G$14,$M32,CK$13))))</f>
        <v>1000000000000</v>
      </c>
      <c r="CL32" s="182">
        <f ca="1">IF($D32&lt;&gt;"Serviço",0,IF(OR(AND(AUTOEVENTO="Manual",$M32=1),$M32&gt;(ROW(PLE.lastrow)-ROW(PLE.firstrow))),0,IF(OFFSET(PLE!$G$14,$M32,CL$13)="",10^12,OFFSET(PLE!$G$14,$M32,CL$13))))</f>
        <v>1000000000000</v>
      </c>
      <c r="CM32" s="182">
        <f ca="1">IF($D32&lt;&gt;"Serviço",0,IF(OR(AND(AUTOEVENTO="Manual",$M32=1),$M32&gt;(ROW(PLE.lastrow)-ROW(PLE.firstrow))),0,IF(OFFSET(PLE!$G$14,$M32,CM$13)="",10^12,OFFSET(PLE!$G$14,$M32,CM$13))))</f>
        <v>1000000000000</v>
      </c>
    </row>
    <row r="33" spans="1:91" ht="38.25" x14ac:dyDescent="0.2">
      <c r="A33" s="7" t="str">
        <f t="shared" ca="1" si="9"/>
        <v>2</v>
      </c>
      <c r="B33" s="7" t="str">
        <f ca="1">OFFSET(ORÇAMENTO!C$15,ROW(B33)-ROW(B$15),0)</f>
        <v>S</v>
      </c>
      <c r="C33" s="7" t="str">
        <f ca="1">OFFSET(ORÇAMENTO!L$15,ROW(C33)-ROW(C$15),0)</f>
        <v/>
      </c>
      <c r="D33" s="118" t="str">
        <f ca="1">OFFSET(ORÇAMENTO!N$15,ROW(D33)-ROW(D$15),0)</f>
        <v>Serviço</v>
      </c>
      <c r="E33" s="119" t="str">
        <f ca="1">OFFSET(ORÇAMENTO!O$15,ROW(E33)-ROW(E$15),0)</f>
        <v>-</v>
      </c>
      <c r="F33" s="172" t="str">
        <f ca="1">OFFSET(ORÇAMENTO!R$15,ROW(F33)-ROW(F$15),0)</f>
        <v>(abra o arquivo 'Referência 03-Sunday.xlsm)</v>
      </c>
      <c r="G33" s="173" t="str">
        <f ca="1">IF($D33&lt;&gt;"Serviço","",OFFSET(ORÇAMENTO!S$15,ROW(G33)-ROW(G$15),0))</f>
        <v>-</v>
      </c>
      <c r="H33" s="124">
        <f ca="1">IF($D33&lt;&gt;"Serviço",0,IF(ACOMPANHAMENTO="BM",ROUND(OFFSET(ORÇAMENTO!AJ$15,ROW(H33)-ROW(H$15),0),15-13*ORÇAMENTO!$AF$7),SUMPRODUCT(($Q$12:$AI$12&lt;&gt;"")*ROUND($Q33:$AI33,15-13*ORÇAMENTO!$AF$7))))</f>
        <v>800</v>
      </c>
      <c r="I33" s="539" t="s">
        <v>516</v>
      </c>
      <c r="K33" s="174"/>
      <c r="L33" s="175" t="s">
        <v>254</v>
      </c>
      <c r="M33" s="176">
        <f ca="1">IF($D33&lt;&gt;"Serviço","",IF(AUTOEVENTO="manual",$A33,IF(ISERROR(MATCH($A33,$A$15:OFFSET($A33,-1,0),0)),MAX($M$15:OFFSET(M33,-1,0))+1,INDEX($M$15:OFFSET(M33,-1,0),MATCH($A33,$A$15:OFFSET($A33,-1,0),0)))))</f>
        <v>2</v>
      </c>
      <c r="N33" s="177" t="str">
        <f ca="1">IF($D33&lt;&gt;"Serviço","",IF(AUTOEVENTO="Manual",IF($A33=0,"&lt;-- defina o número do agrupador",OFFSET(EVENTOS!$D$14,$A33,0)),OFFSET($F$15,$A33,0)))</f>
        <v>Lote 01  - Manutenção e Reparos Abrigos Passagerios Onibus e Táxi</v>
      </c>
      <c r="O33" s="178"/>
      <c r="Q33" s="178">
        <f>8*100</f>
        <v>800</v>
      </c>
      <c r="R33" s="179"/>
      <c r="S33" s="179"/>
      <c r="T33" s="179"/>
      <c r="U33" s="179"/>
      <c r="V33" s="179"/>
      <c r="W33" s="179"/>
      <c r="X33" s="179"/>
      <c r="Y33" s="179"/>
      <c r="Z33" s="180"/>
      <c r="AA33" s="179"/>
      <c r="AB33" s="179"/>
      <c r="AC33" s="179"/>
      <c r="AD33" s="179"/>
      <c r="AE33" s="179"/>
      <c r="AF33" s="179"/>
      <c r="AG33" s="179"/>
      <c r="AH33" s="180"/>
      <c r="AJ33" s="522">
        <f ca="1">IF(AND($D33="Serviço",AJ$12&lt;&gt;0,$H33&gt;0,OR(AUTOEVENTO&lt;&gt;"manual",$M33&lt;&gt;1)),
IF(Import.TipoArredondamento&lt;&gt;"TransfereGOV",
ROUND(OFFSET($P33,0,AJ$13),15-13*ORÇAMENTO!$AF$7)/$H33*OFFSET(ORÇAMENTO!$X$15,ROW(AJ33)-ROW(AJ$15),0),
ROUND(ROUND(OFFSET($P33,0,AJ$13),15-13*ORÇAMENTO!$AF$7)*OFFSET(ORÇAMENTO!$W$15,ROW(AJ33)-ROW(AJ$15),0),15-13*ORÇAMENTO!$AF$11)),0)</f>
        <v>0</v>
      </c>
      <c r="AK33" s="523">
        <f ca="1">IF(AND($D33="Serviço",AK$12&lt;&gt;0,$H33&gt;0,OR(AUTOEVENTO&lt;&gt;"manual",$M33&lt;&gt;1)),
IF(Import.TipoArredondamento&lt;&gt;"TransfereGOV",
ROUND(OFFSET($P33,0,AK$13),15-13*ORÇAMENTO!$AF$7)/$H33*OFFSET(ORÇAMENTO!$X$15,ROW(AK33)-ROW(AK$15),0),
ROUND(ROUND(OFFSET($P33,0,AK$13),15-13*ORÇAMENTO!$AF$7)*OFFSET(ORÇAMENTO!$W$15,ROW(AK33)-ROW(AK$15),0),15-13*ORÇAMENTO!$AF$11)),0)</f>
        <v>0</v>
      </c>
      <c r="AL33" s="523">
        <f ca="1">IF(AND($D33="Serviço",AL$12&lt;&gt;0,$H33&gt;0,OR(AUTOEVENTO&lt;&gt;"manual",$M33&lt;&gt;1)),
IF(Import.TipoArredondamento&lt;&gt;"TransfereGOV",
ROUND(OFFSET($P33,0,AL$13),15-13*ORÇAMENTO!$AF$7)/$H33*OFFSET(ORÇAMENTO!$X$15,ROW(AL33)-ROW(AL$15),0),
ROUND(ROUND(OFFSET($P33,0,AL$13),15-13*ORÇAMENTO!$AF$7)*OFFSET(ORÇAMENTO!$W$15,ROW(AL33)-ROW(AL$15),0),15-13*ORÇAMENTO!$AF$11)),0)</f>
        <v>0</v>
      </c>
      <c r="AM33" s="523">
        <f ca="1">IF(AND($D33="Serviço",AM$12&lt;&gt;0,$H33&gt;0,OR(AUTOEVENTO&lt;&gt;"manual",$M33&lt;&gt;1)),
IF(Import.TipoArredondamento&lt;&gt;"TransfereGOV",
ROUND(OFFSET($P33,0,AM$13),15-13*ORÇAMENTO!$AF$7)/$H33*OFFSET(ORÇAMENTO!$X$15,ROW(AM33)-ROW(AM$15),0),
ROUND(ROUND(OFFSET($P33,0,AM$13),15-13*ORÇAMENTO!$AF$7)*OFFSET(ORÇAMENTO!$W$15,ROW(AM33)-ROW(AM$15),0),15-13*ORÇAMENTO!$AF$11)),0)</f>
        <v>0</v>
      </c>
      <c r="AN33" s="523">
        <f ca="1">IF(AND($D33="Serviço",AN$12&lt;&gt;0,$H33&gt;0,OR(AUTOEVENTO&lt;&gt;"manual",$M33&lt;&gt;1)),
IF(Import.TipoArredondamento&lt;&gt;"TransfereGOV",
ROUND(OFFSET($P33,0,AN$13),15-13*ORÇAMENTO!$AF$7)/$H33*OFFSET(ORÇAMENTO!$X$15,ROW(AN33)-ROW(AN$15),0),
ROUND(ROUND(OFFSET($P33,0,AN$13),15-13*ORÇAMENTO!$AF$7)*OFFSET(ORÇAMENTO!$W$15,ROW(AN33)-ROW(AN$15),0),15-13*ORÇAMENTO!$AF$11)),0)</f>
        <v>0</v>
      </c>
      <c r="AO33" s="523">
        <f ca="1">IF(AND($D33="Serviço",AO$12&lt;&gt;0,$H33&gt;0,OR(AUTOEVENTO&lt;&gt;"manual",$M33&lt;&gt;1)),
IF(Import.TipoArredondamento&lt;&gt;"TransfereGOV",
ROUND(OFFSET($P33,0,AO$13),15-13*ORÇAMENTO!$AF$7)/$H33*OFFSET(ORÇAMENTO!$X$15,ROW(AO33)-ROW(AO$15),0),
ROUND(ROUND(OFFSET($P33,0,AO$13),15-13*ORÇAMENTO!$AF$7)*OFFSET(ORÇAMENTO!$W$15,ROW(AO33)-ROW(AO$15),0),15-13*ORÇAMENTO!$AF$11)),0)</f>
        <v>0</v>
      </c>
      <c r="AP33" s="523">
        <f ca="1">IF(AND($D33="Serviço",AP$12&lt;&gt;0,$H33&gt;0,OR(AUTOEVENTO&lt;&gt;"manual",$M33&lt;&gt;1)),
IF(Import.TipoArredondamento&lt;&gt;"TransfereGOV",
ROUND(OFFSET($P33,0,AP$13),15-13*ORÇAMENTO!$AF$7)/$H33*OFFSET(ORÇAMENTO!$X$15,ROW(AP33)-ROW(AP$15),0),
ROUND(ROUND(OFFSET($P33,0,AP$13),15-13*ORÇAMENTO!$AF$7)*OFFSET(ORÇAMENTO!$W$15,ROW(AP33)-ROW(AP$15),0),15-13*ORÇAMENTO!$AF$11)),0)</f>
        <v>0</v>
      </c>
      <c r="AQ33" s="523">
        <f ca="1">IF(AND($D33="Serviço",AQ$12&lt;&gt;0,$H33&gt;0,OR(AUTOEVENTO&lt;&gt;"manual",$M33&lt;&gt;1)),
IF(Import.TipoArredondamento&lt;&gt;"TransfereGOV",
ROUND(OFFSET($P33,0,AQ$13),15-13*ORÇAMENTO!$AF$7)/$H33*OFFSET(ORÇAMENTO!$X$15,ROW(AQ33)-ROW(AQ$15),0),
ROUND(ROUND(OFFSET($P33,0,AQ$13),15-13*ORÇAMENTO!$AF$7)*OFFSET(ORÇAMENTO!$W$15,ROW(AQ33)-ROW(AQ$15),0),15-13*ORÇAMENTO!$AF$11)),0)</f>
        <v>0</v>
      </c>
      <c r="AR33" s="523">
        <f ca="1">IF(AND($D33="Serviço",AR$12&lt;&gt;0,$H33&gt;0,OR(AUTOEVENTO&lt;&gt;"manual",$M33&lt;&gt;1)),
IF(Import.TipoArredondamento&lt;&gt;"TransfereGOV",
ROUND(OFFSET($P33,0,AR$13),15-13*ORÇAMENTO!$AF$7)/$H33*OFFSET(ORÇAMENTO!$X$15,ROW(AR33)-ROW(AR$15),0),
ROUND(ROUND(OFFSET($P33,0,AR$13),15-13*ORÇAMENTO!$AF$7)*OFFSET(ORÇAMENTO!$W$15,ROW(AR33)-ROW(AR$15),0),15-13*ORÇAMENTO!$AF$11)),0)</f>
        <v>0</v>
      </c>
      <c r="AS33" s="524">
        <f ca="1">IF(AND($D33="Serviço",AS$12&lt;&gt;0,$H33&gt;0,OR(AUTOEVENTO&lt;&gt;"manual",$M33&lt;&gt;1)),
IF(Import.TipoArredondamento&lt;&gt;"TransfereGOV",
ROUND(OFFSET($P33,0,AS$13),15-13*ORÇAMENTO!$AF$7)/$H33*OFFSET(ORÇAMENTO!$X$15,ROW(AS33)-ROW(AS$15),0),
ROUND(ROUND(OFFSET($P33,0,AS$13),15-13*ORÇAMENTO!$AF$7)*OFFSET(ORÇAMENTO!$W$15,ROW(AS33)-ROW(AS$15),0),15-13*ORÇAMENTO!$AF$11)),0)</f>
        <v>0</v>
      </c>
      <c r="AT33" s="523">
        <f ca="1">IF(AND($D33="Serviço",AT$12&lt;&gt;0,$H33&gt;0,OR(AUTOEVENTO&lt;&gt;"manual",$M33&lt;&gt;1)),
IF(Import.TipoArredondamento&lt;&gt;"TransfereGOV",
ROUND(OFFSET($P33,0,AT$13),15-13*ORÇAMENTO!$AF$7)/$H33*OFFSET(ORÇAMENTO!$X$15,ROW(AT33)-ROW(AT$15),0),
ROUND(ROUND(OFFSET($P33,0,AT$13),15-13*ORÇAMENTO!$AF$7)*OFFSET(ORÇAMENTO!$W$15,ROW(AT33)-ROW(AT$15),0),15-13*ORÇAMENTO!$AF$11)),0)</f>
        <v>0</v>
      </c>
      <c r="AU33" s="523">
        <f ca="1">IF(AND($D33="Serviço",AU$12&lt;&gt;0,$H33&gt;0,OR(AUTOEVENTO&lt;&gt;"manual",$M33&lt;&gt;1)),
IF(Import.TipoArredondamento&lt;&gt;"TransfereGOV",
ROUND(OFFSET($P33,0,AU$13),15-13*ORÇAMENTO!$AF$7)/$H33*OFFSET(ORÇAMENTO!$X$15,ROW(AU33)-ROW(AU$15),0),
ROUND(ROUND(OFFSET($P33,0,AU$13),15-13*ORÇAMENTO!$AF$7)*OFFSET(ORÇAMENTO!$W$15,ROW(AU33)-ROW(AU$15),0),15-13*ORÇAMENTO!$AF$11)),0)</f>
        <v>0</v>
      </c>
      <c r="AV33" s="523">
        <f ca="1">IF(AND($D33="Serviço",AV$12&lt;&gt;0,$H33&gt;0,OR(AUTOEVENTO&lt;&gt;"manual",$M33&lt;&gt;1)),
IF(Import.TipoArredondamento&lt;&gt;"TransfereGOV",
ROUND(OFFSET($P33,0,AV$13),15-13*ORÇAMENTO!$AF$7)/$H33*OFFSET(ORÇAMENTO!$X$15,ROW(AV33)-ROW(AV$15),0),
ROUND(ROUND(OFFSET($P33,0,AV$13),15-13*ORÇAMENTO!$AF$7)*OFFSET(ORÇAMENTO!$W$15,ROW(AV33)-ROW(AV$15),0),15-13*ORÇAMENTO!$AF$11)),0)</f>
        <v>0</v>
      </c>
      <c r="AW33" s="523">
        <f ca="1">IF(AND($D33="Serviço",AW$12&lt;&gt;0,$H33&gt;0,OR(AUTOEVENTO&lt;&gt;"manual",$M33&lt;&gt;1)),
IF(Import.TipoArredondamento&lt;&gt;"TransfereGOV",
ROUND(OFFSET($P33,0,AW$13),15-13*ORÇAMENTO!$AF$7)/$H33*OFFSET(ORÇAMENTO!$X$15,ROW(AW33)-ROW(AW$15),0),
ROUND(ROUND(OFFSET($P33,0,AW$13),15-13*ORÇAMENTO!$AF$7)*OFFSET(ORÇAMENTO!$W$15,ROW(AW33)-ROW(AW$15),0),15-13*ORÇAMENTO!$AF$11)),0)</f>
        <v>0</v>
      </c>
      <c r="AX33" s="523">
        <f ca="1">IF(AND($D33="Serviço",AX$12&lt;&gt;0,$H33&gt;0,OR(AUTOEVENTO&lt;&gt;"manual",$M33&lt;&gt;1)),
IF(Import.TipoArredondamento&lt;&gt;"TransfereGOV",
ROUND(OFFSET($P33,0,AX$13),15-13*ORÇAMENTO!$AF$7)/$H33*OFFSET(ORÇAMENTO!$X$15,ROW(AX33)-ROW(AX$15),0),
ROUND(ROUND(OFFSET($P33,0,AX$13),15-13*ORÇAMENTO!$AF$7)*OFFSET(ORÇAMENTO!$W$15,ROW(AX33)-ROW(AX$15),0),15-13*ORÇAMENTO!$AF$11)),0)</f>
        <v>0</v>
      </c>
      <c r="AY33" s="523">
        <f ca="1">IF(AND($D33="Serviço",AY$12&lt;&gt;0,$H33&gt;0,OR(AUTOEVENTO&lt;&gt;"manual",$M33&lt;&gt;1)),
IF(Import.TipoArredondamento&lt;&gt;"TransfereGOV",
ROUND(OFFSET($P33,0,AY$13),15-13*ORÇAMENTO!$AF$7)/$H33*OFFSET(ORÇAMENTO!$X$15,ROW(AY33)-ROW(AY$15),0),
ROUND(ROUND(OFFSET($P33,0,AY$13),15-13*ORÇAMENTO!$AF$7)*OFFSET(ORÇAMENTO!$W$15,ROW(AY33)-ROW(AY$15),0),15-13*ORÇAMENTO!$AF$11)),0)</f>
        <v>0</v>
      </c>
      <c r="AZ33" s="523">
        <f ca="1">IF(AND($D33="Serviço",AZ$12&lt;&gt;0,$H33&gt;0,OR(AUTOEVENTO&lt;&gt;"manual",$M33&lt;&gt;1)),
IF(Import.TipoArredondamento&lt;&gt;"TransfereGOV",
ROUND(OFFSET($P33,0,AZ$13),15-13*ORÇAMENTO!$AF$7)/$H33*OFFSET(ORÇAMENTO!$X$15,ROW(AZ33)-ROW(AZ$15),0),
ROUND(ROUND(OFFSET($P33,0,AZ$13),15-13*ORÇAMENTO!$AF$7)*OFFSET(ORÇAMENTO!$W$15,ROW(AZ33)-ROW(AZ$15),0),15-13*ORÇAMENTO!$AF$11)),0)</f>
        <v>0</v>
      </c>
      <c r="BA33" s="524">
        <f ca="1">IF(AND($D33="Serviço",BA$12&lt;&gt;0,$H33&gt;0,OR(AUTOEVENTO&lt;&gt;"manual",$M33&lt;&gt;1)),
IF(Import.TipoArredondamento&lt;&gt;"TransfereGOV",
ROUND(OFFSET($P33,0,BA$13),15-13*ORÇAMENTO!$AF$7)/$H33*OFFSET(ORÇAMENTO!$X$15,ROW(BA33)-ROW(BA$15),0),
ROUND(ROUND(OFFSET($P33,0,BA$13),15-13*ORÇAMENTO!$AF$7)*OFFSET(ORÇAMENTO!$W$15,ROW(BA33)-ROW(BA$15),0),15-13*ORÇAMENTO!$AF$11)),0)</f>
        <v>0</v>
      </c>
      <c r="BC33" s="181">
        <f ca="1">IF($D33&lt;&gt;"Serviço",0,IF(AND(AUTOEVENTO="Manual",$M33=1),0,IF(OFFSET(CRONOPLE!$F$14,$M33,BC$13)="",10^12,OFFSET(CRONOPLE!$F$14,$M33,BC$13))))</f>
        <v>12</v>
      </c>
      <c r="BD33" s="181">
        <f ca="1">IF($D33&lt;&gt;"Serviço",0,IF(AND(AUTOEVENTO="Manual",$M33=1),0,IF(OFFSET(CRONOPLE!$F$14,$M33,BD$13)="",10^12,OFFSET(CRONOPLE!$F$14,$M33,BD$13))))</f>
        <v>1000000000000</v>
      </c>
      <c r="BE33" s="181">
        <f ca="1">IF($D33&lt;&gt;"Serviço",0,IF(AND(AUTOEVENTO="Manual",$M33=1),0,IF(OFFSET(CRONOPLE!$F$14,$M33,BE$13)="",10^12,OFFSET(CRONOPLE!$F$14,$M33,BE$13))))</f>
        <v>1000000000000</v>
      </c>
      <c r="BF33" s="181">
        <f ca="1">IF($D33&lt;&gt;"Serviço",0,IF(AND(AUTOEVENTO="Manual",$M33=1),0,IF(OFFSET(CRONOPLE!$F$14,$M33,BF$13)="",10^12,OFFSET(CRONOPLE!$F$14,$M33,BF$13))))</f>
        <v>1000000000000</v>
      </c>
      <c r="BG33" s="181">
        <f ca="1">IF($D33&lt;&gt;"Serviço",0,IF(AND(AUTOEVENTO="Manual",$M33=1),0,IF(OFFSET(CRONOPLE!$F$14,$M33,BG$13)="",10^12,OFFSET(CRONOPLE!$F$14,$M33,BG$13))))</f>
        <v>1000000000000</v>
      </c>
      <c r="BH33" s="181">
        <f ca="1">IF($D33&lt;&gt;"Serviço",0,IF(AND(AUTOEVENTO="Manual",$M33=1),0,IF(OFFSET(CRONOPLE!$F$14,$M33,BH$13)="",10^12,OFFSET(CRONOPLE!$F$14,$M33,BH$13))))</f>
        <v>1000000000000</v>
      </c>
      <c r="BI33" s="181">
        <f ca="1">IF($D33&lt;&gt;"Serviço",0,IF(AND(AUTOEVENTO="Manual",$M33=1),0,IF(OFFSET(CRONOPLE!$F$14,$M33,BI$13)="",10^12,OFFSET(CRONOPLE!$F$14,$M33,BI$13))))</f>
        <v>1000000000000</v>
      </c>
      <c r="BJ33" s="181">
        <f ca="1">IF($D33&lt;&gt;"Serviço",0,IF(AND(AUTOEVENTO="Manual",$M33=1),0,IF(OFFSET(CRONOPLE!$F$14,$M33,BJ$13)="",10^12,OFFSET(CRONOPLE!$F$14,$M33,BJ$13))))</f>
        <v>1000000000000</v>
      </c>
      <c r="BK33" s="181">
        <f ca="1">IF($D33&lt;&gt;"Serviço",0,IF(AND(AUTOEVENTO="Manual",$M33=1),0,IF(OFFSET(CRONOPLE!$F$14,$M33,BK$13)="",10^12,OFFSET(CRONOPLE!$F$14,$M33,BK$13))))</f>
        <v>1000000000000</v>
      </c>
      <c r="BL33" s="181">
        <f ca="1">IF($D33&lt;&gt;"Serviço",0,IF(AND(AUTOEVENTO="Manual",$M33=1),0,IF(OFFSET(CRONOPLE!$F$14,$M33,BL$13)="",10^12,OFFSET(CRONOPLE!$F$14,$M33,BL$13))))</f>
        <v>1000000000000</v>
      </c>
      <c r="BM33" s="181">
        <f ca="1">IF($D33&lt;&gt;"Serviço",0,IF(AND(AUTOEVENTO="Manual",$M33=1),0,IF(OFFSET(CRONOPLE!$F$14,$M33,BM$13)="",10^12,OFFSET(CRONOPLE!$F$14,$M33,BM$13))))</f>
        <v>1000000000000</v>
      </c>
      <c r="BN33" s="181">
        <f ca="1">IF($D33&lt;&gt;"Serviço",0,IF(AND(AUTOEVENTO="Manual",$M33=1),0,IF(OFFSET(CRONOPLE!$F$14,$M33,BN$13)="",10^12,OFFSET(CRONOPLE!$F$14,$M33,BN$13))))</f>
        <v>1000000000000</v>
      </c>
      <c r="BO33" s="181">
        <f ca="1">IF($D33&lt;&gt;"Serviço",0,IF(AND(AUTOEVENTO="Manual",$M33=1),0,IF(OFFSET(CRONOPLE!$F$14,$M33,BO$13)="",10^12,OFFSET(CRONOPLE!$F$14,$M33,BO$13))))</f>
        <v>1000000000000</v>
      </c>
      <c r="BP33" s="181">
        <f ca="1">IF($D33&lt;&gt;"Serviço",0,IF(AND(AUTOEVENTO="Manual",$M33=1),0,IF(OFFSET(CRONOPLE!$F$14,$M33,BP$13)="",10^12,OFFSET(CRONOPLE!$F$14,$M33,BP$13))))</f>
        <v>1000000000000</v>
      </c>
      <c r="BQ33" s="181">
        <f ca="1">IF($D33&lt;&gt;"Serviço",0,IF(AND(AUTOEVENTO="Manual",$M33=1),0,IF(OFFSET(CRONOPLE!$F$14,$M33,BQ$13)="",10^12,OFFSET(CRONOPLE!$F$14,$M33,BQ$13))))</f>
        <v>1000000000000</v>
      </c>
      <c r="BR33" s="181">
        <f ca="1">IF($D33&lt;&gt;"Serviço",0,IF(AND(AUTOEVENTO="Manual",$M33=1),0,IF(OFFSET(CRONOPLE!$F$14,$M33,BR$13)="",10^12,OFFSET(CRONOPLE!$F$14,$M33,BR$13))))</f>
        <v>1000000000000</v>
      </c>
      <c r="BS33" s="181">
        <f ca="1">IF($D33&lt;&gt;"Serviço",0,IF(AND(AUTOEVENTO="Manual",$M33=1),0,IF(OFFSET(CRONOPLE!$F$14,$M33,BS$13)="",10^12,OFFSET(CRONOPLE!$F$14,$M33,BS$13))))</f>
        <v>1000000000000</v>
      </c>
      <c r="BT33" s="181">
        <f ca="1">IF($D33&lt;&gt;"Serviço",0,IF(AND(AUTOEVENTO="Manual",$M33=1),0,IF(OFFSET(CRONOPLE!$F$14,$M33,BT$13)="",10^12,OFFSET(CRONOPLE!$F$14,$M33,BT$13))))</f>
        <v>1000000000000</v>
      </c>
      <c r="BV33" s="182">
        <f ca="1">IF($D33&lt;&gt;"Serviço",0,IF(OR(AND(AUTOEVENTO="Manual",$M33=1),$M33&gt;(ROW(PLE.lastrow)-ROW(PLE.firstrow))),0,IF(OFFSET(PLE!$G$14,$M33,BV$13)="",10^12,OFFSET(PLE!$G$14,$M33,BV$13))))</f>
        <v>1000000000000</v>
      </c>
      <c r="BW33" s="182">
        <f ca="1">IF($D33&lt;&gt;"Serviço",0,IF(OR(AND(AUTOEVENTO="Manual",$M33=1),$M33&gt;(ROW(PLE.lastrow)-ROW(PLE.firstrow))),0,IF(OFFSET(PLE!$G$14,$M33,BW$13)="",10^12,OFFSET(PLE!$G$14,$M33,BW$13))))</f>
        <v>1000000000000</v>
      </c>
      <c r="BX33" s="182">
        <f ca="1">IF($D33&lt;&gt;"Serviço",0,IF(OR(AND(AUTOEVENTO="Manual",$M33=1),$M33&gt;(ROW(PLE.lastrow)-ROW(PLE.firstrow))),0,IF(OFFSET(PLE!$G$14,$M33,BX$13)="",10^12,OFFSET(PLE!$G$14,$M33,BX$13))))</f>
        <v>1000000000000</v>
      </c>
      <c r="BY33" s="182">
        <f ca="1">IF($D33&lt;&gt;"Serviço",0,IF(OR(AND(AUTOEVENTO="Manual",$M33=1),$M33&gt;(ROW(PLE.lastrow)-ROW(PLE.firstrow))),0,IF(OFFSET(PLE!$G$14,$M33,BY$13)="",10^12,OFFSET(PLE!$G$14,$M33,BY$13))))</f>
        <v>1000000000000</v>
      </c>
      <c r="BZ33" s="182">
        <f ca="1">IF($D33&lt;&gt;"Serviço",0,IF(OR(AND(AUTOEVENTO="Manual",$M33=1),$M33&gt;(ROW(PLE.lastrow)-ROW(PLE.firstrow))),0,IF(OFFSET(PLE!$G$14,$M33,BZ$13)="",10^12,OFFSET(PLE!$G$14,$M33,BZ$13))))</f>
        <v>1000000000000</v>
      </c>
      <c r="CA33" s="182">
        <f ca="1">IF($D33&lt;&gt;"Serviço",0,IF(OR(AND(AUTOEVENTO="Manual",$M33=1),$M33&gt;(ROW(PLE.lastrow)-ROW(PLE.firstrow))),0,IF(OFFSET(PLE!$G$14,$M33,CA$13)="",10^12,OFFSET(PLE!$G$14,$M33,CA$13))))</f>
        <v>1000000000000</v>
      </c>
      <c r="CB33" s="182">
        <f ca="1">IF($D33&lt;&gt;"Serviço",0,IF(OR(AND(AUTOEVENTO="Manual",$M33=1),$M33&gt;(ROW(PLE.lastrow)-ROW(PLE.firstrow))),0,IF(OFFSET(PLE!$G$14,$M33,CB$13)="",10^12,OFFSET(PLE!$G$14,$M33,CB$13))))</f>
        <v>1000000000000</v>
      </c>
      <c r="CC33" s="182">
        <f ca="1">IF($D33&lt;&gt;"Serviço",0,IF(OR(AND(AUTOEVENTO="Manual",$M33=1),$M33&gt;(ROW(PLE.lastrow)-ROW(PLE.firstrow))),0,IF(OFFSET(PLE!$G$14,$M33,CC$13)="",10^12,OFFSET(PLE!$G$14,$M33,CC$13))))</f>
        <v>1000000000000</v>
      </c>
      <c r="CD33" s="182">
        <f ca="1">IF($D33&lt;&gt;"Serviço",0,IF(OR(AND(AUTOEVENTO="Manual",$M33=1),$M33&gt;(ROW(PLE.lastrow)-ROW(PLE.firstrow))),0,IF(OFFSET(PLE!$G$14,$M33,CD$13)="",10^12,OFFSET(PLE!$G$14,$M33,CD$13))))</f>
        <v>1000000000000</v>
      </c>
      <c r="CE33" s="182">
        <f ca="1">IF($D33&lt;&gt;"Serviço",0,IF(OR(AND(AUTOEVENTO="Manual",$M33=1),$M33&gt;(ROW(PLE.lastrow)-ROW(PLE.firstrow))),0,IF(OFFSET(PLE!$G$14,$M33,CE$13)="",10^12,OFFSET(PLE!$G$14,$M33,CE$13))))</f>
        <v>1000000000000</v>
      </c>
      <c r="CF33" s="182">
        <f ca="1">IF($D33&lt;&gt;"Serviço",0,IF(OR(AND(AUTOEVENTO="Manual",$M33=1),$M33&gt;(ROW(PLE.lastrow)-ROW(PLE.firstrow))),0,IF(OFFSET(PLE!$G$14,$M33,CF$13)="",10^12,OFFSET(PLE!$G$14,$M33,CF$13))))</f>
        <v>1000000000000</v>
      </c>
      <c r="CG33" s="182">
        <f ca="1">IF($D33&lt;&gt;"Serviço",0,IF(OR(AND(AUTOEVENTO="Manual",$M33=1),$M33&gt;(ROW(PLE.lastrow)-ROW(PLE.firstrow))),0,IF(OFFSET(PLE!$G$14,$M33,CG$13)="",10^12,OFFSET(PLE!$G$14,$M33,CG$13))))</f>
        <v>1000000000000</v>
      </c>
      <c r="CH33" s="182">
        <f ca="1">IF($D33&lt;&gt;"Serviço",0,IF(OR(AND(AUTOEVENTO="Manual",$M33=1),$M33&gt;(ROW(PLE.lastrow)-ROW(PLE.firstrow))),0,IF(OFFSET(PLE!$G$14,$M33,CH$13)="",10^12,OFFSET(PLE!$G$14,$M33,CH$13))))</f>
        <v>1000000000000</v>
      </c>
      <c r="CI33" s="182">
        <f ca="1">IF($D33&lt;&gt;"Serviço",0,IF(OR(AND(AUTOEVENTO="Manual",$M33=1),$M33&gt;(ROW(PLE.lastrow)-ROW(PLE.firstrow))),0,IF(OFFSET(PLE!$G$14,$M33,CI$13)="",10^12,OFFSET(PLE!$G$14,$M33,CI$13))))</f>
        <v>1000000000000</v>
      </c>
      <c r="CJ33" s="182">
        <f ca="1">IF($D33&lt;&gt;"Serviço",0,IF(OR(AND(AUTOEVENTO="Manual",$M33=1),$M33&gt;(ROW(PLE.lastrow)-ROW(PLE.firstrow))),0,IF(OFFSET(PLE!$G$14,$M33,CJ$13)="",10^12,OFFSET(PLE!$G$14,$M33,CJ$13))))</f>
        <v>1000000000000</v>
      </c>
      <c r="CK33" s="182">
        <f ca="1">IF($D33&lt;&gt;"Serviço",0,IF(OR(AND(AUTOEVENTO="Manual",$M33=1),$M33&gt;(ROW(PLE.lastrow)-ROW(PLE.firstrow))),0,IF(OFFSET(PLE!$G$14,$M33,CK$13)="",10^12,OFFSET(PLE!$G$14,$M33,CK$13))))</f>
        <v>1000000000000</v>
      </c>
      <c r="CL33" s="182">
        <f ca="1">IF($D33&lt;&gt;"Serviço",0,IF(OR(AND(AUTOEVENTO="Manual",$M33=1),$M33&gt;(ROW(PLE.lastrow)-ROW(PLE.firstrow))),0,IF(OFFSET(PLE!$G$14,$M33,CL$13)="",10^12,OFFSET(PLE!$G$14,$M33,CL$13))))</f>
        <v>1000000000000</v>
      </c>
      <c r="CM33" s="182">
        <f ca="1">IF($D33&lt;&gt;"Serviço",0,IF(OR(AND(AUTOEVENTO="Manual",$M33=1),$M33&gt;(ROW(PLE.lastrow)-ROW(PLE.firstrow))),0,IF(OFFSET(PLE!$G$14,$M33,CM$13)="",10^12,OFFSET(PLE!$G$14,$M33,CM$13))))</f>
        <v>1000000000000</v>
      </c>
    </row>
    <row r="34" spans="1:91" ht="51" x14ac:dyDescent="0.2">
      <c r="A34" s="7" t="str">
        <f t="shared" ca="1" si="9"/>
        <v>2</v>
      </c>
      <c r="B34" s="7" t="str">
        <f ca="1">OFFSET(ORÇAMENTO!C$15,ROW(B34)-ROW(B$15),0)</f>
        <v>S</v>
      </c>
      <c r="C34" s="7" t="str">
        <f ca="1">OFFSET(ORÇAMENTO!L$15,ROW(C34)-ROW(C$15),0)</f>
        <v/>
      </c>
      <c r="D34" s="118" t="str">
        <f ca="1">OFFSET(ORÇAMENTO!N$15,ROW(D34)-ROW(D$15),0)</f>
        <v>Serviço</v>
      </c>
      <c r="E34" s="119" t="str">
        <f ca="1">OFFSET(ORÇAMENTO!O$15,ROW(E34)-ROW(E$15),0)</f>
        <v>-</v>
      </c>
      <c r="F34" s="172" t="str">
        <f ca="1">OFFSET(ORÇAMENTO!R$15,ROW(F34)-ROW(F$15),0)</f>
        <v>(abra o arquivo 'Referência 03-Sunday.xlsm)</v>
      </c>
      <c r="G34" s="173" t="str">
        <f ca="1">IF($D34&lt;&gt;"Serviço","",OFFSET(ORÇAMENTO!S$15,ROW(G34)-ROW(G$15),0))</f>
        <v>-</v>
      </c>
      <c r="H34" s="124">
        <f ca="1">IF($D34&lt;&gt;"Serviço",0,IF(ACOMPANHAMENTO="BM",ROUND(OFFSET(ORÇAMENTO!AJ$15,ROW(H34)-ROW(H$15),0),15-13*ORÇAMENTO!$AF$7),SUMPRODUCT(($Q$12:$AI$12&lt;&gt;"")*ROUND($Q34:$AI34,15-13*ORÇAMENTO!$AF$7))))</f>
        <v>3000</v>
      </c>
      <c r="I34" s="539" t="s">
        <v>517</v>
      </c>
      <c r="K34" s="174"/>
      <c r="L34" s="175" t="s">
        <v>254</v>
      </c>
      <c r="M34" s="176">
        <f ca="1">IF($D34&lt;&gt;"Serviço","",IF(AUTOEVENTO="manual",$A34,IF(ISERROR(MATCH($A34,$A$15:OFFSET($A34,-1,0),0)),MAX($M$15:OFFSET(M34,-1,0))+1,INDEX($M$15:OFFSET(M34,-1,0),MATCH($A34,$A$15:OFFSET($A34,-1,0),0)))))</f>
        <v>2</v>
      </c>
      <c r="N34" s="177" t="str">
        <f ca="1">IF($D34&lt;&gt;"Serviço","",IF(AUTOEVENTO="Manual",IF($A34=0,"&lt;-- defina o número do agrupador",OFFSET(EVENTOS!$D$14,$A34,0)),OFFSET($F$15,$A34,0)))</f>
        <v>Lote 01  - Manutenção e Reparos Abrigos Passagerios Onibus e Táxi</v>
      </c>
      <c r="O34" s="178"/>
      <c r="Q34" s="178">
        <f>15*100*2</f>
        <v>3000</v>
      </c>
      <c r="R34" s="179"/>
      <c r="S34" s="179"/>
      <c r="T34" s="179"/>
      <c r="U34" s="179"/>
      <c r="V34" s="179"/>
      <c r="W34" s="179"/>
      <c r="X34" s="179"/>
      <c r="Y34" s="179"/>
      <c r="Z34" s="180"/>
      <c r="AA34" s="179"/>
      <c r="AB34" s="179"/>
      <c r="AC34" s="179"/>
      <c r="AD34" s="179"/>
      <c r="AE34" s="179"/>
      <c r="AF34" s="179"/>
      <c r="AG34" s="179"/>
      <c r="AH34" s="180"/>
      <c r="AJ34" s="522">
        <f ca="1">IF(AND($D34="Serviço",AJ$12&lt;&gt;0,$H34&gt;0,OR(AUTOEVENTO&lt;&gt;"manual",$M34&lt;&gt;1)),
IF(Import.TipoArredondamento&lt;&gt;"TransfereGOV",
ROUND(OFFSET($P34,0,AJ$13),15-13*ORÇAMENTO!$AF$7)/$H34*OFFSET(ORÇAMENTO!$X$15,ROW(AJ34)-ROW(AJ$15),0),
ROUND(ROUND(OFFSET($P34,0,AJ$13),15-13*ORÇAMENTO!$AF$7)*OFFSET(ORÇAMENTO!$W$15,ROW(AJ34)-ROW(AJ$15),0),15-13*ORÇAMENTO!$AF$11)),0)</f>
        <v>0</v>
      </c>
      <c r="AK34" s="523">
        <f ca="1">IF(AND($D34="Serviço",AK$12&lt;&gt;0,$H34&gt;0,OR(AUTOEVENTO&lt;&gt;"manual",$M34&lt;&gt;1)),
IF(Import.TipoArredondamento&lt;&gt;"TransfereGOV",
ROUND(OFFSET($P34,0,AK$13),15-13*ORÇAMENTO!$AF$7)/$H34*OFFSET(ORÇAMENTO!$X$15,ROW(AK34)-ROW(AK$15),0),
ROUND(ROUND(OFFSET($P34,0,AK$13),15-13*ORÇAMENTO!$AF$7)*OFFSET(ORÇAMENTO!$W$15,ROW(AK34)-ROW(AK$15),0),15-13*ORÇAMENTO!$AF$11)),0)</f>
        <v>0</v>
      </c>
      <c r="AL34" s="523">
        <f ca="1">IF(AND($D34="Serviço",AL$12&lt;&gt;0,$H34&gt;0,OR(AUTOEVENTO&lt;&gt;"manual",$M34&lt;&gt;1)),
IF(Import.TipoArredondamento&lt;&gt;"TransfereGOV",
ROUND(OFFSET($P34,0,AL$13),15-13*ORÇAMENTO!$AF$7)/$H34*OFFSET(ORÇAMENTO!$X$15,ROW(AL34)-ROW(AL$15),0),
ROUND(ROUND(OFFSET($P34,0,AL$13),15-13*ORÇAMENTO!$AF$7)*OFFSET(ORÇAMENTO!$W$15,ROW(AL34)-ROW(AL$15),0),15-13*ORÇAMENTO!$AF$11)),0)</f>
        <v>0</v>
      </c>
      <c r="AM34" s="523">
        <f ca="1">IF(AND($D34="Serviço",AM$12&lt;&gt;0,$H34&gt;0,OR(AUTOEVENTO&lt;&gt;"manual",$M34&lt;&gt;1)),
IF(Import.TipoArredondamento&lt;&gt;"TransfereGOV",
ROUND(OFFSET($P34,0,AM$13),15-13*ORÇAMENTO!$AF$7)/$H34*OFFSET(ORÇAMENTO!$X$15,ROW(AM34)-ROW(AM$15),0),
ROUND(ROUND(OFFSET($P34,0,AM$13),15-13*ORÇAMENTO!$AF$7)*OFFSET(ORÇAMENTO!$W$15,ROW(AM34)-ROW(AM$15),0),15-13*ORÇAMENTO!$AF$11)),0)</f>
        <v>0</v>
      </c>
      <c r="AN34" s="523">
        <f ca="1">IF(AND($D34="Serviço",AN$12&lt;&gt;0,$H34&gt;0,OR(AUTOEVENTO&lt;&gt;"manual",$M34&lt;&gt;1)),
IF(Import.TipoArredondamento&lt;&gt;"TransfereGOV",
ROUND(OFFSET($P34,0,AN$13),15-13*ORÇAMENTO!$AF$7)/$H34*OFFSET(ORÇAMENTO!$X$15,ROW(AN34)-ROW(AN$15),0),
ROUND(ROUND(OFFSET($P34,0,AN$13),15-13*ORÇAMENTO!$AF$7)*OFFSET(ORÇAMENTO!$W$15,ROW(AN34)-ROW(AN$15),0),15-13*ORÇAMENTO!$AF$11)),0)</f>
        <v>0</v>
      </c>
      <c r="AO34" s="523">
        <f ca="1">IF(AND($D34="Serviço",AO$12&lt;&gt;0,$H34&gt;0,OR(AUTOEVENTO&lt;&gt;"manual",$M34&lt;&gt;1)),
IF(Import.TipoArredondamento&lt;&gt;"TransfereGOV",
ROUND(OFFSET($P34,0,AO$13),15-13*ORÇAMENTO!$AF$7)/$H34*OFFSET(ORÇAMENTO!$X$15,ROW(AO34)-ROW(AO$15),0),
ROUND(ROUND(OFFSET($P34,0,AO$13),15-13*ORÇAMENTO!$AF$7)*OFFSET(ORÇAMENTO!$W$15,ROW(AO34)-ROW(AO$15),0),15-13*ORÇAMENTO!$AF$11)),0)</f>
        <v>0</v>
      </c>
      <c r="AP34" s="523">
        <f ca="1">IF(AND($D34="Serviço",AP$12&lt;&gt;0,$H34&gt;0,OR(AUTOEVENTO&lt;&gt;"manual",$M34&lt;&gt;1)),
IF(Import.TipoArredondamento&lt;&gt;"TransfereGOV",
ROUND(OFFSET($P34,0,AP$13),15-13*ORÇAMENTO!$AF$7)/$H34*OFFSET(ORÇAMENTO!$X$15,ROW(AP34)-ROW(AP$15),0),
ROUND(ROUND(OFFSET($P34,0,AP$13),15-13*ORÇAMENTO!$AF$7)*OFFSET(ORÇAMENTO!$W$15,ROW(AP34)-ROW(AP$15),0),15-13*ORÇAMENTO!$AF$11)),0)</f>
        <v>0</v>
      </c>
      <c r="AQ34" s="523">
        <f ca="1">IF(AND($D34="Serviço",AQ$12&lt;&gt;0,$H34&gt;0,OR(AUTOEVENTO&lt;&gt;"manual",$M34&lt;&gt;1)),
IF(Import.TipoArredondamento&lt;&gt;"TransfereGOV",
ROUND(OFFSET($P34,0,AQ$13),15-13*ORÇAMENTO!$AF$7)/$H34*OFFSET(ORÇAMENTO!$X$15,ROW(AQ34)-ROW(AQ$15),0),
ROUND(ROUND(OFFSET($P34,0,AQ$13),15-13*ORÇAMENTO!$AF$7)*OFFSET(ORÇAMENTO!$W$15,ROW(AQ34)-ROW(AQ$15),0),15-13*ORÇAMENTO!$AF$11)),0)</f>
        <v>0</v>
      </c>
      <c r="AR34" s="523">
        <f ca="1">IF(AND($D34="Serviço",AR$12&lt;&gt;0,$H34&gt;0,OR(AUTOEVENTO&lt;&gt;"manual",$M34&lt;&gt;1)),
IF(Import.TipoArredondamento&lt;&gt;"TransfereGOV",
ROUND(OFFSET($P34,0,AR$13),15-13*ORÇAMENTO!$AF$7)/$H34*OFFSET(ORÇAMENTO!$X$15,ROW(AR34)-ROW(AR$15),0),
ROUND(ROUND(OFFSET($P34,0,AR$13),15-13*ORÇAMENTO!$AF$7)*OFFSET(ORÇAMENTO!$W$15,ROW(AR34)-ROW(AR$15),0),15-13*ORÇAMENTO!$AF$11)),0)</f>
        <v>0</v>
      </c>
      <c r="AS34" s="524">
        <f ca="1">IF(AND($D34="Serviço",AS$12&lt;&gt;0,$H34&gt;0,OR(AUTOEVENTO&lt;&gt;"manual",$M34&lt;&gt;1)),
IF(Import.TipoArredondamento&lt;&gt;"TransfereGOV",
ROUND(OFFSET($P34,0,AS$13),15-13*ORÇAMENTO!$AF$7)/$H34*OFFSET(ORÇAMENTO!$X$15,ROW(AS34)-ROW(AS$15),0),
ROUND(ROUND(OFFSET($P34,0,AS$13),15-13*ORÇAMENTO!$AF$7)*OFFSET(ORÇAMENTO!$W$15,ROW(AS34)-ROW(AS$15),0),15-13*ORÇAMENTO!$AF$11)),0)</f>
        <v>0</v>
      </c>
      <c r="AT34" s="523">
        <f ca="1">IF(AND($D34="Serviço",AT$12&lt;&gt;0,$H34&gt;0,OR(AUTOEVENTO&lt;&gt;"manual",$M34&lt;&gt;1)),
IF(Import.TipoArredondamento&lt;&gt;"TransfereGOV",
ROUND(OFFSET($P34,0,AT$13),15-13*ORÇAMENTO!$AF$7)/$H34*OFFSET(ORÇAMENTO!$X$15,ROW(AT34)-ROW(AT$15),0),
ROUND(ROUND(OFFSET($P34,0,AT$13),15-13*ORÇAMENTO!$AF$7)*OFFSET(ORÇAMENTO!$W$15,ROW(AT34)-ROW(AT$15),0),15-13*ORÇAMENTO!$AF$11)),0)</f>
        <v>0</v>
      </c>
      <c r="AU34" s="523">
        <f ca="1">IF(AND($D34="Serviço",AU$12&lt;&gt;0,$H34&gt;0,OR(AUTOEVENTO&lt;&gt;"manual",$M34&lt;&gt;1)),
IF(Import.TipoArredondamento&lt;&gt;"TransfereGOV",
ROUND(OFFSET($P34,0,AU$13),15-13*ORÇAMENTO!$AF$7)/$H34*OFFSET(ORÇAMENTO!$X$15,ROW(AU34)-ROW(AU$15),0),
ROUND(ROUND(OFFSET($P34,0,AU$13),15-13*ORÇAMENTO!$AF$7)*OFFSET(ORÇAMENTO!$W$15,ROW(AU34)-ROW(AU$15),0),15-13*ORÇAMENTO!$AF$11)),0)</f>
        <v>0</v>
      </c>
      <c r="AV34" s="523">
        <f ca="1">IF(AND($D34="Serviço",AV$12&lt;&gt;0,$H34&gt;0,OR(AUTOEVENTO&lt;&gt;"manual",$M34&lt;&gt;1)),
IF(Import.TipoArredondamento&lt;&gt;"TransfereGOV",
ROUND(OFFSET($P34,0,AV$13),15-13*ORÇAMENTO!$AF$7)/$H34*OFFSET(ORÇAMENTO!$X$15,ROW(AV34)-ROW(AV$15),0),
ROUND(ROUND(OFFSET($P34,0,AV$13),15-13*ORÇAMENTO!$AF$7)*OFFSET(ORÇAMENTO!$W$15,ROW(AV34)-ROW(AV$15),0),15-13*ORÇAMENTO!$AF$11)),0)</f>
        <v>0</v>
      </c>
      <c r="AW34" s="523">
        <f ca="1">IF(AND($D34="Serviço",AW$12&lt;&gt;0,$H34&gt;0,OR(AUTOEVENTO&lt;&gt;"manual",$M34&lt;&gt;1)),
IF(Import.TipoArredondamento&lt;&gt;"TransfereGOV",
ROUND(OFFSET($P34,0,AW$13),15-13*ORÇAMENTO!$AF$7)/$H34*OFFSET(ORÇAMENTO!$X$15,ROW(AW34)-ROW(AW$15),0),
ROUND(ROUND(OFFSET($P34,0,AW$13),15-13*ORÇAMENTO!$AF$7)*OFFSET(ORÇAMENTO!$W$15,ROW(AW34)-ROW(AW$15),0),15-13*ORÇAMENTO!$AF$11)),0)</f>
        <v>0</v>
      </c>
      <c r="AX34" s="523">
        <f ca="1">IF(AND($D34="Serviço",AX$12&lt;&gt;0,$H34&gt;0,OR(AUTOEVENTO&lt;&gt;"manual",$M34&lt;&gt;1)),
IF(Import.TipoArredondamento&lt;&gt;"TransfereGOV",
ROUND(OFFSET($P34,0,AX$13),15-13*ORÇAMENTO!$AF$7)/$H34*OFFSET(ORÇAMENTO!$X$15,ROW(AX34)-ROW(AX$15),0),
ROUND(ROUND(OFFSET($P34,0,AX$13),15-13*ORÇAMENTO!$AF$7)*OFFSET(ORÇAMENTO!$W$15,ROW(AX34)-ROW(AX$15),0),15-13*ORÇAMENTO!$AF$11)),0)</f>
        <v>0</v>
      </c>
      <c r="AY34" s="523">
        <f ca="1">IF(AND($D34="Serviço",AY$12&lt;&gt;0,$H34&gt;0,OR(AUTOEVENTO&lt;&gt;"manual",$M34&lt;&gt;1)),
IF(Import.TipoArredondamento&lt;&gt;"TransfereGOV",
ROUND(OFFSET($P34,0,AY$13),15-13*ORÇAMENTO!$AF$7)/$H34*OFFSET(ORÇAMENTO!$X$15,ROW(AY34)-ROW(AY$15),0),
ROUND(ROUND(OFFSET($P34,0,AY$13),15-13*ORÇAMENTO!$AF$7)*OFFSET(ORÇAMENTO!$W$15,ROW(AY34)-ROW(AY$15),0),15-13*ORÇAMENTO!$AF$11)),0)</f>
        <v>0</v>
      </c>
      <c r="AZ34" s="523">
        <f ca="1">IF(AND($D34="Serviço",AZ$12&lt;&gt;0,$H34&gt;0,OR(AUTOEVENTO&lt;&gt;"manual",$M34&lt;&gt;1)),
IF(Import.TipoArredondamento&lt;&gt;"TransfereGOV",
ROUND(OFFSET($P34,0,AZ$13),15-13*ORÇAMENTO!$AF$7)/$H34*OFFSET(ORÇAMENTO!$X$15,ROW(AZ34)-ROW(AZ$15),0),
ROUND(ROUND(OFFSET($P34,0,AZ$13),15-13*ORÇAMENTO!$AF$7)*OFFSET(ORÇAMENTO!$W$15,ROW(AZ34)-ROW(AZ$15),0),15-13*ORÇAMENTO!$AF$11)),0)</f>
        <v>0</v>
      </c>
      <c r="BA34" s="524">
        <f ca="1">IF(AND($D34="Serviço",BA$12&lt;&gt;0,$H34&gt;0,OR(AUTOEVENTO&lt;&gt;"manual",$M34&lt;&gt;1)),
IF(Import.TipoArredondamento&lt;&gt;"TransfereGOV",
ROUND(OFFSET($P34,0,BA$13),15-13*ORÇAMENTO!$AF$7)/$H34*OFFSET(ORÇAMENTO!$X$15,ROW(BA34)-ROW(BA$15),0),
ROUND(ROUND(OFFSET($P34,0,BA$13),15-13*ORÇAMENTO!$AF$7)*OFFSET(ORÇAMENTO!$W$15,ROW(BA34)-ROW(BA$15),0),15-13*ORÇAMENTO!$AF$11)),0)</f>
        <v>0</v>
      </c>
      <c r="BC34" s="181">
        <f ca="1">IF($D34&lt;&gt;"Serviço",0,IF(AND(AUTOEVENTO="Manual",$M34=1),0,IF(OFFSET(CRONOPLE!$F$14,$M34,BC$13)="",10^12,OFFSET(CRONOPLE!$F$14,$M34,BC$13))))</f>
        <v>12</v>
      </c>
      <c r="BD34" s="181">
        <f ca="1">IF($D34&lt;&gt;"Serviço",0,IF(AND(AUTOEVENTO="Manual",$M34=1),0,IF(OFFSET(CRONOPLE!$F$14,$M34,BD$13)="",10^12,OFFSET(CRONOPLE!$F$14,$M34,BD$13))))</f>
        <v>1000000000000</v>
      </c>
      <c r="BE34" s="181">
        <f ca="1">IF($D34&lt;&gt;"Serviço",0,IF(AND(AUTOEVENTO="Manual",$M34=1),0,IF(OFFSET(CRONOPLE!$F$14,$M34,BE$13)="",10^12,OFFSET(CRONOPLE!$F$14,$M34,BE$13))))</f>
        <v>1000000000000</v>
      </c>
      <c r="BF34" s="181">
        <f ca="1">IF($D34&lt;&gt;"Serviço",0,IF(AND(AUTOEVENTO="Manual",$M34=1),0,IF(OFFSET(CRONOPLE!$F$14,$M34,BF$13)="",10^12,OFFSET(CRONOPLE!$F$14,$M34,BF$13))))</f>
        <v>1000000000000</v>
      </c>
      <c r="BG34" s="181">
        <f ca="1">IF($D34&lt;&gt;"Serviço",0,IF(AND(AUTOEVENTO="Manual",$M34=1),0,IF(OFFSET(CRONOPLE!$F$14,$M34,BG$13)="",10^12,OFFSET(CRONOPLE!$F$14,$M34,BG$13))))</f>
        <v>1000000000000</v>
      </c>
      <c r="BH34" s="181">
        <f ca="1">IF($D34&lt;&gt;"Serviço",0,IF(AND(AUTOEVENTO="Manual",$M34=1),0,IF(OFFSET(CRONOPLE!$F$14,$M34,BH$13)="",10^12,OFFSET(CRONOPLE!$F$14,$M34,BH$13))))</f>
        <v>1000000000000</v>
      </c>
      <c r="BI34" s="181">
        <f ca="1">IF($D34&lt;&gt;"Serviço",0,IF(AND(AUTOEVENTO="Manual",$M34=1),0,IF(OFFSET(CRONOPLE!$F$14,$M34,BI$13)="",10^12,OFFSET(CRONOPLE!$F$14,$M34,BI$13))))</f>
        <v>1000000000000</v>
      </c>
      <c r="BJ34" s="181">
        <f ca="1">IF($D34&lt;&gt;"Serviço",0,IF(AND(AUTOEVENTO="Manual",$M34=1),0,IF(OFFSET(CRONOPLE!$F$14,$M34,BJ$13)="",10^12,OFFSET(CRONOPLE!$F$14,$M34,BJ$13))))</f>
        <v>1000000000000</v>
      </c>
      <c r="BK34" s="181">
        <f ca="1">IF($D34&lt;&gt;"Serviço",0,IF(AND(AUTOEVENTO="Manual",$M34=1),0,IF(OFFSET(CRONOPLE!$F$14,$M34,BK$13)="",10^12,OFFSET(CRONOPLE!$F$14,$M34,BK$13))))</f>
        <v>1000000000000</v>
      </c>
      <c r="BL34" s="181">
        <f ca="1">IF($D34&lt;&gt;"Serviço",0,IF(AND(AUTOEVENTO="Manual",$M34=1),0,IF(OFFSET(CRONOPLE!$F$14,$M34,BL$13)="",10^12,OFFSET(CRONOPLE!$F$14,$M34,BL$13))))</f>
        <v>1000000000000</v>
      </c>
      <c r="BM34" s="181">
        <f ca="1">IF($D34&lt;&gt;"Serviço",0,IF(AND(AUTOEVENTO="Manual",$M34=1),0,IF(OFFSET(CRONOPLE!$F$14,$M34,BM$13)="",10^12,OFFSET(CRONOPLE!$F$14,$M34,BM$13))))</f>
        <v>1000000000000</v>
      </c>
      <c r="BN34" s="181">
        <f ca="1">IF($D34&lt;&gt;"Serviço",0,IF(AND(AUTOEVENTO="Manual",$M34=1),0,IF(OFFSET(CRONOPLE!$F$14,$M34,BN$13)="",10^12,OFFSET(CRONOPLE!$F$14,$M34,BN$13))))</f>
        <v>1000000000000</v>
      </c>
      <c r="BO34" s="181">
        <f ca="1">IF($D34&lt;&gt;"Serviço",0,IF(AND(AUTOEVENTO="Manual",$M34=1),0,IF(OFFSET(CRONOPLE!$F$14,$M34,BO$13)="",10^12,OFFSET(CRONOPLE!$F$14,$M34,BO$13))))</f>
        <v>1000000000000</v>
      </c>
      <c r="BP34" s="181">
        <f ca="1">IF($D34&lt;&gt;"Serviço",0,IF(AND(AUTOEVENTO="Manual",$M34=1),0,IF(OFFSET(CRONOPLE!$F$14,$M34,BP$13)="",10^12,OFFSET(CRONOPLE!$F$14,$M34,BP$13))))</f>
        <v>1000000000000</v>
      </c>
      <c r="BQ34" s="181">
        <f ca="1">IF($D34&lt;&gt;"Serviço",0,IF(AND(AUTOEVENTO="Manual",$M34=1),0,IF(OFFSET(CRONOPLE!$F$14,$M34,BQ$13)="",10^12,OFFSET(CRONOPLE!$F$14,$M34,BQ$13))))</f>
        <v>1000000000000</v>
      </c>
      <c r="BR34" s="181">
        <f ca="1">IF($D34&lt;&gt;"Serviço",0,IF(AND(AUTOEVENTO="Manual",$M34=1),0,IF(OFFSET(CRONOPLE!$F$14,$M34,BR$13)="",10^12,OFFSET(CRONOPLE!$F$14,$M34,BR$13))))</f>
        <v>1000000000000</v>
      </c>
      <c r="BS34" s="181">
        <f ca="1">IF($D34&lt;&gt;"Serviço",0,IF(AND(AUTOEVENTO="Manual",$M34=1),0,IF(OFFSET(CRONOPLE!$F$14,$M34,BS$13)="",10^12,OFFSET(CRONOPLE!$F$14,$M34,BS$13))))</f>
        <v>1000000000000</v>
      </c>
      <c r="BT34" s="181">
        <f ca="1">IF($D34&lt;&gt;"Serviço",0,IF(AND(AUTOEVENTO="Manual",$M34=1),0,IF(OFFSET(CRONOPLE!$F$14,$M34,BT$13)="",10^12,OFFSET(CRONOPLE!$F$14,$M34,BT$13))))</f>
        <v>1000000000000</v>
      </c>
      <c r="BV34" s="182">
        <f ca="1">IF($D34&lt;&gt;"Serviço",0,IF(OR(AND(AUTOEVENTO="Manual",$M34=1),$M34&gt;(ROW(PLE.lastrow)-ROW(PLE.firstrow))),0,IF(OFFSET(PLE!$G$14,$M34,BV$13)="",10^12,OFFSET(PLE!$G$14,$M34,BV$13))))</f>
        <v>1000000000000</v>
      </c>
      <c r="BW34" s="182">
        <f ca="1">IF($D34&lt;&gt;"Serviço",0,IF(OR(AND(AUTOEVENTO="Manual",$M34=1),$M34&gt;(ROW(PLE.lastrow)-ROW(PLE.firstrow))),0,IF(OFFSET(PLE!$G$14,$M34,BW$13)="",10^12,OFFSET(PLE!$G$14,$M34,BW$13))))</f>
        <v>1000000000000</v>
      </c>
      <c r="BX34" s="182">
        <f ca="1">IF($D34&lt;&gt;"Serviço",0,IF(OR(AND(AUTOEVENTO="Manual",$M34=1),$M34&gt;(ROW(PLE.lastrow)-ROW(PLE.firstrow))),0,IF(OFFSET(PLE!$G$14,$M34,BX$13)="",10^12,OFFSET(PLE!$G$14,$M34,BX$13))))</f>
        <v>1000000000000</v>
      </c>
      <c r="BY34" s="182">
        <f ca="1">IF($D34&lt;&gt;"Serviço",0,IF(OR(AND(AUTOEVENTO="Manual",$M34=1),$M34&gt;(ROW(PLE.lastrow)-ROW(PLE.firstrow))),0,IF(OFFSET(PLE!$G$14,$M34,BY$13)="",10^12,OFFSET(PLE!$G$14,$M34,BY$13))))</f>
        <v>1000000000000</v>
      </c>
      <c r="BZ34" s="182">
        <f ca="1">IF($D34&lt;&gt;"Serviço",0,IF(OR(AND(AUTOEVENTO="Manual",$M34=1),$M34&gt;(ROW(PLE.lastrow)-ROW(PLE.firstrow))),0,IF(OFFSET(PLE!$G$14,$M34,BZ$13)="",10^12,OFFSET(PLE!$G$14,$M34,BZ$13))))</f>
        <v>1000000000000</v>
      </c>
      <c r="CA34" s="182">
        <f ca="1">IF($D34&lt;&gt;"Serviço",0,IF(OR(AND(AUTOEVENTO="Manual",$M34=1),$M34&gt;(ROW(PLE.lastrow)-ROW(PLE.firstrow))),0,IF(OFFSET(PLE!$G$14,$M34,CA$13)="",10^12,OFFSET(PLE!$G$14,$M34,CA$13))))</f>
        <v>1000000000000</v>
      </c>
      <c r="CB34" s="182">
        <f ca="1">IF($D34&lt;&gt;"Serviço",0,IF(OR(AND(AUTOEVENTO="Manual",$M34=1),$M34&gt;(ROW(PLE.lastrow)-ROW(PLE.firstrow))),0,IF(OFFSET(PLE!$G$14,$M34,CB$13)="",10^12,OFFSET(PLE!$G$14,$M34,CB$13))))</f>
        <v>1000000000000</v>
      </c>
      <c r="CC34" s="182">
        <f ca="1">IF($D34&lt;&gt;"Serviço",0,IF(OR(AND(AUTOEVENTO="Manual",$M34=1),$M34&gt;(ROW(PLE.lastrow)-ROW(PLE.firstrow))),0,IF(OFFSET(PLE!$G$14,$M34,CC$13)="",10^12,OFFSET(PLE!$G$14,$M34,CC$13))))</f>
        <v>1000000000000</v>
      </c>
      <c r="CD34" s="182">
        <f ca="1">IF($D34&lt;&gt;"Serviço",0,IF(OR(AND(AUTOEVENTO="Manual",$M34=1),$M34&gt;(ROW(PLE.lastrow)-ROW(PLE.firstrow))),0,IF(OFFSET(PLE!$G$14,$M34,CD$13)="",10^12,OFFSET(PLE!$G$14,$M34,CD$13))))</f>
        <v>1000000000000</v>
      </c>
      <c r="CE34" s="182">
        <f ca="1">IF($D34&lt;&gt;"Serviço",0,IF(OR(AND(AUTOEVENTO="Manual",$M34=1),$M34&gt;(ROW(PLE.lastrow)-ROW(PLE.firstrow))),0,IF(OFFSET(PLE!$G$14,$M34,CE$13)="",10^12,OFFSET(PLE!$G$14,$M34,CE$13))))</f>
        <v>1000000000000</v>
      </c>
      <c r="CF34" s="182">
        <f ca="1">IF($D34&lt;&gt;"Serviço",0,IF(OR(AND(AUTOEVENTO="Manual",$M34=1),$M34&gt;(ROW(PLE.lastrow)-ROW(PLE.firstrow))),0,IF(OFFSET(PLE!$G$14,$M34,CF$13)="",10^12,OFFSET(PLE!$G$14,$M34,CF$13))))</f>
        <v>1000000000000</v>
      </c>
      <c r="CG34" s="182">
        <f ca="1">IF($D34&lt;&gt;"Serviço",0,IF(OR(AND(AUTOEVENTO="Manual",$M34=1),$M34&gt;(ROW(PLE.lastrow)-ROW(PLE.firstrow))),0,IF(OFFSET(PLE!$G$14,$M34,CG$13)="",10^12,OFFSET(PLE!$G$14,$M34,CG$13))))</f>
        <v>1000000000000</v>
      </c>
      <c r="CH34" s="182">
        <f ca="1">IF($D34&lt;&gt;"Serviço",0,IF(OR(AND(AUTOEVENTO="Manual",$M34=1),$M34&gt;(ROW(PLE.lastrow)-ROW(PLE.firstrow))),0,IF(OFFSET(PLE!$G$14,$M34,CH$13)="",10^12,OFFSET(PLE!$G$14,$M34,CH$13))))</f>
        <v>1000000000000</v>
      </c>
      <c r="CI34" s="182">
        <f ca="1">IF($D34&lt;&gt;"Serviço",0,IF(OR(AND(AUTOEVENTO="Manual",$M34=1),$M34&gt;(ROW(PLE.lastrow)-ROW(PLE.firstrow))),0,IF(OFFSET(PLE!$G$14,$M34,CI$13)="",10^12,OFFSET(PLE!$G$14,$M34,CI$13))))</f>
        <v>1000000000000</v>
      </c>
      <c r="CJ34" s="182">
        <f ca="1">IF($D34&lt;&gt;"Serviço",0,IF(OR(AND(AUTOEVENTO="Manual",$M34=1),$M34&gt;(ROW(PLE.lastrow)-ROW(PLE.firstrow))),0,IF(OFFSET(PLE!$G$14,$M34,CJ$13)="",10^12,OFFSET(PLE!$G$14,$M34,CJ$13))))</f>
        <v>1000000000000</v>
      </c>
      <c r="CK34" s="182">
        <f ca="1">IF($D34&lt;&gt;"Serviço",0,IF(OR(AND(AUTOEVENTO="Manual",$M34=1),$M34&gt;(ROW(PLE.lastrow)-ROW(PLE.firstrow))),0,IF(OFFSET(PLE!$G$14,$M34,CK$13)="",10^12,OFFSET(PLE!$G$14,$M34,CK$13))))</f>
        <v>1000000000000</v>
      </c>
      <c r="CL34" s="182">
        <f ca="1">IF($D34&lt;&gt;"Serviço",0,IF(OR(AND(AUTOEVENTO="Manual",$M34=1),$M34&gt;(ROW(PLE.lastrow)-ROW(PLE.firstrow))),0,IF(OFFSET(PLE!$G$14,$M34,CL$13)="",10^12,OFFSET(PLE!$G$14,$M34,CL$13))))</f>
        <v>1000000000000</v>
      </c>
      <c r="CM34" s="182">
        <f ca="1">IF($D34&lt;&gt;"Serviço",0,IF(OR(AND(AUTOEVENTO="Manual",$M34=1),$M34&gt;(ROW(PLE.lastrow)-ROW(PLE.firstrow))),0,IF(OFFSET(PLE!$G$14,$M34,CM$13)="",10^12,OFFSET(PLE!$G$14,$M34,CM$13))))</f>
        <v>1000000000000</v>
      </c>
    </row>
    <row r="35" spans="1:91" ht="51" x14ac:dyDescent="0.2">
      <c r="A35" s="7" t="str">
        <f t="shared" ca="1" si="9"/>
        <v>2</v>
      </c>
      <c r="B35" s="7" t="str">
        <f ca="1">OFFSET(ORÇAMENTO!C$15,ROW(B35)-ROW(B$15),0)</f>
        <v>S</v>
      </c>
      <c r="C35" s="7" t="str">
        <f ca="1">OFFSET(ORÇAMENTO!L$15,ROW(C35)-ROW(C$15),0)</f>
        <v/>
      </c>
      <c r="D35" s="118" t="str">
        <f ca="1">OFFSET(ORÇAMENTO!N$15,ROW(D35)-ROW(D$15),0)</f>
        <v>Serviço</v>
      </c>
      <c r="E35" s="119" t="str">
        <f ca="1">OFFSET(ORÇAMENTO!O$15,ROW(E35)-ROW(E$15),0)</f>
        <v>-</v>
      </c>
      <c r="F35" s="172" t="str">
        <f ca="1">OFFSET(ORÇAMENTO!R$15,ROW(F35)-ROW(F$15),0)</f>
        <v>(abra o arquivo 'Referência 03-Sunday.xlsm)</v>
      </c>
      <c r="G35" s="173" t="str">
        <f ca="1">IF($D35&lt;&gt;"Serviço","",OFFSET(ORÇAMENTO!S$15,ROW(G35)-ROW(G$15),0))</f>
        <v>-</v>
      </c>
      <c r="H35" s="124">
        <f ca="1">IF($D35&lt;&gt;"Serviço",0,IF(ACOMPANHAMENTO="BM",ROUND(OFFSET(ORÇAMENTO!AJ$15,ROW(H35)-ROW(H$15),0),15-13*ORÇAMENTO!$AF$7),SUMPRODUCT(($Q$12:$AI$12&lt;&gt;"")*ROUND($Q35:$AI35,15-13*ORÇAMENTO!$AF$7))))</f>
        <v>880</v>
      </c>
      <c r="I35" s="539" t="s">
        <v>512</v>
      </c>
      <c r="K35" s="174"/>
      <c r="L35" s="175" t="s">
        <v>254</v>
      </c>
      <c r="M35" s="176">
        <f ca="1">IF($D35&lt;&gt;"Serviço","",IF(AUTOEVENTO="manual",$A35,IF(ISERROR(MATCH($A35,$A$15:OFFSET($A35,-1,0),0)),MAX($M$15:OFFSET(M35,-1,0))+1,INDEX($M$15:OFFSET(M35,-1,0),MATCH($A35,$A$15:OFFSET($A35,-1,0),0)))))</f>
        <v>2</v>
      </c>
      <c r="N35" s="177" t="str">
        <f ca="1">IF($D35&lt;&gt;"Serviço","",IF(AUTOEVENTO="Manual",IF($A35=0,"&lt;-- defina o número do agrupador",OFFSET(EVENTOS!$D$14,$A35,0)),OFFSET($F$15,$A35,0)))</f>
        <v>Lote 01  - Manutenção e Reparos Abrigos Passagerios Onibus e Táxi</v>
      </c>
      <c r="O35" s="178"/>
      <c r="Q35" s="178">
        <f>8.8*100</f>
        <v>880.00000000000011</v>
      </c>
      <c r="R35" s="179"/>
      <c r="S35" s="179"/>
      <c r="T35" s="179"/>
      <c r="U35" s="179"/>
      <c r="V35" s="179"/>
      <c r="W35" s="179"/>
      <c r="X35" s="179"/>
      <c r="Y35" s="179"/>
      <c r="Z35" s="180"/>
      <c r="AA35" s="179"/>
      <c r="AB35" s="179"/>
      <c r="AC35" s="179"/>
      <c r="AD35" s="179"/>
      <c r="AE35" s="179"/>
      <c r="AF35" s="179"/>
      <c r="AG35" s="179"/>
      <c r="AH35" s="180"/>
      <c r="AJ35" s="522">
        <f ca="1">IF(AND($D35="Serviço",AJ$12&lt;&gt;0,$H35&gt;0,OR(AUTOEVENTO&lt;&gt;"manual",$M35&lt;&gt;1)),
IF(Import.TipoArredondamento&lt;&gt;"TransfereGOV",
ROUND(OFFSET($P35,0,AJ$13),15-13*ORÇAMENTO!$AF$7)/$H35*OFFSET(ORÇAMENTO!$X$15,ROW(AJ35)-ROW(AJ$15),0),
ROUND(ROUND(OFFSET($P35,0,AJ$13),15-13*ORÇAMENTO!$AF$7)*OFFSET(ORÇAMENTO!$W$15,ROW(AJ35)-ROW(AJ$15),0),15-13*ORÇAMENTO!$AF$11)),0)</f>
        <v>0</v>
      </c>
      <c r="AK35" s="523">
        <f ca="1">IF(AND($D35="Serviço",AK$12&lt;&gt;0,$H35&gt;0,OR(AUTOEVENTO&lt;&gt;"manual",$M35&lt;&gt;1)),
IF(Import.TipoArredondamento&lt;&gt;"TransfereGOV",
ROUND(OFFSET($P35,0,AK$13),15-13*ORÇAMENTO!$AF$7)/$H35*OFFSET(ORÇAMENTO!$X$15,ROW(AK35)-ROW(AK$15),0),
ROUND(ROUND(OFFSET($P35,0,AK$13),15-13*ORÇAMENTO!$AF$7)*OFFSET(ORÇAMENTO!$W$15,ROW(AK35)-ROW(AK$15),0),15-13*ORÇAMENTO!$AF$11)),0)</f>
        <v>0</v>
      </c>
      <c r="AL35" s="523">
        <f ca="1">IF(AND($D35="Serviço",AL$12&lt;&gt;0,$H35&gt;0,OR(AUTOEVENTO&lt;&gt;"manual",$M35&lt;&gt;1)),
IF(Import.TipoArredondamento&lt;&gt;"TransfereGOV",
ROUND(OFFSET($P35,0,AL$13),15-13*ORÇAMENTO!$AF$7)/$H35*OFFSET(ORÇAMENTO!$X$15,ROW(AL35)-ROW(AL$15),0),
ROUND(ROUND(OFFSET($P35,0,AL$13),15-13*ORÇAMENTO!$AF$7)*OFFSET(ORÇAMENTO!$W$15,ROW(AL35)-ROW(AL$15),0),15-13*ORÇAMENTO!$AF$11)),0)</f>
        <v>0</v>
      </c>
      <c r="AM35" s="523">
        <f ca="1">IF(AND($D35="Serviço",AM$12&lt;&gt;0,$H35&gt;0,OR(AUTOEVENTO&lt;&gt;"manual",$M35&lt;&gt;1)),
IF(Import.TipoArredondamento&lt;&gt;"TransfereGOV",
ROUND(OFFSET($P35,0,AM$13),15-13*ORÇAMENTO!$AF$7)/$H35*OFFSET(ORÇAMENTO!$X$15,ROW(AM35)-ROW(AM$15),0),
ROUND(ROUND(OFFSET($P35,0,AM$13),15-13*ORÇAMENTO!$AF$7)*OFFSET(ORÇAMENTO!$W$15,ROW(AM35)-ROW(AM$15),0),15-13*ORÇAMENTO!$AF$11)),0)</f>
        <v>0</v>
      </c>
      <c r="AN35" s="523">
        <f ca="1">IF(AND($D35="Serviço",AN$12&lt;&gt;0,$H35&gt;0,OR(AUTOEVENTO&lt;&gt;"manual",$M35&lt;&gt;1)),
IF(Import.TipoArredondamento&lt;&gt;"TransfereGOV",
ROUND(OFFSET($P35,0,AN$13),15-13*ORÇAMENTO!$AF$7)/$H35*OFFSET(ORÇAMENTO!$X$15,ROW(AN35)-ROW(AN$15),0),
ROUND(ROUND(OFFSET($P35,0,AN$13),15-13*ORÇAMENTO!$AF$7)*OFFSET(ORÇAMENTO!$W$15,ROW(AN35)-ROW(AN$15),0),15-13*ORÇAMENTO!$AF$11)),0)</f>
        <v>0</v>
      </c>
      <c r="AO35" s="523">
        <f ca="1">IF(AND($D35="Serviço",AO$12&lt;&gt;0,$H35&gt;0,OR(AUTOEVENTO&lt;&gt;"manual",$M35&lt;&gt;1)),
IF(Import.TipoArredondamento&lt;&gt;"TransfereGOV",
ROUND(OFFSET($P35,0,AO$13),15-13*ORÇAMENTO!$AF$7)/$H35*OFFSET(ORÇAMENTO!$X$15,ROW(AO35)-ROW(AO$15),0),
ROUND(ROUND(OFFSET($P35,0,AO$13),15-13*ORÇAMENTO!$AF$7)*OFFSET(ORÇAMENTO!$W$15,ROW(AO35)-ROW(AO$15),0),15-13*ORÇAMENTO!$AF$11)),0)</f>
        <v>0</v>
      </c>
      <c r="AP35" s="523">
        <f ca="1">IF(AND($D35="Serviço",AP$12&lt;&gt;0,$H35&gt;0,OR(AUTOEVENTO&lt;&gt;"manual",$M35&lt;&gt;1)),
IF(Import.TipoArredondamento&lt;&gt;"TransfereGOV",
ROUND(OFFSET($P35,0,AP$13),15-13*ORÇAMENTO!$AF$7)/$H35*OFFSET(ORÇAMENTO!$X$15,ROW(AP35)-ROW(AP$15),0),
ROUND(ROUND(OFFSET($P35,0,AP$13),15-13*ORÇAMENTO!$AF$7)*OFFSET(ORÇAMENTO!$W$15,ROW(AP35)-ROW(AP$15),0),15-13*ORÇAMENTO!$AF$11)),0)</f>
        <v>0</v>
      </c>
      <c r="AQ35" s="523">
        <f ca="1">IF(AND($D35="Serviço",AQ$12&lt;&gt;0,$H35&gt;0,OR(AUTOEVENTO&lt;&gt;"manual",$M35&lt;&gt;1)),
IF(Import.TipoArredondamento&lt;&gt;"TransfereGOV",
ROUND(OFFSET($P35,0,AQ$13),15-13*ORÇAMENTO!$AF$7)/$H35*OFFSET(ORÇAMENTO!$X$15,ROW(AQ35)-ROW(AQ$15),0),
ROUND(ROUND(OFFSET($P35,0,AQ$13),15-13*ORÇAMENTO!$AF$7)*OFFSET(ORÇAMENTO!$W$15,ROW(AQ35)-ROW(AQ$15),0),15-13*ORÇAMENTO!$AF$11)),0)</f>
        <v>0</v>
      </c>
      <c r="AR35" s="523">
        <f ca="1">IF(AND($D35="Serviço",AR$12&lt;&gt;0,$H35&gt;0,OR(AUTOEVENTO&lt;&gt;"manual",$M35&lt;&gt;1)),
IF(Import.TipoArredondamento&lt;&gt;"TransfereGOV",
ROUND(OFFSET($P35,0,AR$13),15-13*ORÇAMENTO!$AF$7)/$H35*OFFSET(ORÇAMENTO!$X$15,ROW(AR35)-ROW(AR$15),0),
ROUND(ROUND(OFFSET($P35,0,AR$13),15-13*ORÇAMENTO!$AF$7)*OFFSET(ORÇAMENTO!$W$15,ROW(AR35)-ROW(AR$15),0),15-13*ORÇAMENTO!$AF$11)),0)</f>
        <v>0</v>
      </c>
      <c r="AS35" s="524">
        <f ca="1">IF(AND($D35="Serviço",AS$12&lt;&gt;0,$H35&gt;0,OR(AUTOEVENTO&lt;&gt;"manual",$M35&lt;&gt;1)),
IF(Import.TipoArredondamento&lt;&gt;"TransfereGOV",
ROUND(OFFSET($P35,0,AS$13),15-13*ORÇAMENTO!$AF$7)/$H35*OFFSET(ORÇAMENTO!$X$15,ROW(AS35)-ROW(AS$15),0),
ROUND(ROUND(OFFSET($P35,0,AS$13),15-13*ORÇAMENTO!$AF$7)*OFFSET(ORÇAMENTO!$W$15,ROW(AS35)-ROW(AS$15),0),15-13*ORÇAMENTO!$AF$11)),0)</f>
        <v>0</v>
      </c>
      <c r="AT35" s="523">
        <f ca="1">IF(AND($D35="Serviço",AT$12&lt;&gt;0,$H35&gt;0,OR(AUTOEVENTO&lt;&gt;"manual",$M35&lt;&gt;1)),
IF(Import.TipoArredondamento&lt;&gt;"TransfereGOV",
ROUND(OFFSET($P35,0,AT$13),15-13*ORÇAMENTO!$AF$7)/$H35*OFFSET(ORÇAMENTO!$X$15,ROW(AT35)-ROW(AT$15),0),
ROUND(ROUND(OFFSET($P35,0,AT$13),15-13*ORÇAMENTO!$AF$7)*OFFSET(ORÇAMENTO!$W$15,ROW(AT35)-ROW(AT$15),0),15-13*ORÇAMENTO!$AF$11)),0)</f>
        <v>0</v>
      </c>
      <c r="AU35" s="523">
        <f ca="1">IF(AND($D35="Serviço",AU$12&lt;&gt;0,$H35&gt;0,OR(AUTOEVENTO&lt;&gt;"manual",$M35&lt;&gt;1)),
IF(Import.TipoArredondamento&lt;&gt;"TransfereGOV",
ROUND(OFFSET($P35,0,AU$13),15-13*ORÇAMENTO!$AF$7)/$H35*OFFSET(ORÇAMENTO!$X$15,ROW(AU35)-ROW(AU$15),0),
ROUND(ROUND(OFFSET($P35,0,AU$13),15-13*ORÇAMENTO!$AF$7)*OFFSET(ORÇAMENTO!$W$15,ROW(AU35)-ROW(AU$15),0),15-13*ORÇAMENTO!$AF$11)),0)</f>
        <v>0</v>
      </c>
      <c r="AV35" s="523">
        <f ca="1">IF(AND($D35="Serviço",AV$12&lt;&gt;0,$H35&gt;0,OR(AUTOEVENTO&lt;&gt;"manual",$M35&lt;&gt;1)),
IF(Import.TipoArredondamento&lt;&gt;"TransfereGOV",
ROUND(OFFSET($P35,0,AV$13),15-13*ORÇAMENTO!$AF$7)/$H35*OFFSET(ORÇAMENTO!$X$15,ROW(AV35)-ROW(AV$15),0),
ROUND(ROUND(OFFSET($P35,0,AV$13),15-13*ORÇAMENTO!$AF$7)*OFFSET(ORÇAMENTO!$W$15,ROW(AV35)-ROW(AV$15),0),15-13*ORÇAMENTO!$AF$11)),0)</f>
        <v>0</v>
      </c>
      <c r="AW35" s="523">
        <f ca="1">IF(AND($D35="Serviço",AW$12&lt;&gt;0,$H35&gt;0,OR(AUTOEVENTO&lt;&gt;"manual",$M35&lt;&gt;1)),
IF(Import.TipoArredondamento&lt;&gt;"TransfereGOV",
ROUND(OFFSET($P35,0,AW$13),15-13*ORÇAMENTO!$AF$7)/$H35*OFFSET(ORÇAMENTO!$X$15,ROW(AW35)-ROW(AW$15),0),
ROUND(ROUND(OFFSET($P35,0,AW$13),15-13*ORÇAMENTO!$AF$7)*OFFSET(ORÇAMENTO!$W$15,ROW(AW35)-ROW(AW$15),0),15-13*ORÇAMENTO!$AF$11)),0)</f>
        <v>0</v>
      </c>
      <c r="AX35" s="523">
        <f ca="1">IF(AND($D35="Serviço",AX$12&lt;&gt;0,$H35&gt;0,OR(AUTOEVENTO&lt;&gt;"manual",$M35&lt;&gt;1)),
IF(Import.TipoArredondamento&lt;&gt;"TransfereGOV",
ROUND(OFFSET($P35,0,AX$13),15-13*ORÇAMENTO!$AF$7)/$H35*OFFSET(ORÇAMENTO!$X$15,ROW(AX35)-ROW(AX$15),0),
ROUND(ROUND(OFFSET($P35,0,AX$13),15-13*ORÇAMENTO!$AF$7)*OFFSET(ORÇAMENTO!$W$15,ROW(AX35)-ROW(AX$15),0),15-13*ORÇAMENTO!$AF$11)),0)</f>
        <v>0</v>
      </c>
      <c r="AY35" s="523">
        <f ca="1">IF(AND($D35="Serviço",AY$12&lt;&gt;0,$H35&gt;0,OR(AUTOEVENTO&lt;&gt;"manual",$M35&lt;&gt;1)),
IF(Import.TipoArredondamento&lt;&gt;"TransfereGOV",
ROUND(OFFSET($P35,0,AY$13),15-13*ORÇAMENTO!$AF$7)/$H35*OFFSET(ORÇAMENTO!$X$15,ROW(AY35)-ROW(AY$15),0),
ROUND(ROUND(OFFSET($P35,0,AY$13),15-13*ORÇAMENTO!$AF$7)*OFFSET(ORÇAMENTO!$W$15,ROW(AY35)-ROW(AY$15),0),15-13*ORÇAMENTO!$AF$11)),0)</f>
        <v>0</v>
      </c>
      <c r="AZ35" s="523">
        <f ca="1">IF(AND($D35="Serviço",AZ$12&lt;&gt;0,$H35&gt;0,OR(AUTOEVENTO&lt;&gt;"manual",$M35&lt;&gt;1)),
IF(Import.TipoArredondamento&lt;&gt;"TransfereGOV",
ROUND(OFFSET($P35,0,AZ$13),15-13*ORÇAMENTO!$AF$7)/$H35*OFFSET(ORÇAMENTO!$X$15,ROW(AZ35)-ROW(AZ$15),0),
ROUND(ROUND(OFFSET($P35,0,AZ$13),15-13*ORÇAMENTO!$AF$7)*OFFSET(ORÇAMENTO!$W$15,ROW(AZ35)-ROW(AZ$15),0),15-13*ORÇAMENTO!$AF$11)),0)</f>
        <v>0</v>
      </c>
      <c r="BA35" s="524">
        <f ca="1">IF(AND($D35="Serviço",BA$12&lt;&gt;0,$H35&gt;0,OR(AUTOEVENTO&lt;&gt;"manual",$M35&lt;&gt;1)),
IF(Import.TipoArredondamento&lt;&gt;"TransfereGOV",
ROUND(OFFSET($P35,0,BA$13),15-13*ORÇAMENTO!$AF$7)/$H35*OFFSET(ORÇAMENTO!$X$15,ROW(BA35)-ROW(BA$15),0),
ROUND(ROUND(OFFSET($P35,0,BA$13),15-13*ORÇAMENTO!$AF$7)*OFFSET(ORÇAMENTO!$W$15,ROW(BA35)-ROW(BA$15),0),15-13*ORÇAMENTO!$AF$11)),0)</f>
        <v>0</v>
      </c>
      <c r="BC35" s="181">
        <f ca="1">IF($D35&lt;&gt;"Serviço",0,IF(AND(AUTOEVENTO="Manual",$M35=1),0,IF(OFFSET(CRONOPLE!$F$14,$M35,BC$13)="",10^12,OFFSET(CRONOPLE!$F$14,$M35,BC$13))))</f>
        <v>12</v>
      </c>
      <c r="BD35" s="181">
        <f ca="1">IF($D35&lt;&gt;"Serviço",0,IF(AND(AUTOEVENTO="Manual",$M35=1),0,IF(OFFSET(CRONOPLE!$F$14,$M35,BD$13)="",10^12,OFFSET(CRONOPLE!$F$14,$M35,BD$13))))</f>
        <v>1000000000000</v>
      </c>
      <c r="BE35" s="181">
        <f ca="1">IF($D35&lt;&gt;"Serviço",0,IF(AND(AUTOEVENTO="Manual",$M35=1),0,IF(OFFSET(CRONOPLE!$F$14,$M35,BE$13)="",10^12,OFFSET(CRONOPLE!$F$14,$M35,BE$13))))</f>
        <v>1000000000000</v>
      </c>
      <c r="BF35" s="181">
        <f ca="1">IF($D35&lt;&gt;"Serviço",0,IF(AND(AUTOEVENTO="Manual",$M35=1),0,IF(OFFSET(CRONOPLE!$F$14,$M35,BF$13)="",10^12,OFFSET(CRONOPLE!$F$14,$M35,BF$13))))</f>
        <v>1000000000000</v>
      </c>
      <c r="BG35" s="181">
        <f ca="1">IF($D35&lt;&gt;"Serviço",0,IF(AND(AUTOEVENTO="Manual",$M35=1),0,IF(OFFSET(CRONOPLE!$F$14,$M35,BG$13)="",10^12,OFFSET(CRONOPLE!$F$14,$M35,BG$13))))</f>
        <v>1000000000000</v>
      </c>
      <c r="BH35" s="181">
        <f ca="1">IF($D35&lt;&gt;"Serviço",0,IF(AND(AUTOEVENTO="Manual",$M35=1),0,IF(OFFSET(CRONOPLE!$F$14,$M35,BH$13)="",10^12,OFFSET(CRONOPLE!$F$14,$M35,BH$13))))</f>
        <v>1000000000000</v>
      </c>
      <c r="BI35" s="181">
        <f ca="1">IF($D35&lt;&gt;"Serviço",0,IF(AND(AUTOEVENTO="Manual",$M35=1),0,IF(OFFSET(CRONOPLE!$F$14,$M35,BI$13)="",10^12,OFFSET(CRONOPLE!$F$14,$M35,BI$13))))</f>
        <v>1000000000000</v>
      </c>
      <c r="BJ35" s="181">
        <f ca="1">IF($D35&lt;&gt;"Serviço",0,IF(AND(AUTOEVENTO="Manual",$M35=1),0,IF(OFFSET(CRONOPLE!$F$14,$M35,BJ$13)="",10^12,OFFSET(CRONOPLE!$F$14,$M35,BJ$13))))</f>
        <v>1000000000000</v>
      </c>
      <c r="BK35" s="181">
        <f ca="1">IF($D35&lt;&gt;"Serviço",0,IF(AND(AUTOEVENTO="Manual",$M35=1),0,IF(OFFSET(CRONOPLE!$F$14,$M35,BK$13)="",10^12,OFFSET(CRONOPLE!$F$14,$M35,BK$13))))</f>
        <v>1000000000000</v>
      </c>
      <c r="BL35" s="181">
        <f ca="1">IF($D35&lt;&gt;"Serviço",0,IF(AND(AUTOEVENTO="Manual",$M35=1),0,IF(OFFSET(CRONOPLE!$F$14,$M35,BL$13)="",10^12,OFFSET(CRONOPLE!$F$14,$M35,BL$13))))</f>
        <v>1000000000000</v>
      </c>
      <c r="BM35" s="181">
        <f ca="1">IF($D35&lt;&gt;"Serviço",0,IF(AND(AUTOEVENTO="Manual",$M35=1),0,IF(OFFSET(CRONOPLE!$F$14,$M35,BM$13)="",10^12,OFFSET(CRONOPLE!$F$14,$M35,BM$13))))</f>
        <v>1000000000000</v>
      </c>
      <c r="BN35" s="181">
        <f ca="1">IF($D35&lt;&gt;"Serviço",0,IF(AND(AUTOEVENTO="Manual",$M35=1),0,IF(OFFSET(CRONOPLE!$F$14,$M35,BN$13)="",10^12,OFFSET(CRONOPLE!$F$14,$M35,BN$13))))</f>
        <v>1000000000000</v>
      </c>
      <c r="BO35" s="181">
        <f ca="1">IF($D35&lt;&gt;"Serviço",0,IF(AND(AUTOEVENTO="Manual",$M35=1),0,IF(OFFSET(CRONOPLE!$F$14,$M35,BO$13)="",10^12,OFFSET(CRONOPLE!$F$14,$M35,BO$13))))</f>
        <v>1000000000000</v>
      </c>
      <c r="BP35" s="181">
        <f ca="1">IF($D35&lt;&gt;"Serviço",0,IF(AND(AUTOEVENTO="Manual",$M35=1),0,IF(OFFSET(CRONOPLE!$F$14,$M35,BP$13)="",10^12,OFFSET(CRONOPLE!$F$14,$M35,BP$13))))</f>
        <v>1000000000000</v>
      </c>
      <c r="BQ35" s="181">
        <f ca="1">IF($D35&lt;&gt;"Serviço",0,IF(AND(AUTOEVENTO="Manual",$M35=1),0,IF(OFFSET(CRONOPLE!$F$14,$M35,BQ$13)="",10^12,OFFSET(CRONOPLE!$F$14,$M35,BQ$13))))</f>
        <v>1000000000000</v>
      </c>
      <c r="BR35" s="181">
        <f ca="1">IF($D35&lt;&gt;"Serviço",0,IF(AND(AUTOEVENTO="Manual",$M35=1),0,IF(OFFSET(CRONOPLE!$F$14,$M35,BR$13)="",10^12,OFFSET(CRONOPLE!$F$14,$M35,BR$13))))</f>
        <v>1000000000000</v>
      </c>
      <c r="BS35" s="181">
        <f ca="1">IF($D35&lt;&gt;"Serviço",0,IF(AND(AUTOEVENTO="Manual",$M35=1),0,IF(OFFSET(CRONOPLE!$F$14,$M35,BS$13)="",10^12,OFFSET(CRONOPLE!$F$14,$M35,BS$13))))</f>
        <v>1000000000000</v>
      </c>
      <c r="BT35" s="181">
        <f ca="1">IF($D35&lt;&gt;"Serviço",0,IF(AND(AUTOEVENTO="Manual",$M35=1),0,IF(OFFSET(CRONOPLE!$F$14,$M35,BT$13)="",10^12,OFFSET(CRONOPLE!$F$14,$M35,BT$13))))</f>
        <v>1000000000000</v>
      </c>
      <c r="BV35" s="182">
        <f ca="1">IF($D35&lt;&gt;"Serviço",0,IF(OR(AND(AUTOEVENTO="Manual",$M35=1),$M35&gt;(ROW(PLE.lastrow)-ROW(PLE.firstrow))),0,IF(OFFSET(PLE!$G$14,$M35,BV$13)="",10^12,OFFSET(PLE!$G$14,$M35,BV$13))))</f>
        <v>1000000000000</v>
      </c>
      <c r="BW35" s="182">
        <f ca="1">IF($D35&lt;&gt;"Serviço",0,IF(OR(AND(AUTOEVENTO="Manual",$M35=1),$M35&gt;(ROW(PLE.lastrow)-ROW(PLE.firstrow))),0,IF(OFFSET(PLE!$G$14,$M35,BW$13)="",10^12,OFFSET(PLE!$G$14,$M35,BW$13))))</f>
        <v>1000000000000</v>
      </c>
      <c r="BX35" s="182">
        <f ca="1">IF($D35&lt;&gt;"Serviço",0,IF(OR(AND(AUTOEVENTO="Manual",$M35=1),$M35&gt;(ROW(PLE.lastrow)-ROW(PLE.firstrow))),0,IF(OFFSET(PLE!$G$14,$M35,BX$13)="",10^12,OFFSET(PLE!$G$14,$M35,BX$13))))</f>
        <v>1000000000000</v>
      </c>
      <c r="BY35" s="182">
        <f ca="1">IF($D35&lt;&gt;"Serviço",0,IF(OR(AND(AUTOEVENTO="Manual",$M35=1),$M35&gt;(ROW(PLE.lastrow)-ROW(PLE.firstrow))),0,IF(OFFSET(PLE!$G$14,$M35,BY$13)="",10^12,OFFSET(PLE!$G$14,$M35,BY$13))))</f>
        <v>1000000000000</v>
      </c>
      <c r="BZ35" s="182">
        <f ca="1">IF($D35&lt;&gt;"Serviço",0,IF(OR(AND(AUTOEVENTO="Manual",$M35=1),$M35&gt;(ROW(PLE.lastrow)-ROW(PLE.firstrow))),0,IF(OFFSET(PLE!$G$14,$M35,BZ$13)="",10^12,OFFSET(PLE!$G$14,$M35,BZ$13))))</f>
        <v>1000000000000</v>
      </c>
      <c r="CA35" s="182">
        <f ca="1">IF($D35&lt;&gt;"Serviço",0,IF(OR(AND(AUTOEVENTO="Manual",$M35=1),$M35&gt;(ROW(PLE.lastrow)-ROW(PLE.firstrow))),0,IF(OFFSET(PLE!$G$14,$M35,CA$13)="",10^12,OFFSET(PLE!$G$14,$M35,CA$13))))</f>
        <v>1000000000000</v>
      </c>
      <c r="CB35" s="182">
        <f ca="1">IF($D35&lt;&gt;"Serviço",0,IF(OR(AND(AUTOEVENTO="Manual",$M35=1),$M35&gt;(ROW(PLE.lastrow)-ROW(PLE.firstrow))),0,IF(OFFSET(PLE!$G$14,$M35,CB$13)="",10^12,OFFSET(PLE!$G$14,$M35,CB$13))))</f>
        <v>1000000000000</v>
      </c>
      <c r="CC35" s="182">
        <f ca="1">IF($D35&lt;&gt;"Serviço",0,IF(OR(AND(AUTOEVENTO="Manual",$M35=1),$M35&gt;(ROW(PLE.lastrow)-ROW(PLE.firstrow))),0,IF(OFFSET(PLE!$G$14,$M35,CC$13)="",10^12,OFFSET(PLE!$G$14,$M35,CC$13))))</f>
        <v>1000000000000</v>
      </c>
      <c r="CD35" s="182">
        <f ca="1">IF($D35&lt;&gt;"Serviço",0,IF(OR(AND(AUTOEVENTO="Manual",$M35=1),$M35&gt;(ROW(PLE.lastrow)-ROW(PLE.firstrow))),0,IF(OFFSET(PLE!$G$14,$M35,CD$13)="",10^12,OFFSET(PLE!$G$14,$M35,CD$13))))</f>
        <v>1000000000000</v>
      </c>
      <c r="CE35" s="182">
        <f ca="1">IF($D35&lt;&gt;"Serviço",0,IF(OR(AND(AUTOEVENTO="Manual",$M35=1),$M35&gt;(ROW(PLE.lastrow)-ROW(PLE.firstrow))),0,IF(OFFSET(PLE!$G$14,$M35,CE$13)="",10^12,OFFSET(PLE!$G$14,$M35,CE$13))))</f>
        <v>1000000000000</v>
      </c>
      <c r="CF35" s="182">
        <f ca="1">IF($D35&lt;&gt;"Serviço",0,IF(OR(AND(AUTOEVENTO="Manual",$M35=1),$M35&gt;(ROW(PLE.lastrow)-ROW(PLE.firstrow))),0,IF(OFFSET(PLE!$G$14,$M35,CF$13)="",10^12,OFFSET(PLE!$G$14,$M35,CF$13))))</f>
        <v>1000000000000</v>
      </c>
      <c r="CG35" s="182">
        <f ca="1">IF($D35&lt;&gt;"Serviço",0,IF(OR(AND(AUTOEVENTO="Manual",$M35=1),$M35&gt;(ROW(PLE.lastrow)-ROW(PLE.firstrow))),0,IF(OFFSET(PLE!$G$14,$M35,CG$13)="",10^12,OFFSET(PLE!$G$14,$M35,CG$13))))</f>
        <v>1000000000000</v>
      </c>
      <c r="CH35" s="182">
        <f ca="1">IF($D35&lt;&gt;"Serviço",0,IF(OR(AND(AUTOEVENTO="Manual",$M35=1),$M35&gt;(ROW(PLE.lastrow)-ROW(PLE.firstrow))),0,IF(OFFSET(PLE!$G$14,$M35,CH$13)="",10^12,OFFSET(PLE!$G$14,$M35,CH$13))))</f>
        <v>1000000000000</v>
      </c>
      <c r="CI35" s="182">
        <f ca="1">IF($D35&lt;&gt;"Serviço",0,IF(OR(AND(AUTOEVENTO="Manual",$M35=1),$M35&gt;(ROW(PLE.lastrow)-ROW(PLE.firstrow))),0,IF(OFFSET(PLE!$G$14,$M35,CI$13)="",10^12,OFFSET(PLE!$G$14,$M35,CI$13))))</f>
        <v>1000000000000</v>
      </c>
      <c r="CJ35" s="182">
        <f ca="1">IF($D35&lt;&gt;"Serviço",0,IF(OR(AND(AUTOEVENTO="Manual",$M35=1),$M35&gt;(ROW(PLE.lastrow)-ROW(PLE.firstrow))),0,IF(OFFSET(PLE!$G$14,$M35,CJ$13)="",10^12,OFFSET(PLE!$G$14,$M35,CJ$13))))</f>
        <v>1000000000000</v>
      </c>
      <c r="CK35" s="182">
        <f ca="1">IF($D35&lt;&gt;"Serviço",0,IF(OR(AND(AUTOEVENTO="Manual",$M35=1),$M35&gt;(ROW(PLE.lastrow)-ROW(PLE.firstrow))),0,IF(OFFSET(PLE!$G$14,$M35,CK$13)="",10^12,OFFSET(PLE!$G$14,$M35,CK$13))))</f>
        <v>1000000000000</v>
      </c>
      <c r="CL35" s="182">
        <f ca="1">IF($D35&lt;&gt;"Serviço",0,IF(OR(AND(AUTOEVENTO="Manual",$M35=1),$M35&gt;(ROW(PLE.lastrow)-ROW(PLE.firstrow))),0,IF(OFFSET(PLE!$G$14,$M35,CL$13)="",10^12,OFFSET(PLE!$G$14,$M35,CL$13))))</f>
        <v>1000000000000</v>
      </c>
      <c r="CM35" s="182">
        <f ca="1">IF($D35&lt;&gt;"Serviço",0,IF(OR(AND(AUTOEVENTO="Manual",$M35=1),$M35&gt;(ROW(PLE.lastrow)-ROW(PLE.firstrow))),0,IF(OFFSET(PLE!$G$14,$M35,CM$13)="",10^12,OFFSET(PLE!$G$14,$M35,CM$13))))</f>
        <v>1000000000000</v>
      </c>
    </row>
    <row r="36" spans="1:91" ht="5.0999999999999996" customHeight="1" x14ac:dyDescent="0.2">
      <c r="B36" s="7">
        <f ca="1">OFFSET(ORÇAMENTO!C$15,ROW(B36)-ROW(B$15),0)</f>
        <v>-1</v>
      </c>
      <c r="C36" s="7" t="str">
        <f ca="1">OFFSET(ORÇAMENTO!L$15,ROW(C36)-ROW(C$15),0)</f>
        <v>F</v>
      </c>
      <c r="D36" s="470" t="s">
        <v>193</v>
      </c>
      <c r="E36" s="471"/>
      <c r="F36" s="472"/>
      <c r="G36" s="472"/>
      <c r="H36" s="472"/>
      <c r="I36" s="473"/>
      <c r="K36" s="475"/>
      <c r="L36" s="175" t="s">
        <v>254</v>
      </c>
      <c r="M36" s="476"/>
      <c r="N36" s="474"/>
      <c r="O36" s="469"/>
      <c r="Q36" s="471"/>
      <c r="R36" s="472"/>
      <c r="S36" s="472"/>
      <c r="T36" s="472"/>
      <c r="U36" s="472"/>
      <c r="V36" s="472"/>
      <c r="W36" s="472"/>
      <c r="X36" s="472"/>
      <c r="Y36" s="472"/>
      <c r="Z36" s="473"/>
      <c r="AA36" s="472"/>
      <c r="AB36" s="472"/>
      <c r="AC36" s="472"/>
      <c r="AD36" s="472"/>
      <c r="AE36" s="472"/>
      <c r="AF36" s="472"/>
      <c r="AG36" s="472"/>
      <c r="AH36" s="473"/>
      <c r="AJ36" s="138"/>
      <c r="AK36" s="192"/>
      <c r="AL36" s="192"/>
      <c r="AM36" s="192"/>
      <c r="AN36" s="192"/>
      <c r="AO36" s="192"/>
      <c r="AP36" s="192"/>
      <c r="AQ36" s="192"/>
      <c r="AR36" s="192"/>
      <c r="AS36" s="139"/>
      <c r="AT36" s="192"/>
      <c r="AU36" s="192"/>
      <c r="AV36" s="192"/>
      <c r="AW36" s="192"/>
      <c r="AX36" s="192"/>
      <c r="AY36" s="192"/>
      <c r="AZ36" s="192"/>
      <c r="BA36" s="139"/>
      <c r="BC36" s="138"/>
      <c r="BD36" s="192"/>
      <c r="BE36" s="192"/>
      <c r="BF36" s="192"/>
      <c r="BG36" s="192"/>
      <c r="BH36" s="192"/>
      <c r="BI36" s="192"/>
      <c r="BJ36" s="192"/>
      <c r="BK36" s="192"/>
      <c r="BL36" s="139"/>
      <c r="BM36" s="192"/>
      <c r="BN36" s="192"/>
      <c r="BO36" s="192"/>
      <c r="BP36" s="192"/>
      <c r="BQ36" s="192"/>
      <c r="BR36" s="192"/>
      <c r="BS36" s="192"/>
      <c r="BT36" s="139"/>
      <c r="BV36" s="138"/>
      <c r="BW36" s="192"/>
      <c r="BX36" s="192"/>
      <c r="BY36" s="192"/>
      <c r="BZ36" s="192"/>
      <c r="CA36" s="192"/>
      <c r="CB36" s="192"/>
      <c r="CC36" s="192"/>
      <c r="CD36" s="192"/>
      <c r="CE36" s="139"/>
      <c r="CF36" s="192"/>
      <c r="CG36" s="192"/>
      <c r="CH36" s="192"/>
      <c r="CI36" s="192"/>
      <c r="CJ36" s="192"/>
      <c r="CK36" s="192"/>
      <c r="CL36" s="192"/>
      <c r="CM36" s="139"/>
    </row>
    <row r="37" spans="1:91" ht="12.75" customHeight="1" x14ac:dyDescent="0.2"/>
    <row r="38" spans="1:91" ht="12.75" customHeight="1" x14ac:dyDescent="0.2"/>
    <row r="39" spans="1:91" ht="12.75" customHeight="1" x14ac:dyDescent="0.2"/>
    <row r="40" spans="1:91" ht="15" customHeight="1" x14ac:dyDescent="0.2">
      <c r="F40" s="193" t="str">
        <f>Import.Município</f>
        <v>Bento Gonçalves</v>
      </c>
      <c r="I40" s="531"/>
      <c r="J40" s="531"/>
      <c r="K40" s="531"/>
      <c r="L40" s="531"/>
      <c r="M40" s="532"/>
      <c r="N40" s="466"/>
      <c r="T40" s="145"/>
      <c r="U40" s="145"/>
      <c r="V40" s="194"/>
      <c r="W40" s="194"/>
      <c r="X40" s="194"/>
      <c r="Y40" s="194"/>
      <c r="AB40" s="145"/>
      <c r="AC40" s="145"/>
      <c r="AD40" s="194"/>
      <c r="AE40" s="194"/>
      <c r="AF40" s="194"/>
      <c r="AG40" s="194"/>
    </row>
    <row r="41" spans="1:91" ht="12.75" customHeight="1" x14ac:dyDescent="0.2">
      <c r="F41" s="10" t="s">
        <v>187</v>
      </c>
      <c r="I41" s="195" t="s">
        <v>189</v>
      </c>
      <c r="J41" s="195"/>
      <c r="K41" s="195"/>
      <c r="L41" s="195"/>
      <c r="T41" s="195" t="s">
        <v>189</v>
      </c>
      <c r="U41" s="195"/>
      <c r="AB41" s="195" t="s">
        <v>189</v>
      </c>
      <c r="AC41" s="195"/>
    </row>
    <row r="42" spans="1:91" ht="12.75" customHeight="1" x14ac:dyDescent="0.2">
      <c r="I42" s="444" t="str">
        <f t="array" aca="1" ref="I42:I44" ca="1">OFFSET(Import.RespOrçamento,0,-1) &amp; " " &amp; Import.RespOrçamento</f>
        <v xml:space="preserve">Nome: </v>
      </c>
      <c r="K42" s="80"/>
      <c r="L42" s="80"/>
      <c r="T42" s="444" t="str">
        <f t="array" aca="1" ref="T42:T44" ca="1">OFFSET(Import.RespOrçamento,0,-1) &amp; " " &amp; Import.RespOrçamento</f>
        <v xml:space="preserve">Nome: </v>
      </c>
      <c r="U42" s="79"/>
      <c r="AB42" s="444" t="str">
        <f t="array" aca="1" ref="AB42:AB44" ca="1">OFFSET(Import.RespOrçamento,0,-1) &amp; " " &amp; Import.RespOrçamento</f>
        <v xml:space="preserve">Nome: </v>
      </c>
      <c r="AC42" s="79"/>
    </row>
    <row r="43" spans="1:91" ht="12.75" customHeight="1" x14ac:dyDescent="0.2">
      <c r="F43" s="530">
        <f>DADOS!$F$25</f>
        <v>0</v>
      </c>
      <c r="I43" s="444" t="str">
        <f ca="1"/>
        <v xml:space="preserve">CREA/CAU: </v>
      </c>
      <c r="K43" s="80"/>
      <c r="L43" s="80"/>
      <c r="T43" s="444" t="str">
        <f ca="1"/>
        <v xml:space="preserve">CREA/CAU: </v>
      </c>
      <c r="U43" s="79"/>
      <c r="AB43" s="444" t="str">
        <f ca="1"/>
        <v xml:space="preserve">CREA/CAU: </v>
      </c>
      <c r="AC43" s="79"/>
    </row>
    <row r="44" spans="1:91" ht="12.75" customHeight="1" x14ac:dyDescent="0.2">
      <c r="F44" s="146" t="s">
        <v>188</v>
      </c>
      <c r="I44" s="444" t="str">
        <f ca="1"/>
        <v xml:space="preserve">ART/RRT: </v>
      </c>
      <c r="K44" s="80"/>
      <c r="L44" s="80"/>
      <c r="T44" s="444" t="str">
        <f ca="1"/>
        <v xml:space="preserve">ART/RRT: </v>
      </c>
      <c r="U44" s="79"/>
      <c r="AB44" s="444" t="str">
        <f ca="1"/>
        <v xml:space="preserve">ART/RRT: </v>
      </c>
      <c r="AC44" s="79"/>
    </row>
    <row r="45" spans="1:91" ht="12.75" customHeight="1" x14ac:dyDescent="0.2">
      <c r="C45"/>
      <c r="M45"/>
    </row>
    <row r="46" spans="1:91" ht="12.75" customHeight="1" x14ac:dyDescent="0.2">
      <c r="C46"/>
      <c r="M46"/>
    </row>
    <row r="47" spans="1:91" ht="12.75" customHeight="1" x14ac:dyDescent="0.2">
      <c r="C47"/>
      <c r="M47"/>
    </row>
    <row r="48" spans="1:91" ht="12.75" customHeight="1" x14ac:dyDescent="0.2">
      <c r="C48"/>
      <c r="M48"/>
    </row>
    <row r="49" spans="3:13" ht="12.75" customHeight="1" x14ac:dyDescent="0.2">
      <c r="C49"/>
      <c r="M49"/>
    </row>
    <row r="50" spans="3:13" ht="12.75" customHeight="1" x14ac:dyDescent="0.2">
      <c r="C50"/>
      <c r="M50"/>
    </row>
    <row r="51" spans="3:13" ht="12.75" customHeight="1" x14ac:dyDescent="0.2">
      <c r="C51"/>
      <c r="M51"/>
    </row>
    <row r="52" spans="3:13" ht="12.75" customHeight="1" x14ac:dyDescent="0.2">
      <c r="C52"/>
      <c r="M52"/>
    </row>
    <row r="53" spans="3:13" ht="12.75" customHeight="1" x14ac:dyDescent="0.2">
      <c r="C53"/>
      <c r="M53"/>
    </row>
    <row r="54" spans="3:13" ht="12.75" customHeight="1" x14ac:dyDescent="0.2">
      <c r="C54"/>
      <c r="M54"/>
    </row>
    <row r="55" spans="3:13" ht="12.75" customHeight="1" x14ac:dyDescent="0.2">
      <c r="C55"/>
      <c r="M55"/>
    </row>
    <row r="56" spans="3:13" ht="12.75" customHeight="1" x14ac:dyDescent="0.2">
      <c r="C56"/>
      <c r="M56"/>
    </row>
    <row r="57" spans="3:13" ht="12.75" customHeight="1" x14ac:dyDescent="0.2">
      <c r="C57"/>
      <c r="M57"/>
    </row>
    <row r="58" spans="3:13" ht="12.75" customHeight="1" x14ac:dyDescent="0.2">
      <c r="C58"/>
      <c r="M58"/>
    </row>
    <row r="59" spans="3:13" ht="12.75" customHeight="1" x14ac:dyDescent="0.2">
      <c r="C59"/>
      <c r="M59"/>
    </row>
    <row r="60" spans="3:13" ht="12.75" customHeight="1" x14ac:dyDescent="0.2">
      <c r="C60"/>
      <c r="M60"/>
    </row>
    <row r="61" spans="3:13" ht="12.75" customHeight="1" x14ac:dyDescent="0.2">
      <c r="C61"/>
      <c r="M61"/>
    </row>
    <row r="62" spans="3:13" ht="12.75" customHeight="1" x14ac:dyDescent="0.2">
      <c r="C62"/>
      <c r="M62"/>
    </row>
    <row r="63" spans="3:13" ht="12.75" customHeight="1" x14ac:dyDescent="0.2">
      <c r="C63"/>
      <c r="M63"/>
    </row>
    <row r="64" spans="3:13"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60948" spans="3:13" ht="12.75" customHeight="1" x14ac:dyDescent="0.2">
      <c r="C60948"/>
      <c r="M60948"/>
    </row>
    <row r="60964" spans="3:13" ht="12.75" customHeight="1" x14ac:dyDescent="0.2">
      <c r="C60964"/>
      <c r="M60964"/>
    </row>
    <row r="60980" spans="3:13" ht="12.75" customHeight="1" x14ac:dyDescent="0.2">
      <c r="C60980"/>
      <c r="M60980"/>
    </row>
    <row r="60996" spans="3:13" ht="12.75" customHeight="1" x14ac:dyDescent="0.2">
      <c r="C60996"/>
      <c r="M60996"/>
    </row>
    <row r="61009" spans="3:13" ht="12.75" customHeight="1" x14ac:dyDescent="0.2">
      <c r="C61009"/>
      <c r="M61009"/>
    </row>
    <row r="61010" spans="3:13" ht="12.75" customHeight="1" x14ac:dyDescent="0.2">
      <c r="C61010"/>
      <c r="M61010"/>
    </row>
    <row r="61012" spans="3:13" ht="12.75" customHeight="1" x14ac:dyDescent="0.2">
      <c r="C61012"/>
      <c r="M61012"/>
    </row>
    <row r="61023" spans="3:13" ht="12.75" customHeight="1" x14ac:dyDescent="0.2">
      <c r="C61023"/>
      <c r="M61023"/>
    </row>
    <row r="61024" spans="3:13" ht="12.75" customHeight="1" x14ac:dyDescent="0.2">
      <c r="C61024"/>
      <c r="M61024"/>
    </row>
    <row r="61025" spans="3:13" ht="12.75" customHeight="1" x14ac:dyDescent="0.2">
      <c r="C61025"/>
      <c r="M61025"/>
    </row>
    <row r="61026" spans="3:13" ht="12.75" customHeight="1" x14ac:dyDescent="0.2">
      <c r="C61026"/>
      <c r="M61026"/>
    </row>
    <row r="61028" spans="3:13" ht="12.75" customHeight="1" x14ac:dyDescent="0.2">
      <c r="C61028"/>
      <c r="M61028"/>
    </row>
    <row r="61039" spans="3:13" ht="12.75" customHeight="1" x14ac:dyDescent="0.2">
      <c r="C61039"/>
      <c r="M61039"/>
    </row>
    <row r="61040" spans="3:13" ht="12.75" customHeight="1" x14ac:dyDescent="0.2">
      <c r="C61040"/>
      <c r="M61040"/>
    </row>
    <row r="61041" spans="3:13" ht="12.75" customHeight="1" x14ac:dyDescent="0.2">
      <c r="C61041"/>
      <c r="M61041"/>
    </row>
    <row r="61042" spans="3:13" ht="12.75" customHeight="1" x14ac:dyDescent="0.2">
      <c r="C61042"/>
      <c r="M61042"/>
    </row>
    <row r="61044" spans="3:13" ht="12.75" customHeight="1" x14ac:dyDescent="0.2">
      <c r="C61044"/>
      <c r="M61044"/>
    </row>
    <row r="61055" spans="3:13" ht="12.75" customHeight="1" x14ac:dyDescent="0.2">
      <c r="C61055"/>
      <c r="M61055"/>
    </row>
    <row r="61056" spans="3:13" ht="12.75" customHeight="1" x14ac:dyDescent="0.2">
      <c r="C61056"/>
      <c r="M61056"/>
    </row>
    <row r="61057" spans="3:13" ht="12.75" customHeight="1" x14ac:dyDescent="0.2">
      <c r="C61057"/>
      <c r="M61057"/>
    </row>
    <row r="61058" spans="3:13" ht="12.75" customHeight="1" x14ac:dyDescent="0.2">
      <c r="C61058"/>
      <c r="M61058"/>
    </row>
    <row r="61060" spans="3:13" ht="12.75" customHeight="1" x14ac:dyDescent="0.2">
      <c r="C61060"/>
      <c r="M61060"/>
    </row>
    <row r="61071" spans="3:13" ht="12.75" customHeight="1" x14ac:dyDescent="0.2">
      <c r="C61071"/>
      <c r="M61071"/>
    </row>
    <row r="61072" spans="3:13" ht="12.75" customHeight="1" x14ac:dyDescent="0.2">
      <c r="C61072"/>
      <c r="M61072"/>
    </row>
    <row r="61073" spans="3:13" ht="12.75" customHeight="1" x14ac:dyDescent="0.2">
      <c r="C61073"/>
      <c r="M61073"/>
    </row>
    <row r="61074" spans="3:13" ht="12.75" customHeight="1" x14ac:dyDescent="0.2">
      <c r="C61074"/>
      <c r="M61074"/>
    </row>
    <row r="61076" spans="3:13" ht="12.75" customHeight="1" x14ac:dyDescent="0.2">
      <c r="C61076"/>
      <c r="M61076"/>
    </row>
    <row r="61087" spans="3:13" ht="12.75" customHeight="1" x14ac:dyDescent="0.2">
      <c r="C61087"/>
      <c r="M61087"/>
    </row>
    <row r="61088" spans="3:13" ht="12.75" customHeight="1" x14ac:dyDescent="0.2">
      <c r="C61088"/>
      <c r="M61088"/>
    </row>
    <row r="61089" spans="3:13" ht="12.75" customHeight="1" x14ac:dyDescent="0.2">
      <c r="C61089"/>
      <c r="M61089"/>
    </row>
    <row r="61090" spans="3:13" ht="12.75" customHeight="1" x14ac:dyDescent="0.2">
      <c r="C61090"/>
      <c r="M61090"/>
    </row>
    <row r="61092" spans="3:13" ht="12.75" customHeight="1" x14ac:dyDescent="0.2">
      <c r="C61092"/>
      <c r="M61092"/>
    </row>
    <row r="61103" spans="3:13" ht="12.75" customHeight="1" x14ac:dyDescent="0.2">
      <c r="C61103"/>
      <c r="M61103"/>
    </row>
    <row r="61104" spans="3:13" ht="12.75" customHeight="1" x14ac:dyDescent="0.2">
      <c r="C61104"/>
      <c r="M61104"/>
    </row>
    <row r="61105" spans="3:13" ht="12.75" customHeight="1" x14ac:dyDescent="0.2">
      <c r="C61105"/>
      <c r="M61105"/>
    </row>
    <row r="61106" spans="3:13" ht="12.75" customHeight="1" x14ac:dyDescent="0.2">
      <c r="C61106"/>
      <c r="M61106"/>
    </row>
    <row r="61108" spans="3:13" ht="12.75" customHeight="1" x14ac:dyDescent="0.2">
      <c r="C61108"/>
      <c r="M61108"/>
    </row>
    <row r="61119" spans="3:13" ht="12.75" customHeight="1" x14ac:dyDescent="0.2">
      <c r="C61119"/>
      <c r="M61119"/>
    </row>
    <row r="61120" spans="3:13" ht="12.75" customHeight="1" x14ac:dyDescent="0.2">
      <c r="C61120"/>
      <c r="M61120"/>
    </row>
    <row r="61121" spans="3:13" ht="12.75" customHeight="1" x14ac:dyDescent="0.2">
      <c r="C61121"/>
      <c r="M61121"/>
    </row>
    <row r="61122" spans="3:13" ht="12.75" customHeight="1" x14ac:dyDescent="0.2">
      <c r="C61122"/>
      <c r="M61122"/>
    </row>
    <row r="61124" spans="3:13" ht="12.75" customHeight="1" x14ac:dyDescent="0.2">
      <c r="C61124"/>
      <c r="M61124"/>
    </row>
    <row r="61135" spans="3:13" ht="12.75" customHeight="1" x14ac:dyDescent="0.2">
      <c r="C61135"/>
      <c r="M61135"/>
    </row>
    <row r="61136" spans="3:13" ht="12.75" customHeight="1" x14ac:dyDescent="0.2">
      <c r="C61136"/>
      <c r="M61136"/>
    </row>
    <row r="61137" spans="3:13" ht="12.75" customHeight="1" x14ac:dyDescent="0.2">
      <c r="C61137"/>
      <c r="M61137"/>
    </row>
    <row r="61138" spans="3:13" ht="12.75" customHeight="1" x14ac:dyDescent="0.2">
      <c r="C61138"/>
      <c r="M61138"/>
    </row>
    <row r="61140" spans="3:13" ht="12.75" customHeight="1" x14ac:dyDescent="0.2">
      <c r="C61140"/>
      <c r="M61140"/>
    </row>
    <row r="61148" spans="3:13" ht="12.75" customHeight="1" x14ac:dyDescent="0.2">
      <c r="C61148"/>
      <c r="M61148"/>
    </row>
    <row r="61151" spans="3:13" ht="12.75" customHeight="1" x14ac:dyDescent="0.2">
      <c r="C61151"/>
      <c r="M61151"/>
    </row>
    <row r="61152" spans="3:13" ht="12.75" customHeight="1" x14ac:dyDescent="0.2">
      <c r="C61152"/>
      <c r="M61152"/>
    </row>
    <row r="61153" spans="3:13" ht="12.75" customHeight="1" x14ac:dyDescent="0.2">
      <c r="C61153"/>
      <c r="M61153"/>
    </row>
    <row r="61154" spans="3:13" ht="12.75" customHeight="1" x14ac:dyDescent="0.2">
      <c r="C61154"/>
      <c r="M61154"/>
    </row>
    <row r="61156" spans="3:13" ht="12.75" customHeight="1" x14ac:dyDescent="0.2">
      <c r="C61156"/>
      <c r="M61156"/>
    </row>
    <row r="61164" spans="3:13" ht="12.75" customHeight="1" x14ac:dyDescent="0.2">
      <c r="C61164"/>
      <c r="M61164"/>
    </row>
    <row r="61167" spans="3:13" ht="12.75" customHeight="1" x14ac:dyDescent="0.2">
      <c r="C61167"/>
      <c r="M61167"/>
    </row>
    <row r="61168" spans="3:13" ht="12.75" customHeight="1" x14ac:dyDescent="0.2">
      <c r="C61168"/>
      <c r="M61168"/>
    </row>
    <row r="61169" spans="3:13" ht="12.75" customHeight="1" x14ac:dyDescent="0.2">
      <c r="C61169"/>
      <c r="M61169"/>
    </row>
    <row r="61170" spans="3:13" ht="12.75" customHeight="1" x14ac:dyDescent="0.2">
      <c r="C61170"/>
      <c r="M61170"/>
    </row>
    <row r="61172" spans="3:13" ht="12.75" customHeight="1" x14ac:dyDescent="0.2">
      <c r="C61172"/>
      <c r="M61172"/>
    </row>
    <row r="61180" spans="3:13" ht="12.75" customHeight="1" x14ac:dyDescent="0.2">
      <c r="C61180"/>
      <c r="M61180"/>
    </row>
    <row r="61181" spans="3:13" ht="12.75" customHeight="1" x14ac:dyDescent="0.2">
      <c r="C61181"/>
      <c r="M61181"/>
    </row>
    <row r="61183" spans="3:13" ht="12.75" customHeight="1" x14ac:dyDescent="0.2">
      <c r="C61183"/>
      <c r="M61183"/>
    </row>
    <row r="61184" spans="3:13" ht="12.75" customHeight="1" x14ac:dyDescent="0.2">
      <c r="C61184"/>
      <c r="M61184"/>
    </row>
    <row r="61185" spans="3:13" ht="12.75" customHeight="1" x14ac:dyDescent="0.2">
      <c r="C61185"/>
      <c r="M61185"/>
    </row>
    <row r="61186" spans="3:13" ht="12.75" customHeight="1" x14ac:dyDescent="0.2">
      <c r="C61186"/>
      <c r="M61186"/>
    </row>
    <row r="61188" spans="3:13" ht="12.75" customHeight="1" x14ac:dyDescent="0.2">
      <c r="C61188"/>
      <c r="M61188"/>
    </row>
    <row r="61196" spans="3:13" ht="12.75" customHeight="1" x14ac:dyDescent="0.2">
      <c r="C61196"/>
      <c r="M61196"/>
    </row>
    <row r="61197" spans="3:13" ht="12.75" customHeight="1" x14ac:dyDescent="0.2">
      <c r="C61197"/>
      <c r="M61197"/>
    </row>
    <row r="61198" spans="3:13" ht="12.75" customHeight="1" x14ac:dyDescent="0.2">
      <c r="C61198"/>
      <c r="M61198"/>
    </row>
    <row r="61199" spans="3:13" ht="12.75" customHeight="1" x14ac:dyDescent="0.2">
      <c r="C61199"/>
      <c r="M61199"/>
    </row>
    <row r="61200" spans="3:13" ht="12.75" customHeight="1" x14ac:dyDescent="0.2">
      <c r="C61200"/>
      <c r="M61200"/>
    </row>
    <row r="61201" spans="3:13" ht="12.75" customHeight="1" x14ac:dyDescent="0.2">
      <c r="C61201"/>
      <c r="M61201"/>
    </row>
    <row r="61202" spans="3:13" ht="12.75" customHeight="1" x14ac:dyDescent="0.2">
      <c r="C61202"/>
      <c r="M61202"/>
    </row>
    <row r="61204" spans="3:13" ht="12.75" customHeight="1" x14ac:dyDescent="0.2">
      <c r="C61204"/>
      <c r="M61204"/>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6" spans="3:13" ht="12.75" customHeight="1" x14ac:dyDescent="0.2">
      <c r="C61216"/>
      <c r="M61216"/>
    </row>
    <row r="61217" spans="3:13" ht="12.75" customHeight="1" x14ac:dyDescent="0.2">
      <c r="C61217"/>
      <c r="M61217"/>
    </row>
    <row r="61218" spans="3:13" ht="12.75" customHeight="1" x14ac:dyDescent="0.2">
      <c r="C61218"/>
      <c r="M61218"/>
    </row>
    <row r="61220" spans="3:13" ht="12.75" customHeight="1" x14ac:dyDescent="0.2">
      <c r="C61220"/>
      <c r="M61220"/>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sheetData>
  <sheetProtection algorithmName="SHA-512" hashValue="pIcOHSmbpxjyAVuNpyOQKiQ8apfGnk5tSxSrH0Iyp5yXV8ukSDNkngzGDBz3knhRlaSx9z1SjXTezHvhVJSgCQ==" saltValue="BbSUgasS9U/sNLCQzY3LTQ==" spinCount="100000" sheet="1" objects="1" scenarios="1" autoFilter="0"/>
  <autoFilter ref="C15:C36" xr:uid="{00000000-0009-0000-0000-000005000000}"/>
  <mergeCells count="21">
    <mergeCell ref="AG6:AH6"/>
    <mergeCell ref="AG7:AH7"/>
    <mergeCell ref="AA9:AB9"/>
    <mergeCell ref="AC9:AH9"/>
    <mergeCell ref="AA10:AB10"/>
    <mergeCell ref="AC10:AH10"/>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16:I22 D32:I35">
    <cfRule type="expression" dxfId="95" priority="6169" stopIfTrue="1">
      <formula>$B14=1</formula>
    </cfRule>
    <cfRule type="expression" dxfId="94" priority="6170" stopIfTrue="1">
      <formula>OR($B14=0,$B14=2,$B14=3,$B14=4)</formula>
    </cfRule>
  </conditionalFormatting>
  <conditionalFormatting sqref="M12:N36">
    <cfRule type="expression" dxfId="93" priority="6171" stopIfTrue="1">
      <formula>ACOMPANHAMENTO="BM"</formula>
    </cfRule>
    <cfRule type="expression" dxfId="92" priority="6172" stopIfTrue="1">
      <formula>OR($B12=0,$B12=2,$B12=3,$B12=4)</formula>
    </cfRule>
    <cfRule type="expression" dxfId="91" priority="6173" stopIfTrue="1">
      <formula>$B12=1</formula>
    </cfRule>
  </conditionalFormatting>
  <conditionalFormatting sqref="K12:K36">
    <cfRule type="expression" dxfId="90" priority="6174" stopIfTrue="1">
      <formula>OR(ACOMPANHAMENTO="BM",$A$12&lt;&gt;"Manual")</formula>
    </cfRule>
    <cfRule type="expression" dxfId="89" priority="6175" stopIfTrue="1">
      <formula>$B12=1</formula>
    </cfRule>
    <cfRule type="expression" dxfId="88" priority="6176" stopIfTrue="1">
      <formula>OR($B12=2,$B12=3,$B12=4,$B12=0)</formula>
    </cfRule>
  </conditionalFormatting>
  <conditionalFormatting sqref="O12:AI36">
    <cfRule type="expression" dxfId="87" priority="6177" stopIfTrue="1">
      <formula>ACOMPANHAMENTO="BM"</formula>
    </cfRule>
    <cfRule type="expression" dxfId="86" priority="6178" stopIfTrue="1">
      <formula>AND(O$12&lt;&gt;".",OR($B12=0,$B12=2,$B12=3,$B12=4,AND(O$12="",$B12&lt;&gt;"Empty"),OFFSET(O$12,0,-1)=""))</formula>
    </cfRule>
    <cfRule type="expression" dxfId="85" priority="6179" stopIfTrue="1">
      <formula>AND($B12=1,O$12&lt;&gt;".")</formula>
    </cfRule>
  </conditionalFormatting>
  <conditionalFormatting sqref="D23:I31">
    <cfRule type="expression" dxfId="84" priority="53" stopIfTrue="1">
      <formula>$B23=1</formula>
    </cfRule>
    <cfRule type="expression" dxfId="83" priority="54" stopIfTrue="1">
      <formula>OR($B23=0,$B23=2,$B23=3,$B23=4)</formula>
    </cfRule>
  </conditionalFormatting>
  <dataValidations count="4">
    <dataValidation type="decimal" operator="greaterThan" allowBlank="1" showErrorMessage="1" error="Apenas números decimais maiores que zero." sqref="O14 Q16:AH35 O16:O35 Q14:AH14" xr:uid="{00000000-0002-0000-0500-000000000000}">
      <formula1>0</formula1>
      <formula2>0</formula2>
    </dataValidation>
    <dataValidation type="list" allowBlank="1" showErrorMessage="1" sqref="K14 K16:K35"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35"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&amp;LPMv3.07&amp;R&amp;P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0"/>
  <sheetViews>
    <sheetView showGridLines="0" tabSelected="1"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activeCell="G16" sqref="G16"/>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7" t="e">
        <f ca="1">IF(AUTOEVENTO="Manual",IF(OFFSET(EVENTOS!$F$14,CRONOPLE!$B1,0)&gt;0,"F",""),IF(CRONOPLE!B1&lt;=MAX(CÁLCULO!$M$15:$M$36),"F",""))</f>
        <v>#REF!</v>
      </c>
      <c r="B1" s="286" t="e">
        <f ca="1">OFFSET(B1,-1,0)+1</f>
        <v>#REF!</v>
      </c>
      <c r="C1" s="287" t="e">
        <f ca="1">IF(AUTOEVENTO="Manual",IF($B1&lt;&gt;1,OFFSET(EVENTOS!$D$14,$B1,0),0),IF(B1&lt;=MAX(CÁLCULO!$M$15:$M$36),VLOOKUP($B1,CÁLCULO!$M$15:$N$36,2,FALSE),0))</f>
        <v>#REF!</v>
      </c>
      <c r="E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row>
    <row r="2" spans="1:31" hidden="1" x14ac:dyDescent="0.2"/>
    <row r="3" spans="1:31" ht="15" hidden="1" x14ac:dyDescent="0.25">
      <c r="B3" s="289" t="str">
        <f ca="1">IF(ACOMPANHAMENTO="BM","NO ACOMPANHAMENTO POR BM, UTILIZE A ABA CRONO",IF(MAX($B$14:$B$17)&lt;MAX(CÁLCULO!$M$15:$M$36),"ERRO: NÚMERO DE EVENTOS INSUFICIENTE, CLIQUE EM ATUALIZAR LINHAS",IF(ROUND(OFFSET(CRONO!$AF$27,0,-1),2)&lt;&gt;CRONO!$Q$18,"ERRO: CRONOGRAMA NÃO FECHA 100%","")))</f>
        <v/>
      </c>
    </row>
    <row r="4" spans="1:31" ht="30" customHeight="1" x14ac:dyDescent="0.2">
      <c r="G4" s="83" t="s">
        <v>286</v>
      </c>
      <c r="AC4" s="670" t="s">
        <v>452</v>
      </c>
      <c r="AD4" s="671"/>
      <c r="AE4" s="672"/>
    </row>
    <row r="5" spans="1:31" ht="12.75" customHeight="1" x14ac:dyDescent="0.2">
      <c r="G5" s="83"/>
      <c r="AD5" s="560"/>
      <c r="AE5" s="560"/>
    </row>
    <row r="6" spans="1:31" ht="12.75" customHeight="1" x14ac:dyDescent="0.2">
      <c r="B6" s="622" t="s">
        <v>147</v>
      </c>
      <c r="C6" s="622"/>
      <c r="D6" s="622"/>
      <c r="G6" s="633" t="s">
        <v>146</v>
      </c>
      <c r="H6" s="633"/>
      <c r="I6" s="633"/>
      <c r="J6" s="633" t="s">
        <v>432</v>
      </c>
      <c r="K6" s="633"/>
      <c r="L6" s="633"/>
      <c r="M6" s="230" t="s">
        <v>271</v>
      </c>
      <c r="N6" s="234"/>
      <c r="P6" s="204"/>
      <c r="Q6" s="204"/>
      <c r="R6" s="204"/>
      <c r="U6" s="561"/>
      <c r="V6" s="204"/>
      <c r="W6" s="204"/>
      <c r="X6" s="204"/>
      <c r="Y6" s="204"/>
      <c r="AD6" s="560"/>
      <c r="AE6" s="562"/>
    </row>
    <row r="7" spans="1:31" ht="12.75" customHeight="1" x14ac:dyDescent="0.2">
      <c r="B7" s="625" t="str">
        <f>Import.Proponente</f>
        <v>Secretario Diego Salini</v>
      </c>
      <c r="C7" s="625"/>
      <c r="D7" s="625"/>
      <c r="G7" s="638">
        <f>Import.CR</f>
        <v>0</v>
      </c>
      <c r="H7" s="638"/>
      <c r="I7" s="638"/>
      <c r="J7" s="638">
        <f>Import.SICONV</f>
        <v>0</v>
      </c>
      <c r="K7" s="638"/>
      <c r="L7" s="638"/>
      <c r="M7" s="646" t="str">
        <f>Import.Apelido</f>
        <v>ANEXO I TR - MANUTENÇÃO ABRIGO PASSAGEIROS ÔNIBUS E TÁXI</v>
      </c>
      <c r="N7" s="647"/>
      <c r="O7" s="647"/>
      <c r="P7" s="647"/>
      <c r="Q7" s="647"/>
      <c r="R7" s="647"/>
      <c r="S7" s="647"/>
      <c r="T7" s="647"/>
      <c r="U7" s="647"/>
      <c r="V7" s="647"/>
      <c r="W7" s="647"/>
      <c r="X7" s="647"/>
      <c r="Y7" s="647"/>
      <c r="Z7" s="647"/>
      <c r="AA7" s="647"/>
      <c r="AB7" s="647"/>
      <c r="AC7" s="647"/>
      <c r="AD7" s="647"/>
      <c r="AE7" s="673"/>
    </row>
    <row r="9" spans="1:31" x14ac:dyDescent="0.2">
      <c r="B9" t="s">
        <v>287</v>
      </c>
    </row>
    <row r="11" spans="1:31" ht="65.25" customHeight="1" x14ac:dyDescent="0.2">
      <c r="A11" s="567" t="s">
        <v>208</v>
      </c>
      <c r="C11" s="291"/>
      <c r="E11" s="292">
        <f ca="1">IF(E$12&gt;CÁLCULO.NúmeroDeFrentes,"",OFFSET(CÁLCULO!$P$12,0,E$12))</f>
        <v>1</v>
      </c>
      <c r="G11" s="292">
        <f ca="1">IF(G$12&gt;CÁLCULO.NúmeroDeFrentes,"",OFFSET(CÁLCULO!$P$12,0,G$12))</f>
        <v>1</v>
      </c>
      <c r="H11" s="292">
        <f ca="1">IF(H$12&gt;CÁLCULO.NúmeroDeFrentes,"",OFFSET(CÁLCULO!$P$12,0,H$12))</f>
        <v>0</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f ca="1">IF(Q$12&gt;CÁLCULO.NúmeroDeFrentes,"",OFFSET(CÁLCULO!$P$12,0,Q$12))</f>
        <v>0</v>
      </c>
      <c r="R11" s="292">
        <f ca="1">IF(R$12&gt;CÁLCULO.NúmeroDeFrentes,"",OFFSET(CÁLCULO!$P$12,0,R$12))</f>
        <v>0</v>
      </c>
      <c r="S11" s="292">
        <f ca="1">IF(S$12&gt;CÁLCULO.NúmeroDeFrentes,"",OFFSET(CÁLCULO!$P$12,0,S$12))</f>
        <v>0</v>
      </c>
      <c r="T11" s="292">
        <f ca="1">IF(T$12&gt;CÁLCULO.NúmeroDeFrentes,"",OFFSET(CÁLCULO!$P$12,0,T$12))</f>
        <v>0</v>
      </c>
      <c r="U11" s="292">
        <f ca="1">IF(U$12&gt;CÁLCULO.NúmeroDeFrentes,"",OFFSET(CÁLCULO!$P$12,0,U$12))</f>
        <v>0</v>
      </c>
      <c r="V11" s="292">
        <f ca="1">IF(V$12&gt;CÁLCULO.NúmeroDeFrentes,"",OFFSET(CÁLCULO!$P$12,0,V$12))</f>
        <v>0</v>
      </c>
      <c r="W11" s="292">
        <f ca="1">IF(W$12&gt;CÁLCULO.NúmeroDeFrentes,"",OFFSET(CÁLCULO!$P$12,0,W$12))</f>
        <v>0</v>
      </c>
      <c r="X11" s="292">
        <f ca="1">IF(X$12&gt;CÁLCULO.NúmeroDeFrentes,"",OFFSET(CÁLCULO!$P$12,0,X$12))</f>
        <v>0</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row>
    <row r="12" spans="1:31" ht="12.75" customHeight="1" x14ac:dyDescent="0.2">
      <c r="A12" s="568" t="s">
        <v>216</v>
      </c>
      <c r="B12" s="669" t="s">
        <v>264</v>
      </c>
      <c r="C12" s="669" t="s">
        <v>289</v>
      </c>
      <c r="E12" s="293">
        <f ca="1">OFFSET(E12,0,-1)+1</f>
        <v>1</v>
      </c>
      <c r="G12" s="293">
        <f ca="1">OFFSET(G12,0,-1)+1</f>
        <v>1</v>
      </c>
      <c r="H12" s="293">
        <f ca="1">OFFSET(H12,0,-1)+1</f>
        <v>2</v>
      </c>
      <c r="I12" s="293">
        <f t="shared" ref="I12:AE12" ca="1" si="0">OFFSET(I12,0,-1)+1</f>
        <v>3</v>
      </c>
      <c r="J12" s="293">
        <f t="shared" ca="1" si="0"/>
        <v>4</v>
      </c>
      <c r="K12" s="293">
        <f t="shared" ca="1" si="0"/>
        <v>5</v>
      </c>
      <c r="L12" s="293">
        <f t="shared" ca="1" si="0"/>
        <v>6</v>
      </c>
      <c r="M12" s="293">
        <f t="shared" ca="1" si="0"/>
        <v>7</v>
      </c>
      <c r="N12" s="293">
        <f t="shared" ca="1" si="0"/>
        <v>8</v>
      </c>
      <c r="O12" s="293">
        <f t="shared" ca="1" si="0"/>
        <v>9</v>
      </c>
      <c r="P12" s="293">
        <f t="shared" ca="1" si="0"/>
        <v>10</v>
      </c>
      <c r="Q12" s="293">
        <f t="shared" ca="1" si="0"/>
        <v>11</v>
      </c>
      <c r="R12" s="293">
        <f t="shared" ca="1" si="0"/>
        <v>12</v>
      </c>
      <c r="S12" s="293">
        <f t="shared" ca="1" si="0"/>
        <v>13</v>
      </c>
      <c r="T12" s="293">
        <f t="shared" ca="1" si="0"/>
        <v>14</v>
      </c>
      <c r="U12" s="293">
        <f t="shared" ca="1" si="0"/>
        <v>15</v>
      </c>
      <c r="V12" s="293">
        <f t="shared" ca="1" si="0"/>
        <v>16</v>
      </c>
      <c r="W12" s="293">
        <f t="shared" ca="1" si="0"/>
        <v>17</v>
      </c>
      <c r="X12" s="293">
        <f t="shared" ca="1" si="0"/>
        <v>18</v>
      </c>
      <c r="Y12" s="293">
        <f t="shared" ca="1" si="0"/>
        <v>19</v>
      </c>
      <c r="Z12" s="293">
        <f t="shared" ca="1" si="0"/>
        <v>20</v>
      </c>
      <c r="AA12" s="293">
        <f t="shared" ca="1" si="0"/>
        <v>21</v>
      </c>
      <c r="AB12" s="293">
        <f t="shared" ca="1" si="0"/>
        <v>22</v>
      </c>
      <c r="AC12" s="293">
        <f t="shared" ca="1" si="0"/>
        <v>23</v>
      </c>
      <c r="AD12" s="293">
        <f t="shared" ca="1" si="0"/>
        <v>24</v>
      </c>
      <c r="AE12" s="293">
        <f t="shared" ca="1" si="0"/>
        <v>25</v>
      </c>
    </row>
    <row r="13" spans="1:31" x14ac:dyDescent="0.2">
      <c r="A13" t="s">
        <v>208</v>
      </c>
      <c r="B13" s="669"/>
      <c r="C13" s="669"/>
      <c r="E13" s="294"/>
      <c r="G13" s="295"/>
      <c r="H13" s="294"/>
      <c r="I13" s="294"/>
      <c r="J13" s="294"/>
      <c r="K13" s="294"/>
      <c r="L13" s="294"/>
      <c r="M13" s="294" t="s">
        <v>290</v>
      </c>
      <c r="N13" s="294"/>
      <c r="O13" s="294"/>
      <c r="P13" s="294"/>
      <c r="Q13" s="294"/>
      <c r="R13" s="294"/>
      <c r="S13" s="294"/>
      <c r="T13" s="294"/>
      <c r="U13" s="294"/>
      <c r="V13" s="294"/>
      <c r="W13" s="294"/>
      <c r="X13" s="294"/>
      <c r="Y13" s="294"/>
      <c r="Z13" s="294"/>
      <c r="AA13" s="294"/>
      <c r="AB13" s="294"/>
      <c r="AC13" s="294"/>
      <c r="AD13" s="294"/>
      <c r="AE13" s="296"/>
    </row>
    <row r="14" spans="1:31" ht="3.95" customHeight="1" x14ac:dyDescent="0.2">
      <c r="A14" s="7" t="s">
        <v>245</v>
      </c>
    </row>
    <row r="15" spans="1:31" x14ac:dyDescent="0.2">
      <c r="A15" s="7"/>
      <c r="B15" s="297">
        <v>1</v>
      </c>
      <c r="C15" s="298" t="s">
        <v>267</v>
      </c>
      <c r="E15" s="299"/>
      <c r="G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99"/>
      <c r="I15" s="299"/>
      <c r="J15" s="299"/>
      <c r="K15" s="299"/>
      <c r="L15" s="299"/>
      <c r="M15" s="299"/>
      <c r="N15" s="299"/>
      <c r="O15" s="299"/>
      <c r="P15" s="299"/>
      <c r="Q15" s="299"/>
      <c r="R15" s="299"/>
      <c r="S15" s="299"/>
      <c r="T15" s="299"/>
      <c r="U15" s="299"/>
      <c r="V15" s="299"/>
      <c r="W15" s="299"/>
      <c r="X15" s="299"/>
      <c r="Y15" s="299"/>
      <c r="Z15" s="299"/>
      <c r="AA15" s="299"/>
      <c r="AB15" s="299"/>
      <c r="AC15" s="299"/>
      <c r="AD15" s="299"/>
      <c r="AE15" s="301"/>
    </row>
    <row r="16" spans="1:31" x14ac:dyDescent="0.2">
      <c r="A16" s="7" t="str">
        <f ca="1">IF(AUTOEVENTO="Manual",IF(OFFSET(EVENTOS!$F$14,CRONOPLE!$B16,0)&gt;0,"F",""),IF(CRONOPLE!B16&lt;=MAX(CÁLCULO!$M$15:$M$36),"F",""))</f>
        <v>F</v>
      </c>
      <c r="B16" s="286">
        <f t="shared" ref="B16" ca="1" si="1">OFFSET(B16,-1,0)+1</f>
        <v>2</v>
      </c>
      <c r="C16" s="287" t="str">
        <f ca="1">IF(AUTOEVENTO="Manual",IF($B16&lt;&gt;1,OFFSET(EVENTOS!$D$14,$B16,0),0),IF(B16&lt;=MAX(CÁLCULO!$M$15:$M$36),VLOOKUP($B16,CÁLCULO!$M$15:$N$36,2,FALSE),0))</f>
        <v>Lote 01  - Manutenção e Reparos Abrigos Passagerios Onibus e Táxi</v>
      </c>
      <c r="E16" s="288"/>
      <c r="G16" s="288">
        <v>12</v>
      </c>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row>
    <row r="17" spans="1:31" ht="5.0999999999999996" customHeight="1" x14ac:dyDescent="0.2">
      <c r="B17" s="497"/>
      <c r="C17" s="498"/>
      <c r="E17" s="302"/>
      <c r="F17" s="302"/>
      <c r="G17" s="497"/>
      <c r="H17" s="499"/>
      <c r="I17" s="499"/>
      <c r="J17" s="499"/>
      <c r="K17" s="499"/>
      <c r="L17" s="499"/>
      <c r="M17" s="499"/>
      <c r="N17" s="499"/>
      <c r="O17" s="499"/>
      <c r="P17" s="499"/>
      <c r="Q17" s="499"/>
      <c r="R17" s="499"/>
      <c r="S17" s="499"/>
      <c r="T17" s="499"/>
      <c r="U17" s="499"/>
      <c r="V17" s="499"/>
      <c r="W17" s="499"/>
      <c r="X17" s="499"/>
      <c r="Y17" s="499"/>
      <c r="Z17" s="499"/>
      <c r="AA17" s="499"/>
      <c r="AB17" s="499"/>
      <c r="AC17" s="499"/>
      <c r="AD17" s="499"/>
      <c r="AE17" s="498"/>
    </row>
    <row r="18" spans="1:31" ht="6" customHeight="1" x14ac:dyDescent="0.2">
      <c r="A18" s="7" t="s">
        <v>245</v>
      </c>
    </row>
    <row r="19" spans="1:31" ht="15" x14ac:dyDescent="0.2">
      <c r="A19" s="7" t="s">
        <v>245</v>
      </c>
      <c r="C19" s="563" t="s">
        <v>453</v>
      </c>
      <c r="H19" s="668">
        <f>(ROW($G19)-ROW($G$19))/6*12+1</f>
        <v>1</v>
      </c>
      <c r="I19" s="668"/>
      <c r="J19" s="668">
        <f>H19+1</f>
        <v>2</v>
      </c>
      <c r="K19" s="668"/>
      <c r="L19" s="668">
        <f>J19+1</f>
        <v>3</v>
      </c>
      <c r="M19" s="668"/>
      <c r="N19" s="668">
        <f>L19+1</f>
        <v>4</v>
      </c>
      <c r="O19" s="668"/>
      <c r="P19" s="668">
        <f>N19+1</f>
        <v>5</v>
      </c>
      <c r="Q19" s="668"/>
      <c r="R19" s="668">
        <f>P19+1</f>
        <v>6</v>
      </c>
      <c r="S19" s="668"/>
      <c r="T19" s="668">
        <f>R19+1</f>
        <v>7</v>
      </c>
      <c r="U19" s="668"/>
      <c r="V19" s="668">
        <f>T19+1</f>
        <v>8</v>
      </c>
      <c r="W19" s="668"/>
      <c r="X19" s="668">
        <f>V19+1</f>
        <v>9</v>
      </c>
      <c r="Y19" s="668"/>
      <c r="Z19" s="668">
        <f>X19+1</f>
        <v>10</v>
      </c>
      <c r="AA19" s="668"/>
      <c r="AB19" s="668">
        <f>Z19+1</f>
        <v>11</v>
      </c>
      <c r="AC19" s="668"/>
      <c r="AD19" s="668">
        <f>AB19+1</f>
        <v>12</v>
      </c>
      <c r="AE19" s="668"/>
    </row>
    <row r="20" spans="1:31" ht="12.75" customHeight="1" x14ac:dyDescent="0.2">
      <c r="A20" s="7" t="s">
        <v>245</v>
      </c>
      <c r="C20" s="662" t="s">
        <v>454</v>
      </c>
      <c r="G20" s="564" t="s">
        <v>298</v>
      </c>
      <c r="H20" s="664" t="e">
        <f ca="1">OFFSET(CRONO!$S$18,0,CRONOPLE!H19)</f>
        <v>#DIV/0!</v>
      </c>
      <c r="I20" s="664"/>
      <c r="J20" s="664" t="e">
        <f ca="1">OFFSET(CRONO!$S$18,0,CRONOPLE!J19)</f>
        <v>#DIV/0!</v>
      </c>
      <c r="K20" s="664"/>
      <c r="L20" s="664" t="e">
        <f ca="1">OFFSET(CRONO!$S$18,0,CRONOPLE!L19)</f>
        <v>#DIV/0!</v>
      </c>
      <c r="M20" s="664"/>
      <c r="N20" s="664" t="e">
        <f ca="1">OFFSET(CRONO!$S$18,0,CRONOPLE!N19)</f>
        <v>#DIV/0!</v>
      </c>
      <c r="O20" s="664"/>
      <c r="P20" s="664" t="e">
        <f ca="1">OFFSET(CRONO!$S$18,0,CRONOPLE!P19)</f>
        <v>#DIV/0!</v>
      </c>
      <c r="Q20" s="664"/>
      <c r="R20" s="664" t="e">
        <f ca="1">OFFSET(CRONO!$S$18,0,CRONOPLE!R19)</f>
        <v>#DIV/0!</v>
      </c>
      <c r="S20" s="664"/>
      <c r="T20" s="664" t="e">
        <f ca="1">OFFSET(CRONO!$S$18,0,CRONOPLE!T19)</f>
        <v>#DIV/0!</v>
      </c>
      <c r="U20" s="664"/>
      <c r="V20" s="664" t="e">
        <f ca="1">OFFSET(CRONO!$S$18,0,CRONOPLE!V19)</f>
        <v>#DIV/0!</v>
      </c>
      <c r="W20" s="664"/>
      <c r="X20" s="664" t="e">
        <f ca="1">OFFSET(CRONO!$S$18,0,CRONOPLE!X19)</f>
        <v>#DIV/0!</v>
      </c>
      <c r="Y20" s="664"/>
      <c r="Z20" s="664" t="e">
        <f ca="1">OFFSET(CRONO!$S$18,0,CRONOPLE!Z19)</f>
        <v>#DIV/0!</v>
      </c>
      <c r="AA20" s="664"/>
      <c r="AB20" s="664" t="e">
        <f ca="1">OFFSET(CRONO!$S$18,0,CRONOPLE!AB19)</f>
        <v>#DIV/0!</v>
      </c>
      <c r="AC20" s="664"/>
      <c r="AD20" s="664" t="e">
        <f ca="1">OFFSET(CRONO!$S$18,0,CRONOPLE!AD19)</f>
        <v>#DIV/0!</v>
      </c>
      <c r="AE20" s="664"/>
    </row>
    <row r="21" spans="1:31" ht="12.75" customHeight="1" x14ac:dyDescent="0.2">
      <c r="A21" s="7" t="s">
        <v>245</v>
      </c>
      <c r="C21" s="663"/>
      <c r="G21" s="564" t="s">
        <v>299</v>
      </c>
      <c r="H21" s="667">
        <f ca="1">OFFSET(CRONO!$S$22,0,CRONOPLE!H19)</f>
        <v>0</v>
      </c>
      <c r="I21" s="667"/>
      <c r="J21" s="660">
        <f ca="1">OFFSET(CRONO!$S$22,0,CRONOPLE!J19)</f>
        <v>0</v>
      </c>
      <c r="K21" s="661"/>
      <c r="L21" s="660">
        <f ca="1">OFFSET(CRONO!$S$22,0,CRONOPLE!L19)</f>
        <v>0</v>
      </c>
      <c r="M21" s="661"/>
      <c r="N21" s="660">
        <f ca="1">OFFSET(CRONO!$S$22,0,CRONOPLE!N19)</f>
        <v>0</v>
      </c>
      <c r="O21" s="661"/>
      <c r="P21" s="660">
        <f ca="1">OFFSET(CRONO!$S$22,0,CRONOPLE!P19)</f>
        <v>0</v>
      </c>
      <c r="Q21" s="661"/>
      <c r="R21" s="660">
        <f ca="1">OFFSET(CRONO!$S$22,0,CRONOPLE!R19)</f>
        <v>0</v>
      </c>
      <c r="S21" s="661"/>
      <c r="T21" s="660">
        <f ca="1">OFFSET(CRONO!$S$22,0,CRONOPLE!T19)</f>
        <v>0</v>
      </c>
      <c r="U21" s="661"/>
      <c r="V21" s="660">
        <f ca="1">OFFSET(CRONO!$S$22,0,CRONOPLE!V19)</f>
        <v>0</v>
      </c>
      <c r="W21" s="661"/>
      <c r="X21" s="660">
        <f ca="1">OFFSET(CRONO!$S$22,0,CRONOPLE!X19)</f>
        <v>0</v>
      </c>
      <c r="Y21" s="661"/>
      <c r="Z21" s="660">
        <f ca="1">OFFSET(CRONO!$S$22,0,CRONOPLE!Z19)</f>
        <v>0</v>
      </c>
      <c r="AA21" s="661"/>
      <c r="AB21" s="660">
        <f ca="1">OFFSET(CRONO!$S$22,0,CRONOPLE!AB19)</f>
        <v>0</v>
      </c>
      <c r="AC21" s="661"/>
      <c r="AD21" s="660">
        <f ca="1">OFFSET(CRONO!$S$22,0,CRONOPLE!AD19)</f>
        <v>0</v>
      </c>
      <c r="AE21" s="661"/>
    </row>
    <row r="22" spans="1:31" ht="12.75" customHeight="1" x14ac:dyDescent="0.2">
      <c r="A22" s="7" t="s">
        <v>245</v>
      </c>
      <c r="C22" s="662" t="s">
        <v>455</v>
      </c>
      <c r="G22" s="564" t="s">
        <v>298</v>
      </c>
      <c r="H22" s="664" t="e">
        <f ca="1">OFFSET(CRONO!$S$23,0,CRONOPLE!H19)</f>
        <v>#DIV/0!</v>
      </c>
      <c r="I22" s="664"/>
      <c r="J22" s="665" t="e">
        <f ca="1">OFFSET(CRONO!$S$23,0,CRONOPLE!J19)</f>
        <v>#DIV/0!</v>
      </c>
      <c r="K22" s="666"/>
      <c r="L22" s="665" t="e">
        <f ca="1">OFFSET(CRONO!$S$23,0,CRONOPLE!L19)</f>
        <v>#DIV/0!</v>
      </c>
      <c r="M22" s="666"/>
      <c r="N22" s="665" t="e">
        <f ca="1">OFFSET(CRONO!$S$23,0,CRONOPLE!N19)</f>
        <v>#DIV/0!</v>
      </c>
      <c r="O22" s="666"/>
      <c r="P22" s="665" t="e">
        <f ca="1">OFFSET(CRONO!$S$23,0,CRONOPLE!P19)</f>
        <v>#DIV/0!</v>
      </c>
      <c r="Q22" s="666"/>
      <c r="R22" s="665" t="e">
        <f ca="1">OFFSET(CRONO!$S$23,0,CRONOPLE!R19)</f>
        <v>#DIV/0!</v>
      </c>
      <c r="S22" s="666"/>
      <c r="T22" s="665" t="e">
        <f ca="1">OFFSET(CRONO!$S$23,0,CRONOPLE!T19)</f>
        <v>#DIV/0!</v>
      </c>
      <c r="U22" s="666"/>
      <c r="V22" s="665" t="e">
        <f ca="1">OFFSET(CRONO!$S$23,0,CRONOPLE!V19)</f>
        <v>#DIV/0!</v>
      </c>
      <c r="W22" s="666"/>
      <c r="X22" s="665" t="e">
        <f ca="1">OFFSET(CRONO!$S$23,0,CRONOPLE!X19)</f>
        <v>#DIV/0!</v>
      </c>
      <c r="Y22" s="666"/>
      <c r="Z22" s="665" t="e">
        <f ca="1">OFFSET(CRONO!$S$23,0,CRONOPLE!Z19)</f>
        <v>#DIV/0!</v>
      </c>
      <c r="AA22" s="666"/>
      <c r="AB22" s="665" t="e">
        <f ca="1">OFFSET(CRONO!$S$23,0,CRONOPLE!AB19)</f>
        <v>#DIV/0!</v>
      </c>
      <c r="AC22" s="666"/>
      <c r="AD22" s="665" t="e">
        <f ca="1">OFFSET(CRONO!$S$23,0,CRONOPLE!AD19)</f>
        <v>#DIV/0!</v>
      </c>
      <c r="AE22" s="666"/>
    </row>
    <row r="23" spans="1:31" ht="12.75" customHeight="1" x14ac:dyDescent="0.2">
      <c r="A23" s="7" t="s">
        <v>245</v>
      </c>
      <c r="C23" s="663"/>
      <c r="G23" s="564" t="s">
        <v>299</v>
      </c>
      <c r="H23" s="667">
        <f ca="1">OFFSET(CRONO!$S$27,0,CRONOPLE!H19)</f>
        <v>0</v>
      </c>
      <c r="I23" s="667"/>
      <c r="J23" s="660">
        <f ca="1">OFFSET(CRONO!$S$27,0,CRONOPLE!J19)</f>
        <v>0</v>
      </c>
      <c r="K23" s="661"/>
      <c r="L23" s="660">
        <f ca="1">OFFSET(CRONO!$S$27,0,CRONOPLE!L19)</f>
        <v>0</v>
      </c>
      <c r="M23" s="661"/>
      <c r="N23" s="660">
        <f ca="1">OFFSET(CRONO!$S$27,0,CRONOPLE!N19)</f>
        <v>0</v>
      </c>
      <c r="O23" s="661"/>
      <c r="P23" s="660">
        <f ca="1">OFFSET(CRONO!$S$27,0,CRONOPLE!P19)</f>
        <v>0</v>
      </c>
      <c r="Q23" s="661"/>
      <c r="R23" s="660">
        <f ca="1">OFFSET(CRONO!$S$27,0,CRONOPLE!R19)</f>
        <v>0</v>
      </c>
      <c r="S23" s="661"/>
      <c r="T23" s="660">
        <f ca="1">OFFSET(CRONO!$S$27,0,CRONOPLE!T19)</f>
        <v>0</v>
      </c>
      <c r="U23" s="661"/>
      <c r="V23" s="660">
        <f ca="1">OFFSET(CRONO!$S$27,0,CRONOPLE!V19)</f>
        <v>0</v>
      </c>
      <c r="W23" s="661"/>
      <c r="X23" s="660">
        <f ca="1">OFFSET(CRONO!$S$27,0,CRONOPLE!X19)</f>
        <v>0</v>
      </c>
      <c r="Y23" s="661"/>
      <c r="Z23" s="660">
        <f ca="1">OFFSET(CRONO!$S$27,0,CRONOPLE!Z19)</f>
        <v>0</v>
      </c>
      <c r="AA23" s="661"/>
      <c r="AB23" s="660">
        <f ca="1">OFFSET(CRONO!$S$27,0,CRONOPLE!AB19)</f>
        <v>0</v>
      </c>
      <c r="AC23" s="661"/>
      <c r="AD23" s="660">
        <f ca="1">OFFSET(CRONO!$S$27,0,CRONOPLE!AD19)</f>
        <v>0</v>
      </c>
      <c r="AE23" s="661"/>
    </row>
    <row r="24" spans="1:31" ht="6" customHeight="1" x14ac:dyDescent="0.2">
      <c r="A24" s="7" t="s">
        <v>245</v>
      </c>
    </row>
    <row r="25" spans="1:31" x14ac:dyDescent="0.2">
      <c r="A25" s="7" t="s">
        <v>245</v>
      </c>
    </row>
    <row r="26" spans="1:31" ht="15" x14ac:dyDescent="0.2">
      <c r="A26" s="7" t="s">
        <v>245</v>
      </c>
      <c r="B26" s="144" t="str">
        <f>Import.Município</f>
        <v>Bento Gonçalves</v>
      </c>
      <c r="C26" s="144"/>
      <c r="D26" s="565"/>
      <c r="E26" s="565"/>
      <c r="F26" s="565"/>
      <c r="G26" s="565"/>
      <c r="H26" s="565"/>
      <c r="I26" s="565"/>
      <c r="J26" s="565"/>
      <c r="K26" s="565"/>
      <c r="L26" s="565"/>
      <c r="V26" s="531"/>
      <c r="W26" s="466"/>
      <c r="X26" s="466"/>
      <c r="Y26" s="466"/>
      <c r="Z26" s="466"/>
      <c r="AA26" s="466"/>
      <c r="AB26" s="466"/>
      <c r="AC26" s="466"/>
      <c r="AD26" s="466"/>
      <c r="AE26" s="466"/>
    </row>
    <row r="27" spans="1:31" x14ac:dyDescent="0.2">
      <c r="A27" s="7" t="s">
        <v>245</v>
      </c>
      <c r="B27" s="10" t="s">
        <v>187</v>
      </c>
      <c r="F27" s="203"/>
      <c r="G27" s="203"/>
      <c r="H27" s="203"/>
      <c r="I27" s="203"/>
      <c r="J27" s="203"/>
      <c r="K27" s="203"/>
      <c r="L27" s="205"/>
      <c r="V27" s="195" t="s">
        <v>189</v>
      </c>
    </row>
    <row r="28" spans="1:31" x14ac:dyDescent="0.2">
      <c r="A28" s="7" t="s">
        <v>245</v>
      </c>
      <c r="F28" s="203"/>
      <c r="G28" s="203"/>
      <c r="H28" s="203"/>
      <c r="I28" s="203"/>
      <c r="J28" s="203"/>
      <c r="K28" s="203"/>
      <c r="L28" s="205"/>
      <c r="V28" s="444" t="str">
        <f t="array" aca="1" ref="V28:V30" ca="1">OFFSET(Import.RespOrçamento,0,-1) &amp; " " &amp; Import.RespOrçamento</f>
        <v xml:space="preserve">Nome: </v>
      </c>
    </row>
    <row r="29" spans="1:31" ht="16.5" x14ac:dyDescent="0.3">
      <c r="A29" s="7" t="s">
        <v>245</v>
      </c>
      <c r="B29" s="659">
        <f>DADOS!$F$25</f>
        <v>0</v>
      </c>
      <c r="C29" s="659"/>
      <c r="D29" s="566"/>
      <c r="F29" s="203"/>
      <c r="G29" s="203"/>
      <c r="H29" s="203"/>
      <c r="I29" s="203"/>
      <c r="J29" s="203"/>
      <c r="K29" s="203"/>
      <c r="L29" s="205"/>
      <c r="V29" s="444" t="str">
        <f ca="1"/>
        <v xml:space="preserve">CREA/CAU: </v>
      </c>
    </row>
    <row r="30" spans="1:31" x14ac:dyDescent="0.2">
      <c r="A30" s="7" t="s">
        <v>245</v>
      </c>
      <c r="B30" s="10" t="s">
        <v>188</v>
      </c>
      <c r="F30" s="203"/>
      <c r="G30" s="203"/>
      <c r="H30" s="203"/>
      <c r="I30" s="203"/>
      <c r="J30" s="203"/>
      <c r="K30" s="203"/>
      <c r="L30" s="205"/>
      <c r="V30" s="444" t="str">
        <f ca="1"/>
        <v xml:space="preserve">ART/RRT: </v>
      </c>
    </row>
  </sheetData>
  <sheetProtection algorithmName="SHA-512" hashValue="rMl7K7iHERWAZr4PuEPwYhHkznn+aUnYGkN6UHoTMufvGtV2pLrXxok246YXtDDuf1X4w69LNIVufBOe8VV3ew==" saltValue="r5tHW7C4bLRg3qvTG9NUmw==" spinCount="100000" sheet="1" objects="1" scenarios="1" autoFilter="0"/>
  <autoFilter ref="A13:A30" xr:uid="{00000000-0001-0000-0800-000000000000}"/>
  <mergeCells count="73">
    <mergeCell ref="B12:B13"/>
    <mergeCell ref="C12:C13"/>
    <mergeCell ref="AC4:AE4"/>
    <mergeCell ref="B6:D6"/>
    <mergeCell ref="G6:I6"/>
    <mergeCell ref="J6:L6"/>
    <mergeCell ref="B7:D7"/>
    <mergeCell ref="G7:I7"/>
    <mergeCell ref="J7:L7"/>
    <mergeCell ref="M7:AE7"/>
    <mergeCell ref="H19:I19"/>
    <mergeCell ref="J19:K19"/>
    <mergeCell ref="L19:M19"/>
    <mergeCell ref="N19:O19"/>
    <mergeCell ref="P19:Q19"/>
    <mergeCell ref="R19:S19"/>
    <mergeCell ref="T19:U19"/>
    <mergeCell ref="V19:W19"/>
    <mergeCell ref="X19:Y19"/>
    <mergeCell ref="Z19:AA19"/>
    <mergeCell ref="AB19:AC19"/>
    <mergeCell ref="AD19:AE19"/>
    <mergeCell ref="C20:C21"/>
    <mergeCell ref="H20:I20"/>
    <mergeCell ref="J20:K20"/>
    <mergeCell ref="L20:M20"/>
    <mergeCell ref="N20:O20"/>
    <mergeCell ref="P20:Q20"/>
    <mergeCell ref="R20:S20"/>
    <mergeCell ref="T20:U20"/>
    <mergeCell ref="V20:W20"/>
    <mergeCell ref="X20:Y20"/>
    <mergeCell ref="Z20:AA20"/>
    <mergeCell ref="AB20:AC20"/>
    <mergeCell ref="AD20:AE20"/>
    <mergeCell ref="H21:I21"/>
    <mergeCell ref="J21:K21"/>
    <mergeCell ref="L21:M21"/>
    <mergeCell ref="N21:O21"/>
    <mergeCell ref="P21:Q21"/>
    <mergeCell ref="R21:S21"/>
    <mergeCell ref="T21:U21"/>
    <mergeCell ref="V21:W21"/>
    <mergeCell ref="X21:Y21"/>
    <mergeCell ref="Z21:AA21"/>
    <mergeCell ref="AB21:AC21"/>
    <mergeCell ref="AD21:AE21"/>
    <mergeCell ref="C22:C23"/>
    <mergeCell ref="H22:I22"/>
    <mergeCell ref="J22:K22"/>
    <mergeCell ref="L22:M22"/>
    <mergeCell ref="N22:O22"/>
    <mergeCell ref="P22:Q22"/>
    <mergeCell ref="R22:S22"/>
    <mergeCell ref="T22:U22"/>
    <mergeCell ref="V22:W22"/>
    <mergeCell ref="X22:Y22"/>
    <mergeCell ref="Z22:AA22"/>
    <mergeCell ref="AB22:AC22"/>
    <mergeCell ref="AD22:AE22"/>
    <mergeCell ref="H23:I23"/>
    <mergeCell ref="J23:K23"/>
    <mergeCell ref="AD23:AE23"/>
    <mergeCell ref="L23:M23"/>
    <mergeCell ref="N23:O23"/>
    <mergeCell ref="P23:Q23"/>
    <mergeCell ref="R23:S23"/>
    <mergeCell ref="T23:U23"/>
    <mergeCell ref="B29:C29"/>
    <mergeCell ref="V23:W23"/>
    <mergeCell ref="X23:Y23"/>
    <mergeCell ref="Z23:AA23"/>
    <mergeCell ref="AB23:AC23"/>
  </mergeCells>
  <phoneticPr fontId="38" type="noConversion"/>
  <conditionalFormatting sqref="E1 G1:AE1">
    <cfRule type="expression" dxfId="82" priority="254" stopIfTrue="1">
      <formula>IF(OR(E$12&gt;CÁLCULO.NúmeroDeFrentes,ACOMPANHAMENTO="BM"),TRUE,CRONOPLE.ValorDoEvento=0)</formula>
    </cfRule>
  </conditionalFormatting>
  <conditionalFormatting sqref="U6:Y6">
    <cfRule type="expression" dxfId="81" priority="144" stopIfTrue="1">
      <formula>QCI.ExisteManual</formula>
    </cfRule>
  </conditionalFormatting>
  <conditionalFormatting sqref="J19:AE19">
    <cfRule type="expression" dxfId="80" priority="143" stopIfTrue="1">
      <formula>OFFSET(J19,3,-2)=1</formula>
    </cfRule>
  </conditionalFormatting>
  <conditionalFormatting sqref="J20:AE20">
    <cfRule type="expression" dxfId="79" priority="138" stopIfTrue="1">
      <formula>OFFSET(J20,2,-2)=1</formula>
    </cfRule>
  </conditionalFormatting>
  <conditionalFormatting sqref="J21:AE21">
    <cfRule type="expression" dxfId="78" priority="137" stopIfTrue="1">
      <formula>OFFSET(J21,1,-2)=1</formula>
    </cfRule>
  </conditionalFormatting>
  <conditionalFormatting sqref="J22:AE22">
    <cfRule type="expression" dxfId="77" priority="136" stopIfTrue="1">
      <formula>OFFSET(J22,0,-2)=1</formula>
    </cfRule>
  </conditionalFormatting>
  <conditionalFormatting sqref="J23:AE23">
    <cfRule type="expression" dxfId="76" priority="135" stopIfTrue="1">
      <formula>OFFSET(J23,-1,-2)=1</formula>
    </cfRule>
  </conditionalFormatting>
  <conditionalFormatting sqref="E16 G16:AE16">
    <cfRule type="expression" dxfId="75" priority="22" stopIfTrue="1">
      <formula>IF(OR(E$12&gt;CÁLCULO.NúmeroDeFrentes,ACOMPANHAMENTO="BM"),TRUE,CRONOPLE.ValorDoEvento=0)</formula>
    </cfRule>
  </conditionalFormatting>
  <dataValidations count="1">
    <dataValidation type="whole" operator="greaterThan" allowBlank="1" showErrorMessage="1" sqref="G8:AE8 U4:AA5 E1:E8 AC5:AC6 JY5:JY6 TU5:TU6 ADQ5:ADQ6 ANM5:ANM6 AXI5:AXI6 BHE5:BHE6 BRA5:BRA6 CAW5:CAW6 CKS5:CKS6 CUO5:CUO6 DEK5:DEK6 DOG5:DOG6 DYC5:DYC6 EHY5:EHY6 ERU5:ERU6 FBQ5:FBQ6 FLM5:FLM6 FVI5:FVI6 GFE5:GFE6 GPA5:GPA6 GYW5:GYW6 HIS5:HIS6 HSO5:HSO6 ICK5:ICK6 IMG5:IMG6 IWC5:IWC6 JFY5:JFY6 JPU5:JPU6 JZQ5:JZQ6 KJM5:KJM6 KTI5:KTI6 LDE5:LDE6 LNA5:LNA6 LWW5:LWW6 MGS5:MGS6 MQO5:MQO6 NAK5:NAK6 NKG5:NKG6 NUC5:NUC6 ODY5:ODY6 ONU5:ONU6 OXQ5:OXQ6 PHM5:PHM6 PRI5:PRI6 QBE5:QBE6 QLA5:QLA6 QUW5:QUW6 RES5:RES6 ROO5:ROO6 RYK5:RYK6 SIG5:SIG6 SSC5:SSC6 TBY5:TBY6 TLU5:TLU6 TVQ5:TVQ6 UFM5:UFM6 UPI5:UPI6 UZE5:UZE6 VJA5:VJA6 VSW5:VSW6 WCS5:WCS6 WMO5:WMO6 WWK5:WWK6 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Z6:AA6 WVP4:WVZ5 WLT4:WMD5 WBX4:WCH5 VSB4:VSL5 VIF4:VIP5 UYJ4:UYT5 UON4:UOX5 UER4:UFB5 TUV4:TVF5 TKZ4:TLJ5 TBD4:TBN5 SRH4:SRR5 SHL4:SHV5 RXP4:RXZ5 RNT4:ROD5 RDX4:REH5 QUB4:QUL5 QKF4:QKP5 QAJ4:QAT5 PQN4:PQX5 PGR4:PHB5 OWV4:OXF5 OMZ4:ONJ5 ODD4:ODN5 NTH4:NTR5 NJL4:NJV5 MZP4:MZZ5 MPT4:MQD5 MFX4:MGH5 LWB4:LWL5 LMF4:LMP5 LCJ4:LCT5 KSN4:KSX5 KIR4:KJB5 JYV4:JZF5 JOZ4:JPJ5 JFD4:JFN5 IVH4:IVR5 ILL4:ILV5 IBP4:IBZ5 HRT4:HSD5 HHX4:HIH5 GYB4:GYL5 GOF4:GOP5 GEJ4:GET5 FUN4:FUX5 FKR4:FLB5 FAV4:FBF5 EQZ4:ERJ5 EHD4:EHN5 DXH4:DXR5 DNL4:DNV5 DDP4:DDZ5 CTT4:CUD5 CJX4:CKH5 CAB4:CAL5 BQF4:BQP5 BGJ4:BGT5 AWN4:AWX5 AMR4:ANB5 ACV4:ADF5 SZ4:TJ5 JD4:JN5 H4:R5 WWJ4:WWJ6 WMN4:WMN6 WCR4:WCR6 VSV4:VSV6 VIZ4:VIZ6 UZD4:UZD6 UPH4:UPH6 UFL4:UFL6 TVP4:TVP6 TLT4:TLT6 TBX4:TBX6 SSB4:SSB6 SIF4:SIF6 RYJ4:RYJ6 RON4:RON6 RER4:RER6 QUV4:QUV6 QKZ4:QKZ6 QBD4:QBD6 PRH4:PRH6 PHL4:PHL6 OXP4:OXP6 ONT4:ONT6 ODX4:ODX6 NUB4:NUB6 NKF4:NKF6 NAJ4:NAJ6 MQN4:MQN6 MGR4:MGR6 LWV4:LWV6 LMZ4:LMZ6 LDD4:LDD6 KTH4:KTH6 KJL4:KJL6 JZP4:JZP6 JPT4:JPT6 JFX4:JFX6 IWB4:IWB6 IMF4:IMF6 ICJ4:ICJ6 HSN4:HSN6 HIR4:HIR6 GYV4:GYV6 GOZ4:GOZ6 GFD4:GFD6 FVH4:FVH6 FLL4:FLL6 FBP4:FBP6 ERT4:ERT6 EHX4:EHX6 DYB4:DYB6 DOF4:DOF6 DEJ4:DEJ6 CUN4:CUN6 CKR4:CKR6 CAV4:CAV6 BQZ4:BQZ6 BHD4:BHD6 AXH4:AXH6 ANL4:ANL6 ADP4:ADP6 TT4:TT6 JX4:JX6 AB4:AB6 WVM4:WVM7 WLQ4:WLQ7 WBU4:WBU7 VRY4:VRY7 VIC4:VIC7 UYG4:UYG7 UOK4:UOK7 UEO4:UEO7 TUS4:TUS7 TKW4:TKW7 TBA4:TBA7 SRE4:SRE7 SHI4:SHI7 RXM4:RXM7 RNQ4:RNQ7 RDU4:RDU7 QTY4:QTY7 QKC4:QKC7 QAG4:QAG7 PQK4:PQK7 PGO4:PGO7 OWS4:OWS7 OMW4:OMW7 ODA4:ODA7 NTE4:NTE7 NJI4:NJI7 MZM4:MZM7 MPQ4:MPQ7 MFU4:MFU7 LVY4:LVY7 LMC4:LMC7 LCG4:LCG7 KSK4:KSK7 KIO4:KIO7 JYS4:JYS7 JOW4:JOW7 JFA4:JFA7 IVE4:IVE7 ILI4:ILI7 IBM4:IBM7 HRQ4:HRQ7 HHU4:HHU7 GXY4:GXY7 GOC4:GOC7 GEG4:GEG7 FUK4:FUK7 FKO4:FKO7 FAS4:FAS7 EQW4:EQW7 EHA4:EHA7 DXE4:DXE7 DNI4:DNI7 DDM4:DDM7 CTQ4:CTQ7 CJU4:CJU7 BZY4:BZY7 BQC4:BQC7 BGG4:BGG7 AWK4:AWK7 AMO4:AMO7 ACS4:ACS7 SW4:SW7 JA4:JA7 WWA4:WWB6 WME4:WMF6 WCI4:WCJ6 VSM4:VSN6 VIQ4:VIR6 UYU4:UYV6 UOY4:UOZ6 UFC4:UFD6 TVG4:TVH6 TLK4:TLL6 TBO4:TBP6 SRS4:SRT6 SHW4:SHX6 RYA4:RYB6 ROE4:ROF6 REI4:REJ6 QUM4:QUN6 QKQ4:QKR6 QAU4:QAV6 PQY4:PQZ6 PHC4:PHD6 OXG4:OXH6 ONK4:ONL6 ODO4:ODP6 NTS4:NTT6 NJW4:NJX6 NAA4:NAB6 MQE4:MQF6 MGI4:MGJ6 LWM4:LWN6 LMQ4:LMR6 LCU4:LCV6 KSY4:KSZ6 KJC4:KJD6 JZG4:JZH6 JPK4:JPL6 JFO4:JFP6 IVS4:IVT6 ILW4:ILX6 ICA4:ICB6 HSE4:HSF6 HII4:HIJ6 GYM4:GYN6 GOQ4:GOR6 GEU4:GEV6 FUY4:FUZ6 FLC4:FLD6 FBG4:FBH6 ERK4:ERL6 EHO4:EHP6 DXS4:DXT6 DNW4:DNX6 DEA4:DEB6 CUE4:CUF6 CKI4:CKJ6 CAM4:CAN6 BQQ4:BQR6 BGU4:BGV6 AWY4:AWZ6 ANC4:AND6 ADG4:ADH6 TK4:TL6 JO4:JP6 S4:T6 WWC4:WWI5 WMG4:WMM5 WCK4:WCQ5 VSO4:VSU5 VIS4:VIY5 UYW4:UZC5 UPA4:UPG5 UFE4:UFK5 TVI4:TVO5 TLM4:TLS5 TBQ4:TBW5 SRU4:SSA5 SHY4:SIE5 RYC4:RYI5 ROG4:ROM5 REK4:REQ5 QUO4:QUU5 QKS4:QKY5 QAW4:QBC5 PRA4:PRG5 PHE4:PHK5 OXI4:OXO5 ONM4:ONS5 ODQ4:ODW5 NTU4:NUA5 NJY4:NKE5 NAC4:NAI5 MQG4:MQM5 MGK4:MGQ5 LWO4:LWU5 LMS4:LMY5 LCW4:LDC5 KTA4:KTG5 KJE4:KJK5 JZI4:JZO5 JPM4:JPS5 JFQ4:JFW5 IVU4:IWA5 ILY4:IME5 ICC4:ICI5 HSG4:HSM5 HIK4:HIQ5 GYO4:GYU5 GOS4:GOY5 GEW4:GFC5 FVA4:FVG5 FLE4:FLK5 FBI4:FBO5 ERM4:ERS5 EHQ4:EHW5 DXU4:DYA5 DNY4:DOE5 DEC4:DEI5 CUG4:CUM5 CKK4:CKQ5 CAO4:CAU5 BQS4:BQY5 BGW4:BHC5 AXA4:AXG5 ANE4:ANK5 ADI4:ADO5 TM4:TS5 JQ4:JW5 G1:AE3 E16 G16:AE16" xr:uid="{00000000-0002-0000-0800-000000000000}">
      <formula1>0</formula1>
      <formula2>0</formula2>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&amp;LPMv3.07&amp;R&amp;P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F33"/>
  <sheetViews>
    <sheetView showGridLines="0" zoomScaleNormal="100" zoomScaleSheetLayoutView="90" workbookViewId="0">
      <pane xSplit="19" ySplit="13" topLeftCell="T14" activePane="bottomRight" state="frozen"/>
      <selection activeCell="F4" sqref="F4"/>
      <selection pane="topRight" activeCell="T4" sqref="T4"/>
      <selection pane="bottomLeft" activeCell="F14" sqref="F14"/>
      <selection pane="bottomRight" activeCell="V33" sqref="V33"/>
    </sheetView>
  </sheetViews>
  <sheetFormatPr defaultColWidth="9.140625" defaultRowHeight="12.75" x14ac:dyDescent="0.2"/>
  <cols>
    <col min="1" max="3" width="9.140625" style="203" hidden="1" customWidth="1"/>
    <col min="4" max="4" width="11" style="204" hidden="1" customWidth="1"/>
    <col min="5" max="5" width="19" style="203" hidden="1" customWidth="1"/>
    <col min="6" max="6" width="3.7109375" style="204" customWidth="1"/>
    <col min="7" max="7" width="12.7109375" style="203" customWidth="1"/>
    <col min="8" max="8" width="7.140625" style="204" customWidth="1"/>
    <col min="9" max="9" width="11.7109375" style="204" customWidth="1"/>
    <col min="10" max="10" width="12" style="204" customWidth="1"/>
    <col min="11" max="11" width="11" style="204" customWidth="1"/>
    <col min="12" max="17" width="9.140625" style="203" hidden="1" customWidth="1"/>
    <col min="18" max="18" width="11.42578125" style="205" customWidth="1"/>
    <col min="19" max="19" width="9.7109375" style="205" customWidth="1"/>
    <col min="20" max="31" width="11" style="204" customWidth="1"/>
    <col min="32" max="32" width="0.140625" style="204" hidden="1" customWidth="1"/>
    <col min="33" max="16384" width="9.140625" style="204"/>
  </cols>
  <sheetData>
    <row r="1" spans="1:32" hidden="1" x14ac:dyDescent="0.2">
      <c r="A1" s="203" t="e">
        <f ca="1">OFFSET(A1,-3,0)+1</f>
        <v>#REF!</v>
      </c>
      <c r="B1" s="203" t="e">
        <f ca="1">IF($Q1&lt;&gt;2,0,IF($R1=0,1,IF(E2&gt;0,OFFSET(QCI!$M$13,SUBSTITUTE(E2,".",""),0),OFFSET(ORÇAMENTO!$AA$15,CRONO!$E1,0))/$R1))</f>
        <v>#REF!</v>
      </c>
      <c r="C1" s="203" t="e">
        <f ca="1">IF($Q1&lt;&gt;2,0,IF($R1=0,1,IF(E2&gt;0,OFFSET(QCI!$N$13,SUBSTITUTE(E2,".",""),0),OFFSET(ORÇAMENTO!$AB$15,CRONO!$E1,0))/$R1))</f>
        <v>#REF!</v>
      </c>
      <c r="D1" s="206" t="e">
        <f ca="1">IF(AND($Q1=2,ACOMPANHAMENTO="BM"),D2,D3/$R1)</f>
        <v>#REF!</v>
      </c>
      <c r="E1" s="203" t="e">
        <f ca="1">IF(A1&lt;=ORÇAMENTO.MáximoListaCrono,MATCH(A1,ORÇAMENTO.ListaCrono,0),NA())</f>
        <v>#REF!</v>
      </c>
      <c r="F1" s="203" t="e">
        <f ca="1">IF(AND($E2&lt;&gt;-1,$R1&gt;0),"F","")</f>
        <v>#REF!</v>
      </c>
      <c r="G1" s="207" t="e">
        <f ca="1">IF(OR(R1=0,R1=""),"Linha",IF(AND(OR(ACOMPANHAMENTO="PLE",$Q1&lt;&gt;2),$E2=0),"Linha",1-SUM(T1:AF1)))</f>
        <v>#REF!</v>
      </c>
      <c r="H1" s="208" t="e">
        <f ca="1">IF($E2=0,OFFSET(ORÇAMENTO!O$15,$E1,0),IF($E2&lt;&gt;-1,OFFSET(QCI!$D$13,$E2,0),""))</f>
        <v>#REF!</v>
      </c>
      <c r="I1" s="209" t="e">
        <f ca="1">IF($E2=0,OFFSET(ORÇAMENTO!R$15,$E1,0),IF($E2&lt;&gt;-1,OFFSET(QCI!$G$13,$E2,0),""))</f>
        <v>#REF!</v>
      </c>
      <c r="J1" s="209"/>
      <c r="K1" s="209"/>
      <c r="L1" s="210" t="e">
        <f ca="1">IF($E2=0,OFFSET(ORÇAMENTO!C$15,$E1,0),1)</f>
        <v>#REF!</v>
      </c>
      <c r="M1" s="211" t="e">
        <f ca="1">IF($E2=-1,0,IF(M$13&lt;=$L1,IF(ISERROR(MATCH(M$13,OFFSET($L1,1,0,ROW($L$17)-ROW($L1)-1),0)),ROW($L$17)-ROW($L1)-1,MATCH(M$13,OFFSET($L1,1,0,ROW($L$17)-ROW($L1)-1),0)-1),0))</f>
        <v>#REF!</v>
      </c>
      <c r="N1" s="211" t="e">
        <f ca="1">IF($E2=-1,0,IF(N$13&lt;=$L1,IF(ISERROR(MATCH(N$13,OFFSET($L1,1,0,ROW($L$17)-ROW($L1)-1),0)),ROW($L$17)-ROW($L1)-1,MATCH(N$13,OFFSET($L1,1,0,ROW($L$17)-ROW($L1)-1),0)-1),0))</f>
        <v>#REF!</v>
      </c>
      <c r="O1" s="211" t="e">
        <f ca="1">IF($E2=-1,0,IF(O$13&lt;=$L1,IF(ISERROR(MATCH(O$13,OFFSET($L1,1,0,ROW($L$17)-ROW($L1)-1),0)),ROW($L$17)-ROW($L1)-1,MATCH(O$13,OFFSET($L1,1,0,ROW($L$17)-ROW($L1)-1),0)-1),0))</f>
        <v>#REF!</v>
      </c>
      <c r="P1" s="211" t="e">
        <f ca="1">IF($E2=-1,0,IF(P$13&lt;=$L1,IF(ISERROR(MATCH(P$13,OFFSET($L1,1,0,ROW($L$17)-ROW($L1)-1),0)),ROW($L$17)-ROW($L1)-1,MATCH(P$13,OFFSET($L1,1,0,ROW($L$17)-ROW($L1)-1),0)-1),0))</f>
        <v>#REF!</v>
      </c>
      <c r="Q1" s="211" t="e">
        <f ca="1">MIN(OFFSET(L1,0,1,,L1))</f>
        <v>#REF!</v>
      </c>
      <c r="R1" s="212" t="e">
        <f ca="1">IF($E2=0,OFFSET(ORÇAMENTO!X$15,$E1,0),IF($E2&lt;&gt;-1,OFFSET(QCI!$O$13,$E2,0),""))</f>
        <v>#REF!</v>
      </c>
      <c r="S1" s="213" t="s">
        <v>268</v>
      </c>
      <c r="T1" s="214" t="e">
        <f t="shared" ref="T1:AE1" ca="1" si="0">IF(AND($Q1=2,ACOMPANHAMENTO="BM"),T2,T3/$R1)</f>
        <v>#REF!</v>
      </c>
      <c r="U1" s="206" t="e">
        <f t="shared" ca="1" si="0"/>
        <v>#REF!</v>
      </c>
      <c r="V1" s="206" t="e">
        <f t="shared" ca="1" si="0"/>
        <v>#REF!</v>
      </c>
      <c r="W1" s="206" t="e">
        <f t="shared" ca="1" si="0"/>
        <v>#REF!</v>
      </c>
      <c r="X1" s="206" t="e">
        <f t="shared" ca="1" si="0"/>
        <v>#REF!</v>
      </c>
      <c r="Y1" s="206" t="e">
        <f t="shared" ca="1" si="0"/>
        <v>#REF!</v>
      </c>
      <c r="Z1" s="206" t="e">
        <f t="shared" ca="1" si="0"/>
        <v>#REF!</v>
      </c>
      <c r="AA1" s="206" t="e">
        <f t="shared" ca="1" si="0"/>
        <v>#REF!</v>
      </c>
      <c r="AB1" s="206" t="e">
        <f t="shared" ca="1" si="0"/>
        <v>#REF!</v>
      </c>
      <c r="AC1" s="206" t="e">
        <f t="shared" ca="1" si="0"/>
        <v>#REF!</v>
      </c>
      <c r="AD1" s="206" t="e">
        <f t="shared" ca="1" si="0"/>
        <v>#REF!</v>
      </c>
      <c r="AE1" s="215" t="e">
        <f t="shared" ca="1" si="0"/>
        <v>#REF!</v>
      </c>
    </row>
    <row r="2" spans="1:32" ht="12.75" hidden="1" customHeight="1" x14ac:dyDescent="0.2">
      <c r="D2" s="546"/>
      <c r="E2" s="203" t="e">
        <f ca="1">IF(ISERROR(E1),IF(1+COUNTIF($L$13:OFFSET(L1,-1,0),1)&lt;=MAX(QCI!$D$13:$D$24),1+COUNTIF($L$13:OFFSET(L1,-1,0),1),-1),0)</f>
        <v>#REF!</v>
      </c>
      <c r="F2" s="203" t="e">
        <f ca="1">IF(AND($E2&lt;&gt;-1,$R1&gt;0),"F","")</f>
        <v>#REF!</v>
      </c>
      <c r="G2" s="216" t="e">
        <f ca="1">IF(OR(R1=0,R1=""),"vazia",IF(AND(OR(ACOMPANHAMENTO="PLE",$Q1&lt;&gt;2),$E2=0),"calculada","--&gt;"))</f>
        <v>#REF!</v>
      </c>
      <c r="H2" s="217"/>
      <c r="I2" s="218" t="e">
        <f ca="1">IF(AND(G1&lt;&gt;0,ISNUMBER(G1)),"PREENCHA ESTA LINHA --&gt;","")</f>
        <v>#REF!</v>
      </c>
      <c r="J2" s="218"/>
      <c r="K2" s="218"/>
      <c r="L2" s="219"/>
      <c r="M2" s="219"/>
      <c r="N2" s="219"/>
      <c r="O2" s="219"/>
      <c r="P2" s="219"/>
      <c r="Q2" s="219"/>
      <c r="R2" s="220"/>
      <c r="S2" s="221"/>
      <c r="T2" s="547"/>
      <c r="U2" s="546"/>
      <c r="V2" s="546"/>
      <c r="W2" s="546"/>
      <c r="X2" s="546"/>
      <c r="Y2" s="546"/>
      <c r="Z2" s="546"/>
      <c r="AA2" s="546"/>
      <c r="AB2" s="546"/>
      <c r="AC2" s="546"/>
      <c r="AD2" s="546"/>
      <c r="AE2" s="548"/>
      <c r="AF2" s="511"/>
    </row>
    <row r="3" spans="1:32" ht="14.25" hidden="1" customHeight="1" x14ac:dyDescent="0.2">
      <c r="D3" s="222" t="e">
        <f ca="1">IF($Q1=2,IF(AND(ACOMPANHAMENTO="PLE",ISNUMBER($E1)),SUMIF((OFFSET(CÁLCULO!$BC$15:$BU$15,$E1,0,OFFSET(ORÇAMENTO!$D$15,CRONO!$E1,0))),"="&amp;CRONO!D$12,OFFSET(CÁLCULO!$AJ$15:$BB$15,$E1,0,OFFSET(ORÇAMENTO!$D$15,CRONO!$E1,0)))+IF(AND($E3&lt;&gt;"",$E3&lt;&gt;0),SUMIF(CÁLCULO!$BC$15:$BU$36,"="&amp;CRONO!D$12,CÁLCULO!$AJ$15:$BB$36)/(ORÇAMENTO!$X$15-CÁLCULO.TotalAdmLocal)*CRONO!$E3,0),D2*$R1),SUMIF(OFFSET($R3,1,0,$Q1-2),($L1+1)&amp;"$",OFFSET(D3,1,0,$Q1-2)))</f>
        <v>#REF!</v>
      </c>
      <c r="E3" s="203" t="e">
        <f ca="1">IF(OR($Q1&lt;&gt;2,AUTOEVENTO&lt;&gt;"manual",$E2&gt;0),"",SUMIF(OFFSET(CÁLCULO!$M$15,CRONO!$E1,0,OFFSET(ORÇAMENTO!$D$15,CRONO!$E1,0)),1,OFFSET(ORÇAMENTO!$X$15,CRONO!$E1,0,OFFSET(ORÇAMENTO!$D$15,CRONO!$E1,0))))</f>
        <v>#REF!</v>
      </c>
      <c r="G3" s="223"/>
      <c r="R3" s="224" t="e">
        <f ca="1">L1&amp;"$"</f>
        <v>#REF!</v>
      </c>
      <c r="S3" s="225"/>
      <c r="T3" s="226" t="e">
        <f ca="1">IF($Q1=2,IF(AND(ACOMPANHAMENTO="PLE",ISNUMBER($E1)),SUMIF((OFFSET(CÁLCULO!$BC$15:$BU$15,$E1,0,OFFSET(ORÇAMENTO!$D$15,CRONO!$E1,0))),"&lt;="&amp;CRONO!T$12,OFFSET(CÁLCULO!$AJ$15:$BB$15,$E1,0,OFFSET(ORÇAMENTO!$D$15,CRONO!$E1,0)))+IF(AND($E3&lt;&gt;"",$E3&lt;&gt;0),SUMIF(CÁLCULO!$BC$15:$BU$36,"&lt;="&amp;CRONO!T$12,CÁLCULO!$AJ$15:$BB$36)/(ORÇAMENTO!$X$15-CÁLCULO.TotalAdmLocal)*CRONO!$E3,0),T2*$R1),SUMIF(OFFSET($R3,1,0,$Q1-2),($L1+1)&amp;"$",OFFSET(T3,1,0,$Q1-2)))</f>
        <v>#REF!</v>
      </c>
      <c r="U3" s="222" t="e">
        <f ca="1">IF($Q1=2,IF(AND(ACOMPANHAMENTO="PLE",ISNUMBER($E1)),SUMIF((OFFSET(CÁLCULO!$BC$15:$BU$15,$E1,0,OFFSET(ORÇAMENTO!$D$15,CRONO!$E1,0))),"="&amp;CRONO!U$12,OFFSET(CÁLCULO!$AJ$15:$BB$15,$E1,0,OFFSET(ORÇAMENTO!$D$15,CRONO!$E1,0)))+IF(AND($E3&lt;&gt;"",$E3&lt;&gt;0),SUMIF(CÁLCULO!$BC$15:$BU$36,"="&amp;CRONO!U$12,CÁLCULO!$AJ$15:$BB$36)/(ORÇAMENTO!$X$15-CÁLCULO.TotalAdmLocal)*CRONO!$E3,0),U2*$R1),SUMIF(OFFSET($R3,1,0,$Q1-2),($L1+1)&amp;"$",OFFSET(U3,1,0,$Q1-2)))</f>
        <v>#REF!</v>
      </c>
      <c r="V3" s="222" t="e">
        <f ca="1">IF($Q1=2,IF(AND(ACOMPANHAMENTO="PLE",ISNUMBER($E1)),SUMIF((OFFSET(CÁLCULO!$BC$15:$BU$15,$E1,0,OFFSET(ORÇAMENTO!$D$15,CRONO!$E1,0))),"="&amp;CRONO!V$12,OFFSET(CÁLCULO!$AJ$15:$BB$15,$E1,0,OFFSET(ORÇAMENTO!$D$15,CRONO!$E1,0)))+IF(AND($E3&lt;&gt;"",$E3&lt;&gt;0),SUMIF(CÁLCULO!$BC$15:$BU$36,"="&amp;CRONO!V$12,CÁLCULO!$AJ$15:$BB$36)/(ORÇAMENTO!$X$15-CÁLCULO.TotalAdmLocal)*CRONO!$E3,0),V2*$R1),SUMIF(OFFSET($R3,1,0,$Q1-2),($L1+1)&amp;"$",OFFSET(V3,1,0,$Q1-2)))</f>
        <v>#REF!</v>
      </c>
      <c r="W3" s="222" t="e">
        <f ca="1">IF($Q1=2,IF(AND(ACOMPANHAMENTO="PLE",ISNUMBER($E1)),SUMIF((OFFSET(CÁLCULO!$BC$15:$BU$15,$E1,0,OFFSET(ORÇAMENTO!$D$15,CRONO!$E1,0))),"="&amp;CRONO!W$12,OFFSET(CÁLCULO!$AJ$15:$BB$15,$E1,0,OFFSET(ORÇAMENTO!$D$15,CRONO!$E1,0)))+IF(AND($E3&lt;&gt;"",$E3&lt;&gt;0),SUMIF(CÁLCULO!$BC$15:$BU$36,"="&amp;CRONO!W$12,CÁLCULO!$AJ$15:$BB$36)/(ORÇAMENTO!$X$15-CÁLCULO.TotalAdmLocal)*CRONO!$E3,0),W2*$R1),SUMIF(OFFSET($R3,1,0,$Q1-2),($L1+1)&amp;"$",OFFSET(W3,1,0,$Q1-2)))</f>
        <v>#REF!</v>
      </c>
      <c r="X3" s="222" t="e">
        <f ca="1">IF($Q1=2,IF(AND(ACOMPANHAMENTO="PLE",ISNUMBER($E1)),SUMIF((OFFSET(CÁLCULO!$BC$15:$BU$15,$E1,0,OFFSET(ORÇAMENTO!$D$15,CRONO!$E1,0))),"="&amp;CRONO!X$12,OFFSET(CÁLCULO!$AJ$15:$BB$15,$E1,0,OFFSET(ORÇAMENTO!$D$15,CRONO!$E1,0)))+IF(AND($E3&lt;&gt;"",$E3&lt;&gt;0),SUMIF(CÁLCULO!$BC$15:$BU$36,"="&amp;CRONO!X$12,CÁLCULO!$AJ$15:$BB$36)/(ORÇAMENTO!$X$15-CÁLCULO.TotalAdmLocal)*CRONO!$E3,0),X2*$R1),SUMIF(OFFSET($R3,1,0,$Q1-2),($L1+1)&amp;"$",OFFSET(X3,1,0,$Q1-2)))</f>
        <v>#REF!</v>
      </c>
      <c r="Y3" s="222" t="e">
        <f ca="1">IF($Q1=2,IF(AND(ACOMPANHAMENTO="PLE",ISNUMBER($E1)),SUMIF((OFFSET(CÁLCULO!$BC$15:$BU$15,$E1,0,OFFSET(ORÇAMENTO!$D$15,CRONO!$E1,0))),"="&amp;CRONO!Y$12,OFFSET(CÁLCULO!$AJ$15:$BB$15,$E1,0,OFFSET(ORÇAMENTO!$D$15,CRONO!$E1,0)))+IF(AND($E3&lt;&gt;"",$E3&lt;&gt;0),SUMIF(CÁLCULO!$BC$15:$BU$36,"="&amp;CRONO!Y$12,CÁLCULO!$AJ$15:$BB$36)/(ORÇAMENTO!$X$15-CÁLCULO.TotalAdmLocal)*CRONO!$E3,0),Y2*$R1),SUMIF(OFFSET($R3,1,0,$Q1-2),($L1+1)&amp;"$",OFFSET(Y3,1,0,$Q1-2)))</f>
        <v>#REF!</v>
      </c>
      <c r="Z3" s="222" t="e">
        <f ca="1">IF($Q1=2,IF(AND(ACOMPANHAMENTO="PLE",ISNUMBER($E1)),SUMIF((OFFSET(CÁLCULO!$BC$15:$BU$15,$E1,0,OFFSET(ORÇAMENTO!$D$15,CRONO!$E1,0))),"="&amp;CRONO!Z$12,OFFSET(CÁLCULO!$AJ$15:$BB$15,$E1,0,OFFSET(ORÇAMENTO!$D$15,CRONO!$E1,0)))+IF(AND($E3&lt;&gt;"",$E3&lt;&gt;0),SUMIF(CÁLCULO!$BC$15:$BU$36,"="&amp;CRONO!Z$12,CÁLCULO!$AJ$15:$BB$36)/(ORÇAMENTO!$X$15-CÁLCULO.TotalAdmLocal)*CRONO!$E3,0),Z2*$R1),SUMIF(OFFSET($R3,1,0,$Q1-2),($L1+1)&amp;"$",OFFSET(Z3,1,0,$Q1-2)))</f>
        <v>#REF!</v>
      </c>
      <c r="AA3" s="222" t="e">
        <f ca="1">IF($Q1=2,IF(AND(ACOMPANHAMENTO="PLE",ISNUMBER($E1)),SUMIF((OFFSET(CÁLCULO!$BC$15:$BU$15,$E1,0,OFFSET(ORÇAMENTO!$D$15,CRONO!$E1,0))),"="&amp;CRONO!AA$12,OFFSET(CÁLCULO!$AJ$15:$BB$15,$E1,0,OFFSET(ORÇAMENTO!$D$15,CRONO!$E1,0)))+IF(AND($E3&lt;&gt;"",$E3&lt;&gt;0),SUMIF(CÁLCULO!$BC$15:$BU$36,"="&amp;CRONO!AA$12,CÁLCULO!$AJ$15:$BB$36)/(ORÇAMENTO!$X$15-CÁLCULO.TotalAdmLocal)*CRONO!$E3,0),AA2*$R1),SUMIF(OFFSET($R3,1,0,$Q1-2),($L1+1)&amp;"$",OFFSET(AA3,1,0,$Q1-2)))</f>
        <v>#REF!</v>
      </c>
      <c r="AB3" s="222" t="e">
        <f ca="1">IF($Q1=2,IF(AND(ACOMPANHAMENTO="PLE",ISNUMBER($E1)),SUMIF((OFFSET(CÁLCULO!$BC$15:$BU$15,$E1,0,OFFSET(ORÇAMENTO!$D$15,CRONO!$E1,0))),"="&amp;CRONO!AB$12,OFFSET(CÁLCULO!$AJ$15:$BB$15,$E1,0,OFFSET(ORÇAMENTO!$D$15,CRONO!$E1,0)))+IF(AND($E3&lt;&gt;"",$E3&lt;&gt;0),SUMIF(CÁLCULO!$BC$15:$BU$36,"="&amp;CRONO!AB$12,CÁLCULO!$AJ$15:$BB$36)/(ORÇAMENTO!$X$15-CÁLCULO.TotalAdmLocal)*CRONO!$E3,0),AB2*$R1),SUMIF(OFFSET($R3,1,0,$Q1-2),($L1+1)&amp;"$",OFFSET(AB3,1,0,$Q1-2)))</f>
        <v>#REF!</v>
      </c>
      <c r="AC3" s="222" t="e">
        <f ca="1">IF($Q1=2,IF(AND(ACOMPANHAMENTO="PLE",ISNUMBER($E1)),SUMIF((OFFSET(CÁLCULO!$BC$15:$BU$15,$E1,0,OFFSET(ORÇAMENTO!$D$15,CRONO!$E1,0))),"="&amp;CRONO!AC$12,OFFSET(CÁLCULO!$AJ$15:$BB$15,$E1,0,OFFSET(ORÇAMENTO!$D$15,CRONO!$E1,0)))+IF(AND($E3&lt;&gt;"",$E3&lt;&gt;0),SUMIF(CÁLCULO!$BC$15:$BU$36,"="&amp;CRONO!AC$12,CÁLCULO!$AJ$15:$BB$36)/(ORÇAMENTO!$X$15-CÁLCULO.TotalAdmLocal)*CRONO!$E3,0),AC2*$R1),SUMIF(OFFSET($R3,1,0,$Q1-2),($L1+1)&amp;"$",OFFSET(AC3,1,0,$Q1-2)))</f>
        <v>#REF!</v>
      </c>
      <c r="AD3" s="222" t="e">
        <f ca="1">IF($Q1=2,IF(AND(ACOMPANHAMENTO="PLE",ISNUMBER($E1)),SUMIF((OFFSET(CÁLCULO!$BC$15:$BU$15,$E1,0,OFFSET(ORÇAMENTO!$D$15,CRONO!$E1,0))),"="&amp;CRONO!AD$12,OFFSET(CÁLCULO!$AJ$15:$BB$15,$E1,0,OFFSET(ORÇAMENTO!$D$15,CRONO!$E1,0)))+IF(AND($E3&lt;&gt;"",$E3&lt;&gt;0),SUMIF(CÁLCULO!$BC$15:$BU$36,"="&amp;CRONO!AD$12,CÁLCULO!$AJ$15:$BB$36)/(ORÇAMENTO!$X$15-CÁLCULO.TotalAdmLocal)*CRONO!$E3,0),AD2*$R1),SUMIF(OFFSET($R3,1,0,$Q1-2),($L1+1)&amp;"$",OFFSET(AD3,1,0,$Q1-2)))</f>
        <v>#REF!</v>
      </c>
      <c r="AE3" s="227" t="e">
        <f ca="1">IF($Q1=2,IF(AND(ACOMPANHAMENTO="PLE",ISNUMBER($E1)),SUMIF((OFFSET(CÁLCULO!$BC$15:$BU$15,$E1,0,OFFSET(ORÇAMENTO!$D$15,CRONO!$E1,0))),"="&amp;CRONO!AE$12,OFFSET(CÁLCULO!$AJ$15:$BB$15,$E1,0,OFFSET(ORÇAMENTO!$D$15,CRONO!$E1,0)))+IF(AND($E3&lt;&gt;"",$E3&lt;&gt;0),SUMIF(CÁLCULO!$BC$15:$BU$36,"="&amp;CRONO!AE$12,CÁLCULO!$AJ$15:$BB$36)/(ORÇAMENTO!$X$15-CÁLCULO.TotalAdmLocal)*CRONO!$E3,0),AE2*$R1),SUMIF(OFFSET($R3,1,0,$Q1-2),($L1+1)&amp;"$",OFFSET(AE3,1,0,$Q1-2)))</f>
        <v>#REF!</v>
      </c>
    </row>
    <row r="4" spans="1:32" ht="15" customHeight="1" x14ac:dyDescent="0.25">
      <c r="R4" s="228" t="str">
        <f>IF(TIPOORCAMENTO="licitado","CFF - CRONOGRAMA FÍSICO-FINANCEIRO LICITADO","CFF - CRONOGRAMA FÍSICO-FINANCEIRO")</f>
        <v>CFF - CRONOGRAMA FÍSICO-FINANCEIRO</v>
      </c>
      <c r="AD4" s="626" t="s">
        <v>140</v>
      </c>
      <c r="AE4" s="626"/>
    </row>
    <row r="5" spans="1:32" ht="15" x14ac:dyDescent="0.2">
      <c r="R5" s="84" t="str">
        <f>import.recurso</f>
        <v>(SELECIONAR)</v>
      </c>
      <c r="AD5" s="627" t="s">
        <v>143</v>
      </c>
      <c r="AE5" s="627"/>
    </row>
    <row r="6" spans="1:32" ht="12.75" customHeight="1" x14ac:dyDescent="0.2"/>
    <row r="7" spans="1:32" ht="12.75" customHeight="1" x14ac:dyDescent="0.2">
      <c r="E7" s="229"/>
      <c r="G7" s="681" t="s">
        <v>269</v>
      </c>
      <c r="H7" s="230" t="s">
        <v>146</v>
      </c>
      <c r="I7" s="231"/>
      <c r="J7" s="232" t="s">
        <v>436</v>
      </c>
      <c r="K7" s="233" t="s">
        <v>270</v>
      </c>
      <c r="L7" s="204"/>
      <c r="M7" s="204"/>
      <c r="N7" s="204"/>
      <c r="S7" s="234"/>
      <c r="T7" s="230" t="s">
        <v>271</v>
      </c>
      <c r="X7" s="231"/>
      <c r="Y7" s="230" t="str">
        <f>IF(TIPOORCAMENTO="Licitado","NOME DA EMPRESA","DESCRIÇÃO DO LOTE")</f>
        <v>DESCRIÇÃO DO LOTE</v>
      </c>
      <c r="AE7" s="235" t="str">
        <f>IF(TIPOORCAMENTO="Licitado","Nº CTEF","")</f>
        <v/>
      </c>
    </row>
    <row r="8" spans="1:32" x14ac:dyDescent="0.2">
      <c r="D8" s="203"/>
      <c r="E8" s="116"/>
      <c r="F8" s="615" t="s">
        <v>208</v>
      </c>
      <c r="G8" s="681"/>
      <c r="H8" s="679">
        <f>Import.CR</f>
        <v>0</v>
      </c>
      <c r="I8" s="679"/>
      <c r="J8" s="236">
        <f>Import.TransfereGOV</f>
        <v>0</v>
      </c>
      <c r="K8" s="678" t="str">
        <f>Import.Proponente</f>
        <v>Secretario Diego Salini</v>
      </c>
      <c r="L8" s="678"/>
      <c r="M8" s="678"/>
      <c r="N8" s="678"/>
      <c r="O8" s="678"/>
      <c r="P8" s="678"/>
      <c r="Q8" s="678"/>
      <c r="R8" s="678"/>
      <c r="S8" s="678"/>
      <c r="T8" s="679" t="str">
        <f>Import.Apelido</f>
        <v>ANEXO I TR - MANUTENÇÃO ABRIGO PASSAGEIROS ÔNIBUS E TÁXI</v>
      </c>
      <c r="U8" s="679"/>
      <c r="V8" s="679"/>
      <c r="W8" s="679"/>
      <c r="X8" s="679"/>
      <c r="Y8" s="675" t="str">
        <f>IF(TIPOORCAMENTO="Licitado",Import.empresa,Import.DescLote)</f>
        <v>REGISTRO DE PREÇOS PARA SERVIÇOS COMUNS DE ENGENHARIA P/ MANUTNEÇÃO ABRIGOS PASSAGEIROS ONIBUS TAXI</v>
      </c>
      <c r="Z8" s="675"/>
      <c r="AA8" s="675"/>
      <c r="AB8" s="675"/>
      <c r="AC8" s="675"/>
      <c r="AD8" s="675"/>
      <c r="AE8" s="223" t="str">
        <f>IF(TIPOORCAMENTO="Licitado",Import.CTEF,"")</f>
        <v/>
      </c>
    </row>
    <row r="9" spans="1:32" x14ac:dyDescent="0.2">
      <c r="E9" s="116"/>
      <c r="F9" s="615"/>
      <c r="G9" s="681"/>
    </row>
    <row r="10" spans="1:32" x14ac:dyDescent="0.2">
      <c r="E10" s="229"/>
      <c r="F10" s="615"/>
      <c r="G10" s="237">
        <v>1</v>
      </c>
      <c r="J10" s="680" t="str">
        <f ca="1">IF(MAX($A$13:$A$17)&lt;CRONO.LinhasNecessarias,"ERRO: NÚMERO DE LINHAS DO CRONOGRAMA INSUFICIENTE. CLIQUE EM ATUALIZAR LINHAS.",IF(AND(ACOMPANHAMENTO="PLE",ROUND(OFFSET($AF$27,0,-1),2)=0),"CRONOGRAMA DEVE SER PREENCHIDO POR EVENTOS",IF(ROUND(OFFSET($AF$27,0,-1),2)&lt;&gt;$Q$18,"ERRO: CRONOGRAMA NÃO FECHA 100%","")))</f>
        <v>CRONOGRAMA DEVE SER PREENCHIDO POR EVENTOS</v>
      </c>
      <c r="K10" s="680"/>
      <c r="L10" s="680"/>
      <c r="M10" s="680"/>
      <c r="N10" s="680"/>
      <c r="O10" s="680"/>
      <c r="P10" s="680"/>
      <c r="Q10" s="680"/>
      <c r="R10" s="680"/>
      <c r="S10" s="680"/>
    </row>
    <row r="11" spans="1:32" ht="12.75" customHeight="1" x14ac:dyDescent="0.2">
      <c r="F11" s="615"/>
      <c r="H11" s="238"/>
      <c r="I11" s="238"/>
      <c r="J11" s="680"/>
      <c r="K11" s="680"/>
      <c r="L11" s="680"/>
      <c r="M11" s="680"/>
      <c r="N11" s="680"/>
      <c r="O11" s="680"/>
      <c r="P11" s="680"/>
      <c r="Q11" s="680"/>
      <c r="R11" s="680"/>
      <c r="S11" s="680"/>
    </row>
    <row r="12" spans="1:32" ht="12.75" customHeight="1" x14ac:dyDescent="0.2">
      <c r="D12" s="239">
        <f ca="1">OFFSET(D12,0,-1)+1</f>
        <v>1</v>
      </c>
      <c r="F12" s="108" t="s">
        <v>216</v>
      </c>
      <c r="G12" s="683" t="s">
        <v>272</v>
      </c>
      <c r="H12" s="684" t="s">
        <v>230</v>
      </c>
      <c r="I12" s="685" t="s">
        <v>233</v>
      </c>
      <c r="J12" s="240"/>
      <c r="K12" s="240"/>
      <c r="L12" s="241"/>
      <c r="M12" s="241"/>
      <c r="N12" s="241"/>
      <c r="O12" s="241"/>
      <c r="P12" s="241"/>
      <c r="Q12" s="241"/>
      <c r="R12" s="676" t="s">
        <v>273</v>
      </c>
      <c r="S12" s="677" t="s">
        <v>274</v>
      </c>
      <c r="T12" s="242">
        <v>1</v>
      </c>
      <c r="U12" s="239">
        <f ca="1">OFFSET(U12,0,-1)+1</f>
        <v>2</v>
      </c>
      <c r="V12" s="239">
        <f t="shared" ref="V12:AE12" ca="1" si="1">OFFSET(V12,0,-1)+1</f>
        <v>3</v>
      </c>
      <c r="W12" s="239">
        <f t="shared" ca="1" si="1"/>
        <v>4</v>
      </c>
      <c r="X12" s="239">
        <f t="shared" ca="1" si="1"/>
        <v>5</v>
      </c>
      <c r="Y12" s="239">
        <f t="shared" ca="1" si="1"/>
        <v>6</v>
      </c>
      <c r="Z12" s="239">
        <f t="shared" ca="1" si="1"/>
        <v>7</v>
      </c>
      <c r="AA12" s="239">
        <f t="shared" ca="1" si="1"/>
        <v>8</v>
      </c>
      <c r="AB12" s="239">
        <f t="shared" ca="1" si="1"/>
        <v>9</v>
      </c>
      <c r="AC12" s="239">
        <f t="shared" ca="1" si="1"/>
        <v>10</v>
      </c>
      <c r="AD12" s="239">
        <f t="shared" ca="1" si="1"/>
        <v>11</v>
      </c>
      <c r="AE12" s="243">
        <f t="shared" ca="1" si="1"/>
        <v>12</v>
      </c>
    </row>
    <row r="13" spans="1:32" ht="24.95" customHeight="1" x14ac:dyDescent="0.2">
      <c r="A13" s="244" t="s">
        <v>275</v>
      </c>
      <c r="B13" s="244" t="s">
        <v>169</v>
      </c>
      <c r="C13" s="244" t="s">
        <v>276</v>
      </c>
      <c r="D13" s="245" t="e">
        <f ca="1">OFFSET(D13,0,-1)+41-DAY(OFFSET(D13,0,-1)+40)</f>
        <v>#VALUE!</v>
      </c>
      <c r="E13" s="244" t="s">
        <v>277</v>
      </c>
      <c r="G13" s="683"/>
      <c r="H13" s="684"/>
      <c r="I13" s="685"/>
      <c r="J13" s="246"/>
      <c r="K13" s="246"/>
      <c r="L13" s="247" t="s">
        <v>228</v>
      </c>
      <c r="M13" s="247">
        <v>1</v>
      </c>
      <c r="N13" s="247">
        <v>2</v>
      </c>
      <c r="O13" s="247">
        <v>3</v>
      </c>
      <c r="P13" s="247">
        <v>4</v>
      </c>
      <c r="Q13" s="248" t="s">
        <v>278</v>
      </c>
      <c r="R13" s="676"/>
      <c r="S13" s="677"/>
      <c r="T13" s="249">
        <v>46204</v>
      </c>
      <c r="U13" s="245">
        <f ca="1">OFFSET(U13,0,-1)+41-DAY(OFFSET(U13,0,-1)+40)</f>
        <v>46235</v>
      </c>
      <c r="V13" s="245">
        <f ca="1">OFFSET(V13,0,-1)+41-DAY(OFFSET(V13,0,-1)+40)</f>
        <v>46266</v>
      </c>
      <c r="W13" s="245">
        <f t="shared" ref="W13:AE13" ca="1" si="2">OFFSET(W13,0,-1)+41-DAY(OFFSET(W13,0,-1)+40)</f>
        <v>46296</v>
      </c>
      <c r="X13" s="245">
        <f t="shared" ca="1" si="2"/>
        <v>46327</v>
      </c>
      <c r="Y13" s="245">
        <f t="shared" ca="1" si="2"/>
        <v>46357</v>
      </c>
      <c r="Z13" s="245">
        <f t="shared" ca="1" si="2"/>
        <v>46388</v>
      </c>
      <c r="AA13" s="245">
        <f t="shared" ca="1" si="2"/>
        <v>46419</v>
      </c>
      <c r="AB13" s="245">
        <f t="shared" ca="1" si="2"/>
        <v>46447</v>
      </c>
      <c r="AC13" s="245">
        <f t="shared" ca="1" si="2"/>
        <v>46478</v>
      </c>
      <c r="AD13" s="245">
        <f t="shared" ca="1" si="2"/>
        <v>46508</v>
      </c>
      <c r="AE13" s="250">
        <f t="shared" ca="1" si="2"/>
        <v>46539</v>
      </c>
    </row>
    <row r="14" spans="1:32" x14ac:dyDescent="0.2">
      <c r="A14" s="203">
        <f t="shared" ref="A14" ca="1" si="3">OFFSET(A14,-3,0)+1</f>
        <v>1</v>
      </c>
      <c r="B14" s="203">
        <f ca="1">IF($Q14&lt;&gt;2,0,IF($R14=0,1,IF(E15&gt;0,OFFSET(QCI!$M$13,SUBSTITUTE(E15,".",""),0),OFFSET(ORÇAMENTO!$AA$15,CRONO!$E14,0))/$R14))</f>
        <v>1</v>
      </c>
      <c r="C14" s="203">
        <f ca="1">IF($Q14&lt;&gt;2,0,IF($R14=0,1,IF(E15&gt;0,OFFSET(QCI!$N$13,SUBSTITUTE(E15,".",""),0),OFFSET(ORÇAMENTO!$AB$15,CRONO!$E14,0))/$R14))</f>
        <v>1</v>
      </c>
      <c r="D14" s="206" t="e">
        <f ca="1">IF(AND($Q14=2,ACOMPANHAMENTO="BM"),D15,D16/$R14)</f>
        <v>#DIV/0!</v>
      </c>
      <c r="E14" s="203">
        <f ca="1">IF(A14&lt;=ORÇAMENTO.MáximoListaCrono,MATCH(A14,ORÇAMENTO.ListaCrono,0),NA())</f>
        <v>1</v>
      </c>
      <c r="F14" s="203" t="str">
        <f t="shared" ref="F14" ca="1" si="4">IF(AND($E15&lt;&gt;-1,$R14&gt;0),"F","")</f>
        <v/>
      </c>
      <c r="G14" s="207" t="str">
        <f ca="1">IF(OR(R14=0,R14=""),"Linha",IF(AND(OR(ACOMPANHAMENTO="PLE",$Q14&lt;&gt;2),$E15=0),"Linha",1-SUM(T14:AF14)))</f>
        <v>Linha</v>
      </c>
      <c r="H14" s="208" t="str">
        <f ca="1">IF($E15=0,OFFSET(ORÇAMENTO!O$15,$E14,0),IF($E15&lt;&gt;-1,OFFSET(QCI!$D$13,$E15,0),""))</f>
        <v>1.</v>
      </c>
      <c r="I14" s="209" t="str">
        <f ca="1">IF($E15=0,OFFSET(ORÇAMENTO!R$15,$E14,0),IF($E15&lt;&gt;-1,OFFSET(QCI!$G$13,$E15,0),""))</f>
        <v>Manutenção e Reparos Abrigos Passagerios Onibus e Táxi</v>
      </c>
      <c r="J14" s="209"/>
      <c r="K14" s="209"/>
      <c r="L14" s="210">
        <f ca="1">IF($E15=0,OFFSET(ORÇAMENTO!C$15,$E14,0),1)</f>
        <v>1</v>
      </c>
      <c r="M14" s="211">
        <f ca="1">IF($E15=-1,0,IF(M$13&lt;=$L14,IF(ISERROR(MATCH(M$13,OFFSET($L14,1,0,ROW($L$17)-ROW($L14)-1),0)),ROW($L$17)-ROW($L14)-1,MATCH(M$13,OFFSET($L14,1,0,ROW($L$17)-ROW($L14)-1),0)-1),0))</f>
        <v>2</v>
      </c>
      <c r="N14" s="211">
        <f ca="1">IF($E15=-1,0,IF(N$13&lt;=$L14,IF(ISERROR(MATCH(N$13,OFFSET($L14,1,0,ROW($L$17)-ROW($L14)-1),0)),ROW($L$17)-ROW($L14)-1,MATCH(N$13,OFFSET($L14,1,0,ROW($L$17)-ROW($L14)-1),0)-1),0))</f>
        <v>0</v>
      </c>
      <c r="O14" s="211">
        <f ca="1">IF($E15=-1,0,IF(O$13&lt;=$L14,IF(ISERROR(MATCH(O$13,OFFSET($L14,1,0,ROW($L$17)-ROW($L14)-1),0)),ROW($L$17)-ROW($L14)-1,MATCH(O$13,OFFSET($L14,1,0,ROW($L$17)-ROW($L14)-1),0)-1),0))</f>
        <v>0</v>
      </c>
      <c r="P14" s="211">
        <f ca="1">IF($E15=-1,0,IF(P$13&lt;=$L14,IF(ISERROR(MATCH(P$13,OFFSET($L14,1,0,ROW($L$17)-ROW($L14)-1),0)),ROW($L$17)-ROW($L14)-1,MATCH(P$13,OFFSET($L14,1,0,ROW($L$17)-ROW($L14)-1),0)-1),0))</f>
        <v>0</v>
      </c>
      <c r="Q14" s="211">
        <f t="shared" ref="Q14" ca="1" si="5">MIN(OFFSET(L14,0,1,,L14))</f>
        <v>2</v>
      </c>
      <c r="R14" s="212">
        <f ca="1">IF($E15=0,OFFSET(ORÇAMENTO!X$15,$E14,0),IF($E15&lt;&gt;-1,OFFSET(QCI!$O$13,$E15,0),""))</f>
        <v>0</v>
      </c>
      <c r="S14" s="213" t="s">
        <v>268</v>
      </c>
      <c r="T14" s="214" t="e">
        <f t="shared" ref="T14:AE14" ca="1" si="6">IF(AND($Q14=2,ACOMPANHAMENTO="BM"),T15,T16/$R14)</f>
        <v>#DIV/0!</v>
      </c>
      <c r="U14" s="206" t="e">
        <f t="shared" ca="1" si="6"/>
        <v>#DIV/0!</v>
      </c>
      <c r="V14" s="206" t="e">
        <f t="shared" ca="1" si="6"/>
        <v>#DIV/0!</v>
      </c>
      <c r="W14" s="206" t="e">
        <f t="shared" ca="1" si="6"/>
        <v>#DIV/0!</v>
      </c>
      <c r="X14" s="206" t="e">
        <f t="shared" ca="1" si="6"/>
        <v>#DIV/0!</v>
      </c>
      <c r="Y14" s="206" t="e">
        <f t="shared" ca="1" si="6"/>
        <v>#DIV/0!</v>
      </c>
      <c r="Z14" s="206" t="e">
        <f t="shared" ca="1" si="6"/>
        <v>#DIV/0!</v>
      </c>
      <c r="AA14" s="206" t="e">
        <f t="shared" ca="1" si="6"/>
        <v>#DIV/0!</v>
      </c>
      <c r="AB14" s="206" t="e">
        <f t="shared" ca="1" si="6"/>
        <v>#DIV/0!</v>
      </c>
      <c r="AC14" s="206" t="e">
        <f t="shared" ca="1" si="6"/>
        <v>#DIV/0!</v>
      </c>
      <c r="AD14" s="206" t="e">
        <f t="shared" ca="1" si="6"/>
        <v>#DIV/0!</v>
      </c>
      <c r="AE14" s="215" t="e">
        <f t="shared" ca="1" si="6"/>
        <v>#DIV/0!</v>
      </c>
    </row>
    <row r="15" spans="1:32" ht="12.75" customHeight="1" x14ac:dyDescent="0.2">
      <c r="D15" s="546"/>
      <c r="E15" s="203">
        <f ca="1">IF(ISERROR(E14),IF(1+COUNTIF($L$13:OFFSET(L14,-1,0),1)&lt;=MAX(QCI!$D$13:$D$24),1+COUNTIF($L$13:OFFSET(L14,-1,0),1),-1),0)</f>
        <v>0</v>
      </c>
      <c r="F15" s="203" t="str">
        <f t="shared" ref="F15" ca="1" si="7">IF(AND($E15&lt;&gt;-1,$R14&gt;0),"F","")</f>
        <v/>
      </c>
      <c r="G15" s="216" t="str">
        <f ca="1">IF(OR(R14=0,R14=""),"vazia",IF(AND(OR(ACOMPANHAMENTO="PLE",$Q14&lt;&gt;2),$E15=0),"calculada","--&gt;"))</f>
        <v>vazia</v>
      </c>
      <c r="H15" s="217"/>
      <c r="I15" s="218" t="str">
        <f t="shared" ref="I15" ca="1" si="8">IF(AND(G14&lt;&gt;0,ISNUMBER(G14)),"PREENCHA ESTA LINHA --&gt;","")</f>
        <v/>
      </c>
      <c r="J15" s="218"/>
      <c r="K15" s="218"/>
      <c r="L15" s="219"/>
      <c r="M15" s="219"/>
      <c r="N15" s="219"/>
      <c r="O15" s="219"/>
      <c r="P15" s="219"/>
      <c r="Q15" s="219"/>
      <c r="R15" s="220"/>
      <c r="S15" s="221"/>
      <c r="T15" s="547"/>
      <c r="U15" s="546"/>
      <c r="V15" s="546"/>
      <c r="W15" s="546"/>
      <c r="X15" s="546"/>
      <c r="Y15" s="546"/>
      <c r="Z15" s="546"/>
      <c r="AA15" s="546"/>
      <c r="AB15" s="546"/>
      <c r="AC15" s="546"/>
      <c r="AD15" s="546"/>
      <c r="AE15" s="548"/>
      <c r="AF15" s="511"/>
    </row>
    <row r="16" spans="1:32" ht="14.25" hidden="1" customHeight="1" x14ac:dyDescent="0.2">
      <c r="D16" s="222">
        <f ca="1">IF($Q14=2,IF(AND(ACOMPANHAMENTO="PLE",ISNUMBER($E14)),SUMIF((OFFSET(CÁLCULO!$BC$15:$BU$15,$E14,0,OFFSET(ORÇAMENTO!$D$15,CRONO!$E14,0))),"="&amp;CRONO!D$12,OFFSET(CÁLCULO!$AJ$15:$BB$15,$E14,0,OFFSET(ORÇAMENTO!$D$15,CRONO!$E14,0)))+IF(AND($E16&lt;&gt;"",$E16&lt;&gt;0),SUMIF(CÁLCULO!$BC$15:$BU$36,"="&amp;CRONO!D$12,CÁLCULO!$AJ$15:$BB$36)/(ORÇAMENTO!$X$15-CÁLCULO.TotalAdmLocal)*CRONO!$E16,0),D15*$R14),SUMIF(OFFSET($R16,1,0,$Q14-2),($L14+1)&amp;"$",OFFSET(D16,1,0,$Q14-2)))</f>
        <v>0</v>
      </c>
      <c r="E16" s="203" t="str">
        <f ca="1">IF(OR($Q14&lt;&gt;2,AUTOEVENTO&lt;&gt;"manual",$E15&gt;0),"",SUMIF(OFFSET(CÁLCULO!$M$15,CRONO!$E14,0,OFFSET(ORÇAMENTO!$D$15,CRONO!$E14,0)),1,OFFSET(ORÇAMENTO!$X$15,CRONO!$E14,0,OFFSET(ORÇAMENTO!$D$15,CRONO!$E14,0))))</f>
        <v/>
      </c>
      <c r="G16" s="223"/>
      <c r="R16" s="224" t="str">
        <f t="shared" ref="R16" ca="1" si="9">L14&amp;"$"</f>
        <v>1$</v>
      </c>
      <c r="S16" s="225"/>
      <c r="T16" s="226">
        <f ca="1">IF($Q14=2,IF(AND(ACOMPANHAMENTO="PLE",ISNUMBER($E14)),SUMIF((OFFSET(CÁLCULO!$BC$15:$BU$15,$E14,0,OFFSET(ORÇAMENTO!$D$15,CRONO!$E14,0))),"&lt;="&amp;CRONO!T$12,OFFSET(CÁLCULO!$AJ$15:$BB$15,$E14,0,OFFSET(ORÇAMENTO!$D$15,CRONO!$E14,0)))+IF(AND($E16&lt;&gt;"",$E16&lt;&gt;0),SUMIF(CÁLCULO!$BC$15:$BU$36,"&lt;="&amp;CRONO!T$12,CÁLCULO!$AJ$15:$BB$36)/(ORÇAMENTO!$X$15-CÁLCULO.TotalAdmLocal)*CRONO!$E16,0),T15*$R14),SUMIF(OFFSET($R16,1,0,$Q14-2),($L14+1)&amp;"$",OFFSET(T16,1,0,$Q14-2)))</f>
        <v>0</v>
      </c>
      <c r="U16" s="222">
        <f ca="1">IF($Q14=2,IF(AND(ACOMPANHAMENTO="PLE",ISNUMBER($E14)),SUMIF((OFFSET(CÁLCULO!$BC$15:$BU$15,$E14,0,OFFSET(ORÇAMENTO!$D$15,CRONO!$E14,0))),"="&amp;CRONO!U$12,OFFSET(CÁLCULO!$AJ$15:$BB$15,$E14,0,OFFSET(ORÇAMENTO!$D$15,CRONO!$E14,0)))+IF(AND($E16&lt;&gt;"",$E16&lt;&gt;0),SUMIF(CÁLCULO!$BC$15:$BU$36,"="&amp;CRONO!U$12,CÁLCULO!$AJ$15:$BB$36)/(ORÇAMENTO!$X$15-CÁLCULO.TotalAdmLocal)*CRONO!$E16,0),U15*$R14),SUMIF(OFFSET($R16,1,0,$Q14-2),($L14+1)&amp;"$",OFFSET(U16,1,0,$Q14-2)))</f>
        <v>0</v>
      </c>
      <c r="V16" s="222">
        <f ca="1">IF($Q14=2,IF(AND(ACOMPANHAMENTO="PLE",ISNUMBER($E14)),SUMIF((OFFSET(CÁLCULO!$BC$15:$BU$15,$E14,0,OFFSET(ORÇAMENTO!$D$15,CRONO!$E14,0))),"="&amp;CRONO!V$12,OFFSET(CÁLCULO!$AJ$15:$BB$15,$E14,0,OFFSET(ORÇAMENTO!$D$15,CRONO!$E14,0)))+IF(AND($E16&lt;&gt;"",$E16&lt;&gt;0),SUMIF(CÁLCULO!$BC$15:$BU$36,"="&amp;CRONO!V$12,CÁLCULO!$AJ$15:$BB$36)/(ORÇAMENTO!$X$15-CÁLCULO.TotalAdmLocal)*CRONO!$E16,0),V15*$R14),SUMIF(OFFSET($R16,1,0,$Q14-2),($L14+1)&amp;"$",OFFSET(V16,1,0,$Q14-2)))</f>
        <v>0</v>
      </c>
      <c r="W16" s="222">
        <f ca="1">IF($Q14=2,IF(AND(ACOMPANHAMENTO="PLE",ISNUMBER($E14)),SUMIF((OFFSET(CÁLCULO!$BC$15:$BU$15,$E14,0,OFFSET(ORÇAMENTO!$D$15,CRONO!$E14,0))),"="&amp;CRONO!W$12,OFFSET(CÁLCULO!$AJ$15:$BB$15,$E14,0,OFFSET(ORÇAMENTO!$D$15,CRONO!$E14,0)))+IF(AND($E16&lt;&gt;"",$E16&lt;&gt;0),SUMIF(CÁLCULO!$BC$15:$BU$36,"="&amp;CRONO!W$12,CÁLCULO!$AJ$15:$BB$36)/(ORÇAMENTO!$X$15-CÁLCULO.TotalAdmLocal)*CRONO!$E16,0),W15*$R14),SUMIF(OFFSET($R16,1,0,$Q14-2),($L14+1)&amp;"$",OFFSET(W16,1,0,$Q14-2)))</f>
        <v>0</v>
      </c>
      <c r="X16" s="222">
        <f ca="1">IF($Q14=2,IF(AND(ACOMPANHAMENTO="PLE",ISNUMBER($E14)),SUMIF((OFFSET(CÁLCULO!$BC$15:$BU$15,$E14,0,OFFSET(ORÇAMENTO!$D$15,CRONO!$E14,0))),"="&amp;CRONO!X$12,OFFSET(CÁLCULO!$AJ$15:$BB$15,$E14,0,OFFSET(ORÇAMENTO!$D$15,CRONO!$E14,0)))+IF(AND($E16&lt;&gt;"",$E16&lt;&gt;0),SUMIF(CÁLCULO!$BC$15:$BU$36,"="&amp;CRONO!X$12,CÁLCULO!$AJ$15:$BB$36)/(ORÇAMENTO!$X$15-CÁLCULO.TotalAdmLocal)*CRONO!$E16,0),X15*$R14),SUMIF(OFFSET($R16,1,0,$Q14-2),($L14+1)&amp;"$",OFFSET(X16,1,0,$Q14-2)))</f>
        <v>0</v>
      </c>
      <c r="Y16" s="222">
        <f ca="1">IF($Q14=2,IF(AND(ACOMPANHAMENTO="PLE",ISNUMBER($E14)),SUMIF((OFFSET(CÁLCULO!$BC$15:$BU$15,$E14,0,OFFSET(ORÇAMENTO!$D$15,CRONO!$E14,0))),"="&amp;CRONO!Y$12,OFFSET(CÁLCULO!$AJ$15:$BB$15,$E14,0,OFFSET(ORÇAMENTO!$D$15,CRONO!$E14,0)))+IF(AND($E16&lt;&gt;"",$E16&lt;&gt;0),SUMIF(CÁLCULO!$BC$15:$BU$36,"="&amp;CRONO!Y$12,CÁLCULO!$AJ$15:$BB$36)/(ORÇAMENTO!$X$15-CÁLCULO.TotalAdmLocal)*CRONO!$E16,0),Y15*$R14),SUMIF(OFFSET($R16,1,0,$Q14-2),($L14+1)&amp;"$",OFFSET(Y16,1,0,$Q14-2)))</f>
        <v>0</v>
      </c>
      <c r="Z16" s="222">
        <f ca="1">IF($Q14=2,IF(AND(ACOMPANHAMENTO="PLE",ISNUMBER($E14)),SUMIF((OFFSET(CÁLCULO!$BC$15:$BU$15,$E14,0,OFFSET(ORÇAMENTO!$D$15,CRONO!$E14,0))),"="&amp;CRONO!Z$12,OFFSET(CÁLCULO!$AJ$15:$BB$15,$E14,0,OFFSET(ORÇAMENTO!$D$15,CRONO!$E14,0)))+IF(AND($E16&lt;&gt;"",$E16&lt;&gt;0),SUMIF(CÁLCULO!$BC$15:$BU$36,"="&amp;CRONO!Z$12,CÁLCULO!$AJ$15:$BB$36)/(ORÇAMENTO!$X$15-CÁLCULO.TotalAdmLocal)*CRONO!$E16,0),Z15*$R14),SUMIF(OFFSET($R16,1,0,$Q14-2),($L14+1)&amp;"$",OFFSET(Z16,1,0,$Q14-2)))</f>
        <v>0</v>
      </c>
      <c r="AA16" s="222">
        <f ca="1">IF($Q14=2,IF(AND(ACOMPANHAMENTO="PLE",ISNUMBER($E14)),SUMIF((OFFSET(CÁLCULO!$BC$15:$BU$15,$E14,0,OFFSET(ORÇAMENTO!$D$15,CRONO!$E14,0))),"="&amp;CRONO!AA$12,OFFSET(CÁLCULO!$AJ$15:$BB$15,$E14,0,OFFSET(ORÇAMENTO!$D$15,CRONO!$E14,0)))+IF(AND($E16&lt;&gt;"",$E16&lt;&gt;0),SUMIF(CÁLCULO!$BC$15:$BU$36,"="&amp;CRONO!AA$12,CÁLCULO!$AJ$15:$BB$36)/(ORÇAMENTO!$X$15-CÁLCULO.TotalAdmLocal)*CRONO!$E16,0),AA15*$R14),SUMIF(OFFSET($R16,1,0,$Q14-2),($L14+1)&amp;"$",OFFSET(AA16,1,0,$Q14-2)))</f>
        <v>0</v>
      </c>
      <c r="AB16" s="222">
        <f ca="1">IF($Q14=2,IF(AND(ACOMPANHAMENTO="PLE",ISNUMBER($E14)),SUMIF((OFFSET(CÁLCULO!$BC$15:$BU$15,$E14,0,OFFSET(ORÇAMENTO!$D$15,CRONO!$E14,0))),"="&amp;CRONO!AB$12,OFFSET(CÁLCULO!$AJ$15:$BB$15,$E14,0,OFFSET(ORÇAMENTO!$D$15,CRONO!$E14,0)))+IF(AND($E16&lt;&gt;"",$E16&lt;&gt;0),SUMIF(CÁLCULO!$BC$15:$BU$36,"="&amp;CRONO!AB$12,CÁLCULO!$AJ$15:$BB$36)/(ORÇAMENTO!$X$15-CÁLCULO.TotalAdmLocal)*CRONO!$E16,0),AB15*$R14),SUMIF(OFFSET($R16,1,0,$Q14-2),($L14+1)&amp;"$",OFFSET(AB16,1,0,$Q14-2)))</f>
        <v>0</v>
      </c>
      <c r="AC16" s="222">
        <f ca="1">IF($Q14=2,IF(AND(ACOMPANHAMENTO="PLE",ISNUMBER($E14)),SUMIF((OFFSET(CÁLCULO!$BC$15:$BU$15,$E14,0,OFFSET(ORÇAMENTO!$D$15,CRONO!$E14,0))),"="&amp;CRONO!AC$12,OFFSET(CÁLCULO!$AJ$15:$BB$15,$E14,0,OFFSET(ORÇAMENTO!$D$15,CRONO!$E14,0)))+IF(AND($E16&lt;&gt;"",$E16&lt;&gt;0),SUMIF(CÁLCULO!$BC$15:$BU$36,"="&amp;CRONO!AC$12,CÁLCULO!$AJ$15:$BB$36)/(ORÇAMENTO!$X$15-CÁLCULO.TotalAdmLocal)*CRONO!$E16,0),AC15*$R14),SUMIF(OFFSET($R16,1,0,$Q14-2),($L14+1)&amp;"$",OFFSET(AC16,1,0,$Q14-2)))</f>
        <v>0</v>
      </c>
      <c r="AD16" s="222">
        <f ca="1">IF($Q14=2,IF(AND(ACOMPANHAMENTO="PLE",ISNUMBER($E14)),SUMIF((OFFSET(CÁLCULO!$BC$15:$BU$15,$E14,0,OFFSET(ORÇAMENTO!$D$15,CRONO!$E14,0))),"="&amp;CRONO!AD$12,OFFSET(CÁLCULO!$AJ$15:$BB$15,$E14,0,OFFSET(ORÇAMENTO!$D$15,CRONO!$E14,0)))+IF(AND($E16&lt;&gt;"",$E16&lt;&gt;0),SUMIF(CÁLCULO!$BC$15:$BU$36,"="&amp;CRONO!AD$12,CÁLCULO!$AJ$15:$BB$36)/(ORÇAMENTO!$X$15-CÁLCULO.TotalAdmLocal)*CRONO!$E16,0),AD15*$R14),SUMIF(OFFSET($R16,1,0,$Q14-2),($L14+1)&amp;"$",OFFSET(AD16,1,0,$Q14-2)))</f>
        <v>0</v>
      </c>
      <c r="AE16" s="227">
        <f ca="1">IF($Q14=2,IF(AND(ACOMPANHAMENTO="PLE",ISNUMBER($E14)),SUMIF((OFFSET(CÁLCULO!$BC$15:$BU$15,$E14,0,OFFSET(ORÇAMENTO!$D$15,CRONO!$E14,0))),"="&amp;CRONO!AE$12,OFFSET(CÁLCULO!$AJ$15:$BB$15,$E14,0,OFFSET(ORÇAMENTO!$D$15,CRONO!$E14,0)))+IF(AND($E16&lt;&gt;"",$E16&lt;&gt;0),SUMIF(CÁLCULO!$BC$15:$BU$36,"="&amp;CRONO!AE$12,CÁLCULO!$AJ$15:$BB$36)/(ORÇAMENTO!$X$15-CÁLCULO.TotalAdmLocal)*CRONO!$E16,0),AE15*$R14),SUMIF(OFFSET($R16,1,0,$Q14-2),($L14+1)&amp;"$",OFFSET(AE16,1,0,$Q14-2)))</f>
        <v>0</v>
      </c>
    </row>
    <row r="17" spans="4:32" ht="5.0999999999999996" customHeight="1" x14ac:dyDescent="0.2">
      <c r="D17" s="489"/>
      <c r="F17" s="203" t="s">
        <v>245</v>
      </c>
      <c r="G17" s="491"/>
      <c r="H17" s="492"/>
      <c r="I17" s="493"/>
      <c r="J17" s="493"/>
      <c r="K17" s="493"/>
      <c r="L17" s="494" t="s">
        <v>279</v>
      </c>
      <c r="M17" s="494"/>
      <c r="N17" s="494"/>
      <c r="O17" s="494"/>
      <c r="P17" s="494"/>
      <c r="Q17" s="494"/>
      <c r="R17" s="495"/>
      <c r="S17" s="495"/>
      <c r="T17" s="493"/>
      <c r="U17" s="493"/>
      <c r="V17" s="493"/>
      <c r="W17" s="493"/>
      <c r="X17" s="493"/>
      <c r="Y17" s="493"/>
      <c r="Z17" s="493"/>
      <c r="AA17" s="493"/>
      <c r="AB17" s="493"/>
      <c r="AC17" s="493"/>
      <c r="AD17" s="493"/>
      <c r="AE17" s="496"/>
      <c r="AF17" s="490"/>
    </row>
    <row r="18" spans="4:32" ht="12.75" customHeight="1" x14ac:dyDescent="0.2">
      <c r="D18" s="251" t="e">
        <f ca="1">D22/$Q$18</f>
        <v>#DIV/0!</v>
      </c>
      <c r="F18" s="203" t="s">
        <v>245</v>
      </c>
      <c r="H18" s="682" t="str">
        <f ca="1">"Total:    R$ "&amp;TEXT(Q18,"#.##0,00")</f>
        <v>Total:    R$ .000</v>
      </c>
      <c r="I18" s="682"/>
      <c r="J18" s="682"/>
      <c r="K18" s="252"/>
      <c r="Q18" s="253">
        <f ca="1">SUMIF(L12:L17,1,R12:R17)</f>
        <v>0</v>
      </c>
      <c r="R18" s="254"/>
      <c r="S18" s="255" t="s">
        <v>280</v>
      </c>
      <c r="T18" s="256" t="e">
        <f t="shared" ref="T18:AE18" ca="1" si="10">ROUND(T22,2)/$Q$18</f>
        <v>#DIV/0!</v>
      </c>
      <c r="U18" s="257" t="e">
        <f t="shared" ca="1" si="10"/>
        <v>#DIV/0!</v>
      </c>
      <c r="V18" s="257" t="e">
        <f t="shared" ca="1" si="10"/>
        <v>#DIV/0!</v>
      </c>
      <c r="W18" s="257" t="e">
        <f t="shared" ca="1" si="10"/>
        <v>#DIV/0!</v>
      </c>
      <c r="X18" s="257" t="e">
        <f t="shared" ca="1" si="10"/>
        <v>#DIV/0!</v>
      </c>
      <c r="Y18" s="257" t="e">
        <f t="shared" ca="1" si="10"/>
        <v>#DIV/0!</v>
      </c>
      <c r="Z18" s="257" t="e">
        <f t="shared" ca="1" si="10"/>
        <v>#DIV/0!</v>
      </c>
      <c r="AA18" s="257" t="e">
        <f t="shared" ca="1" si="10"/>
        <v>#DIV/0!</v>
      </c>
      <c r="AB18" s="257" t="e">
        <f t="shared" ca="1" si="10"/>
        <v>#DIV/0!</v>
      </c>
      <c r="AC18" s="257" t="e">
        <f t="shared" ca="1" si="10"/>
        <v>#DIV/0!</v>
      </c>
      <c r="AD18" s="257" t="e">
        <f t="shared" ca="1" si="10"/>
        <v>#DIV/0!</v>
      </c>
      <c r="AE18" s="258" t="e">
        <f t="shared" ca="1" si="10"/>
        <v>#DIV/0!</v>
      </c>
    </row>
    <row r="19" spans="4:32" ht="15" customHeight="1" x14ac:dyDescent="0.2">
      <c r="D19" s="259">
        <f ca="1">ROUND(D24,2)-ROUND(C24,2)</f>
        <v>0</v>
      </c>
      <c r="F19" s="203" t="s">
        <v>245</v>
      </c>
      <c r="H19" s="682"/>
      <c r="I19" s="682"/>
      <c r="J19" s="682"/>
      <c r="K19" s="260"/>
      <c r="Q19" s="253"/>
      <c r="R19" s="261"/>
      <c r="S19" s="262" t="str">
        <f>IF(import.recurso="FGTS","Financiamento:","Repasse:")</f>
        <v>Repasse:</v>
      </c>
      <c r="T19" s="263">
        <f ca="1">ROUND(T24,2)</f>
        <v>0</v>
      </c>
      <c r="U19" s="259">
        <f t="shared" ref="U19:AE19" ca="1" si="11">ROUND(U24,2)-ROUND(T24,2)</f>
        <v>0</v>
      </c>
      <c r="V19" s="259">
        <f t="shared" ca="1" si="11"/>
        <v>0</v>
      </c>
      <c r="W19" s="259">
        <f t="shared" ca="1" si="11"/>
        <v>0</v>
      </c>
      <c r="X19" s="259">
        <f t="shared" ca="1" si="11"/>
        <v>0</v>
      </c>
      <c r="Y19" s="259">
        <f t="shared" ca="1" si="11"/>
        <v>0</v>
      </c>
      <c r="Z19" s="259">
        <f t="shared" ca="1" si="11"/>
        <v>0</v>
      </c>
      <c r="AA19" s="259">
        <f t="shared" ca="1" si="11"/>
        <v>0</v>
      </c>
      <c r="AB19" s="259">
        <f t="shared" ca="1" si="11"/>
        <v>0</v>
      </c>
      <c r="AC19" s="259">
        <f t="shared" ca="1" si="11"/>
        <v>0</v>
      </c>
      <c r="AD19" s="259">
        <f t="shared" ca="1" si="11"/>
        <v>0</v>
      </c>
      <c r="AE19" s="264">
        <f t="shared" ca="1" si="11"/>
        <v>0</v>
      </c>
    </row>
    <row r="20" spans="4:32" ht="12.75" customHeight="1" x14ac:dyDescent="0.2">
      <c r="D20" s="259">
        <f ca="1">ROUND(D25,2)-ROUND(C25,2)</f>
        <v>0</v>
      </c>
      <c r="F20" s="203" t="s">
        <v>245</v>
      </c>
      <c r="H20" s="265"/>
      <c r="K20" s="266" t="s">
        <v>281</v>
      </c>
      <c r="Q20" s="253"/>
      <c r="R20" s="267"/>
      <c r="S20" s="268" t="s">
        <v>282</v>
      </c>
      <c r="T20" s="269">
        <f ca="1">ROUND(T25,2)</f>
        <v>0</v>
      </c>
      <c r="U20" s="270">
        <f t="shared" ref="U20:AE20" ca="1" si="12">ROUND(U25,2)-ROUND(T25,2)</f>
        <v>0</v>
      </c>
      <c r="V20" s="270">
        <f t="shared" ca="1" si="12"/>
        <v>0</v>
      </c>
      <c r="W20" s="270">
        <f t="shared" ca="1" si="12"/>
        <v>0</v>
      </c>
      <c r="X20" s="270">
        <f t="shared" ca="1" si="12"/>
        <v>0</v>
      </c>
      <c r="Y20" s="270">
        <f t="shared" ca="1" si="12"/>
        <v>0</v>
      </c>
      <c r="Z20" s="270">
        <f t="shared" ca="1" si="12"/>
        <v>0</v>
      </c>
      <c r="AA20" s="270">
        <f t="shared" ca="1" si="12"/>
        <v>0</v>
      </c>
      <c r="AB20" s="270">
        <f t="shared" ca="1" si="12"/>
        <v>0</v>
      </c>
      <c r="AC20" s="270">
        <f t="shared" ca="1" si="12"/>
        <v>0</v>
      </c>
      <c r="AD20" s="270">
        <f t="shared" ca="1" si="12"/>
        <v>0</v>
      </c>
      <c r="AE20" s="271">
        <f t="shared" ca="1" si="12"/>
        <v>0</v>
      </c>
    </row>
    <row r="21" spans="4:32" x14ac:dyDescent="0.2">
      <c r="D21" s="272">
        <f ca="1">ROUND(D26,2)-ROUND(C26,2)</f>
        <v>0</v>
      </c>
      <c r="F21" s="203" t="s">
        <v>245</v>
      </c>
      <c r="H21" s="265"/>
      <c r="K21" s="266"/>
      <c r="Q21" s="253"/>
      <c r="R21" s="273"/>
      <c r="S21" s="274" t="s">
        <v>283</v>
      </c>
      <c r="T21" s="275">
        <f ca="1">ROUND(T26,2)</f>
        <v>0</v>
      </c>
      <c r="U21" s="272">
        <f t="shared" ref="U21:AE21" ca="1" si="13">ROUND(U26,2)-ROUND(T26,2)</f>
        <v>0</v>
      </c>
      <c r="V21" s="272">
        <f t="shared" ca="1" si="13"/>
        <v>0</v>
      </c>
      <c r="W21" s="272">
        <f t="shared" ca="1" si="13"/>
        <v>0</v>
      </c>
      <c r="X21" s="272">
        <f t="shared" ca="1" si="13"/>
        <v>0</v>
      </c>
      <c r="Y21" s="272">
        <f t="shared" ca="1" si="13"/>
        <v>0</v>
      </c>
      <c r="Z21" s="272">
        <f t="shared" ca="1" si="13"/>
        <v>0</v>
      </c>
      <c r="AA21" s="272">
        <f t="shared" ca="1" si="13"/>
        <v>0</v>
      </c>
      <c r="AB21" s="272">
        <f t="shared" ca="1" si="13"/>
        <v>0</v>
      </c>
      <c r="AC21" s="272">
        <f t="shared" ca="1" si="13"/>
        <v>0</v>
      </c>
      <c r="AD21" s="272">
        <f t="shared" ca="1" si="13"/>
        <v>0</v>
      </c>
      <c r="AE21" s="276">
        <f t="shared" ca="1" si="13"/>
        <v>0</v>
      </c>
    </row>
    <row r="22" spans="4:32" x14ac:dyDescent="0.2">
      <c r="D22" s="277">
        <f ca="1">ROUND(D27,2)-ROUND(C27,2)</f>
        <v>0</v>
      </c>
      <c r="F22" s="203" t="s">
        <v>245</v>
      </c>
      <c r="K22" s="278"/>
      <c r="R22" s="279"/>
      <c r="S22" s="280" t="s">
        <v>284</v>
      </c>
      <c r="T22" s="281">
        <f ca="1">ROUND(T27,2)</f>
        <v>0</v>
      </c>
      <c r="U22" s="282">
        <f t="shared" ref="U22:AE22" ca="1" si="14">ROUND(U27,2)-ROUND(T27,2)</f>
        <v>0</v>
      </c>
      <c r="V22" s="282">
        <f t="shared" ca="1" si="14"/>
        <v>0</v>
      </c>
      <c r="W22" s="282">
        <f t="shared" ca="1" si="14"/>
        <v>0</v>
      </c>
      <c r="X22" s="282">
        <f t="shared" ca="1" si="14"/>
        <v>0</v>
      </c>
      <c r="Y22" s="282">
        <f t="shared" ca="1" si="14"/>
        <v>0</v>
      </c>
      <c r="Z22" s="282">
        <f t="shared" ca="1" si="14"/>
        <v>0</v>
      </c>
      <c r="AA22" s="282">
        <f t="shared" ca="1" si="14"/>
        <v>0</v>
      </c>
      <c r="AB22" s="282">
        <f t="shared" ca="1" si="14"/>
        <v>0</v>
      </c>
      <c r="AC22" s="282">
        <f t="shared" ca="1" si="14"/>
        <v>0</v>
      </c>
      <c r="AD22" s="282">
        <f t="shared" ca="1" si="14"/>
        <v>0</v>
      </c>
      <c r="AE22" s="283">
        <f t="shared" ca="1" si="14"/>
        <v>0</v>
      </c>
    </row>
    <row r="23" spans="4:32" x14ac:dyDescent="0.2">
      <c r="D23" s="251" t="e">
        <f ca="1">D27/$Q$18</f>
        <v>#DIV/0!</v>
      </c>
      <c r="F23" s="203" t="s">
        <v>245</v>
      </c>
      <c r="K23" s="252"/>
      <c r="R23" s="254"/>
      <c r="S23" s="255" t="s">
        <v>280</v>
      </c>
      <c r="T23" s="256" t="e">
        <f ca="1">ROUND(T27,2)/$Q$18</f>
        <v>#DIV/0!</v>
      </c>
      <c r="U23" s="257" t="e">
        <f t="shared" ref="U23:AE23" ca="1" si="15">ROUND(U27,2)/$Q$18</f>
        <v>#DIV/0!</v>
      </c>
      <c r="V23" s="257" t="e">
        <f t="shared" ca="1" si="15"/>
        <v>#DIV/0!</v>
      </c>
      <c r="W23" s="257" t="e">
        <f t="shared" ca="1" si="15"/>
        <v>#DIV/0!</v>
      </c>
      <c r="X23" s="257" t="e">
        <f t="shared" ca="1" si="15"/>
        <v>#DIV/0!</v>
      </c>
      <c r="Y23" s="257" t="e">
        <f t="shared" ca="1" si="15"/>
        <v>#DIV/0!</v>
      </c>
      <c r="Z23" s="257" t="e">
        <f t="shared" ca="1" si="15"/>
        <v>#DIV/0!</v>
      </c>
      <c r="AA23" s="257" t="e">
        <f t="shared" ca="1" si="15"/>
        <v>#DIV/0!</v>
      </c>
      <c r="AB23" s="257" t="e">
        <f t="shared" ca="1" si="15"/>
        <v>#DIV/0!</v>
      </c>
      <c r="AC23" s="257" t="e">
        <f t="shared" ca="1" si="15"/>
        <v>#DIV/0!</v>
      </c>
      <c r="AD23" s="257" t="e">
        <f t="shared" ca="1" si="15"/>
        <v>#DIV/0!</v>
      </c>
      <c r="AE23" s="258" t="e">
        <f t="shared" ca="1" si="15"/>
        <v>#DIV/0!</v>
      </c>
    </row>
    <row r="24" spans="4:32" x14ac:dyDescent="0.2">
      <c r="D24" s="259">
        <f ca="1">ROUND(D27-D26-D25,2)</f>
        <v>0</v>
      </c>
      <c r="F24" s="203" t="s">
        <v>245</v>
      </c>
      <c r="K24" s="260"/>
      <c r="R24" s="261"/>
      <c r="S24" s="262" t="str">
        <f>IF(import.recurso="FGTS","Financiamento:","Repasse:")</f>
        <v>Repasse:</v>
      </c>
      <c r="T24" s="263">
        <f ca="1">ROUND(T27-T26-T25,2)</f>
        <v>0</v>
      </c>
      <c r="U24" s="259">
        <f t="shared" ref="U24:AE24" ca="1" si="16">ROUND(U27-U26-U25,2)</f>
        <v>0</v>
      </c>
      <c r="V24" s="259">
        <f t="shared" ca="1" si="16"/>
        <v>0</v>
      </c>
      <c r="W24" s="259">
        <f t="shared" ca="1" si="16"/>
        <v>0</v>
      </c>
      <c r="X24" s="259">
        <f t="shared" ca="1" si="16"/>
        <v>0</v>
      </c>
      <c r="Y24" s="259">
        <f t="shared" ca="1" si="16"/>
        <v>0</v>
      </c>
      <c r="Z24" s="259">
        <f t="shared" ca="1" si="16"/>
        <v>0</v>
      </c>
      <c r="AA24" s="259">
        <f t="shared" ca="1" si="16"/>
        <v>0</v>
      </c>
      <c r="AB24" s="259">
        <f t="shared" ca="1" si="16"/>
        <v>0</v>
      </c>
      <c r="AC24" s="259">
        <f t="shared" ca="1" si="16"/>
        <v>0</v>
      </c>
      <c r="AD24" s="259">
        <f t="shared" ca="1" si="16"/>
        <v>0</v>
      </c>
      <c r="AE24" s="264">
        <f t="shared" ca="1" si="16"/>
        <v>0</v>
      </c>
      <c r="AF24" s="204">
        <f ca="1">AE24+SUMPRODUCT((OFFSET($B$13,1,0):OFFSET($B$17,-3,0))*IF(ISNUMBER(OFFSET(AF$11,5,0):OFFSET(AF$17,-1,0)),OFFSET(AF$11,5,0):OFFSET(AF$17,-1,0),0))</f>
        <v>0</v>
      </c>
    </row>
    <row r="25" spans="4:32" x14ac:dyDescent="0.2">
      <c r="D25" s="259">
        <f t="array" aca="1" ref="D25" ca="1">C25+SUM((OFFSET($B$13,1,0):OFFSET($B$17,-3,0))*IF(ISNUMBER(OFFSET(D$11,5,0):OFFSET(D$17,-1,0)),OFFSET(D$11,5,0):OFFSET(D$17,-1,0),0))</f>
        <v>0</v>
      </c>
      <c r="F25" s="203" t="s">
        <v>245</v>
      </c>
      <c r="K25" s="266" t="s">
        <v>285</v>
      </c>
      <c r="R25" s="267"/>
      <c r="S25" s="268" t="s">
        <v>282</v>
      </c>
      <c r="T25" s="269">
        <f t="array" aca="1" ref="T25" ca="1">SUM((OFFSET($B$13,1,0):OFFSET($B$17,-3,0))*IF(ISNUMBER(OFFSET(T$11,5,0):OFFSET(T$17,-1,0)),OFFSET(T$11,5,0):OFFSET(T$17,-1,0),0))</f>
        <v>0</v>
      </c>
      <c r="U25" s="270">
        <f t="array" aca="1" ref="U25" ca="1">T25+SUM((OFFSET($B$13,1,0):OFFSET($B$17,-3,0))*IF(ISNUMBER(OFFSET(U$11,5,0):OFFSET(U$17,-1,0)),OFFSET(U$11,5,0):OFFSET(U$17,-1,0),0))</f>
        <v>0</v>
      </c>
      <c r="V25" s="270">
        <f t="array" aca="1" ref="V25" ca="1">U25+SUM((OFFSET($B$13,1,0):OFFSET($B$17,-3,0))*IF(ISNUMBER(OFFSET(V$11,5,0):OFFSET(V$17,-1,0)),OFFSET(V$11,5,0):OFFSET(V$17,-1,0),0))</f>
        <v>0</v>
      </c>
      <c r="W25" s="270">
        <f t="array" aca="1" ref="W25" ca="1">V25+SUM((OFFSET($B$13,1,0):OFFSET($B$17,-3,0))*IF(ISNUMBER(OFFSET(W$11,5,0):OFFSET(W$17,-1,0)),OFFSET(W$11,5,0):OFFSET(W$17,-1,0),0))</f>
        <v>0</v>
      </c>
      <c r="X25" s="270">
        <f t="array" aca="1" ref="X25" ca="1">W25+SUM((OFFSET($B$13,1,0):OFFSET($B$17,-3,0))*IF(ISNUMBER(OFFSET(X$11,5,0):OFFSET(X$17,-1,0)),OFFSET(X$11,5,0):OFFSET(X$17,-1,0),0))</f>
        <v>0</v>
      </c>
      <c r="Y25" s="270">
        <f t="array" aca="1" ref="Y25" ca="1">X25+SUM((OFFSET($B$13,1,0):OFFSET($B$17,-3,0))*IF(ISNUMBER(OFFSET(Y$11,5,0):OFFSET(Y$17,-1,0)),OFFSET(Y$11,5,0):OFFSET(Y$17,-1,0),0))</f>
        <v>0</v>
      </c>
      <c r="Z25" s="270">
        <f t="array" aca="1" ref="Z25" ca="1">Y25+SUM((OFFSET($B$13,1,0):OFFSET($B$17,-3,0))*IF(ISNUMBER(OFFSET(Z$11,5,0):OFFSET(Z$17,-1,0)),OFFSET(Z$11,5,0):OFFSET(Z$17,-1,0),0))</f>
        <v>0</v>
      </c>
      <c r="AA25" s="270">
        <f t="array" aca="1" ref="AA25" ca="1">Z25+SUM((OFFSET($B$13,1,0):OFFSET($B$17,-3,0))*IF(ISNUMBER(OFFSET(AA$11,5,0):OFFSET(AA$17,-1,0)),OFFSET(AA$11,5,0):OFFSET(AA$17,-1,0),0))</f>
        <v>0</v>
      </c>
      <c r="AB25" s="270">
        <f t="array" aca="1" ref="AB25" ca="1">AA25+SUM((OFFSET($B$13,1,0):OFFSET($B$17,-3,0))*IF(ISNUMBER(OFFSET(AB$11,5,0):OFFSET(AB$17,-1,0)),OFFSET(AB$11,5,0):OFFSET(AB$17,-1,0),0))</f>
        <v>0</v>
      </c>
      <c r="AC25" s="270">
        <f t="array" aca="1" ref="AC25" ca="1">AB25+SUM((OFFSET($B$13,1,0):OFFSET($B$17,-3,0))*IF(ISNUMBER(OFFSET(AC$11,5,0):OFFSET(AC$17,-1,0)),OFFSET(AC$11,5,0):OFFSET(AC$17,-1,0),0))</f>
        <v>0</v>
      </c>
      <c r="AD25" s="270">
        <f t="array" aca="1" ref="AD25" ca="1">AC25+SUM((OFFSET($B$13,1,0):OFFSET($B$17,-3,0))*IF(ISNUMBER(OFFSET(AD$11,5,0):OFFSET(AD$17,-1,0)),OFFSET(AD$11,5,0):OFFSET(AD$17,-1,0),0))</f>
        <v>0</v>
      </c>
      <c r="AE25" s="271">
        <f t="array" aca="1" ref="AE25" ca="1">AD25+SUM((OFFSET($B$13,1,0):OFFSET($B$17,-3,0))*IF(ISNUMBER(OFFSET(AE$11,5,0):OFFSET(AE$17,-1,0)),OFFSET(AE$11,5,0):OFFSET(AE$17,-1,0),0))</f>
        <v>0</v>
      </c>
      <c r="AF25" s="204">
        <f ca="1">AE25+SUMPRODUCT((OFFSET($C$13,1,0):OFFSET($C$17,-3,0))*IF(ISNUMBER(OFFSET(AF$11,5,0):OFFSET(AF$17,-1,0)),OFFSET(AF$11,5,0):OFFSET(AF$17,-1,0),0))</f>
        <v>0</v>
      </c>
    </row>
    <row r="26" spans="4:32" x14ac:dyDescent="0.2">
      <c r="D26" s="272">
        <f t="array" aca="1" ref="D26" ca="1">C26+SUM((OFFSET($C$13,1,0):OFFSET($C$17,-3,0))*IF(ISNUMBER(OFFSET(D$11,5,0):OFFSET(D$17,-1,0)),OFFSET(D$11,5,0):OFFSET(D$17,-1,0),0))</f>
        <v>0</v>
      </c>
      <c r="F26" s="203" t="s">
        <v>245</v>
      </c>
      <c r="K26" s="266"/>
      <c r="R26" s="273"/>
      <c r="S26" s="274" t="s">
        <v>283</v>
      </c>
      <c r="T26" s="275">
        <f t="array" aca="1" ref="T26" ca="1">SUM((OFFSET($C$13,1,0):OFFSET($C$17,-3,0))*IF(ISNUMBER(OFFSET(T$11,5,0):OFFSET(T$17,-1,0)),OFFSET(T$11,5,0):OFFSET(T$17,-1,0),0))</f>
        <v>0</v>
      </c>
      <c r="U26" s="272">
        <f t="array" aca="1" ref="U26" ca="1">T26+SUM((OFFSET($C$13,1,0):OFFSET($C$17,-3,0))*IF(ISNUMBER(OFFSET(U$11,5,0):OFFSET(U$17,-1,0)),OFFSET(U$11,5,0):OFFSET(U$17,-1,0),0))</f>
        <v>0</v>
      </c>
      <c r="V26" s="272">
        <f t="array" aca="1" ref="V26" ca="1">U26+SUM((OFFSET($C$13,1,0):OFFSET($C$17,-3,0))*IF(ISNUMBER(OFFSET(V$11,5,0):OFFSET(V$17,-1,0)),OFFSET(V$11,5,0):OFFSET(V$17,-1,0),0))</f>
        <v>0</v>
      </c>
      <c r="W26" s="272">
        <f t="array" aca="1" ref="W26" ca="1">V26+SUM((OFFSET($C$13,1,0):OFFSET($C$17,-3,0))*IF(ISNUMBER(OFFSET(W$11,5,0):OFFSET(W$17,-1,0)),OFFSET(W$11,5,0):OFFSET(W$17,-1,0),0))</f>
        <v>0</v>
      </c>
      <c r="X26" s="272">
        <f t="array" aca="1" ref="X26" ca="1">W26+SUM((OFFSET($C$13,1,0):OFFSET($C$17,-3,0))*IF(ISNUMBER(OFFSET(X$11,5,0):OFFSET(X$17,-1,0)),OFFSET(X$11,5,0):OFFSET(X$17,-1,0),0))</f>
        <v>0</v>
      </c>
      <c r="Y26" s="272">
        <f t="array" aca="1" ref="Y26" ca="1">X26+SUM((OFFSET($C$13,1,0):OFFSET($C$17,-3,0))*IF(ISNUMBER(OFFSET(Y$11,5,0):OFFSET(Y$17,-1,0)),OFFSET(Y$11,5,0):OFFSET(Y$17,-1,0),0))</f>
        <v>0</v>
      </c>
      <c r="Z26" s="272">
        <f t="array" aca="1" ref="Z26" ca="1">Y26+SUM((OFFSET($C$13,1,0):OFFSET($C$17,-3,0))*IF(ISNUMBER(OFFSET(Z$11,5,0):OFFSET(Z$17,-1,0)),OFFSET(Z$11,5,0):OFFSET(Z$17,-1,0),0))</f>
        <v>0</v>
      </c>
      <c r="AA26" s="272">
        <f t="array" aca="1" ref="AA26" ca="1">Z26+SUM((OFFSET($C$13,1,0):OFFSET($C$17,-3,0))*IF(ISNUMBER(OFFSET(AA$11,5,0):OFFSET(AA$17,-1,0)),OFFSET(AA$11,5,0):OFFSET(AA$17,-1,0),0))</f>
        <v>0</v>
      </c>
      <c r="AB26" s="272">
        <f t="array" aca="1" ref="AB26" ca="1">AA26+SUM((OFFSET($C$13,1,0):OFFSET($C$17,-3,0))*IF(ISNUMBER(OFFSET(AB$11,5,0):OFFSET(AB$17,-1,0)),OFFSET(AB$11,5,0):OFFSET(AB$17,-1,0),0))</f>
        <v>0</v>
      </c>
      <c r="AC26" s="272">
        <f t="array" aca="1" ref="AC26" ca="1">AB26+SUM((OFFSET($C$13,1,0):OFFSET($C$17,-3,0))*IF(ISNUMBER(OFFSET(AC$11,5,0):OFFSET(AC$17,-1,0)),OFFSET(AC$11,5,0):OFFSET(AC$17,-1,0),0))</f>
        <v>0</v>
      </c>
      <c r="AD26" s="272">
        <f t="array" aca="1" ref="AD26" ca="1">AC26+SUM((OFFSET($C$13,1,0):OFFSET($C$17,-3,0))*IF(ISNUMBER(OFFSET(AD$11,5,0):OFFSET(AD$17,-1,0)),OFFSET(AD$11,5,0):OFFSET(AD$17,-1,0),0))</f>
        <v>0</v>
      </c>
      <c r="AE26" s="276">
        <f t="array" aca="1" ref="AE26" ca="1">AD26+SUM((OFFSET($C$13,1,0):OFFSET($C$17,-3,0))*IF(ISNUMBER(OFFSET(AE$11,5,0):OFFSET(AE$17,-1,0)),OFFSET(AE$11,5,0):OFFSET(AE$17,-1,0),0))</f>
        <v>0</v>
      </c>
      <c r="AF26" s="204">
        <f ca="1">ROUND(AF27-AF24-AF25,2)</f>
        <v>0</v>
      </c>
    </row>
    <row r="27" spans="4:32" x14ac:dyDescent="0.2">
      <c r="D27" s="277">
        <f ca="1">C27+SUMIF($R$12:$R$17,"1$",D12:D17)</f>
        <v>0</v>
      </c>
      <c r="F27" s="203" t="s">
        <v>245</v>
      </c>
      <c r="K27" s="278"/>
      <c r="R27" s="279"/>
      <c r="S27" s="280" t="s">
        <v>284</v>
      </c>
      <c r="T27" s="281">
        <f ca="1">SUMIF($R$12:$R$17,"1$",T12:T17)</f>
        <v>0</v>
      </c>
      <c r="U27" s="282">
        <f t="shared" ref="U27:AF27" ca="1" si="17">T27+SUMIF($R$12:$R$17,"1$",U12:U17)</f>
        <v>0</v>
      </c>
      <c r="V27" s="282">
        <f t="shared" ca="1" si="17"/>
        <v>0</v>
      </c>
      <c r="W27" s="282">
        <f t="shared" ca="1" si="17"/>
        <v>0</v>
      </c>
      <c r="X27" s="282">
        <f t="shared" ca="1" si="17"/>
        <v>0</v>
      </c>
      <c r="Y27" s="282">
        <f t="shared" ca="1" si="17"/>
        <v>0</v>
      </c>
      <c r="Z27" s="282">
        <f t="shared" ca="1" si="17"/>
        <v>0</v>
      </c>
      <c r="AA27" s="282">
        <f t="shared" ca="1" si="17"/>
        <v>0</v>
      </c>
      <c r="AB27" s="282">
        <f t="shared" ca="1" si="17"/>
        <v>0</v>
      </c>
      <c r="AC27" s="282">
        <f t="shared" ca="1" si="17"/>
        <v>0</v>
      </c>
      <c r="AD27" s="282">
        <f t="shared" ca="1" si="17"/>
        <v>0</v>
      </c>
      <c r="AE27" s="283">
        <f t="shared" ca="1" si="17"/>
        <v>0</v>
      </c>
      <c r="AF27" s="204">
        <f t="shared" ca="1" si="17"/>
        <v>0</v>
      </c>
    </row>
    <row r="28" spans="4:32" x14ac:dyDescent="0.2">
      <c r="F28" s="203" t="s">
        <v>245</v>
      </c>
    </row>
    <row r="29" spans="4:32" ht="32.25" customHeight="1" x14ac:dyDescent="0.2">
      <c r="F29" s="203" t="s">
        <v>245</v>
      </c>
      <c r="H29" s="644" t="str">
        <f>Import.Município</f>
        <v>Bento Gonçalves</v>
      </c>
      <c r="I29" s="644"/>
      <c r="J29" s="644"/>
      <c r="K29" s="644"/>
      <c r="L29" s="644"/>
      <c r="M29" s="644"/>
      <c r="N29" s="644"/>
      <c r="O29" s="644"/>
      <c r="P29" s="644"/>
      <c r="Q29" s="644"/>
      <c r="R29" s="644"/>
      <c r="Z29" s="531"/>
      <c r="AA29" s="531"/>
      <c r="AB29" s="531"/>
      <c r="AC29" s="531"/>
      <c r="AD29" s="533"/>
      <c r="AE29" s="533"/>
    </row>
    <row r="30" spans="4:32" x14ac:dyDescent="0.2">
      <c r="F30" s="203" t="s">
        <v>245</v>
      </c>
      <c r="H30" s="10" t="s">
        <v>187</v>
      </c>
      <c r="I30"/>
      <c r="J30"/>
      <c r="K30"/>
      <c r="Z30" s="195" t="s">
        <v>189</v>
      </c>
      <c r="AA30" s="195"/>
      <c r="AB30" s="195"/>
      <c r="AC30" s="195"/>
      <c r="AD30" s="203"/>
      <c r="AE30" s="203"/>
    </row>
    <row r="31" spans="4:32" x14ac:dyDescent="0.2">
      <c r="F31" s="203" t="s">
        <v>245</v>
      </c>
      <c r="H31"/>
      <c r="I31"/>
      <c r="J31"/>
      <c r="K31"/>
      <c r="Z31" s="444" t="str">
        <f t="array" aca="1" ref="Z31:Z33" ca="1">OFFSET(Import.RespOrçamento,0,-1) &amp; " " &amp; Import.RespOrçamento</f>
        <v xml:space="preserve">Nome: </v>
      </c>
      <c r="AB31"/>
      <c r="AC31" s="80"/>
      <c r="AD31" s="203"/>
      <c r="AE31" s="203"/>
    </row>
    <row r="32" spans="4:32" x14ac:dyDescent="0.2">
      <c r="F32" s="203" t="s">
        <v>245</v>
      </c>
      <c r="H32" s="674">
        <f>DADOS!$F$25</f>
        <v>0</v>
      </c>
      <c r="I32" s="674"/>
      <c r="J32" s="674"/>
      <c r="K32" s="194"/>
      <c r="L32" s="284"/>
      <c r="M32" s="284"/>
      <c r="N32" s="284"/>
      <c r="O32" s="284"/>
      <c r="P32" s="284"/>
      <c r="Q32" s="284"/>
      <c r="R32" s="285"/>
      <c r="Z32" s="444" t="str">
        <f ca="1"/>
        <v xml:space="preserve">CREA/CAU: </v>
      </c>
      <c r="AB32" s="80"/>
      <c r="AC32" s="80"/>
      <c r="AD32" s="203"/>
      <c r="AE32" s="203"/>
    </row>
    <row r="33" spans="6:31" x14ac:dyDescent="0.2">
      <c r="F33" s="203" t="s">
        <v>245</v>
      </c>
      <c r="H33" s="10" t="s">
        <v>188</v>
      </c>
      <c r="I33"/>
      <c r="J33"/>
      <c r="K33"/>
      <c r="Z33" s="444" t="str">
        <f ca="1"/>
        <v xml:space="preserve">ART/RRT: </v>
      </c>
      <c r="AB33" s="80"/>
      <c r="AC33" s="80"/>
      <c r="AD33" s="203"/>
      <c r="AE33" s="203"/>
    </row>
  </sheetData>
  <sheetProtection algorithmName="SHA-512" hashValue="7ijMrtg6m7zu1GzCU213R3CitXNUAk3gzpDhELGZcclaklj1k1PdzZAZtX9zQHTo6QKTzHvvBPmRr0R8fz/5Zg==" saltValue="h7nU0xcEqrkQSM9hlZF3qw==" spinCount="100000" sheet="1" objects="1" scenarios="1" autoFilter="0"/>
  <autoFilter ref="F13:F33" xr:uid="{00000000-0009-0000-0000-000007000000}">
    <filterColumn colId="0">
      <filters>
        <filter val="F"/>
      </filters>
    </filterColumn>
  </autoFilter>
  <mergeCells count="17">
    <mergeCell ref="F8:F11"/>
    <mergeCell ref="H8:I8"/>
    <mergeCell ref="G7:G9"/>
    <mergeCell ref="H18:J19"/>
    <mergeCell ref="G12:G13"/>
    <mergeCell ref="H12:H13"/>
    <mergeCell ref="I12:I13"/>
    <mergeCell ref="H32:J32"/>
    <mergeCell ref="AD4:AE4"/>
    <mergeCell ref="AD5:AE5"/>
    <mergeCell ref="Y8:AD8"/>
    <mergeCell ref="R12:R13"/>
    <mergeCell ref="S12:S13"/>
    <mergeCell ref="K8:S8"/>
    <mergeCell ref="T8:X8"/>
    <mergeCell ref="J10:S11"/>
    <mergeCell ref="H29:R29"/>
  </mergeCells>
  <phoneticPr fontId="38" type="noConversion"/>
  <conditionalFormatting sqref="T12:T13">
    <cfRule type="expression" dxfId="74" priority="3477" stopIfTrue="1">
      <formula>NOT(ISNUMBER(S$12))</formula>
    </cfRule>
  </conditionalFormatting>
  <conditionalFormatting sqref="D2 T2:AF2 T15:AF15">
    <cfRule type="expression" dxfId="73" priority="3478" stopIfTrue="1">
      <formula>AND(ISNUMBER($G1),$G1&lt;&gt;0)</formula>
    </cfRule>
  </conditionalFormatting>
  <conditionalFormatting sqref="H2:R2">
    <cfRule type="expression" dxfId="72" priority="3479" stopIfTrue="1">
      <formula>$L1=2</formula>
    </cfRule>
    <cfRule type="expression" dxfId="71" priority="3480" stopIfTrue="1">
      <formula>AND($L1=1,$R1&lt;&gt;"")</formula>
    </cfRule>
  </conditionalFormatting>
  <conditionalFormatting sqref="H1:R1">
    <cfRule type="expression" dxfId="70" priority="3481" stopIfTrue="1">
      <formula>$L1=2</formula>
    </cfRule>
    <cfRule type="expression" dxfId="69" priority="3482" stopIfTrue="1">
      <formula>AND($L1=1,$R1&lt;&gt;"")</formula>
    </cfRule>
  </conditionalFormatting>
  <conditionalFormatting sqref="D18:D22 T19:AE19 T21:AE21">
    <cfRule type="expression" dxfId="68" priority="3483" stopIfTrue="1">
      <formula>D$18=0</formula>
    </cfRule>
  </conditionalFormatting>
  <conditionalFormatting sqref="D23:D27">
    <cfRule type="expression" dxfId="67" priority="3484" stopIfTrue="1">
      <formula>C$23=1</formula>
    </cfRule>
  </conditionalFormatting>
  <conditionalFormatting sqref="U23:AE23 U25:AE25 U27:AE27">
    <cfRule type="expression" dxfId="66" priority="3485" stopIfTrue="1">
      <formula>OFFSET(U$23,0,-1)&gt;=1</formula>
    </cfRule>
  </conditionalFormatting>
  <conditionalFormatting sqref="U24:AE24 U26:AE26">
    <cfRule type="expression" dxfId="65" priority="3486" stopIfTrue="1">
      <formula>OFFSET(U$23,0,-1)&gt;=1</formula>
    </cfRule>
  </conditionalFormatting>
  <conditionalFormatting sqref="T18:AE18 T20:AE20 T22:AE22">
    <cfRule type="expression" dxfId="64" priority="3487" stopIfTrue="1">
      <formula>T$18=0</formula>
    </cfRule>
  </conditionalFormatting>
  <conditionalFormatting sqref="AE7:AE8">
    <cfRule type="expression" dxfId="63" priority="3488" stopIfTrue="1">
      <formula>OR(TIPOORCAMENTO&lt;&gt;"Licitado",QCI.ExisteManual)</formula>
    </cfRule>
  </conditionalFormatting>
  <conditionalFormatting sqref="D1 T1:AE1">
    <cfRule type="expression" dxfId="62" priority="3489" stopIfTrue="1">
      <formula>D1&lt;&gt;0</formula>
    </cfRule>
  </conditionalFormatting>
  <conditionalFormatting sqref="Y7:AD8">
    <cfRule type="expression" dxfId="61" priority="3476" stopIfTrue="1">
      <formula>QCI.ExisteManual</formula>
    </cfRule>
  </conditionalFormatting>
  <conditionalFormatting sqref="D15">
    <cfRule type="expression" dxfId="60" priority="109" stopIfTrue="1">
      <formula>AND(ISNUMBER($G14),$G14&lt;&gt;0)</formula>
    </cfRule>
  </conditionalFormatting>
  <conditionalFormatting sqref="H15:R15">
    <cfRule type="expression" dxfId="59" priority="110" stopIfTrue="1">
      <formula>$L14=2</formula>
    </cfRule>
    <cfRule type="expression" dxfId="58" priority="111" stopIfTrue="1">
      <formula>AND($L14=1,$R14&lt;&gt;"")</formula>
    </cfRule>
  </conditionalFormatting>
  <conditionalFormatting sqref="H14:R14">
    <cfRule type="expression" dxfId="57" priority="112" stopIfTrue="1">
      <formula>$L14=2</formula>
    </cfRule>
    <cfRule type="expression" dxfId="56" priority="113" stopIfTrue="1">
      <formula>AND($L14=1,$R14&lt;&gt;"")</formula>
    </cfRule>
  </conditionalFormatting>
  <conditionalFormatting sqref="D14 T14:AE14">
    <cfRule type="expression" dxfId="55" priority="114" stopIfTrue="1">
      <formula>D14&lt;&gt;0</formula>
    </cfRule>
  </conditionalFormatting>
  <dataValidations xWindow="616" yWindow="472" count="5">
    <dataValidation type="list" allowBlank="1" showErrorMessage="1" sqref="G10" xr:uid="{00000000-0002-0000-0700-000000000000}">
      <formula1>"1,2,3,4"</formula1>
      <formula2>0</formula2>
    </dataValidation>
    <dataValidation allowBlank="1" showInputMessage="1" showErrorMessage="1" prompt="Preencha na célula de baixo. Se o acompanhamento for PLE, preencha no botão PREENCHIMENTO POR EVENTOS, acima." sqref="D1 D14 T14:AE14 T1:AE1" xr:uid="{00000000-0002-0000-0700-000001000000}"/>
    <dataValidation type="whole" operator="greaterThan" allowBlank="1" showErrorMessage="1" sqref="T12" xr:uid="{00000000-0002-0000-0700-000002000000}">
      <formula1>0</formula1>
      <formula2>0</formula2>
    </dataValidation>
    <dataValidation type="decimal" allowBlank="1" showErrorMessage="1" error="Porcentagem Acumulada &gt; 100%." sqref="D2 D15 T2:AF2 T15:AF15" xr:uid="{00000000-0002-0000-0700-000003000000}">
      <formula1>0</formula1>
      <formula2>CRONO.MaxParc</formula2>
    </dataValidation>
    <dataValidation type="date" operator="greaterThan" allowBlank="1" showInputMessage="1" showErrorMessage="1" errorTitle="Erro" error="Digite somente datas." sqref="T13" xr:uid="{00000000-0002-0000-0700-000004000000}">
      <formula1>36526</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&amp;LPMv3.07&amp;R&amp;P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activeCell="K14" sqref="K14"/>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312" t="s">
        <v>301</v>
      </c>
      <c r="I1" s="8"/>
      <c r="J1" s="8"/>
      <c r="O1" s="570" t="s">
        <v>452</v>
      </c>
      <c r="P1" s="87"/>
    </row>
    <row r="2" spans="1:31" x14ac:dyDescent="0.2">
      <c r="Z2" t="s">
        <v>302</v>
      </c>
      <c r="AA2" s="90" t="s">
        <v>303</v>
      </c>
      <c r="AB2" s="78"/>
    </row>
    <row r="3" spans="1:31" x14ac:dyDescent="0.2">
      <c r="D3" s="622" t="s">
        <v>146</v>
      </c>
      <c r="E3" s="622"/>
      <c r="F3" s="89" t="s">
        <v>432</v>
      </c>
      <c r="G3" s="622" t="s">
        <v>147</v>
      </c>
      <c r="H3" s="622"/>
      <c r="I3" s="622"/>
      <c r="J3" s="691" t="s">
        <v>304</v>
      </c>
      <c r="K3" s="691"/>
      <c r="L3" s="691"/>
      <c r="M3" s="692" t="s">
        <v>305</v>
      </c>
      <c r="N3" s="692"/>
      <c r="O3" s="692"/>
      <c r="Z3" s="104">
        <f ca="1">MAX(Z7:AB7)</f>
        <v>0</v>
      </c>
      <c r="AA3" s="313">
        <f ca="1">IF(OR($O$24=ORÇAMENTO.SumINVMANUAL+QCI.SumINVMANUAL,$O$24=0),0,MIN(MAX(0,($Z$3*$O$24-ORÇAMENTO.SumCPMANUAL-QCI.SumCPMANUAL)/($O$24-ORÇAMENTO.SumINVMANUAL-QCI.SumINVMANUAL)),1))</f>
        <v>0</v>
      </c>
      <c r="AB3" s="94"/>
    </row>
    <row r="4" spans="1:31" x14ac:dyDescent="0.2">
      <c r="D4" s="625">
        <f>Import.CR</f>
        <v>0</v>
      </c>
      <c r="E4" s="625"/>
      <c r="F4" s="57">
        <f>Import.TransfereGOV</f>
        <v>0</v>
      </c>
      <c r="G4" s="625" t="str">
        <f>Import.Proponente</f>
        <v>Secretario Diego Salini</v>
      </c>
      <c r="H4" s="625"/>
      <c r="I4" s="625"/>
      <c r="J4" s="693" t="str">
        <f>Import.Município</f>
        <v>Bento Gonçalves</v>
      </c>
      <c r="K4" s="693"/>
      <c r="L4" s="693"/>
      <c r="M4" s="692"/>
      <c r="N4" s="692"/>
      <c r="O4" s="692"/>
      <c r="R4" s="131"/>
      <c r="Z4" s="94"/>
      <c r="AA4" s="94"/>
      <c r="AB4" s="94"/>
    </row>
    <row r="5" spans="1:31" ht="5.0999999999999996" customHeight="1" x14ac:dyDescent="0.2">
      <c r="M5" s="305"/>
      <c r="O5" s="4"/>
    </row>
    <row r="6" spans="1:31" x14ac:dyDescent="0.2">
      <c r="D6" s="622" t="s">
        <v>201</v>
      </c>
      <c r="E6" s="622"/>
      <c r="F6" s="622"/>
      <c r="G6" s="622"/>
      <c r="H6" s="622"/>
      <c r="I6" s="622"/>
      <c r="J6" s="622"/>
      <c r="K6" s="622"/>
      <c r="L6" s="314" t="s">
        <v>209</v>
      </c>
      <c r="M6" s="89" t="str">
        <f>IF(import.recurso="FGTS","FINANCIAMENTO","REPASSE")</f>
        <v>REPASSE</v>
      </c>
      <c r="N6" s="89" t="s">
        <v>306</v>
      </c>
      <c r="O6" s="89" t="s">
        <v>307</v>
      </c>
      <c r="Z6" t="s">
        <v>308</v>
      </c>
      <c r="AA6" t="s">
        <v>309</v>
      </c>
      <c r="AB6" t="s">
        <v>310</v>
      </c>
    </row>
    <row r="7" spans="1:31" ht="12.75" customHeight="1" x14ac:dyDescent="0.2">
      <c r="C7" s="615" t="s">
        <v>208</v>
      </c>
      <c r="D7" s="625" t="str">
        <f>Import.Apelido</f>
        <v>ANEXO I TR - MANUTENÇÃO ABRIGO PASSAGEIROS ÔNIBUS E TÁXI</v>
      </c>
      <c r="E7" s="625"/>
      <c r="F7" s="625"/>
      <c r="G7" s="625"/>
      <c r="H7" s="625"/>
      <c r="I7" s="625"/>
      <c r="J7" s="625"/>
      <c r="K7" s="625"/>
      <c r="L7" s="315" t="str">
        <f>import.recurso</f>
        <v>(SELECIONAR)</v>
      </c>
      <c r="M7" s="316">
        <f>Import.Repasse</f>
        <v>0</v>
      </c>
      <c r="N7" s="316">
        <f>Import.Contrapartida</f>
        <v>0</v>
      </c>
      <c r="O7" s="316">
        <f>M7+N7</f>
        <v>0</v>
      </c>
      <c r="Z7" s="104">
        <f>ROUND(Import.CPMinPerc,4)</f>
        <v>0</v>
      </c>
      <c r="AA7" s="104">
        <f ca="1">IF($O$24=0,0,Import.CPMinAbsoluta/$O$24)</f>
        <v>0</v>
      </c>
      <c r="AB7" s="104">
        <f ca="1">IF($O$24=0,0,($O$24-$AB$24-Import.Repasse)/($O$24))</f>
        <v>0</v>
      </c>
    </row>
    <row r="8" spans="1:31" x14ac:dyDescent="0.2">
      <c r="C8" s="615"/>
      <c r="D8" s="94"/>
      <c r="E8" s="94"/>
      <c r="F8" s="317"/>
      <c r="G8" s="94"/>
      <c r="H8" s="94"/>
      <c r="I8" s="94"/>
      <c r="J8" s="94"/>
      <c r="K8" s="94"/>
      <c r="L8" s="94"/>
      <c r="M8" s="94"/>
      <c r="N8" s="94"/>
      <c r="O8" s="94"/>
    </row>
    <row r="9" spans="1:31" ht="12.75" customHeight="1" x14ac:dyDescent="0.2">
      <c r="C9" s="615"/>
      <c r="G9" s="690" t="str">
        <f ca="1">CHOOSE(1+LOG(1+2*(AND($O$24&gt;0,$M$25&gt;Import.CPMaxPerc,Import.CPMaxPerc&gt;0))+4*(OR(AND($O$24&gt;0,$M$25&lt;QCI!$Z$7),$M$24&lt;ROUND(Import.CPMinAbsoluta,2)))+8*(OR($L$10&lt;0,$M$10&lt;0))+16*(COUNTIF($L$13:$L$24,"&lt;0")&gt;0)+32*(OFFSET($A$24,-1,0)&lt;OFFSET(ORÇAMENTO!$E$36,-1,0)),2),"","ERRO: CONTRAPARTIDA MAIOR QUE A MÁXIMA","ERRO: CONTRAPARTIDA MENOR QUE A MÍNIMA","ERRO: SALDO NEGATIVO","ERRO: VALORES DE REPASSE NEGATIVOS","ERRO: NÚMERO DE LINHAS DO QCI INSUFICIENTE. CLIQUE NO BOTÃO ADICIONAR LINHAS")</f>
        <v/>
      </c>
      <c r="H9" s="690"/>
      <c r="I9" s="596"/>
      <c r="J9" s="595"/>
      <c r="K9" s="689" t="s">
        <v>311</v>
      </c>
      <c r="L9" s="318" t="str">
        <f>$L$13</f>
        <v>Repasse (R$)</v>
      </c>
      <c r="M9" s="318" t="s">
        <v>237</v>
      </c>
      <c r="AD9" s="687"/>
      <c r="AE9" s="687"/>
    </row>
    <row r="10" spans="1:31" ht="12.75" customHeight="1" x14ac:dyDescent="0.2">
      <c r="A10" s="686" t="s">
        <v>312</v>
      </c>
      <c r="C10" s="615"/>
      <c r="G10" s="690"/>
      <c r="H10" s="690"/>
      <c r="I10" s="596"/>
      <c r="J10" s="595"/>
      <c r="K10" s="689"/>
      <c r="L10" s="319">
        <f ca="1">Import.Repasse-L24</f>
        <v>0</v>
      </c>
      <c r="M10" s="320">
        <f ca="1">Import.Contrapartida-M24</f>
        <v>0</v>
      </c>
      <c r="Z10" s="635" t="s">
        <v>215</v>
      </c>
      <c r="AA10" s="635"/>
      <c r="AB10" s="635"/>
      <c r="AD10" s="687" t="s">
        <v>313</v>
      </c>
      <c r="AE10" s="687"/>
    </row>
    <row r="11" spans="1:31" ht="20.100000000000001" customHeight="1" x14ac:dyDescent="0.2">
      <c r="A11" s="686"/>
      <c r="C11" s="615"/>
      <c r="Z11" s="112" t="s">
        <v>314</v>
      </c>
      <c r="AA11" s="112" t="s">
        <v>237</v>
      </c>
      <c r="AB11" s="113" t="s">
        <v>238</v>
      </c>
    </row>
    <row r="12" spans="1:31" hidden="1" x14ac:dyDescent="0.2">
      <c r="A12">
        <f ca="1">IF(NOT(ISBLANK(QCI.DescManual)),OFFSET(A12,-1,0),D12)</f>
        <v>-1</v>
      </c>
      <c r="B12" t="str">
        <f ca="1">IF(NOT(ISBLANK(QCI.DescManual)),IF(QCI.Divisao="Calculado","Manual","SemiAuto"),IF(ISERROR(MATCH($A12,ORÇAMENTO!$E$15:$E$36,0)),"Branco","Automático"))</f>
        <v>Branco</v>
      </c>
      <c r="C12" t="str">
        <f ca="1">IF(O12&gt;0,"F","")</f>
        <v/>
      </c>
      <c r="D12" s="321">
        <f>ROW()-ROW($D$13)</f>
        <v>-1</v>
      </c>
      <c r="E12" s="120"/>
      <c r="F12" s="120"/>
      <c r="G12" s="172" t="str">
        <f ca="1">IF(OR($B12="Manual",$B12="SemiAuto"),QCI.DescManual,IF($B12="Automático",INDEX(ORÇAMENTO!$R$15:$R$36,MATCH($A12,ORÇAMENTO!$E$15:$E$36,0)),""))</f>
        <v/>
      </c>
      <c r="H12" s="120"/>
      <c r="I12" s="535"/>
      <c r="J12" s="322" t="str">
        <f ca="1">IF(AND(ISBLANK(E12),ISBLANK(F12)),"",VLOOKUP($F12,OFFSET(DADOS!$A$2,1,MATCH(QCI!$E12,DADOS!$2:$2,0)-1,100,50),2,FALSE))</f>
        <v/>
      </c>
      <c r="K12" s="534" t="str">
        <f ca="1">IF(OR($B12="Manual",$B12="SemiAuto"),QCI.LoteManual,IF($B12="Automático",IF(TIPOORCAMENTO="Licitado",Import.CTEF,"LOTE 1"),""))</f>
        <v/>
      </c>
      <c r="L12" s="323">
        <f ca="1">ROUND($O12,2)-ROUND($M12,2)-ROUND($N12,2)</f>
        <v>0</v>
      </c>
      <c r="M12" s="324">
        <f ca="1">ROUND($AA12,2)-ROUND($AE12,2)</f>
        <v>0</v>
      </c>
      <c r="N12" s="325">
        <f ca="1">ROUND($AB12,2)</f>
        <v>0</v>
      </c>
      <c r="O12" s="326">
        <f ca="1">IF($B12="Branco",0,IF(OR($B12="Manual",$B12="SemiAuto"),QCI.InvManual,INDEX(ORÇAMENTO!X$15:X$36,MATCH($A12,ORÇAMENTO!$E$15:$E$36,0))))</f>
        <v>0</v>
      </c>
      <c r="P12" s="510"/>
      <c r="R12" s="536"/>
      <c r="T12" s="537"/>
      <c r="U12" s="327"/>
      <c r="V12" s="538" t="s">
        <v>315</v>
      </c>
      <c r="W12" s="328">
        <f ca="1">$O12</f>
        <v>0</v>
      </c>
      <c r="X12" s="329">
        <v>0</v>
      </c>
      <c r="Z12">
        <f ca="1">$O12-$AA12-$AB12</f>
        <v>0</v>
      </c>
      <c r="AA12">
        <f ca="1">IF($B12="Branco",0,IF($B12="Manual",QCI.CPManual,IF($B12="SemiAuto",ROUND(QCI!$AA$3*QCI.InvManual,2),INDEX(ORÇAMENTO!$AA$15:$AA$36,MATCH($A12,ORÇAMENTO!$E$15:$E$36,0)))))</f>
        <v>0</v>
      </c>
      <c r="AB12">
        <f ca="1">IF($B12="Branco",0,IF($B12="Manual",QCI.OutrosManual,IF($B12="SemiAuto",0,INDEX(ORÇAMENTO!$AB$15:$AB$36,MATCH($A12,ORÇAMENTO!$E$15:$E$36,0)))))</f>
        <v>0</v>
      </c>
      <c r="AD12" s="330" t="b">
        <f ca="1">AND($AA$3&gt;0,$AA$3&lt;1,$O12&gt;0,OR($B12="Automático",$B12="SemiAuto"),OR(QCI!$Z$3=QCI!$Z$7,QCI!$Z$3=QCI!$AA$7,QCI!$Z$3=QCI!$AB$7))</f>
        <v>0</v>
      </c>
      <c r="AE12" s="330">
        <f ca="1">IF(AND($AD12,$O12&gt;0,COUNTIF(OFFSET($AD12,1,0):$AD$24,TRUE)=0),CHOOSE(1+LOG(1+2*(QCI!$Z$3=QCI!$Z$7)+4*(QCI!$Z$3=QCI!$AA$7)+8*(QCI!$Z$3=QCI!$AB$7),2),0,$AA$24-ROUND(Import.CPMinPerc*$O$24,2),$AA$24-Import.CPMinAbsoluta,Import.Repasse-$Z$24),0)</f>
        <v>0</v>
      </c>
    </row>
    <row r="13" spans="1:31" ht="25.5" customHeight="1" x14ac:dyDescent="0.2">
      <c r="A13" s="87">
        <v>0</v>
      </c>
      <c r="B13" s="331" t="s">
        <v>316</v>
      </c>
      <c r="C13" s="108" t="s">
        <v>216</v>
      </c>
      <c r="D13" s="109" t="s">
        <v>194</v>
      </c>
      <c r="E13" s="109" t="s">
        <v>317</v>
      </c>
      <c r="F13" s="109" t="s">
        <v>318</v>
      </c>
      <c r="G13" s="109" t="s">
        <v>319</v>
      </c>
      <c r="H13" s="109" t="s">
        <v>161</v>
      </c>
      <c r="I13" s="109" t="s">
        <v>202</v>
      </c>
      <c r="J13" s="109" t="s">
        <v>320</v>
      </c>
      <c r="K13" s="109" t="s">
        <v>321</v>
      </c>
      <c r="L13" s="332" t="str">
        <f>IF(import.recurso="FGTS","Financiamento (R$)","Repasse (R$)")</f>
        <v>Repasse (R$)</v>
      </c>
      <c r="M13" s="333" t="s">
        <v>322</v>
      </c>
      <c r="N13" s="334" t="s">
        <v>238</v>
      </c>
      <c r="O13" s="109" t="s">
        <v>323</v>
      </c>
      <c r="R13" s="335" t="s">
        <v>319</v>
      </c>
      <c r="T13" s="335" t="s">
        <v>321</v>
      </c>
      <c r="U13" s="168" t="s">
        <v>323</v>
      </c>
      <c r="V13" s="336" t="s">
        <v>324</v>
      </c>
      <c r="W13" s="167" t="s">
        <v>322</v>
      </c>
      <c r="X13" s="169" t="s">
        <v>238</v>
      </c>
    </row>
    <row r="14" spans="1:31" ht="25.5" x14ac:dyDescent="0.2">
      <c r="A14">
        <f t="shared" ref="A14:A23" ca="1" si="0">IF(NOT(ISBLANK(QCI.DescManual)),OFFSET(A14,-1,0),D14)</f>
        <v>1</v>
      </c>
      <c r="B14" t="str">
        <f ca="1">IF(NOT(ISBLANK(QCI.DescManual)),IF(QCI.Divisao="Calculado","Manual","SemiAuto"),IF(ISERROR(MATCH($A14,ORÇAMENTO!$E$15:$E$36,0)),"Branco","Automático"))</f>
        <v>Automático</v>
      </c>
      <c r="C14" t="str">
        <f t="shared" ref="C14:C22" ca="1" si="1">IF(O14&gt;0,"F","")</f>
        <v/>
      </c>
      <c r="D14" s="321">
        <f t="shared" ref="D14:D22" si="2">ROW()-ROW($D$13)</f>
        <v>1</v>
      </c>
      <c r="E14" s="120"/>
      <c r="F14" s="120"/>
      <c r="G14" s="172" t="str">
        <f ca="1">IF(OR($B14="Manual",$B14="SemiAuto"),QCI.DescManual,IF($B14="Automático",INDEX(ORÇAMENTO!$R$15:$R$36,MATCH($A14,ORÇAMENTO!$E$15:$E$36,0)),""))</f>
        <v>Manutenção e Reparos Abrigos Passagerios Onibus e Táxi</v>
      </c>
      <c r="H14" s="120"/>
      <c r="I14" s="535"/>
      <c r="J14" s="322" t="str">
        <f ca="1">IF(AND(ISBLANK(E14),ISBLANK(F14)),"",VLOOKUP($F14,OFFSET(DADOS!$A$2,1,MATCH(QCI!$E14,DADOS!$2:$2,0)-1,100,50),2,FALSE))</f>
        <v/>
      </c>
      <c r="K14" s="534" t="str">
        <f ca="1">IF(OR($B14="Manual",$B14="SemiAuto"),QCI.LoteManual,IF($B14="Automático",IF(TIPOORCAMENTO="Licitado",Import.CTEF,"LOTE 1"),""))</f>
        <v>LOTE 1</v>
      </c>
      <c r="L14" s="323">
        <f t="shared" ref="L14:L22" ca="1" si="3">ROUND($O14,2)-ROUND($M14,2)-ROUND($N14,2)</f>
        <v>0</v>
      </c>
      <c r="M14" s="324">
        <f t="shared" ref="M14:M22" ca="1" si="4">ROUND($AA14,2)-ROUND($AE14,2)</f>
        <v>0</v>
      </c>
      <c r="N14" s="325">
        <f t="shared" ref="N14:N22" ca="1" si="5">ROUND($AB14,2)</f>
        <v>0</v>
      </c>
      <c r="O14" s="326">
        <f ca="1">IF($B14="Branco",0,IF(OR($B14="Manual",$B14="SemiAuto"),QCI.InvManual,INDEX(ORÇAMENTO!X$15:X$36,MATCH($A14,ORÇAMENTO!$E$15:$E$36,0))))</f>
        <v>0</v>
      </c>
      <c r="P14" s="510"/>
      <c r="R14" s="536"/>
      <c r="T14" s="537"/>
      <c r="U14" s="327"/>
      <c r="V14" s="538" t="s">
        <v>315</v>
      </c>
      <c r="W14" s="328">
        <f t="shared" ref="W14:W22" ca="1" si="6">$O14</f>
        <v>0</v>
      </c>
      <c r="X14" s="329">
        <v>0</v>
      </c>
      <c r="Z14">
        <f t="shared" ref="Z14:Z22" ca="1" si="7">$O14-$AA14-$AB14</f>
        <v>0</v>
      </c>
      <c r="AA14">
        <f ca="1">IF($B14="Branco",0,IF($B14="Manual",QCI.CPManual,IF($B14="SemiAuto",ROUND(QCI!$AA$3*QCI.InvManual,2),INDEX(ORÇAMENTO!$AA$15:$AA$36,MATCH($A14,ORÇAMENTO!$E$15:$E$36,0)))))</f>
        <v>0</v>
      </c>
      <c r="AB14">
        <f ca="1">IF($B14="Branco",0,IF($B14="Manual",QCI.OutrosManual,IF($B14="SemiAuto",0,INDEX(ORÇAMENTO!$AB$15:$AB$36,MATCH($A14,ORÇAMENTO!$E$15:$E$36,0)))))</f>
        <v>0</v>
      </c>
      <c r="AD14" s="330" t="b">
        <f ca="1">AND($AA$3&gt;0,$AA$3&lt;1,$O14&gt;0,OR($B14="Automático",$B14="SemiAuto"),OR(QCI!$Z$3=QCI!$Z$7,QCI!$Z$3=QCI!$AA$7,QCI!$Z$3=QCI!$AB$7))</f>
        <v>0</v>
      </c>
      <c r="AE14" s="330">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IF(NOT(ISBLANK(QCI.DescManual)),IF(QCI.Divisao="Calculado","Manual","SemiAuto"),IF(ISERROR(MATCH($A15,ORÇAMENTO!$E$15:$E$36,0)),"Branco","Automático"))</f>
        <v>Branco</v>
      </c>
      <c r="C15" t="str">
        <f t="shared" ca="1" si="1"/>
        <v/>
      </c>
      <c r="D15" s="321">
        <f t="shared" si="2"/>
        <v>2</v>
      </c>
      <c r="E15" s="120"/>
      <c r="F15" s="120"/>
      <c r="G15" s="172" t="str">
        <f ca="1">IF(OR($B15="Manual",$B15="SemiAuto"),QCI.DescManual,IF($B15="Automático",INDEX(ORÇAMENTO!$R$15:$R$36,MATCH($A15,ORÇAMENTO!$E$15:$E$36,0)),""))</f>
        <v/>
      </c>
      <c r="H15" s="120"/>
      <c r="I15" s="535"/>
      <c r="J15" s="322" t="str">
        <f ca="1">IF(AND(ISBLANK(E15),ISBLANK(F15)),"",VLOOKUP($F15,OFFSET(DADOS!$A$2,1,MATCH(QCI!$E15,DADOS!$2:$2,0)-1,100,50),2,FALSE))</f>
        <v/>
      </c>
      <c r="K15" s="534" t="str">
        <f ca="1">IF(OR($B15="Manual",$B15="SemiAuto"),QCI.LoteManual,IF($B15="Automático",IF(TIPOORCAMENTO="Licitado",Import.CTEF,"LOTE 1"),""))</f>
        <v/>
      </c>
      <c r="L15" s="323">
        <f t="shared" ca="1" si="3"/>
        <v>0</v>
      </c>
      <c r="M15" s="324">
        <f t="shared" ca="1" si="4"/>
        <v>0</v>
      </c>
      <c r="N15" s="325">
        <f t="shared" ca="1" si="5"/>
        <v>0</v>
      </c>
      <c r="O15" s="326">
        <f ca="1">IF($B15="Branco",0,IF(OR($B15="Manual",$B15="SemiAuto"),QCI.InvManual,INDEX(ORÇAMENTO!X$15:X$36,MATCH($A15,ORÇAMENTO!$E$15:$E$36,0))))</f>
        <v>0</v>
      </c>
      <c r="P15" s="510"/>
      <c r="R15" s="536"/>
      <c r="T15" s="537"/>
      <c r="U15" s="327"/>
      <c r="V15" s="538" t="s">
        <v>315</v>
      </c>
      <c r="W15" s="328">
        <f t="shared" ca="1" si="6"/>
        <v>0</v>
      </c>
      <c r="X15" s="329">
        <v>0</v>
      </c>
      <c r="Z15">
        <f t="shared" ca="1" si="7"/>
        <v>0</v>
      </c>
      <c r="AA15">
        <f ca="1">IF($B15="Branco",0,IF($B15="Manual",QCI.CPManual,IF($B15="SemiAuto",ROUND(QCI!$AA$3*QCI.InvManual,2),INDEX(ORÇAMENTO!$AA$15:$AA$36,MATCH($A15,ORÇAMENTO!$E$15:$E$36,0)))))</f>
        <v>0</v>
      </c>
      <c r="AB15">
        <f ca="1">IF($B15="Branco",0,IF($B15="Manual",QCI.OutrosManual,IF($B15="SemiAuto",0,INDEX(ORÇAMENTO!$AB$15:$AB$36,MATCH($A15,ORÇAMENTO!$E$15:$E$36,0)))))</f>
        <v>0</v>
      </c>
      <c r="AD15" s="330" t="b">
        <f ca="1">AND($AA$3&gt;0,$AA$3&lt;1,$O15&gt;0,OR($B15="Automático",$B15="SemiAuto"),OR(QCI!$Z$3=QCI!$Z$7,QCI!$Z$3=QCI!$AA$7,QCI!$Z$3=QCI!$AB$7))</f>
        <v>0</v>
      </c>
      <c r="AE15" s="330">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IF(NOT(ISBLANK(QCI.DescManual)),IF(QCI.Divisao="Calculado","Manual","SemiAuto"),IF(ISERROR(MATCH($A16,ORÇAMENTO!$E$15:$E$36,0)),"Branco","Automático"))</f>
        <v>Branco</v>
      </c>
      <c r="C16" t="str">
        <f t="shared" ca="1" si="1"/>
        <v/>
      </c>
      <c r="D16" s="321">
        <f t="shared" si="2"/>
        <v>3</v>
      </c>
      <c r="E16" s="120"/>
      <c r="F16" s="120"/>
      <c r="G16" s="172" t="str">
        <f ca="1">IF(OR($B16="Manual",$B16="SemiAuto"),QCI.DescManual,IF($B16="Automático",INDEX(ORÇAMENTO!$R$15:$R$36,MATCH($A16,ORÇAMENTO!$E$15:$E$36,0)),""))</f>
        <v/>
      </c>
      <c r="H16" s="120"/>
      <c r="I16" s="535"/>
      <c r="J16" s="322" t="str">
        <f ca="1">IF(AND(ISBLANK(E16),ISBLANK(F16)),"",VLOOKUP($F16,OFFSET(DADOS!$A$2,1,MATCH(QCI!$E16,DADOS!$2:$2,0)-1,100,50),2,FALSE))</f>
        <v/>
      </c>
      <c r="K16" s="534" t="str">
        <f ca="1">IF(OR($B16="Manual",$B16="SemiAuto"),QCI.LoteManual,IF($B16="Automático",IF(TIPOORCAMENTO="Licitado",Import.CTEF,"LOTE 1"),""))</f>
        <v/>
      </c>
      <c r="L16" s="323">
        <f t="shared" ca="1" si="3"/>
        <v>0</v>
      </c>
      <c r="M16" s="324">
        <f t="shared" ca="1" si="4"/>
        <v>0</v>
      </c>
      <c r="N16" s="325">
        <f t="shared" ca="1" si="5"/>
        <v>0</v>
      </c>
      <c r="O16" s="326">
        <f ca="1">IF($B16="Branco",0,IF(OR($B16="Manual",$B16="SemiAuto"),QCI.InvManual,INDEX(ORÇAMENTO!X$15:X$36,MATCH($A16,ORÇAMENTO!$E$15:$E$36,0))))</f>
        <v>0</v>
      </c>
      <c r="P16" s="510"/>
      <c r="R16" s="536"/>
      <c r="T16" s="537"/>
      <c r="U16" s="327"/>
      <c r="V16" s="538" t="s">
        <v>315</v>
      </c>
      <c r="W16" s="328">
        <f t="shared" ca="1" si="6"/>
        <v>0</v>
      </c>
      <c r="X16" s="329">
        <v>0</v>
      </c>
      <c r="Z16">
        <f t="shared" ca="1" si="7"/>
        <v>0</v>
      </c>
      <c r="AA16">
        <f ca="1">IF($B16="Branco",0,IF($B16="Manual",QCI.CPManual,IF($B16="SemiAuto",ROUND(QCI!$AA$3*QCI.InvManual,2),INDEX(ORÇAMENTO!$AA$15:$AA$36,MATCH($A16,ORÇAMENTO!$E$15:$E$36,0)))))</f>
        <v>0</v>
      </c>
      <c r="AB16">
        <f ca="1">IF($B16="Branco",0,IF($B16="Manual",QCI.OutrosManual,IF($B16="SemiAuto",0,INDEX(ORÇAMENTO!$AB$15:$AB$36,MATCH($A16,ORÇAMENTO!$E$15:$E$36,0)))))</f>
        <v>0</v>
      </c>
      <c r="AD16" s="330" t="b">
        <f ca="1">AND($AA$3&gt;0,$AA$3&lt;1,$O16&gt;0,OR($B16="Automático",$B16="SemiAuto"),OR(QCI!$Z$3=QCI!$Z$7,QCI!$Z$3=QCI!$AA$7,QCI!$Z$3=QCI!$AB$7))</f>
        <v>0</v>
      </c>
      <c r="AE16" s="330">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IF(NOT(ISBLANK(QCI.DescManual)),IF(QCI.Divisao="Calculado","Manual","SemiAuto"),IF(ISERROR(MATCH($A17,ORÇAMENTO!$E$15:$E$36,0)),"Branco","Automático"))</f>
        <v>Branco</v>
      </c>
      <c r="C17" t="str">
        <f t="shared" ca="1" si="1"/>
        <v/>
      </c>
      <c r="D17" s="321">
        <f t="shared" si="2"/>
        <v>4</v>
      </c>
      <c r="E17" s="120"/>
      <c r="F17" s="120"/>
      <c r="G17" s="172" t="str">
        <f ca="1">IF(OR($B17="Manual",$B17="SemiAuto"),QCI.DescManual,IF($B17="Automático",INDEX(ORÇAMENTO!$R$15:$R$36,MATCH($A17,ORÇAMENTO!$E$15:$E$36,0)),""))</f>
        <v/>
      </c>
      <c r="H17" s="120"/>
      <c r="I17" s="535"/>
      <c r="J17" s="322" t="str">
        <f ca="1">IF(AND(ISBLANK(E17),ISBLANK(F17)),"",VLOOKUP($F17,OFFSET(DADOS!$A$2,1,MATCH(QCI!$E17,DADOS!$2:$2,0)-1,100,50),2,FALSE))</f>
        <v/>
      </c>
      <c r="K17" s="534" t="str">
        <f ca="1">IF(OR($B17="Manual",$B17="SemiAuto"),QCI.LoteManual,IF($B17="Automático",IF(TIPOORCAMENTO="Licitado",Import.CTEF,"LOTE 1"),""))</f>
        <v/>
      </c>
      <c r="L17" s="323">
        <f t="shared" ca="1" si="3"/>
        <v>0</v>
      </c>
      <c r="M17" s="324">
        <f t="shared" ca="1" si="4"/>
        <v>0</v>
      </c>
      <c r="N17" s="325">
        <f t="shared" ca="1" si="5"/>
        <v>0</v>
      </c>
      <c r="O17" s="326">
        <f ca="1">IF($B17="Branco",0,IF(OR($B17="Manual",$B17="SemiAuto"),QCI.InvManual,INDEX(ORÇAMENTO!X$15:X$36,MATCH($A17,ORÇAMENTO!$E$15:$E$36,0))))</f>
        <v>0</v>
      </c>
      <c r="P17" s="510"/>
      <c r="R17" s="536"/>
      <c r="T17" s="537"/>
      <c r="U17" s="327"/>
      <c r="V17" s="538" t="s">
        <v>315</v>
      </c>
      <c r="W17" s="328">
        <f t="shared" ca="1" si="6"/>
        <v>0</v>
      </c>
      <c r="X17" s="329">
        <v>0</v>
      </c>
      <c r="Z17">
        <f t="shared" ca="1" si="7"/>
        <v>0</v>
      </c>
      <c r="AA17">
        <f ca="1">IF($B17="Branco",0,IF($B17="Manual",QCI.CPManual,IF($B17="SemiAuto",ROUND(QCI!$AA$3*QCI.InvManual,2),INDEX(ORÇAMENTO!$AA$15:$AA$36,MATCH($A17,ORÇAMENTO!$E$15:$E$36,0)))))</f>
        <v>0</v>
      </c>
      <c r="AB17">
        <f ca="1">IF($B17="Branco",0,IF($B17="Manual",QCI.OutrosManual,IF($B17="SemiAuto",0,INDEX(ORÇAMENTO!$AB$15:$AB$36,MATCH($A17,ORÇAMENTO!$E$15:$E$36,0)))))</f>
        <v>0</v>
      </c>
      <c r="AD17" s="330" t="b">
        <f ca="1">AND($AA$3&gt;0,$AA$3&lt;1,$O17&gt;0,OR($B17="Automático",$B17="SemiAuto"),OR(QCI!$Z$3=QCI!$Z$7,QCI!$Z$3=QCI!$AA$7,QCI!$Z$3=QCI!$AB$7))</f>
        <v>0</v>
      </c>
      <c r="AE17" s="330">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IF(NOT(ISBLANK(QCI.DescManual)),IF(QCI.Divisao="Calculado","Manual","SemiAuto"),IF(ISERROR(MATCH($A18,ORÇAMENTO!$E$15:$E$36,0)),"Branco","Automático"))</f>
        <v>Branco</v>
      </c>
      <c r="C18" t="str">
        <f t="shared" ca="1" si="1"/>
        <v/>
      </c>
      <c r="D18" s="321">
        <f t="shared" si="2"/>
        <v>5</v>
      </c>
      <c r="E18" s="120"/>
      <c r="F18" s="120"/>
      <c r="G18" s="172" t="str">
        <f ca="1">IF(OR($B18="Manual",$B18="SemiAuto"),QCI.DescManual,IF($B18="Automático",INDEX(ORÇAMENTO!$R$15:$R$36,MATCH($A18,ORÇAMENTO!$E$15:$E$36,0)),""))</f>
        <v/>
      </c>
      <c r="H18" s="120"/>
      <c r="I18" s="535"/>
      <c r="J18" s="322" t="str">
        <f ca="1">IF(AND(ISBLANK(E18),ISBLANK(F18)),"",VLOOKUP($F18,OFFSET(DADOS!$A$2,1,MATCH(QCI!$E18,DADOS!$2:$2,0)-1,100,50),2,FALSE))</f>
        <v/>
      </c>
      <c r="K18" s="534" t="str">
        <f ca="1">IF(OR($B18="Manual",$B18="SemiAuto"),QCI.LoteManual,IF($B18="Automático",IF(TIPOORCAMENTO="Licitado",Import.CTEF,"LOTE 1"),""))</f>
        <v/>
      </c>
      <c r="L18" s="323">
        <f t="shared" ca="1" si="3"/>
        <v>0</v>
      </c>
      <c r="M18" s="324">
        <f t="shared" ca="1" si="4"/>
        <v>0</v>
      </c>
      <c r="N18" s="325">
        <f t="shared" ca="1" si="5"/>
        <v>0</v>
      </c>
      <c r="O18" s="326">
        <f ca="1">IF($B18="Branco",0,IF(OR($B18="Manual",$B18="SemiAuto"),QCI.InvManual,INDEX(ORÇAMENTO!X$15:X$36,MATCH($A18,ORÇAMENTO!$E$15:$E$36,0))))</f>
        <v>0</v>
      </c>
      <c r="P18" s="510"/>
      <c r="R18" s="536"/>
      <c r="T18" s="537"/>
      <c r="U18" s="327"/>
      <c r="V18" s="538" t="s">
        <v>315</v>
      </c>
      <c r="W18" s="328">
        <f t="shared" ca="1" si="6"/>
        <v>0</v>
      </c>
      <c r="X18" s="329">
        <v>0</v>
      </c>
      <c r="Z18">
        <f t="shared" ca="1" si="7"/>
        <v>0</v>
      </c>
      <c r="AA18">
        <f ca="1">IF($B18="Branco",0,IF($B18="Manual",QCI.CPManual,IF($B18="SemiAuto",ROUND(QCI!$AA$3*QCI.InvManual,2),INDEX(ORÇAMENTO!$AA$15:$AA$36,MATCH($A18,ORÇAMENTO!$E$15:$E$36,0)))))</f>
        <v>0</v>
      </c>
      <c r="AB18">
        <f ca="1">IF($B18="Branco",0,IF($B18="Manual",QCI.OutrosManual,IF($B18="SemiAuto",0,INDEX(ORÇAMENTO!$AB$15:$AB$36,MATCH($A18,ORÇAMENTO!$E$15:$E$36,0)))))</f>
        <v>0</v>
      </c>
      <c r="AD18" s="330" t="b">
        <f ca="1">AND($AA$3&gt;0,$AA$3&lt;1,$O18&gt;0,OR($B18="Automático",$B18="SemiAuto"),OR(QCI!$Z$3=QCI!$Z$7,QCI!$Z$3=QCI!$AA$7,QCI!$Z$3=QCI!$AB$7))</f>
        <v>0</v>
      </c>
      <c r="AE18" s="330">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IF(NOT(ISBLANK(QCI.DescManual)),IF(QCI.Divisao="Calculado","Manual","SemiAuto"),IF(ISERROR(MATCH($A19,ORÇAMENTO!$E$15:$E$36,0)),"Branco","Automático"))</f>
        <v>Branco</v>
      </c>
      <c r="C19" t="str">
        <f t="shared" ca="1" si="1"/>
        <v/>
      </c>
      <c r="D19" s="321">
        <f t="shared" si="2"/>
        <v>6</v>
      </c>
      <c r="E19" s="120"/>
      <c r="F19" s="120"/>
      <c r="G19" s="172" t="str">
        <f ca="1">IF(OR($B19="Manual",$B19="SemiAuto"),QCI.DescManual,IF($B19="Automático",INDEX(ORÇAMENTO!$R$15:$R$36,MATCH($A19,ORÇAMENTO!$E$15:$E$36,0)),""))</f>
        <v/>
      </c>
      <c r="H19" s="120"/>
      <c r="I19" s="535"/>
      <c r="J19" s="322" t="str">
        <f ca="1">IF(AND(ISBLANK(E19),ISBLANK(F19)),"",VLOOKUP($F19,OFFSET(DADOS!$A$2,1,MATCH(QCI!$E19,DADOS!$2:$2,0)-1,100,50),2,FALSE))</f>
        <v/>
      </c>
      <c r="K19" s="534" t="str">
        <f ca="1">IF(OR($B19="Manual",$B19="SemiAuto"),QCI.LoteManual,IF($B19="Automático",IF(TIPOORCAMENTO="Licitado",Import.CTEF,"LOTE 1"),""))</f>
        <v/>
      </c>
      <c r="L19" s="323">
        <f t="shared" ca="1" si="3"/>
        <v>0</v>
      </c>
      <c r="M19" s="324">
        <f t="shared" ca="1" si="4"/>
        <v>0</v>
      </c>
      <c r="N19" s="325">
        <f t="shared" ca="1" si="5"/>
        <v>0</v>
      </c>
      <c r="O19" s="326">
        <f ca="1">IF($B19="Branco",0,IF(OR($B19="Manual",$B19="SemiAuto"),QCI.InvManual,INDEX(ORÇAMENTO!X$15:X$36,MATCH($A19,ORÇAMENTO!$E$15:$E$36,0))))</f>
        <v>0</v>
      </c>
      <c r="P19" s="510"/>
      <c r="R19" s="536"/>
      <c r="T19" s="537"/>
      <c r="U19" s="327"/>
      <c r="V19" s="538" t="s">
        <v>315</v>
      </c>
      <c r="W19" s="328">
        <f t="shared" ca="1" si="6"/>
        <v>0</v>
      </c>
      <c r="X19" s="329">
        <v>0</v>
      </c>
      <c r="Z19">
        <f t="shared" ca="1" si="7"/>
        <v>0</v>
      </c>
      <c r="AA19">
        <f ca="1">IF($B19="Branco",0,IF($B19="Manual",QCI.CPManual,IF($B19="SemiAuto",ROUND(QCI!$AA$3*QCI.InvManual,2),INDEX(ORÇAMENTO!$AA$15:$AA$36,MATCH($A19,ORÇAMENTO!$E$15:$E$36,0)))))</f>
        <v>0</v>
      </c>
      <c r="AB19">
        <f ca="1">IF($B19="Branco",0,IF($B19="Manual",QCI.OutrosManual,IF($B19="SemiAuto",0,INDEX(ORÇAMENTO!$AB$15:$AB$36,MATCH($A19,ORÇAMENTO!$E$15:$E$36,0)))))</f>
        <v>0</v>
      </c>
      <c r="AD19" s="330" t="b">
        <f ca="1">AND($AA$3&gt;0,$AA$3&lt;1,$O19&gt;0,OR($B19="Automático",$B19="SemiAuto"),OR(QCI!$Z$3=QCI!$Z$7,QCI!$Z$3=QCI!$AA$7,QCI!$Z$3=QCI!$AB$7))</f>
        <v>0</v>
      </c>
      <c r="AE19" s="330">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IF(NOT(ISBLANK(QCI.DescManual)),IF(QCI.Divisao="Calculado","Manual","SemiAuto"),IF(ISERROR(MATCH($A20,ORÇAMENTO!$E$15:$E$36,0)),"Branco","Automático"))</f>
        <v>Branco</v>
      </c>
      <c r="C20" t="str">
        <f t="shared" ca="1" si="1"/>
        <v/>
      </c>
      <c r="D20" s="321">
        <f t="shared" si="2"/>
        <v>7</v>
      </c>
      <c r="E20" s="120"/>
      <c r="F20" s="120"/>
      <c r="G20" s="172" t="str">
        <f ca="1">IF(OR($B20="Manual",$B20="SemiAuto"),QCI.DescManual,IF($B20="Automático",INDEX(ORÇAMENTO!$R$15:$R$36,MATCH($A20,ORÇAMENTO!$E$15:$E$36,0)),""))</f>
        <v/>
      </c>
      <c r="H20" s="120"/>
      <c r="I20" s="535"/>
      <c r="J20" s="322" t="str">
        <f ca="1">IF(AND(ISBLANK(E20),ISBLANK(F20)),"",VLOOKUP($F20,OFFSET(DADOS!$A$2,1,MATCH(QCI!$E20,DADOS!$2:$2,0)-1,100,50),2,FALSE))</f>
        <v/>
      </c>
      <c r="K20" s="534" t="str">
        <f ca="1">IF(OR($B20="Manual",$B20="SemiAuto"),QCI.LoteManual,IF($B20="Automático",IF(TIPOORCAMENTO="Licitado",Import.CTEF,"LOTE 1"),""))</f>
        <v/>
      </c>
      <c r="L20" s="323">
        <f t="shared" ca="1" si="3"/>
        <v>0</v>
      </c>
      <c r="M20" s="324">
        <f t="shared" ca="1" si="4"/>
        <v>0</v>
      </c>
      <c r="N20" s="325">
        <f t="shared" ca="1" si="5"/>
        <v>0</v>
      </c>
      <c r="O20" s="326">
        <f ca="1">IF($B20="Branco",0,IF(OR($B20="Manual",$B20="SemiAuto"),QCI.InvManual,INDEX(ORÇAMENTO!X$15:X$36,MATCH($A20,ORÇAMENTO!$E$15:$E$36,0))))</f>
        <v>0</v>
      </c>
      <c r="P20" s="510"/>
      <c r="R20" s="536"/>
      <c r="T20" s="537"/>
      <c r="U20" s="327"/>
      <c r="V20" s="538" t="s">
        <v>315</v>
      </c>
      <c r="W20" s="328">
        <f t="shared" ca="1" si="6"/>
        <v>0</v>
      </c>
      <c r="X20" s="329">
        <v>0</v>
      </c>
      <c r="Z20">
        <f t="shared" ca="1" si="7"/>
        <v>0</v>
      </c>
      <c r="AA20">
        <f ca="1">IF($B20="Branco",0,IF($B20="Manual",QCI.CPManual,IF($B20="SemiAuto",ROUND(QCI!$AA$3*QCI.InvManual,2),INDEX(ORÇAMENTO!$AA$15:$AA$36,MATCH($A20,ORÇAMENTO!$E$15:$E$36,0)))))</f>
        <v>0</v>
      </c>
      <c r="AB20">
        <f ca="1">IF($B20="Branco",0,IF($B20="Manual",QCI.OutrosManual,IF($B20="SemiAuto",0,INDEX(ORÇAMENTO!$AB$15:$AB$36,MATCH($A20,ORÇAMENTO!$E$15:$E$36,0)))))</f>
        <v>0</v>
      </c>
      <c r="AD20" s="330" t="b">
        <f ca="1">AND($AA$3&gt;0,$AA$3&lt;1,$O20&gt;0,OR($B20="Automático",$B20="SemiAuto"),OR(QCI!$Z$3=QCI!$Z$7,QCI!$Z$3=QCI!$AA$7,QCI!$Z$3=QCI!$AB$7))</f>
        <v>0</v>
      </c>
      <c r="AE20" s="330">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IF(NOT(ISBLANK(QCI.DescManual)),IF(QCI.Divisao="Calculado","Manual","SemiAuto"),IF(ISERROR(MATCH($A21,ORÇAMENTO!$E$15:$E$36,0)),"Branco","Automático"))</f>
        <v>Branco</v>
      </c>
      <c r="C21" t="str">
        <f t="shared" ca="1" si="1"/>
        <v/>
      </c>
      <c r="D21" s="321">
        <f t="shared" si="2"/>
        <v>8</v>
      </c>
      <c r="E21" s="120"/>
      <c r="F21" s="120"/>
      <c r="G21" s="172" t="str">
        <f ca="1">IF(OR($B21="Manual",$B21="SemiAuto"),QCI.DescManual,IF($B21="Automático",INDEX(ORÇAMENTO!$R$15:$R$36,MATCH($A21,ORÇAMENTO!$E$15:$E$36,0)),""))</f>
        <v/>
      </c>
      <c r="H21" s="120"/>
      <c r="I21" s="535"/>
      <c r="J21" s="322" t="str">
        <f ca="1">IF(AND(ISBLANK(E21),ISBLANK(F21)),"",VLOOKUP($F21,OFFSET(DADOS!$A$2,1,MATCH(QCI!$E21,DADOS!$2:$2,0)-1,100,50),2,FALSE))</f>
        <v/>
      </c>
      <c r="K21" s="534" t="str">
        <f ca="1">IF(OR($B21="Manual",$B21="SemiAuto"),QCI.LoteManual,IF($B21="Automático",IF(TIPOORCAMENTO="Licitado",Import.CTEF,"LOTE 1"),""))</f>
        <v/>
      </c>
      <c r="L21" s="323">
        <f t="shared" ca="1" si="3"/>
        <v>0</v>
      </c>
      <c r="M21" s="324">
        <f t="shared" ca="1" si="4"/>
        <v>0</v>
      </c>
      <c r="N21" s="325">
        <f t="shared" ca="1" si="5"/>
        <v>0</v>
      </c>
      <c r="O21" s="326">
        <f ca="1">IF($B21="Branco",0,IF(OR($B21="Manual",$B21="SemiAuto"),QCI.InvManual,INDEX(ORÇAMENTO!X$15:X$36,MATCH($A21,ORÇAMENTO!$E$15:$E$36,0))))</f>
        <v>0</v>
      </c>
      <c r="P21" s="510"/>
      <c r="R21" s="536"/>
      <c r="T21" s="537"/>
      <c r="U21" s="327"/>
      <c r="V21" s="538" t="s">
        <v>315</v>
      </c>
      <c r="W21" s="328">
        <f t="shared" ca="1" si="6"/>
        <v>0</v>
      </c>
      <c r="X21" s="329">
        <v>0</v>
      </c>
      <c r="Z21">
        <f t="shared" ca="1" si="7"/>
        <v>0</v>
      </c>
      <c r="AA21">
        <f ca="1">IF($B21="Branco",0,IF($B21="Manual",QCI.CPManual,IF($B21="SemiAuto",ROUND(QCI!$AA$3*QCI.InvManual,2),INDEX(ORÇAMENTO!$AA$15:$AA$36,MATCH($A21,ORÇAMENTO!$E$15:$E$36,0)))))</f>
        <v>0</v>
      </c>
      <c r="AB21">
        <f ca="1">IF($B21="Branco",0,IF($B21="Manual",QCI.OutrosManual,IF($B21="SemiAuto",0,INDEX(ORÇAMENTO!$AB$15:$AB$36,MATCH($A21,ORÇAMENTO!$E$15:$E$36,0)))))</f>
        <v>0</v>
      </c>
      <c r="AD21" s="330" t="b">
        <f ca="1">AND($AA$3&gt;0,$AA$3&lt;1,$O21&gt;0,OR($B21="Automático",$B21="SemiAuto"),OR(QCI!$Z$3=QCI!$Z$7,QCI!$Z$3=QCI!$AA$7,QCI!$Z$3=QCI!$AB$7))</f>
        <v>0</v>
      </c>
      <c r="AE21" s="330">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IF(NOT(ISBLANK(QCI.DescManual)),IF(QCI.Divisao="Calculado","Manual","SemiAuto"),IF(ISERROR(MATCH($A22,ORÇAMENTO!$E$15:$E$36,0)),"Branco","Automático"))</f>
        <v>Branco</v>
      </c>
      <c r="C22" t="str">
        <f t="shared" ca="1" si="1"/>
        <v/>
      </c>
      <c r="D22" s="321">
        <f t="shared" si="2"/>
        <v>9</v>
      </c>
      <c r="E22" s="120"/>
      <c r="F22" s="120"/>
      <c r="G22" s="172" t="str">
        <f ca="1">IF(OR($B22="Manual",$B22="SemiAuto"),QCI.DescManual,IF($B22="Automático",INDEX(ORÇAMENTO!$R$15:$R$36,MATCH($A22,ORÇAMENTO!$E$15:$E$36,0)),""))</f>
        <v/>
      </c>
      <c r="H22" s="120"/>
      <c r="I22" s="535"/>
      <c r="J22" s="322" t="str">
        <f ca="1">IF(AND(ISBLANK(E22),ISBLANK(F22)),"",VLOOKUP($F22,OFFSET(DADOS!$A$2,1,MATCH(QCI!$E22,DADOS!$2:$2,0)-1,100,50),2,FALSE))</f>
        <v/>
      </c>
      <c r="K22" s="534" t="str">
        <f ca="1">IF(OR($B22="Manual",$B22="SemiAuto"),QCI.LoteManual,IF($B22="Automático",IF(TIPOORCAMENTO="Licitado",Import.CTEF,"LOTE 1"),""))</f>
        <v/>
      </c>
      <c r="L22" s="323">
        <f t="shared" ca="1" si="3"/>
        <v>0</v>
      </c>
      <c r="M22" s="324">
        <f t="shared" ca="1" si="4"/>
        <v>0</v>
      </c>
      <c r="N22" s="325">
        <f t="shared" ca="1" si="5"/>
        <v>0</v>
      </c>
      <c r="O22" s="326">
        <f ca="1">IF($B22="Branco",0,IF(OR($B22="Manual",$B22="SemiAuto"),QCI.InvManual,INDEX(ORÇAMENTO!X$15:X$36,MATCH($A22,ORÇAMENTO!$E$15:$E$36,0))))</f>
        <v>0</v>
      </c>
      <c r="P22" s="510"/>
      <c r="R22" s="536"/>
      <c r="T22" s="537"/>
      <c r="U22" s="327"/>
      <c r="V22" s="538" t="s">
        <v>315</v>
      </c>
      <c r="W22" s="328">
        <f t="shared" ca="1" si="6"/>
        <v>0</v>
      </c>
      <c r="X22" s="329">
        <v>0</v>
      </c>
      <c r="Z22">
        <f t="shared" ca="1" si="7"/>
        <v>0</v>
      </c>
      <c r="AA22">
        <f ca="1">IF($B22="Branco",0,IF($B22="Manual",QCI.CPManual,IF($B22="SemiAuto",ROUND(QCI!$AA$3*QCI.InvManual,2),INDEX(ORÇAMENTO!$AA$15:$AA$36,MATCH($A22,ORÇAMENTO!$E$15:$E$36,0)))))</f>
        <v>0</v>
      </c>
      <c r="AB22">
        <f ca="1">IF($B22="Branco",0,IF($B22="Manual",QCI.OutrosManual,IF($B22="SemiAuto",0,INDEX(ORÇAMENTO!$AB$15:$AB$36,MATCH($A22,ORÇAMENTO!$E$15:$E$36,0)))))</f>
        <v>0</v>
      </c>
      <c r="AD22" s="330" t="b">
        <f ca="1">AND($AA$3&gt;0,$AA$3&lt;1,$O22&gt;0,OR($B22="Automático",$B22="SemiAuto"),OR(QCI!$Z$3=QCI!$Z$7,QCI!$Z$3=QCI!$AA$7,QCI!$Z$3=QCI!$AB$7))</f>
        <v>0</v>
      </c>
      <c r="AE22" s="330">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IF(NOT(ISBLANK(QCI.DescManual)),IF(QCI.Divisao="Calculado","Manual","SemiAuto"),IF(ISERROR(MATCH($A23,ORÇAMENTO!$E$15:$E$36,0)),"Branco","Automático"))</f>
        <v>Branco</v>
      </c>
      <c r="C23" t="str">
        <f ca="1">IF(O23&gt;0,"F","")</f>
        <v/>
      </c>
      <c r="D23" s="321">
        <f>ROW()-ROW($D$13)</f>
        <v>10</v>
      </c>
      <c r="E23" s="120"/>
      <c r="F23" s="120"/>
      <c r="G23" s="172" t="str">
        <f ca="1">IF(OR($B23="Manual",$B23="SemiAuto"),QCI.DescManual,IF($B23="Automático",INDEX(ORÇAMENTO!$R$15:$R$36,MATCH($A23,ORÇAMENTO!$E$15:$E$36,0)),""))</f>
        <v/>
      </c>
      <c r="H23" s="120"/>
      <c r="I23" s="535"/>
      <c r="J23" s="322" t="str">
        <f ca="1">IF(AND(ISBLANK(E23),ISBLANK(F23)),"",VLOOKUP($F23,OFFSET(DADOS!$A$2,1,MATCH(QCI!$E23,DADOS!$2:$2,0)-1,100,50),2,FALSE))</f>
        <v/>
      </c>
      <c r="K23" s="534" t="str">
        <f ca="1">IF(OR($B23="Manual",$B23="SemiAuto"),QCI.LoteManual,IF($B23="Automático",IF(TIPOORCAMENTO="Licitado",Import.CTEF,"LOTE 1"),""))</f>
        <v/>
      </c>
      <c r="L23" s="323">
        <f ca="1">ROUND($O23,2)-ROUND($M23,2)-ROUND($N23,2)</f>
        <v>0</v>
      </c>
      <c r="M23" s="324">
        <f ca="1">ROUND($AA23,2)-ROUND($AE23,2)</f>
        <v>0</v>
      </c>
      <c r="N23" s="325">
        <f ca="1">ROUND($AB23,2)</f>
        <v>0</v>
      </c>
      <c r="O23" s="326">
        <f ca="1">IF($B23="Branco",0,IF(OR($B23="Manual",$B23="SemiAuto"),QCI.InvManual,INDEX(ORÇAMENTO!X$15:X$36,MATCH($A23,ORÇAMENTO!$E$15:$E$36,0))))</f>
        <v>0</v>
      </c>
      <c r="P23" s="510"/>
      <c r="R23" s="536"/>
      <c r="T23" s="537"/>
      <c r="U23" s="327"/>
      <c r="V23" s="538" t="s">
        <v>315</v>
      </c>
      <c r="W23" s="328">
        <f ca="1">$O23</f>
        <v>0</v>
      </c>
      <c r="X23" s="329">
        <v>0</v>
      </c>
      <c r="Z23">
        <f ca="1">$O23-$AA23-$AB23</f>
        <v>0</v>
      </c>
      <c r="AA23">
        <f ca="1">IF($B23="Branco",0,IF($B23="Manual",QCI.CPManual,IF($B23="SemiAuto",ROUND(QCI!$AA$3*QCI.InvManual,2),INDEX(ORÇAMENTO!$AA$15:$AA$36,MATCH($A23,ORÇAMENTO!$E$15:$E$36,0)))))</f>
        <v>0</v>
      </c>
      <c r="AB23">
        <f ca="1">IF($B23="Branco",0,IF($B23="Manual",QCI.OutrosManual,IF($B23="SemiAuto",0,INDEX(ORÇAMENTO!$AB$15:$AB$36,MATCH($A23,ORÇAMENTO!$E$15:$E$36,0)))))</f>
        <v>0</v>
      </c>
      <c r="AD23" s="330" t="b">
        <f ca="1">AND($AA$3&gt;0,$AA$3&lt;1,$O23&gt;0,OR($B23="Automático",$B23="SemiAuto"),OR(QCI!$Z$3=QCI!$Z$7,QCI!$Z$3=QCI!$AA$7,QCI!$Z$3=QCI!$AB$7))</f>
        <v>0</v>
      </c>
      <c r="AE23" s="330">
        <f ca="1">IF(AND($AD23,$O23&gt;0,COUNTIF(OFFSET($AD23,1,0):$AD$24,TRUE)=0),CHOOSE(1+LOG(1+2*(QCI!$Z$3=QCI!$Z$7)+4*(QCI!$Z$3=QCI!$AA$7)+8*(QCI!$Z$3=QCI!$AB$7),2),0,$AA$24-ROUND(Import.CPMinPerc*$O$24,2),$AA$24-Import.CPMinAbsoluta,Import.Repasse-$Z$24),0)</f>
        <v>0</v>
      </c>
    </row>
    <row r="24" spans="1:31" ht="15" x14ac:dyDescent="0.2">
      <c r="B24" t="s">
        <v>325</v>
      </c>
      <c r="C24" t="s">
        <v>245</v>
      </c>
      <c r="D24" s="337"/>
      <c r="E24" s="338"/>
      <c r="F24" s="338"/>
      <c r="G24" s="338"/>
      <c r="H24" s="338"/>
      <c r="I24" s="338"/>
      <c r="J24" s="338"/>
      <c r="K24" s="688" t="s">
        <v>326</v>
      </c>
      <c r="L24" s="339">
        <f ca="1">SUM(L13:OFFSET(L24,-1,0))</f>
        <v>0</v>
      </c>
      <c r="M24" s="340">
        <f ca="1">SUM(M13:OFFSET(M24,-1,0))</f>
        <v>0</v>
      </c>
      <c r="N24" s="341">
        <f ca="1">SUM(N13:OFFSET(N24,-1,0))</f>
        <v>0</v>
      </c>
      <c r="O24" s="342">
        <f ca="1">SUM(O13:OFFSET(O24,-1,0))</f>
        <v>0</v>
      </c>
      <c r="R24" s="343"/>
      <c r="T24" s="344"/>
      <c r="U24" s="345"/>
      <c r="V24" s="346"/>
      <c r="W24" s="347"/>
      <c r="X24" s="348"/>
      <c r="Z24" s="90">
        <f ca="1">SUMPRODUCT(ROUND(Z13:OFFSET(Z24,-1,0),2))</f>
        <v>0</v>
      </c>
      <c r="AA24" s="90">
        <f ca="1">SUMPRODUCT(ROUND(AA13:OFFSET(AA24,-1,0),2))</f>
        <v>0</v>
      </c>
      <c r="AB24" s="90">
        <f ca="1">SUM(AB13:OFFSET(AB24,-1,0))</f>
        <v>0</v>
      </c>
    </row>
    <row r="25" spans="1:31" x14ac:dyDescent="0.2">
      <c r="B25" t="s">
        <v>327</v>
      </c>
      <c r="C25" t="s">
        <v>245</v>
      </c>
      <c r="D25" s="349"/>
      <c r="E25" s="350"/>
      <c r="F25" s="350"/>
      <c r="G25" s="350"/>
      <c r="H25" s="350"/>
      <c r="I25" s="350"/>
      <c r="J25" s="350"/>
      <c r="K25" s="688"/>
      <c r="L25" s="351">
        <f ca="1">IF(ISERROR(L24/$O24),0,ROUND(L24/$O24,4))</f>
        <v>0</v>
      </c>
      <c r="M25" s="352">
        <f ca="1">IF(ISERROR(M24/$O24),0,ROUND(M24/$O24,4))</f>
        <v>0</v>
      </c>
      <c r="N25" s="353">
        <f ca="1">IF(ISERROR(N24/$O24),0,ROUND(N24/$O24,4))</f>
        <v>0</v>
      </c>
      <c r="O25" s="354">
        <f ca="1">IF(ISERROR(O24/$O24),0,ROUND(O24/$O24,4))</f>
        <v>0</v>
      </c>
      <c r="R25" s="355"/>
      <c r="T25" s="356"/>
      <c r="U25" s="357"/>
      <c r="V25" s="358"/>
      <c r="W25" s="359"/>
      <c r="X25" s="360"/>
    </row>
    <row r="27" spans="1:31" ht="14.25" x14ac:dyDescent="0.2">
      <c r="D27" s="141" t="s">
        <v>186</v>
      </c>
    </row>
    <row r="28" spans="1:31" ht="12.75" customHeight="1" x14ac:dyDescent="0.2">
      <c r="D28" s="642"/>
      <c r="E28" s="642"/>
      <c r="F28" s="642"/>
      <c r="G28" s="642"/>
      <c r="H28" s="642"/>
      <c r="I28" s="642"/>
      <c r="J28" s="642"/>
      <c r="K28" s="642"/>
      <c r="L28" s="642"/>
      <c r="M28" s="642"/>
      <c r="N28" s="642"/>
      <c r="O28" s="642"/>
    </row>
    <row r="29" spans="1:31" ht="12.75" customHeight="1" x14ac:dyDescent="0.2">
      <c r="D29" s="642"/>
      <c r="E29" s="642"/>
      <c r="F29" s="642"/>
      <c r="G29" s="642"/>
      <c r="H29" s="642"/>
      <c r="I29" s="642"/>
      <c r="J29" s="642"/>
      <c r="K29" s="642"/>
      <c r="L29" s="642"/>
      <c r="M29" s="642"/>
      <c r="N29" s="642"/>
      <c r="O29" s="642"/>
    </row>
    <row r="30" spans="1:31" ht="12.75" customHeight="1" x14ac:dyDescent="0.2">
      <c r="D30" s="642"/>
      <c r="E30" s="642"/>
      <c r="F30" s="642"/>
      <c r="G30" s="642"/>
      <c r="H30" s="642"/>
      <c r="I30" s="642"/>
      <c r="J30" s="642"/>
      <c r="K30" s="642"/>
      <c r="L30" s="642"/>
      <c r="M30" s="642"/>
      <c r="N30" s="642"/>
      <c r="O30" s="642"/>
    </row>
    <row r="33" spans="4:12" ht="15" x14ac:dyDescent="0.2">
      <c r="D33" s="644" t="str">
        <f>Import.Município</f>
        <v>Bento Gonçalves</v>
      </c>
      <c r="E33" s="644"/>
      <c r="F33" s="644"/>
      <c r="I33" s="145"/>
      <c r="J33" s="145"/>
      <c r="K33" s="194"/>
      <c r="L33" s="194"/>
    </row>
    <row r="34" spans="4:12" x14ac:dyDescent="0.2">
      <c r="D34" s="10" t="s">
        <v>187</v>
      </c>
      <c r="I34" s="195" t="s">
        <v>328</v>
      </c>
      <c r="J34" s="195"/>
    </row>
    <row r="35" spans="4:12" x14ac:dyDescent="0.2">
      <c r="I35" s="78" t="str">
        <f>"Nome:" &amp;  " " &amp; DADOS!F28</f>
        <v>Nome: Amarildo Locatelli</v>
      </c>
    </row>
    <row r="36" spans="4:12" x14ac:dyDescent="0.2">
      <c r="D36" s="639">
        <f>DADOS!$F$25</f>
        <v>0</v>
      </c>
      <c r="E36" s="639"/>
      <c r="F36" s="639"/>
      <c r="I36" s="78" t="str">
        <f>"Cargo:"  &amp; " " &amp; DADOS!F29</f>
        <v>Cargo: Prefeito Municipal</v>
      </c>
    </row>
    <row r="37" spans="4:12" x14ac:dyDescent="0.2">
      <c r="D37" s="146" t="s">
        <v>188</v>
      </c>
      <c r="E37" s="1"/>
      <c r="F37" s="1"/>
      <c r="K37" s="78"/>
      <c r="L37" s="79"/>
    </row>
  </sheetData>
  <sheetProtection algorithmName="SHA-512" hashValue="/UGzMSaySk2OemSXtS/CLigDtAYlUe2oeuh3G7NWzCI9sS56T1PovrnG7iEeD+R35VsnjYyx/56run/4ECqHuQ==" saltValue="PchO5MllRLR7t9Vl+hf6uQ=="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54" priority="301" stopIfTrue="1">
      <formula>OR($B12="Automático",$B12="Branco")</formula>
    </cfRule>
  </conditionalFormatting>
  <conditionalFormatting sqref="L12">
    <cfRule type="expression" dxfId="53" priority="30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52" priority="303" stopIfTrue="1">
      <formula>OR($B12="Automático",$B12="Branco",$V12&lt;&gt;"Calculado")</formula>
    </cfRule>
  </conditionalFormatting>
  <conditionalFormatting sqref="M25">
    <cfRule type="expression" dxfId="51" priority="305" stopIfTrue="1">
      <formula>AND($G$9&lt;&gt;"",OR($M$25&lt;Import.CPMinPerc,$M$25&gt;Import.CPMaxPerc))</formula>
    </cfRule>
  </conditionalFormatting>
  <conditionalFormatting sqref="M24">
    <cfRule type="expression" dxfId="50" priority="306" stopIfTrue="1">
      <formula>AND($G$9&lt;&gt;"",$M$24&lt;Import.CPMinAbsoluta)</formula>
    </cfRule>
  </conditionalFormatting>
  <conditionalFormatting sqref="L10:M10">
    <cfRule type="cellIs" dxfId="49" priority="307" stopIfTrue="1" operator="lessThan">
      <formula>0</formula>
    </cfRule>
  </conditionalFormatting>
  <conditionalFormatting sqref="G12">
    <cfRule type="cellIs" dxfId="48" priority="308" stopIfTrue="1" operator="equal">
      <formula>"(digite a descrição aqui)"</formula>
    </cfRule>
  </conditionalFormatting>
  <conditionalFormatting sqref="T14:V22">
    <cfRule type="expression" dxfId="47" priority="5" stopIfTrue="1">
      <formula>OR($B14="Automático",$B14="Branco")</formula>
    </cfRule>
  </conditionalFormatting>
  <conditionalFormatting sqref="L14:L22">
    <cfRule type="expression" dxfId="46"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45" priority="7" stopIfTrue="1">
      <formula>OR($B14="Automático",$B14="Branco",$V14&lt;&gt;"Calculado")</formula>
    </cfRule>
  </conditionalFormatting>
  <conditionalFormatting sqref="G14:G22">
    <cfRule type="cellIs" dxfId="44" priority="8" stopIfTrue="1" operator="equal">
      <formula>"(digite a descrição aqui)"</formula>
    </cfRule>
  </conditionalFormatting>
  <conditionalFormatting sqref="T23:V23">
    <cfRule type="expression" dxfId="43" priority="1" stopIfTrue="1">
      <formula>OR($B23="Automático",$B23="Branco")</formula>
    </cfRule>
  </conditionalFormatting>
  <conditionalFormatting sqref="L23">
    <cfRule type="expression" dxfId="42"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41" priority="3" stopIfTrue="1">
      <formula>OR($B23="Automático",$B23="Branco",$V23&lt;&gt;"Calculado")</formula>
    </cfRule>
  </conditionalFormatting>
  <conditionalFormatting sqref="G23">
    <cfRule type="cellIs" dxfId="40"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3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H15" sqref="H15"/>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7" t="e">
        <f ca="1">IF(AUTOEVENTO="Manual",IF(OFFSET(EVENTOS!$F$14,PLE!$B1,0)&gt;0,"F",""),IF(PLE!B1&lt;=MAX(CÁLCULO!$M$15:$M$36),"F",""))</f>
        <v>#REF!</v>
      </c>
      <c r="B1" s="286" t="e">
        <f ca="1">OFFSET(B1,-1,0)+1</f>
        <v>#REF!</v>
      </c>
      <c r="C1" s="712" t="e">
        <f ca="1">IF(AUTOEVENTO="Manual",IF($B1&lt;&gt;1,OFFSET(EVENTOS!$D$14,$B1,0),0),IF(B1&lt;=MAX(CÁLCULO!$M$15:$M$36),VLOOKUP($B1,CÁLCULO!$M$15:$N$36,2,FALSE),0))</f>
        <v>#REF!</v>
      </c>
      <c r="D1" s="712"/>
      <c r="F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row>
    <row r="2" spans="1:33" hidden="1" x14ac:dyDescent="0.2">
      <c r="A2" s="7"/>
      <c r="B2" s="7"/>
      <c r="C2" s="13"/>
      <c r="D2" s="13"/>
      <c r="F2" s="504"/>
    </row>
    <row r="3" spans="1:33" ht="15.75" x14ac:dyDescent="0.25">
      <c r="H3" s="228" t="s">
        <v>291</v>
      </c>
      <c r="AD3" s="626" t="s">
        <v>140</v>
      </c>
      <c r="AE3" s="626"/>
      <c r="AF3" s="626"/>
    </row>
    <row r="4" spans="1:33" ht="15.75" x14ac:dyDescent="0.2">
      <c r="B4" s="83"/>
      <c r="C4" s="83"/>
      <c r="H4" s="84" t="str">
        <f>import.recurso</f>
        <v>(SELECIONAR)</v>
      </c>
      <c r="AD4" s="627" t="s">
        <v>143</v>
      </c>
      <c r="AE4" s="627"/>
      <c r="AF4" s="627"/>
    </row>
    <row r="6" spans="1:33" x14ac:dyDescent="0.2">
      <c r="B6" s="230" t="s">
        <v>146</v>
      </c>
      <c r="C6" s="303"/>
      <c r="D6" s="232" t="s">
        <v>432</v>
      </c>
      <c r="E6" s="4"/>
      <c r="H6" s="233" t="s">
        <v>270</v>
      </c>
      <c r="I6" s="204"/>
      <c r="J6" s="204"/>
      <c r="K6" s="204"/>
      <c r="L6" s="203"/>
      <c r="M6" s="203"/>
      <c r="N6" s="304"/>
      <c r="O6" s="230" t="s">
        <v>271</v>
      </c>
      <c r="P6" s="234"/>
      <c r="R6" s="204"/>
      <c r="S6" s="204"/>
      <c r="T6" s="204"/>
      <c r="U6" s="231"/>
      <c r="V6" s="230" t="str">
        <f>IF(TIPOORCAMENTO="Licitado","NOME DA EMPRESA","DESCRIÇÃO DO LOTE")</f>
        <v>DESCRIÇÃO DO LOTE</v>
      </c>
      <c r="W6" s="204"/>
      <c r="X6" s="204"/>
      <c r="Y6" s="204"/>
      <c r="AD6" s="4"/>
      <c r="AE6" s="713" t="str">
        <f>IF(TIPOORCAMENTO="Licitado","Nº CTEF","")</f>
        <v/>
      </c>
      <c r="AF6" s="713"/>
    </row>
    <row r="7" spans="1:33" x14ac:dyDescent="0.2">
      <c r="B7" s="679">
        <f>Import.CR</f>
        <v>0</v>
      </c>
      <c r="C7" s="679"/>
      <c r="D7" s="236">
        <f>Import.TransfereGOV</f>
        <v>0</v>
      </c>
      <c r="E7" s="43"/>
      <c r="H7" s="678" t="str">
        <f>Import.Proponente</f>
        <v>Secretario Diego Salini</v>
      </c>
      <c r="I7" s="678"/>
      <c r="J7" s="678"/>
      <c r="K7" s="678"/>
      <c r="L7" s="678"/>
      <c r="M7" s="678"/>
      <c r="N7" s="678"/>
      <c r="O7" s="679" t="str">
        <f>Import.Apelido</f>
        <v>ANEXO I TR - MANUTENÇÃO ABRIGO PASSAGEIROS ÔNIBUS E TÁXI</v>
      </c>
      <c r="P7" s="679"/>
      <c r="Q7" s="679"/>
      <c r="R7" s="679"/>
      <c r="S7" s="679"/>
      <c r="T7" s="679"/>
      <c r="U7" s="679"/>
      <c r="V7" s="679" t="str">
        <f>IF(TIPOORCAMENTO="Licitado",Import.empresa,Import.DescLote)</f>
        <v>REGISTRO DE PREÇOS PARA SERVIÇOS COMUNS DE ENGENHARIA P/ MANUTNEÇÃO ABRIGOS PASSAGEIROS ONIBUS TAXI</v>
      </c>
      <c r="W7" s="679"/>
      <c r="X7" s="679"/>
      <c r="Y7" s="679"/>
      <c r="Z7" s="679"/>
      <c r="AA7" s="679"/>
      <c r="AB7" s="679"/>
      <c r="AC7" s="679"/>
      <c r="AD7" s="679"/>
      <c r="AE7" s="714" t="str">
        <f>IF(TIPOORCAMENTO="Licitado",Import.CTEF,"")</f>
        <v/>
      </c>
      <c r="AF7" s="714"/>
      <c r="AG7" s="305"/>
    </row>
    <row r="9" spans="1:33" ht="15.75" x14ac:dyDescent="0.25">
      <c r="A9" s="450">
        <v>0</v>
      </c>
      <c r="B9" s="306"/>
      <c r="C9" s="306"/>
      <c r="I9" s="307" t="s">
        <v>292</v>
      </c>
      <c r="J9" s="716">
        <v>1</v>
      </c>
      <c r="K9" s="716"/>
      <c r="M9" s="307" t="s">
        <v>281</v>
      </c>
      <c r="N9" s="705" t="str">
        <f ca="1">TEXT(IF(PLE.Medicao=1,Import.DataInicioObra,OFFSET($H$20,0,1+(PLE.Medicao-$I$21)*2-2)+1),"dd/mm/aaaa")&amp;" a "&amp;TEXT(OFFSET($H$20,0,1+(PLE.Medicao-$I$21)*2),"dd/mm/aaaa")</f>
        <v>03/10/Saturday a 00/01/Saturday</v>
      </c>
      <c r="O9" s="705"/>
      <c r="P9" s="705"/>
      <c r="Q9" s="705"/>
      <c r="R9" s="705"/>
      <c r="S9" s="705"/>
      <c r="T9" s="705"/>
      <c r="U9" s="308"/>
      <c r="X9" s="307" t="s">
        <v>293</v>
      </c>
      <c r="Y9" s="710" t="e">
        <f ca="1">OFFSET($I$21,1+8*(ROUNDUP(($J$9-0)/((COLUMN($AG$14)-COLUMN($G$14)-1)/25*12),0)-1),ROUNDDOWN((($J$9-0)-OFFSET($I$21,8*(ROUNDUP(($J$9-0)/((COLUMN($AG$14)-COLUMN($G$14)-1)/25*12),0)-1),0))*(2+1/12),0))</f>
        <v>#DIV/0!</v>
      </c>
      <c r="Z9" s="710"/>
      <c r="AD9" s="307" t="s">
        <v>294</v>
      </c>
      <c r="AE9" s="710" t="e">
        <f ca="1">OFFSET($I$21,3+8*(ROUNDUP(($J$9-0)/((COLUMN($AG$14)-COLUMN($G$14)-1)/25*12),0)-1),ROUNDDOWN((($J$9-0)-OFFSET($I$21,8*(ROUNDUP(($J$9-0)/((COLUMN($AG$14)-COLUMN($G$14)-1)/25*12),0)-1),0))*(2+1/12),0))</f>
        <v>#DIV/0!</v>
      </c>
      <c r="AF9" s="710"/>
    </row>
    <row r="11" spans="1:33" ht="65.25" customHeight="1" x14ac:dyDescent="0.2">
      <c r="A11" s="290" t="s">
        <v>288</v>
      </c>
      <c r="C11" s="715" t="str">
        <f>IF(TIPOORCAMENTO="proposto","ALTERE O TIPO DE ORÇAMENTO NA ABA 'MENU' PARA LICITADO.",IF(ACOMPANHAMENTO="BM","FOI SELECIONADO NA ABA 'MENU' O ACOMPANHAMENTO POR BM.",""))</f>
        <v>ALTERE O TIPO DE ORÇAMENTO NA ABA 'MENU' PARA LICITADO.</v>
      </c>
      <c r="D11" s="715"/>
      <c r="F11" s="292">
        <f ca="1">IF(F$12&gt;CÁLCULO.NúmeroDeFrentes,"",OFFSET(CÁLCULO!$P$12,0,F$12))</f>
        <v>1</v>
      </c>
      <c r="H11" s="292">
        <f ca="1">IF(H$12&gt;CÁLCULO.NúmeroDeFrentes,"",OFFSET(CÁLCULO!$P$12,0,H$12))</f>
        <v>1</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f ca="1">IF(Q$12&gt;CÁLCULO.NúmeroDeFrentes,"",OFFSET(CÁLCULO!$P$12,0,Q$12))</f>
        <v>0</v>
      </c>
      <c r="R11" s="292">
        <f ca="1">IF(R$12&gt;CÁLCULO.NúmeroDeFrentes,"",OFFSET(CÁLCULO!$P$12,0,R$12))</f>
        <v>0</v>
      </c>
      <c r="S11" s="292">
        <f ca="1">IF(S$12&gt;CÁLCULO.NúmeroDeFrentes,"",OFFSET(CÁLCULO!$P$12,0,S$12))</f>
        <v>0</v>
      </c>
      <c r="T11" s="292">
        <f ca="1">IF(T$12&gt;CÁLCULO.NúmeroDeFrentes,"",OFFSET(CÁLCULO!$P$12,0,T$12))</f>
        <v>0</v>
      </c>
      <c r="U11" s="292">
        <f ca="1">IF(U$12&gt;CÁLCULO.NúmeroDeFrentes,"",OFFSET(CÁLCULO!$P$12,0,U$12))</f>
        <v>0</v>
      </c>
      <c r="V11" s="292">
        <f ca="1">IF(V$12&gt;CÁLCULO.NúmeroDeFrentes,"",OFFSET(CÁLCULO!$P$12,0,V$12))</f>
        <v>0</v>
      </c>
      <c r="W11" s="292">
        <f ca="1">IF(W$12&gt;CÁLCULO.NúmeroDeFrentes,"",OFFSET(CÁLCULO!$P$12,0,W$12))</f>
        <v>0</v>
      </c>
      <c r="X11" s="292">
        <f ca="1">IF(X$12&gt;CÁLCULO.NúmeroDeFrentes,"",OFFSET(CÁLCULO!$P$12,0,X$12))</f>
        <v>0</v>
      </c>
      <c r="Y11" s="292">
        <f ca="1">IF(Y$12&gt;CÁLCULO.NúmeroDeFrentes,"",OFFSET(CÁLCULO!$P$12,0,Y$12))</f>
        <v>0</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c r="AF11" s="292" t="str">
        <f ca="1">IF(AF$12&gt;CÁLCULO.NúmeroDeFrentes,"",OFFSET(CÁLCULO!$P$12,0,AF$12))</f>
        <v/>
      </c>
    </row>
    <row r="12" spans="1:33" ht="12.75" customHeight="1" x14ac:dyDescent="0.2">
      <c r="A12" s="108" t="s">
        <v>216</v>
      </c>
      <c r="B12" s="669" t="s">
        <v>264</v>
      </c>
      <c r="C12" s="669" t="s">
        <v>289</v>
      </c>
      <c r="D12" s="669"/>
      <c r="F12" s="293">
        <f ca="1">OFFSET(F12,0,-1)+1</f>
        <v>1</v>
      </c>
      <c r="H12" s="293">
        <f ca="1">OFFSET(H12,0,-1)+1</f>
        <v>1</v>
      </c>
      <c r="I12" s="293">
        <f ca="1">OFFSET(I12,0,-1)+1</f>
        <v>2</v>
      </c>
      <c r="J12" s="293">
        <f t="shared" ref="J12:AF12" ca="1" si="0">OFFSET(J12,0,-1)+1</f>
        <v>3</v>
      </c>
      <c r="K12" s="293">
        <f t="shared" ca="1" si="0"/>
        <v>4</v>
      </c>
      <c r="L12" s="293">
        <f t="shared" ca="1" si="0"/>
        <v>5</v>
      </c>
      <c r="M12" s="293">
        <f t="shared" ca="1" si="0"/>
        <v>6</v>
      </c>
      <c r="N12" s="293">
        <f t="shared" ca="1" si="0"/>
        <v>7</v>
      </c>
      <c r="O12" s="293">
        <f t="shared" ca="1" si="0"/>
        <v>8</v>
      </c>
      <c r="P12" s="293">
        <f t="shared" ca="1" si="0"/>
        <v>9</v>
      </c>
      <c r="Q12" s="293">
        <f t="shared" ca="1" si="0"/>
        <v>10</v>
      </c>
      <c r="R12" s="293">
        <f t="shared" ca="1" si="0"/>
        <v>11</v>
      </c>
      <c r="S12" s="293">
        <f t="shared" ca="1" si="0"/>
        <v>12</v>
      </c>
      <c r="T12" s="293">
        <f t="shared" ca="1" si="0"/>
        <v>13</v>
      </c>
      <c r="U12" s="293">
        <f t="shared" ca="1" si="0"/>
        <v>14</v>
      </c>
      <c r="V12" s="293">
        <f t="shared" ca="1" si="0"/>
        <v>15</v>
      </c>
      <c r="W12" s="293">
        <f t="shared" ca="1" si="0"/>
        <v>16</v>
      </c>
      <c r="X12" s="293">
        <f t="shared" ca="1" si="0"/>
        <v>17</v>
      </c>
      <c r="Y12" s="293">
        <f t="shared" ca="1" si="0"/>
        <v>18</v>
      </c>
      <c r="Z12" s="293">
        <f t="shared" ca="1" si="0"/>
        <v>19</v>
      </c>
      <c r="AA12" s="293">
        <f t="shared" ca="1" si="0"/>
        <v>20</v>
      </c>
      <c r="AB12" s="293">
        <f t="shared" ca="1" si="0"/>
        <v>21</v>
      </c>
      <c r="AC12" s="293">
        <f t="shared" ca="1" si="0"/>
        <v>22</v>
      </c>
      <c r="AD12" s="293">
        <f t="shared" ca="1" si="0"/>
        <v>23</v>
      </c>
      <c r="AE12" s="293">
        <f t="shared" ca="1" si="0"/>
        <v>24</v>
      </c>
      <c r="AF12" s="293">
        <f t="shared" ca="1" si="0"/>
        <v>25</v>
      </c>
    </row>
    <row r="13" spans="1:33" x14ac:dyDescent="0.2">
      <c r="B13" s="669"/>
      <c r="C13" s="669"/>
      <c r="D13" s="669"/>
      <c r="F13" s="295"/>
      <c r="H13" s="295"/>
      <c r="I13" s="294"/>
      <c r="J13" s="294"/>
      <c r="K13" s="294"/>
      <c r="L13" s="294"/>
      <c r="M13" s="294"/>
      <c r="N13" s="294" t="s">
        <v>295</v>
      </c>
      <c r="O13" s="294"/>
      <c r="P13" s="294"/>
      <c r="Q13" s="294"/>
      <c r="R13" s="294"/>
      <c r="S13" s="294"/>
      <c r="T13" s="294"/>
      <c r="U13" s="294"/>
      <c r="V13" s="294"/>
      <c r="W13" s="294"/>
      <c r="X13" s="294"/>
      <c r="Y13" s="294"/>
      <c r="Z13" s="294"/>
      <c r="AA13" s="294"/>
      <c r="AB13" s="294"/>
      <c r="AC13" s="294"/>
      <c r="AD13" s="294"/>
      <c r="AE13" s="294"/>
      <c r="AF13" s="296"/>
    </row>
    <row r="14" spans="1:33" ht="3.95" customHeight="1" x14ac:dyDescent="0.2">
      <c r="A14" s="7" t="s">
        <v>245</v>
      </c>
    </row>
    <row r="15" spans="1:33" x14ac:dyDescent="0.2">
      <c r="A15" s="7" t="str">
        <f ca="1">IF(AND(AUTOEVENTO="Manual",OFFSET(EVENTOS!$F$1,1,0)&gt;0),"F","")</f>
        <v/>
      </c>
      <c r="B15" s="297">
        <v>1</v>
      </c>
      <c r="C15" s="711" t="s">
        <v>267</v>
      </c>
      <c r="D15" s="711"/>
      <c r="F15" s="300"/>
      <c r="H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99"/>
      <c r="J15" s="299"/>
      <c r="K15" s="299"/>
      <c r="L15" s="299"/>
      <c r="M15" s="299"/>
      <c r="N15" s="299"/>
      <c r="O15" s="299"/>
      <c r="P15" s="299"/>
      <c r="Q15" s="299"/>
      <c r="R15" s="299"/>
      <c r="S15" s="299"/>
      <c r="T15" s="299"/>
      <c r="U15" s="299"/>
      <c r="V15" s="299"/>
      <c r="W15" s="299"/>
      <c r="X15" s="299"/>
      <c r="Y15" s="299"/>
      <c r="Z15" s="299"/>
      <c r="AA15" s="299"/>
      <c r="AB15" s="299"/>
      <c r="AC15" s="299"/>
      <c r="AD15" s="299"/>
      <c r="AE15" s="299"/>
      <c r="AF15" s="301"/>
    </row>
    <row r="16" spans="1:33" x14ac:dyDescent="0.2">
      <c r="A16" s="7" t="str">
        <f ca="1">IF(AUTOEVENTO="Manual",IF(OFFSET(EVENTOS!$F$14,PLE!$B16,0)&gt;0,"F",""),IF(PLE!B16&lt;=MAX(CÁLCULO!$M$15:$M$36),"F",""))</f>
        <v>F</v>
      </c>
      <c r="B16" s="286">
        <f t="shared" ref="B16" ca="1" si="1">OFFSET(B16,-1,0)+1</f>
        <v>2</v>
      </c>
      <c r="C16" s="712" t="str">
        <f ca="1">IF(AUTOEVENTO="Manual",IF($B16&lt;&gt;1,OFFSET(EVENTOS!$D$14,$B16,0),0),IF(B16&lt;=MAX(CÁLCULO!$M$15:$M$36),VLOOKUP($B16,CÁLCULO!$M$15:$N$36,2,FALSE),0))</f>
        <v>Lote 01  - Manutenção e Reparos Abrigos Passagerios Onibus e Táxi</v>
      </c>
      <c r="D16" s="712"/>
      <c r="F16" s="288"/>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c r="AF16" s="288"/>
    </row>
    <row r="17" spans="1:32" ht="4.5" customHeight="1" x14ac:dyDescent="0.2">
      <c r="A17" s="7" t="s">
        <v>245</v>
      </c>
      <c r="B17" s="471"/>
      <c r="C17" s="472"/>
      <c r="D17" s="473"/>
      <c r="F17" s="138"/>
      <c r="H17" s="471"/>
      <c r="I17" s="472"/>
      <c r="J17" s="472"/>
      <c r="K17" s="472"/>
      <c r="L17" s="472"/>
      <c r="M17" s="472"/>
      <c r="N17" s="472"/>
      <c r="O17" s="472"/>
      <c r="P17" s="472"/>
      <c r="Q17" s="472"/>
      <c r="R17" s="472"/>
      <c r="S17" s="472"/>
      <c r="T17" s="472"/>
      <c r="U17" s="472"/>
      <c r="V17" s="472"/>
      <c r="W17" s="472"/>
      <c r="X17" s="472"/>
      <c r="Y17" s="472"/>
      <c r="Z17" s="472"/>
      <c r="AA17" s="472"/>
      <c r="AB17" s="472"/>
      <c r="AC17" s="472"/>
      <c r="AD17" s="472"/>
      <c r="AE17" s="472"/>
      <c r="AF17" s="473"/>
    </row>
    <row r="18" spans="1:32" x14ac:dyDescent="0.2">
      <c r="A18" s="7" t="s">
        <v>245</v>
      </c>
    </row>
    <row r="19" spans="1:32" x14ac:dyDescent="0.2">
      <c r="A19" s="7" t="s">
        <v>245</v>
      </c>
      <c r="I19" s="706" t="s">
        <v>296</v>
      </c>
      <c r="J19" s="706"/>
      <c r="K19" s="706"/>
      <c r="L19" s="706"/>
      <c r="M19" s="706"/>
      <c r="N19" s="706"/>
      <c r="O19" s="706"/>
      <c r="P19" s="706"/>
      <c r="Q19" s="706"/>
      <c r="R19" s="706"/>
      <c r="S19" s="706"/>
      <c r="T19" s="706"/>
      <c r="U19" s="706"/>
      <c r="V19" s="706"/>
      <c r="W19" s="706"/>
      <c r="X19" s="706"/>
      <c r="Y19" s="706"/>
      <c r="Z19" s="706"/>
      <c r="AA19" s="706"/>
      <c r="AB19" s="706"/>
      <c r="AC19" s="706"/>
      <c r="AD19" s="706"/>
      <c r="AE19" s="706"/>
      <c r="AF19" s="706"/>
    </row>
    <row r="20" spans="1:32" x14ac:dyDescent="0.2">
      <c r="A20" s="7" t="s">
        <v>245</v>
      </c>
      <c r="I20" s="709"/>
      <c r="J20" s="707"/>
      <c r="K20" s="707"/>
      <c r="L20" s="707"/>
      <c r="M20" s="707"/>
      <c r="N20" s="707"/>
      <c r="O20" s="707"/>
      <c r="P20" s="707"/>
      <c r="Q20" s="707"/>
      <c r="R20" s="707"/>
      <c r="S20" s="707"/>
      <c r="T20" s="707"/>
      <c r="U20" s="707"/>
      <c r="V20" s="707"/>
      <c r="W20" s="707"/>
      <c r="X20" s="707"/>
      <c r="Y20" s="707"/>
      <c r="Z20" s="707"/>
      <c r="AA20" s="707"/>
      <c r="AB20" s="707"/>
      <c r="AC20" s="707"/>
      <c r="AD20" s="707"/>
      <c r="AE20" s="707"/>
      <c r="AF20" s="708"/>
    </row>
    <row r="21" spans="1:32" x14ac:dyDescent="0.2">
      <c r="A21" s="7" t="s">
        <v>245</v>
      </c>
      <c r="D21" s="309" t="s">
        <v>297</v>
      </c>
      <c r="I21" s="697">
        <f>IF(PLE.Medicao&lt;=12,1,TRUNC((PLE.Medicao - 2)/11,0) * 11 + 1)</f>
        <v>1</v>
      </c>
      <c r="J21" s="697"/>
      <c r="K21" s="697">
        <f>I21+1</f>
        <v>2</v>
      </c>
      <c r="L21" s="697"/>
      <c r="M21" s="697">
        <f>K21+1</f>
        <v>3</v>
      </c>
      <c r="N21" s="697"/>
      <c r="O21" s="697">
        <f>M21+1</f>
        <v>4</v>
      </c>
      <c r="P21" s="697"/>
      <c r="Q21" s="697">
        <f>O21+1</f>
        <v>5</v>
      </c>
      <c r="R21" s="697"/>
      <c r="S21" s="697">
        <f>Q21+1</f>
        <v>6</v>
      </c>
      <c r="T21" s="697"/>
      <c r="U21" s="697">
        <f>S21+1</f>
        <v>7</v>
      </c>
      <c r="V21" s="697"/>
      <c r="W21" s="697">
        <f>U21+1</f>
        <v>8</v>
      </c>
      <c r="X21" s="697"/>
      <c r="Y21" s="697">
        <f>W21+1</f>
        <v>9</v>
      </c>
      <c r="Z21" s="697"/>
      <c r="AA21" s="697">
        <f>Y21+1</f>
        <v>10</v>
      </c>
      <c r="AB21" s="697"/>
      <c r="AC21" s="697">
        <f>AA21+1</f>
        <v>11</v>
      </c>
      <c r="AD21" s="697"/>
      <c r="AE21" s="697">
        <f>AC21+1</f>
        <v>12</v>
      </c>
      <c r="AF21" s="697"/>
    </row>
    <row r="22" spans="1:32" x14ac:dyDescent="0.2">
      <c r="A22" s="7" t="s">
        <v>245</v>
      </c>
      <c r="D22" s="696" t="s">
        <v>281</v>
      </c>
      <c r="H22" s="310" t="s">
        <v>298</v>
      </c>
      <c r="I22" s="701" t="e">
        <f ca="1">ROUND(I23,2)/ORÇAMENTO!$X$15</f>
        <v>#DIV/0!</v>
      </c>
      <c r="J22" s="701"/>
      <c r="K22" s="698" t="e">
        <f ca="1">ROUND(K23,2)/ORÇAMENTO!$X$15</f>
        <v>#DIV/0!</v>
      </c>
      <c r="L22" s="698"/>
      <c r="M22" s="702" t="e">
        <f ca="1">ROUND(M23,2)/ORÇAMENTO!$X$15</f>
        <v>#DIV/0!</v>
      </c>
      <c r="N22" s="702"/>
      <c r="O22" s="698" t="e">
        <f ca="1">ROUND(O23,2)/ORÇAMENTO!$X$15</f>
        <v>#DIV/0!</v>
      </c>
      <c r="P22" s="698"/>
      <c r="Q22" s="702" t="e">
        <f ca="1">ROUND(Q23,2)/ORÇAMENTO!$X$15</f>
        <v>#DIV/0!</v>
      </c>
      <c r="R22" s="702"/>
      <c r="S22" s="698" t="e">
        <f ca="1">ROUND(S23,2)/ORÇAMENTO!$X$15</f>
        <v>#DIV/0!</v>
      </c>
      <c r="T22" s="698"/>
      <c r="U22" s="702" t="e">
        <f ca="1">ROUND(U23,2)/ORÇAMENTO!$X$15</f>
        <v>#DIV/0!</v>
      </c>
      <c r="V22" s="702"/>
      <c r="W22" s="698" t="e">
        <f ca="1">ROUND(W23,2)/ORÇAMENTO!$X$15</f>
        <v>#DIV/0!</v>
      </c>
      <c r="X22" s="698"/>
      <c r="Y22" s="702" t="e">
        <f ca="1">ROUND(Y23,2)/ORÇAMENTO!$X$15</f>
        <v>#DIV/0!</v>
      </c>
      <c r="Z22" s="702"/>
      <c r="AA22" s="698" t="e">
        <f ca="1">ROUND(AA23,2)/ORÇAMENTO!$X$15</f>
        <v>#DIV/0!</v>
      </c>
      <c r="AB22" s="698"/>
      <c r="AC22" s="702" t="e">
        <f ca="1">ROUND(AC23,2)/ORÇAMENTO!$X$15</f>
        <v>#DIV/0!</v>
      </c>
      <c r="AD22" s="702"/>
      <c r="AE22" s="698" t="e">
        <f ca="1">ROUND(AE23,2)/ORÇAMENTO!$X$15</f>
        <v>#DIV/0!</v>
      </c>
      <c r="AF22" s="698"/>
    </row>
    <row r="23" spans="1:32" x14ac:dyDescent="0.2">
      <c r="A23" s="7" t="s">
        <v>245</v>
      </c>
      <c r="D23" s="696"/>
      <c r="H23" s="12" t="s">
        <v>299</v>
      </c>
      <c r="I23" s="699" t="e">
        <f ca="1">IF(I21=1,I25,ROUND(I25,2)-ROUND(SUMIF(CÁLCULO!$BV$15:$CN$36,"&lt;="&amp;PLE!I21-1,CÁLCULO!$AJ$15:$BB$36)*(1+CÁLCULO.TotalAdmLocal/(ORÇAMENTO!$X$15-CÁLCULO.TotalAdmLocal)),2))</f>
        <v>#DIV/0!</v>
      </c>
      <c r="J23" s="699"/>
      <c r="K23" s="699" t="e">
        <f ca="1">ROUND(K25,2)-ROUND(I25,2)</f>
        <v>#DIV/0!</v>
      </c>
      <c r="L23" s="699"/>
      <c r="M23" s="694" t="e">
        <f ca="1">ROUND(M25,2)-ROUND(K25,2)</f>
        <v>#DIV/0!</v>
      </c>
      <c r="N23" s="694"/>
      <c r="O23" s="699" t="e">
        <f ca="1">ROUND(O25,2)-ROUND(M25,2)</f>
        <v>#DIV/0!</v>
      </c>
      <c r="P23" s="699"/>
      <c r="Q23" s="694" t="e">
        <f ca="1">ROUND(Q25,2)-ROUND(O25,2)</f>
        <v>#DIV/0!</v>
      </c>
      <c r="R23" s="694"/>
      <c r="S23" s="699" t="e">
        <f ca="1">ROUND(S25,2)-ROUND(Q25,2)</f>
        <v>#DIV/0!</v>
      </c>
      <c r="T23" s="699"/>
      <c r="U23" s="694" t="e">
        <f ca="1">ROUND(U25,2)-ROUND(S25,2)</f>
        <v>#DIV/0!</v>
      </c>
      <c r="V23" s="694"/>
      <c r="W23" s="699" t="e">
        <f ca="1">ROUND(W25,2)-ROUND(U25,2)</f>
        <v>#DIV/0!</v>
      </c>
      <c r="X23" s="699"/>
      <c r="Y23" s="694" t="e">
        <f ca="1">ROUND(Y25,2)-ROUND(W25,2)</f>
        <v>#DIV/0!</v>
      </c>
      <c r="Z23" s="694"/>
      <c r="AA23" s="699" t="e">
        <f ca="1">ROUND(AA25,2)-ROUND(Y25,2)</f>
        <v>#DIV/0!</v>
      </c>
      <c r="AB23" s="699"/>
      <c r="AC23" s="694" t="e">
        <f ca="1">ROUND(AC25,2)-ROUND(AA25,2)</f>
        <v>#DIV/0!</v>
      </c>
      <c r="AD23" s="694"/>
      <c r="AE23" s="699" t="e">
        <f ca="1">ROUND(AE25,2)-ROUND(AC25,2)</f>
        <v>#DIV/0!</v>
      </c>
      <c r="AF23" s="699"/>
    </row>
    <row r="24" spans="1:32" x14ac:dyDescent="0.2">
      <c r="A24" s="7" t="s">
        <v>245</v>
      </c>
      <c r="D24" s="696" t="s">
        <v>285</v>
      </c>
      <c r="H24" s="310" t="s">
        <v>298</v>
      </c>
      <c r="I24" s="704" t="e">
        <f ca="1">ROUND(I25,2)/ORÇAMENTO!$X$15</f>
        <v>#DIV/0!</v>
      </c>
      <c r="J24" s="704"/>
      <c r="K24" s="700" t="e">
        <f ca="1">ROUND(K25,2)/ORÇAMENTO!$X$15</f>
        <v>#DIV/0!</v>
      </c>
      <c r="L24" s="700"/>
      <c r="M24" s="695" t="e">
        <f ca="1">ROUND(M25,2)/ORÇAMENTO!$X$15</f>
        <v>#DIV/0!</v>
      </c>
      <c r="N24" s="695"/>
      <c r="O24" s="700" t="e">
        <f ca="1">ROUND(O25,2)/ORÇAMENTO!$X$15</f>
        <v>#DIV/0!</v>
      </c>
      <c r="P24" s="700"/>
      <c r="Q24" s="695" t="e">
        <f ca="1">ROUND(Q25,2)/ORÇAMENTO!$X$15</f>
        <v>#DIV/0!</v>
      </c>
      <c r="R24" s="695"/>
      <c r="S24" s="700" t="e">
        <f ca="1">ROUND(S25,2)/ORÇAMENTO!$X$15</f>
        <v>#DIV/0!</v>
      </c>
      <c r="T24" s="700"/>
      <c r="U24" s="695" t="e">
        <f ca="1">ROUND(U25,2)/ORÇAMENTO!$X$15</f>
        <v>#DIV/0!</v>
      </c>
      <c r="V24" s="695"/>
      <c r="W24" s="700" t="e">
        <f ca="1">ROUND(W25,2)/ORÇAMENTO!$X$15</f>
        <v>#DIV/0!</v>
      </c>
      <c r="X24" s="700"/>
      <c r="Y24" s="695" t="e">
        <f ca="1">ROUND(Y25,2)/ORÇAMENTO!$X$15</f>
        <v>#DIV/0!</v>
      </c>
      <c r="Z24" s="695"/>
      <c r="AA24" s="700" t="e">
        <f ca="1">ROUND(AA25,2)/ORÇAMENTO!$X$15</f>
        <v>#DIV/0!</v>
      </c>
      <c r="AB24" s="700"/>
      <c r="AC24" s="695" t="e">
        <f ca="1">ROUND(AC25,2)/ORÇAMENTO!$X$15</f>
        <v>#DIV/0!</v>
      </c>
      <c r="AD24" s="695"/>
      <c r="AE24" s="700" t="e">
        <f ca="1">ROUND(AE25,2)/ORÇAMENTO!$X$15</f>
        <v>#DIV/0!</v>
      </c>
      <c r="AF24" s="700"/>
    </row>
    <row r="25" spans="1:32" x14ac:dyDescent="0.2">
      <c r="A25" s="7" t="s">
        <v>245</v>
      </c>
      <c r="D25" s="696"/>
      <c r="H25" s="12" t="s">
        <v>299</v>
      </c>
      <c r="I25" s="703" t="e">
        <f ca="1">SUMIF(CÁLCULO!$BV$15:$CN$36,"&lt;="&amp;PLE!I21,CÁLCULO!$AJ$15:$BB$36)*(1+CÁLCULO.TotalAdmLocal/(ORÇAMENTO!$X$15-CÁLCULO.TotalAdmLocal))</f>
        <v>#DIV/0!</v>
      </c>
      <c r="J25" s="703"/>
      <c r="K25" s="699" t="e">
        <f ca="1">SUMIF(CÁLCULO!$BV$15:$CN$36,"&lt;="&amp;PLE!K21,CÁLCULO!$AJ$15:$BB$36)*(1+CÁLCULO.TotalAdmLocal/(ORÇAMENTO!$X$15-CÁLCULO.TotalAdmLocal))</f>
        <v>#DIV/0!</v>
      </c>
      <c r="L25" s="699"/>
      <c r="M25" s="694" t="e">
        <f ca="1">SUMIF(CÁLCULO!$BV$15:$CN$36,"&lt;="&amp;PLE!M21,CÁLCULO!$AJ$15:$BB$36)*(1+CÁLCULO.TotalAdmLocal/(ORÇAMENTO!$X$15-CÁLCULO.TotalAdmLocal))</f>
        <v>#DIV/0!</v>
      </c>
      <c r="N25" s="694"/>
      <c r="O25" s="699" t="e">
        <f ca="1">SUMIF(CÁLCULO!$BV$15:$CN$36,"&lt;="&amp;PLE!O21,CÁLCULO!$AJ$15:$BB$36)*(1+CÁLCULO.TotalAdmLocal/(ORÇAMENTO!$X$15-CÁLCULO.TotalAdmLocal))</f>
        <v>#DIV/0!</v>
      </c>
      <c r="P25" s="699"/>
      <c r="Q25" s="694" t="e">
        <f ca="1">SUMIF(CÁLCULO!$BV$15:$CN$36,"&lt;="&amp;PLE!Q21,CÁLCULO!$AJ$15:$BB$36)*(1+CÁLCULO.TotalAdmLocal/(ORÇAMENTO!$X$15-CÁLCULO.TotalAdmLocal))</f>
        <v>#DIV/0!</v>
      </c>
      <c r="R25" s="694"/>
      <c r="S25" s="699" t="e">
        <f ca="1">SUMIF(CÁLCULO!$BV$15:$CN$36,"&lt;="&amp;PLE!S21,CÁLCULO!$AJ$15:$BB$36)*(1+CÁLCULO.TotalAdmLocal/(ORÇAMENTO!$X$15-CÁLCULO.TotalAdmLocal))</f>
        <v>#DIV/0!</v>
      </c>
      <c r="T25" s="699"/>
      <c r="U25" s="694" t="e">
        <f ca="1">SUMIF(CÁLCULO!$BV$15:$CN$36,"&lt;="&amp;PLE!U21,CÁLCULO!$AJ$15:$BB$36)*(1+CÁLCULO.TotalAdmLocal/(ORÇAMENTO!$X$15-CÁLCULO.TotalAdmLocal))</f>
        <v>#DIV/0!</v>
      </c>
      <c r="V25" s="694"/>
      <c r="W25" s="699" t="e">
        <f ca="1">SUMIF(CÁLCULO!$BV$15:$CN$36,"&lt;="&amp;PLE!W21,CÁLCULO!$AJ$15:$BB$36)*(1+CÁLCULO.TotalAdmLocal/(ORÇAMENTO!$X$15-CÁLCULO.TotalAdmLocal))</f>
        <v>#DIV/0!</v>
      </c>
      <c r="X25" s="699"/>
      <c r="Y25" s="694" t="e">
        <f ca="1">SUMIF(CÁLCULO!$BV$15:$CN$36,"&lt;="&amp;PLE!Y21,CÁLCULO!$AJ$15:$BB$36)*(1+CÁLCULO.TotalAdmLocal/(ORÇAMENTO!$X$15-CÁLCULO.TotalAdmLocal))</f>
        <v>#DIV/0!</v>
      </c>
      <c r="Z25" s="694"/>
      <c r="AA25" s="699" t="e">
        <f ca="1">SUMIF(CÁLCULO!$BV$15:$CN$36,"&lt;="&amp;PLE!AA21,CÁLCULO!$AJ$15:$BB$36)*(1+CÁLCULO.TotalAdmLocal/(ORÇAMENTO!$X$15-CÁLCULO.TotalAdmLocal))</f>
        <v>#DIV/0!</v>
      </c>
      <c r="AB25" s="699"/>
      <c r="AC25" s="694" t="e">
        <f ca="1">SUMIF(CÁLCULO!$BV$15:$CN$36,"&lt;="&amp;PLE!AC21,CÁLCULO!$AJ$15:$BB$36)*(1+CÁLCULO.TotalAdmLocal/(ORÇAMENTO!$X$15-CÁLCULO.TotalAdmLocal))</f>
        <v>#DIV/0!</v>
      </c>
      <c r="AD25" s="694"/>
      <c r="AE25" s="699" t="e">
        <f ca="1">SUMIF(CÁLCULO!$BV$15:$CN$36,"&lt;="&amp;PLE!AE21,CÁLCULO!$AJ$15:$BB$36)*(1+CÁLCULO.TotalAdmLocal/(ORÇAMENTO!$X$15-CÁLCULO.TotalAdmLocal))</f>
        <v>#DIV/0!</v>
      </c>
      <c r="AF25" s="699"/>
    </row>
    <row r="26" spans="1:32" ht="20.25" customHeight="1" x14ac:dyDescent="0.2">
      <c r="A26" s="7" t="s">
        <v>245</v>
      </c>
    </row>
    <row r="27" spans="1:32" ht="15" x14ac:dyDescent="0.2">
      <c r="A27" s="7" t="s">
        <v>245</v>
      </c>
      <c r="B27" s="644" t="str">
        <f>Import.Município</f>
        <v>Bento Gonçalves</v>
      </c>
      <c r="C27" s="644"/>
      <c r="D27" s="644"/>
      <c r="U27" s="145"/>
      <c r="V27" s="145"/>
      <c r="W27" s="145"/>
      <c r="X27" s="145"/>
      <c r="Y27" s="194"/>
      <c r="Z27" s="194"/>
      <c r="AA27" s="194"/>
      <c r="AB27" s="194"/>
      <c r="AC27" s="194"/>
      <c r="AD27" s="194"/>
    </row>
    <row r="28" spans="1:32" x14ac:dyDescent="0.2">
      <c r="A28" s="7" t="s">
        <v>245</v>
      </c>
      <c r="B28" s="10" t="s">
        <v>187</v>
      </c>
      <c r="U28" s="195" t="s">
        <v>300</v>
      </c>
    </row>
    <row r="29" spans="1:32" x14ac:dyDescent="0.2">
      <c r="A29" s="7" t="s">
        <v>245</v>
      </c>
      <c r="I29" s="80"/>
      <c r="U29" s="78" t="s">
        <v>108</v>
      </c>
      <c r="W29" s="311">
        <f t="array" ref="W29:W32">Import.RespFiscalização</f>
        <v>0</v>
      </c>
    </row>
    <row r="30" spans="1:32" x14ac:dyDescent="0.2">
      <c r="A30" s="7" t="s">
        <v>245</v>
      </c>
      <c r="B30" s="639">
        <f>DADOS!$F$48</f>
        <v>46449</v>
      </c>
      <c r="C30" s="639"/>
      <c r="D30" s="639"/>
      <c r="I30" s="80"/>
      <c r="U30" s="78" t="s">
        <v>127</v>
      </c>
      <c r="W30" s="311">
        <v>0</v>
      </c>
    </row>
    <row r="31" spans="1:32" x14ac:dyDescent="0.2">
      <c r="A31" s="7" t="s">
        <v>245</v>
      </c>
      <c r="B31" s="146" t="s">
        <v>188</v>
      </c>
      <c r="C31" s="1"/>
      <c r="D31" s="1"/>
      <c r="I31" s="80"/>
      <c r="U31" s="78" t="s">
        <v>109</v>
      </c>
      <c r="W31" s="311">
        <v>0</v>
      </c>
    </row>
    <row r="32" spans="1:32" x14ac:dyDescent="0.2">
      <c r="U32" s="78" t="s">
        <v>110</v>
      </c>
      <c r="W32" s="13">
        <v>0</v>
      </c>
    </row>
  </sheetData>
  <sheetProtection algorithmName="SHA-512" hashValue="Izd39QQpjFbC3jgRjv9XByBOYZf+Zl3/BPicL6J40mOPpMT7ymL2qmb0ne3xTMrtunX/mZzJZGC0V8Kq91sB0w==" saltValue="ZSKN+xhslBH0q2VfupBW0A==" spinCount="100000" sheet="1" objects="1" scenarios="1" autoFilter="0"/>
  <autoFilter ref="A13:A31" xr:uid="{00000000-0009-0000-0000-000009000000}"/>
  <mergeCells count="95">
    <mergeCell ref="C11:D11"/>
    <mergeCell ref="C12:D13"/>
    <mergeCell ref="J9:K9"/>
    <mergeCell ref="B7:C7"/>
    <mergeCell ref="C1:D1"/>
    <mergeCell ref="AD3:AF3"/>
    <mergeCell ref="AD4:AF4"/>
    <mergeCell ref="AE6:AF6"/>
    <mergeCell ref="H7:N7"/>
    <mergeCell ref="O7:U7"/>
    <mergeCell ref="AE7:AF7"/>
    <mergeCell ref="V7:AD7"/>
    <mergeCell ref="AE21:AF21"/>
    <mergeCell ref="AC21:AD21"/>
    <mergeCell ref="AA21:AB21"/>
    <mergeCell ref="C15:D15"/>
    <mergeCell ref="B12:B13"/>
    <mergeCell ref="U21:V21"/>
    <mergeCell ref="Q21:R21"/>
    <mergeCell ref="S21:T21"/>
    <mergeCell ref="W21:X21"/>
    <mergeCell ref="Y21:Z21"/>
    <mergeCell ref="M21:N21"/>
    <mergeCell ref="O21:P21"/>
    <mergeCell ref="C16:D16"/>
    <mergeCell ref="N9:T9"/>
    <mergeCell ref="I19:AF19"/>
    <mergeCell ref="U20:V20"/>
    <mergeCell ref="AE20:AF20"/>
    <mergeCell ref="AC20:AD20"/>
    <mergeCell ref="W20:X20"/>
    <mergeCell ref="O20:P20"/>
    <mergeCell ref="I20:J20"/>
    <mergeCell ref="M20:N20"/>
    <mergeCell ref="Q20:R20"/>
    <mergeCell ref="AA20:AB20"/>
    <mergeCell ref="Y20:Z20"/>
    <mergeCell ref="Y9:Z9"/>
    <mergeCell ref="AE9:AF9"/>
    <mergeCell ref="S20:T20"/>
    <mergeCell ref="K20:L20"/>
    <mergeCell ref="O23:P23"/>
    <mergeCell ref="M23:N23"/>
    <mergeCell ref="B30:D30"/>
    <mergeCell ref="B27:D27"/>
    <mergeCell ref="D24:D25"/>
    <mergeCell ref="M24:N24"/>
    <mergeCell ref="M25:N25"/>
    <mergeCell ref="I25:J25"/>
    <mergeCell ref="K25:L25"/>
    <mergeCell ref="K24:L24"/>
    <mergeCell ref="I24:J24"/>
    <mergeCell ref="AE23:AF23"/>
    <mergeCell ref="AC22:AD22"/>
    <mergeCell ref="Q22:R22"/>
    <mergeCell ref="AE22:AF22"/>
    <mergeCell ref="AA22:AB22"/>
    <mergeCell ref="Y22:Z22"/>
    <mergeCell ref="W22:X22"/>
    <mergeCell ref="U22:V22"/>
    <mergeCell ref="AA23:AB23"/>
    <mergeCell ref="S23:T23"/>
    <mergeCell ref="S22:T22"/>
    <mergeCell ref="AE25:AF25"/>
    <mergeCell ref="Q25:R25"/>
    <mergeCell ref="Y25:Z25"/>
    <mergeCell ref="AA25:AB25"/>
    <mergeCell ref="Q23:R23"/>
    <mergeCell ref="AE24:AF24"/>
    <mergeCell ref="Q24:R24"/>
    <mergeCell ref="W23:X23"/>
    <mergeCell ref="S25:T25"/>
    <mergeCell ref="Y23:Z23"/>
    <mergeCell ref="U23:V23"/>
    <mergeCell ref="W25:X25"/>
    <mergeCell ref="AC25:AD25"/>
    <mergeCell ref="AC23:AD23"/>
    <mergeCell ref="AC24:AD24"/>
    <mergeCell ref="AA24:AB24"/>
    <mergeCell ref="U25:V25"/>
    <mergeCell ref="U24:V24"/>
    <mergeCell ref="Y24:Z24"/>
    <mergeCell ref="D22:D23"/>
    <mergeCell ref="K21:L21"/>
    <mergeCell ref="K22:L22"/>
    <mergeCell ref="O25:P25"/>
    <mergeCell ref="O24:P24"/>
    <mergeCell ref="I21:J21"/>
    <mergeCell ref="I22:J22"/>
    <mergeCell ref="M22:N22"/>
    <mergeCell ref="K23:L23"/>
    <mergeCell ref="I23:J23"/>
    <mergeCell ref="W24:X24"/>
    <mergeCell ref="S24:T24"/>
    <mergeCell ref="O22:P22"/>
  </mergeCells>
  <phoneticPr fontId="38" type="noConversion"/>
  <conditionalFormatting sqref="F1:F2">
    <cfRule type="expression" dxfId="39" priority="821" stopIfTrue="1">
      <formula>IF(OR(ACOMPANHAMENTO="BM",F$12&gt;CÁLCULO.NúmeroDeFrentes),TRUE,PLE.ValorDoEvento=0)</formula>
    </cfRule>
    <cfRule type="cellIs" dxfId="38" priority="822" stopIfTrue="1" operator="equal">
      <formula>$J$9</formula>
    </cfRule>
  </conditionalFormatting>
  <conditionalFormatting sqref="I22:AF22">
    <cfRule type="expression" dxfId="37" priority="823" stopIfTrue="1">
      <formula>I21=$J$9</formula>
    </cfRule>
  </conditionalFormatting>
  <conditionalFormatting sqref="I23:AF23">
    <cfRule type="expression" dxfId="36" priority="824" stopIfTrue="1">
      <formula>I21=$J$9</formula>
    </cfRule>
  </conditionalFormatting>
  <conditionalFormatting sqref="I24:AF24">
    <cfRule type="expression" dxfId="35" priority="825" stopIfTrue="1">
      <formula>I21=$J$9</formula>
    </cfRule>
  </conditionalFormatting>
  <conditionalFormatting sqref="I25:AF25">
    <cfRule type="expression" dxfId="34" priority="826" stopIfTrue="1">
      <formula>I21=$J$9</formula>
    </cfRule>
  </conditionalFormatting>
  <conditionalFormatting sqref="I21:J21">
    <cfRule type="cellIs" dxfId="33" priority="820" stopIfTrue="1" operator="notEqual">
      <formula>1</formula>
    </cfRule>
  </conditionalFormatting>
  <conditionalFormatting sqref="H1:AF1">
    <cfRule type="expression" dxfId="32" priority="838" stopIfTrue="1">
      <formula>IF(OR(ACOMPANHAMENTO="BM",TIPOORCAMENTO="Proposto",H$12&gt;CÁLCULO.NúmeroDeFrentes),TRUE,PLE.ValorDoEvento=0)</formula>
    </cfRule>
    <cfRule type="cellIs" dxfId="31" priority="839" stopIfTrue="1" operator="equal">
      <formula>$J$9</formula>
    </cfRule>
  </conditionalFormatting>
  <conditionalFormatting sqref="AE6:AE7">
    <cfRule type="expression" dxfId="30" priority="827" stopIfTrue="1">
      <formula>TIPOORCAMENTO&lt;&gt;"Licitado"</formula>
    </cfRule>
  </conditionalFormatting>
  <conditionalFormatting sqref="N9:T9">
    <cfRule type="expression" dxfId="29" priority="828" stopIfTrue="1">
      <formula>COLUMN(N9)&gt;COLUMN($AF$12)</formula>
    </cfRule>
    <cfRule type="expression" dxfId="28" priority="829" stopIfTrue="1">
      <formula>$N$9="DIGITE A DATA DA MEDIÇÃO"</formula>
    </cfRule>
  </conditionalFormatting>
  <conditionalFormatting sqref="I9:M9 U9:AF9">
    <cfRule type="expression" dxfId="27" priority="830" stopIfTrue="1">
      <formula>COLUMN(I9)&gt;COLUMN($AF$12)</formula>
    </cfRule>
  </conditionalFormatting>
  <conditionalFormatting sqref="F16">
    <cfRule type="expression" dxfId="26" priority="25" stopIfTrue="1">
      <formula>IF(OR(ACOMPANHAMENTO="BM",F$12&gt;CÁLCULO.NúmeroDeFrentes),TRUE,PLE.ValorDoEvento=0)</formula>
    </cfRule>
    <cfRule type="cellIs" dxfId="25" priority="26" stopIfTrue="1" operator="equal">
      <formula>$J$9</formula>
    </cfRule>
  </conditionalFormatting>
  <conditionalFormatting sqref="H16:AF16">
    <cfRule type="expression" dxfId="24" priority="27" stopIfTrue="1">
      <formula>IF(OR(ACOMPANHAMENTO="BM",TIPOORCAMENTO="Proposto",H$12&gt;CÁLCULO.NúmeroDeFrentes),TRUE,PLE.ValorDoEvento=0)</formula>
    </cfRule>
    <cfRule type="cellIs" dxfId="23" priority="28" stopIfTrue="1" operator="equal">
      <formula>$J$9</formula>
    </cfRule>
  </conditionalFormatting>
  <dataValidations count="3">
    <dataValidation type="whole" operator="greaterThan" allowBlank="1" showErrorMessage="1" sqref="I3:AC4 J9:K9 F1:F4 F16"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16"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1"/>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36" sqref="A36"/>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61" t="str">
        <f>IF(CAIXA.Modo,"BA - Boletim de Aferição","BM - Boletim de Medição")</f>
        <v>BM - Boletim de Medição</v>
      </c>
      <c r="G1" s="362"/>
      <c r="J1" s="362"/>
      <c r="K1" s="362"/>
      <c r="L1" s="362"/>
      <c r="M1" s="362"/>
      <c r="N1" s="362"/>
      <c r="O1" s="53" t="s">
        <v>140</v>
      </c>
    </row>
    <row r="2" spans="1:41" ht="15" x14ac:dyDescent="0.2">
      <c r="A2" s="363" t="s">
        <v>329</v>
      </c>
      <c r="B2" s="2"/>
      <c r="E2" s="364" t="str">
        <f ca="1">IF(Import.RegimeExecução="(SELECIONAR)","Selecione o Regime de Execução na Aba Dados",Import.RegimeExecução&amp;" - "&amp;import.recurso)</f>
        <v>EMPREITADA POR PREÇO UNITÁRIO - (SELECIONAR)</v>
      </c>
      <c r="O2" s="12" t="s">
        <v>143</v>
      </c>
    </row>
    <row r="3" spans="1:41" x14ac:dyDescent="0.2">
      <c r="A3" s="729" t="b">
        <v>0</v>
      </c>
      <c r="B3" s="729"/>
      <c r="E3" s="87"/>
    </row>
    <row r="4" spans="1:41" x14ac:dyDescent="0.2">
      <c r="D4" s="622" t="s">
        <v>147</v>
      </c>
      <c r="E4" s="622"/>
      <c r="F4" s="633" t="s">
        <v>146</v>
      </c>
      <c r="G4" s="633"/>
      <c r="H4" s="633"/>
      <c r="I4" s="151" t="s">
        <v>432</v>
      </c>
      <c r="J4" s="622" t="s">
        <v>201</v>
      </c>
      <c r="K4" s="622"/>
      <c r="L4" s="622"/>
      <c r="M4" s="622"/>
      <c r="N4" s="622"/>
      <c r="O4" s="153" t="s">
        <v>330</v>
      </c>
    </row>
    <row r="5" spans="1:41" ht="12.75" customHeight="1" x14ac:dyDescent="0.2">
      <c r="A5" t="s">
        <v>331</v>
      </c>
      <c r="D5" s="625" t="str">
        <f>Import.Proponente</f>
        <v>Secretario Diego Salini</v>
      </c>
      <c r="E5" s="625"/>
      <c r="F5" s="638">
        <f>Import.CR</f>
        <v>0</v>
      </c>
      <c r="G5" s="638"/>
      <c r="H5" s="638"/>
      <c r="I5" s="365">
        <f>Import.TransfereGOV</f>
        <v>0</v>
      </c>
      <c r="J5" s="625" t="str">
        <f>Import.Apelido</f>
        <v>ANEXO I TR - MANUTENÇÃO ABRIGO PASSAGEIROS ÔNIBUS E TÁXI</v>
      </c>
      <c r="K5" s="625"/>
      <c r="L5" s="625"/>
      <c r="M5" s="625"/>
      <c r="N5" s="625"/>
      <c r="O5" s="366">
        <f>Import.DataInicioObra</f>
        <v>46298</v>
      </c>
      <c r="AO5" s="367" t="s">
        <v>332</v>
      </c>
    </row>
    <row r="6" spans="1:41" ht="5.0999999999999996" customHeight="1" x14ac:dyDescent="0.2">
      <c r="D6" s="95"/>
      <c r="E6" s="96"/>
      <c r="F6" s="95"/>
      <c r="G6" s="95"/>
      <c r="H6" s="95"/>
      <c r="I6" s="95"/>
      <c r="J6" s="95"/>
      <c r="K6" s="95"/>
      <c r="L6" s="95"/>
      <c r="M6" s="95"/>
      <c r="N6" s="95"/>
      <c r="O6" s="95"/>
      <c r="AO6" s="368"/>
    </row>
    <row r="7" spans="1:41" ht="12.75" customHeight="1" x14ac:dyDescent="0.2">
      <c r="A7" t="str">
        <f ca="1">RegimeExecucao</f>
        <v>Unitário</v>
      </c>
      <c r="D7" s="89" t="s">
        <v>333</v>
      </c>
      <c r="E7" s="89" t="s">
        <v>334</v>
      </c>
      <c r="F7" s="622" t="s">
        <v>335</v>
      </c>
      <c r="G7" s="622"/>
      <c r="H7" s="622"/>
      <c r="I7" s="622" t="str">
        <f>IF(TIPOORCAMENTO="Licitado","REGIME DE EXECUÇÃO","MUNICÍPIO / UF")</f>
        <v>MUNICÍPIO / UF</v>
      </c>
      <c r="J7" s="622"/>
      <c r="K7" s="622"/>
      <c r="L7" s="622"/>
      <c r="M7" s="622" t="s">
        <v>336</v>
      </c>
      <c r="N7" s="622"/>
      <c r="O7" s="89" t="s">
        <v>337</v>
      </c>
      <c r="AO7" s="315">
        <f ca="1">BM.MEDAcumulado</f>
        <v>0</v>
      </c>
    </row>
    <row r="8" spans="1:41" ht="12.75" customHeight="1" x14ac:dyDescent="0.2">
      <c r="A8" s="363" t="s">
        <v>338</v>
      </c>
      <c r="B8" s="2"/>
      <c r="C8" s="615" t="s">
        <v>208</v>
      </c>
      <c r="D8" s="369">
        <f>Import.CTEF</f>
        <v>0</v>
      </c>
      <c r="E8" s="57">
        <f>Import.empresa</f>
        <v>0</v>
      </c>
      <c r="F8" s="625">
        <f>Import.CNPJ</f>
        <v>0</v>
      </c>
      <c r="G8" s="625"/>
      <c r="H8" s="625"/>
      <c r="I8" s="625" t="str">
        <f>IF(TIPOORCAMENTO="Licitado",Import.RegimeExecução,Import.Município)</f>
        <v>Bento Gonçalves</v>
      </c>
      <c r="J8" s="625"/>
      <c r="K8" s="625"/>
      <c r="L8" s="625"/>
      <c r="M8" s="625" t="str">
        <f ca="1">TEXT(IF(BM.medicao=1,Import.DataInicioObra,OFFSET($AB$12,0,BM.medicao-1-$AB$13)+1),"dd/mm/aaaa")&amp;" a "&amp;TEXT(OFFSET($AB$12,0,BM.medicao-$AB$13),"dd/mm/aaaa")</f>
        <v>03/10/Saturday a 00/01/Saturday</v>
      </c>
      <c r="N8" s="625"/>
      <c r="O8" s="477">
        <v>1</v>
      </c>
    </row>
    <row r="9" spans="1:41" ht="12.75" customHeight="1" x14ac:dyDescent="0.2">
      <c r="A9" s="509" t="b">
        <v>1</v>
      </c>
      <c r="B9" s="43"/>
      <c r="C9" s="615"/>
    </row>
    <row r="10" spans="1:41" x14ac:dyDescent="0.2">
      <c r="C10" s="615"/>
      <c r="E10" s="727" t="str">
        <f>IF(ACOMPANHAMENTO="PLE","Foi selecionado na aba 'MENU' o acompanhamento por PLE.",IF(TIPOORCAMENTO="Proposto","Altere na aba 'MENU' o tipo de orçamento para 'Licitado'.",""))</f>
        <v>Foi selecionado na aba 'MENU' o acompanhamento por PLE.</v>
      </c>
      <c r="F10" s="727"/>
      <c r="G10" s="727"/>
      <c r="H10" s="727"/>
      <c r="I10" s="727"/>
      <c r="N10" s="728" t="str">
        <f ca="1">"Realizado Acumulado: "&amp;TEXT(ROUND($O$15/($I$15+10^-12),4),"0,00%")</f>
        <v>Realizado Acumulado: 000%</v>
      </c>
      <c r="O10" s="728"/>
    </row>
    <row r="11" spans="1:41" ht="15" customHeight="1" x14ac:dyDescent="0.25">
      <c r="C11" s="615"/>
      <c r="E11" s="727"/>
      <c r="F11" s="727"/>
      <c r="G11" s="727"/>
      <c r="H11" s="727"/>
      <c r="I11" s="727"/>
      <c r="N11" s="728"/>
      <c r="O11" s="728"/>
      <c r="T11" s="726" t="s">
        <v>339</v>
      </c>
      <c r="U11" s="726"/>
      <c r="Z11" s="4"/>
      <c r="AB11" s="706" t="s">
        <v>340</v>
      </c>
      <c r="AC11" s="706"/>
      <c r="AD11" s="706"/>
      <c r="AE11" s="706"/>
      <c r="AF11" s="706"/>
      <c r="AG11" s="706"/>
      <c r="AH11" s="706"/>
      <c r="AI11" s="706"/>
      <c r="AJ11" s="706"/>
      <c r="AK11" s="706"/>
      <c r="AL11" s="706"/>
      <c r="AM11" s="706"/>
    </row>
    <row r="12" spans="1:41" ht="15" customHeight="1" x14ac:dyDescent="0.25">
      <c r="C12" s="615"/>
      <c r="E12" s="85" t="s">
        <v>341</v>
      </c>
      <c r="J12" s="627" t="str">
        <f ca="1">"Evolução Física "&amp;CHOOSE(MATCH(RegimeExecucao,{"Unitário","Global"},0),"(Qtde.)","(%)")</f>
        <v>Evolução Física (Qtde.)</v>
      </c>
      <c r="K12" s="627"/>
      <c r="L12" s="627"/>
      <c r="M12" s="627" t="s">
        <v>342</v>
      </c>
      <c r="N12" s="627"/>
      <c r="O12" s="627"/>
      <c r="Q12" s="627" t="str">
        <f ca="1">"Aferido (CAIXA) "&amp;CHOOSE(MATCH(RegimeExecucao,{"Unitário","Global"},0),"(Qtde.)","(%)")</f>
        <v>Aferido (CAIXA) (Qtde.)</v>
      </c>
      <c r="R12" s="627"/>
      <c r="T12" s="370" t="s">
        <v>343</v>
      </c>
      <c r="U12" s="194"/>
      <c r="V12" s="194"/>
      <c r="W12" s="194"/>
      <c r="X12" s="194"/>
      <c r="Y12" s="194"/>
      <c r="Z12" s="43"/>
      <c r="AB12" s="371"/>
      <c r="AC12" s="372"/>
      <c r="AD12" s="372"/>
      <c r="AE12" s="372"/>
      <c r="AF12" s="372"/>
      <c r="AG12" s="372"/>
      <c r="AH12" s="372"/>
      <c r="AI12" s="372"/>
      <c r="AJ12" s="372"/>
      <c r="AK12" s="372"/>
      <c r="AL12" s="372"/>
      <c r="AM12" s="373"/>
    </row>
    <row r="13" spans="1:41" ht="45" customHeight="1" x14ac:dyDescent="0.2">
      <c r="A13" s="109" t="s">
        <v>221</v>
      </c>
      <c r="B13" s="109" t="s">
        <v>220</v>
      </c>
      <c r="C13" s="108" t="s">
        <v>216</v>
      </c>
      <c r="D13" s="335" t="s">
        <v>230</v>
      </c>
      <c r="E13" s="335" t="s">
        <v>233</v>
      </c>
      <c r="F13" s="374" t="s">
        <v>234</v>
      </c>
      <c r="G13" s="335" t="s">
        <v>202</v>
      </c>
      <c r="H13" s="335" t="s">
        <v>235</v>
      </c>
      <c r="I13" s="335" t="s">
        <v>236</v>
      </c>
      <c r="J13" s="335" t="s">
        <v>344</v>
      </c>
      <c r="K13" s="335" t="s">
        <v>345</v>
      </c>
      <c r="L13" s="335" t="s">
        <v>346</v>
      </c>
      <c r="M13" s="335" t="s">
        <v>344</v>
      </c>
      <c r="N13" s="335" t="s">
        <v>345</v>
      </c>
      <c r="O13" s="335" t="s">
        <v>346</v>
      </c>
      <c r="Q13" s="335" t="s">
        <v>344</v>
      </c>
      <c r="R13" s="335" t="s">
        <v>346</v>
      </c>
      <c r="T13" s="335" t="s">
        <v>230</v>
      </c>
      <c r="U13" s="335" t="s">
        <v>233</v>
      </c>
      <c r="V13" s="374" t="str">
        <f ca="1">IF(RegimeExecucao="Unitário","Unidade","")</f>
        <v>Unidade</v>
      </c>
      <c r="W13" s="335" t="str">
        <f ca="1">CHOOSE(MATCH(RegimeExecucao,{"Unitário","Global"},0),"Quant. Glosada (unid)","Percentual Glosado (%)")</f>
        <v>Quant. Glosada (unid)</v>
      </c>
      <c r="X13" s="335" t="str">
        <f ca="1">CHOOSE(MATCH(RegimeExecucao,{"Unitário","Global"},0),"Preço Unitário (R$)","Valor Total do Item (R$)")</f>
        <v>Preço Unitário (R$)</v>
      </c>
      <c r="Y13" s="335" t="s">
        <v>347</v>
      </c>
      <c r="Z13" s="335" t="s">
        <v>348</v>
      </c>
      <c r="AA13" s="114"/>
      <c r="AB13" s="375">
        <f ca="1">IF(BM.medicao&lt;=12,1,TRUNC((BM.medicao - 2)/11,0) * 11 + 1)</f>
        <v>1</v>
      </c>
      <c r="AC13" s="375">
        <f ca="1">OFFSET(AC13,0,-1)+1</f>
        <v>2</v>
      </c>
      <c r="AD13" s="375">
        <f t="shared" ref="AD13:AM13" ca="1" si="0">OFFSET(AD13,0,-1)+1</f>
        <v>3</v>
      </c>
      <c r="AE13" s="375">
        <f t="shared" ca="1" si="0"/>
        <v>4</v>
      </c>
      <c r="AF13" s="375">
        <f t="shared" ca="1" si="0"/>
        <v>5</v>
      </c>
      <c r="AG13" s="375">
        <f t="shared" ca="1" si="0"/>
        <v>6</v>
      </c>
      <c r="AH13" s="375">
        <f t="shared" ca="1" si="0"/>
        <v>7</v>
      </c>
      <c r="AI13" s="375">
        <f t="shared" ca="1" si="0"/>
        <v>8</v>
      </c>
      <c r="AJ13" s="375">
        <f t="shared" ca="1" si="0"/>
        <v>9</v>
      </c>
      <c r="AK13" s="375">
        <f t="shared" ca="1" si="0"/>
        <v>10</v>
      </c>
      <c r="AL13" s="375">
        <f t="shared" ca="1" si="0"/>
        <v>11</v>
      </c>
      <c r="AM13" s="375">
        <f t="shared" ca="1" si="0"/>
        <v>12</v>
      </c>
      <c r="AO13" s="109" t="s">
        <v>349</v>
      </c>
    </row>
    <row r="14" spans="1:41" hidden="1" x14ac:dyDescent="0.2">
      <c r="A14" t="str">
        <f ca="1">ORÇAMENTO!C14</f>
        <v>S</v>
      </c>
      <c r="B14">
        <f ca="1">ORÇAMENTO!D14</f>
        <v>0</v>
      </c>
      <c r="C14" s="116" t="str">
        <f ca="1">IF(OR($I14&gt;0,$A14=1,$A14=2,$A14=3,$A14=4),"F","")</f>
        <v/>
      </c>
      <c r="D14" s="119" t="str">
        <f ca="1">ORÇAMENTO!O14</f>
        <v>-</v>
      </c>
      <c r="E14" s="172" t="str">
        <f ca="1">ORÇAMENTO.Descricao</f>
        <v>(abra o arquivo 'Referência 03-Sunday.xlsm)</v>
      </c>
      <c r="F14" s="173" t="str">
        <f ca="1">IF(RegimeExecucao="Global","",ORÇAMENTO.Unidade)</f>
        <v>-</v>
      </c>
      <c r="G14" s="124">
        <f ca="1">IF(RegimeExecucao="Global","",ORÇAMENTO!T14)</f>
        <v>0</v>
      </c>
      <c r="H14" s="124">
        <f ca="1">IF(RegimeExecucao="Global","",ORÇAMENTO!W14)</f>
        <v>0</v>
      </c>
      <c r="I14" s="127">
        <f ca="1">ORÇAMENTO!X14</f>
        <v>0</v>
      </c>
      <c r="J14" s="376">
        <f ca="1">IF($A14="S",IF(CAIXA.Modo,BM.AFAnterior,BM.MEDAnterior),IF(AND(RegimeExecucao="Global",$I14&gt;0,COUNTIF($AB$13:$AM$13,BM.medicao-1)&gt;0),M14/$I14*100,0))</f>
        <v>0</v>
      </c>
      <c r="K14" s="124">
        <f ca="1">L14-J14</f>
        <v>0</v>
      </c>
      <c r="L14" s="377">
        <f ca="1">IF($A14="S",IF(CAIXA.Modo,BM.AFAcumulado,BM.MEDAcumulado),IF(AND(RegimeExecucao="Global",$I14&gt;0,COUNTIF($AB$13:$AM$13,BM.medicao)&gt;0),O14/$I14*100,0))</f>
        <v>0</v>
      </c>
      <c r="M14" s="378">
        <f ca="1">IF($A14="S",VTOTALBM,IF($A14=0,0,ROUND(SomaAgrupBM,15-13*ORÇAMENTO!$AF$11)))</f>
        <v>0</v>
      </c>
      <c r="N14" s="379">
        <f ca="1">O14-M14</f>
        <v>0</v>
      </c>
      <c r="O14" s="127">
        <f ca="1">IF($A14="S",VTOTALBM,IF($A14=0,0,ROUND(SomaAgrupBM,15-13*ORÇAMENTO!$AF$11)))</f>
        <v>0</v>
      </c>
      <c r="Q14" s="380"/>
      <c r="R14" s="381"/>
      <c r="T14" s="119" t="str">
        <f ca="1">IF($W14&gt;0,$D14,"")</f>
        <v/>
      </c>
      <c r="U14" s="172" t="str">
        <f ca="1">IF($W14&gt;0,$E14,"")</f>
        <v/>
      </c>
      <c r="V14" s="173" t="str">
        <f ca="1">IF(AND($W14&gt;0,RegimeExecucao="Unitário"),$F14,"")</f>
        <v/>
      </c>
      <c r="W14" s="525">
        <f ca="1">IF($Y14&gt;0,CHOOSE(MATCH(RegimeExecucao,{"Unitário","Global"},0),IF($A14="S",$Y14/$X14,""),($Y14/$X14)*100),0)</f>
        <v>0</v>
      </c>
      <c r="X14" s="382" t="str">
        <f ca="1">IF($Y14&gt;0,CHOOSE(MATCH(RegimeExecucao,{"Unitário","Global"},0),IF($A14="S",ROUND($H14,ORÇAMENTO!$AF$10),""),ROUND($I14,ORÇAMENTO!$AF$11)),"")</f>
        <v/>
      </c>
      <c r="Y14" s="382">
        <f ca="1">AO14-O14</f>
        <v>0</v>
      </c>
      <c r="Z14" s="549"/>
      <c r="AB14" s="380"/>
      <c r="AC14" s="503"/>
      <c r="AD14" s="503"/>
      <c r="AE14" s="503"/>
      <c r="AF14" s="503"/>
      <c r="AG14" s="503"/>
      <c r="AH14" s="503"/>
      <c r="AI14" s="503"/>
      <c r="AJ14" s="503"/>
      <c r="AK14" s="503"/>
      <c r="AL14" s="503"/>
      <c r="AM14" s="381"/>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245</v>
      </c>
      <c r="D15" s="725" t="str">
        <f>"Objeto do CTEF: "&amp;Import.DescLote</f>
        <v>Objeto do CTEF: REGISTRO DE PREÇOS PARA SERVIÇOS COMUNS DE ENGENHARIA P/ MANUTNEÇÃO ABRIGOS PASSAGEIROS ONIBUS TAXI</v>
      </c>
      <c r="E15" s="725"/>
      <c r="F15" s="526"/>
      <c r="G15" s="527"/>
      <c r="H15" s="527" t="s">
        <v>350</v>
      </c>
      <c r="I15" s="528">
        <f>IF(OR(ACOMPANHAMENTO="PLE",TIPOORCAMENTO="Proposto"),0,ORÇAMENTO!$X$15)</f>
        <v>0</v>
      </c>
      <c r="J15" s="383">
        <f ca="1">IF(M$15=0,0,IF(RegimeExecucao="Global",M$15/$I$15*100,0))</f>
        <v>0</v>
      </c>
      <c r="K15" s="383">
        <f ca="1">L15-J15</f>
        <v>0</v>
      </c>
      <c r="L15" s="383">
        <f ca="1">IF(O$15=0,0,IF(RegimeExecucao="Global",O$15/$I$15*100,0))</f>
        <v>0</v>
      </c>
      <c r="M15" s="384">
        <f ca="1">IF(OR(ACOMPANHAMENTO="PLE",TIPOORCAMENTO="Proposto"),0,SUMIF(OFFSET($A15,1,0):$A$36,"S",OFFSET(M15,1,0):M$36))</f>
        <v>0</v>
      </c>
      <c r="N15" s="384">
        <f ca="1">O15-M15</f>
        <v>0</v>
      </c>
      <c r="O15" s="384">
        <f ca="1">IF(OR(ACOMPANHAMENTO="PLE",TIPOORCAMENTO="Proposto"),0,SUMIF(OFFSET($A15,1,0):$A$36,"S",OFFSET(O15,1,0):O$36))</f>
        <v>0</v>
      </c>
      <c r="Q15" s="385"/>
      <c r="R15" s="385"/>
      <c r="T15" s="386"/>
      <c r="U15" s="387"/>
      <c r="V15" s="387"/>
      <c r="W15" s="387"/>
      <c r="X15" s="387"/>
      <c r="Y15" s="387"/>
      <c r="Z15" s="388"/>
      <c r="AB15" s="721" t="str">
        <f ca="1">"Preencher abaixo com a "&amp;CHOOSE(MATCH(RegimeExecucao,{"Unitário","Global"},0),"QUANTIDADE","PORCENTAGEM")&amp;" executada no PERÍODO"</f>
        <v>Preencher abaixo com a QUANTIDADE executada no PERÍODO</v>
      </c>
      <c r="AC15" s="721"/>
      <c r="AD15" s="721"/>
      <c r="AE15" s="721"/>
      <c r="AF15" s="721"/>
      <c r="AG15" s="721"/>
      <c r="AH15" s="721"/>
      <c r="AI15" s="721"/>
      <c r="AJ15" s="721"/>
      <c r="AK15" s="721"/>
      <c r="AL15" s="721"/>
      <c r="AM15" s="721"/>
    </row>
    <row r="16" spans="1:41" x14ac:dyDescent="0.2">
      <c r="A16">
        <f ca="1">ORÇAMENTO!C16</f>
        <v>1</v>
      </c>
      <c r="B16">
        <f ca="1">ORÇAMENTO!D16</f>
        <v>20</v>
      </c>
      <c r="C16" s="116" t="str">
        <f t="shared" ref="C16:C35" ca="1" si="1">IF(OR($I16&gt;0,$A16=1,$A16=2,$A16=3,$A16=4),"F","")</f>
        <v>F</v>
      </c>
      <c r="D16" s="119" t="str">
        <f ca="1">ORÇAMENTO!O16</f>
        <v>1.</v>
      </c>
      <c r="E16" s="172" t="str">
        <f t="shared" ref="E16:E35" si="2">ORÇAMENTO.Descricao</f>
        <v>Manutenção e Reparos Abrigos Passagerios Onibus e Táxi</v>
      </c>
      <c r="F16" s="173" t="str">
        <f ca="1">IF(RegimeExecucao="Global","",ORÇAMENTO.Unidade)</f>
        <v>-</v>
      </c>
      <c r="G16" s="124">
        <f ca="1">IF(RegimeExecucao="Global","",ORÇAMENTO!T16)</f>
        <v>0</v>
      </c>
      <c r="H16" s="124">
        <f ca="1">IF(RegimeExecucao="Global","",ORÇAMENTO!W16)</f>
        <v>0</v>
      </c>
      <c r="I16" s="127">
        <f ca="1">ORÇAMENTO!X16</f>
        <v>0</v>
      </c>
      <c r="J16" s="376">
        <f ca="1">IF($A16="S",IF(CAIXA.Modo,BM.AFAnterior,BM.MEDAnterior),IF(AND(RegimeExecucao="Global",$I16&gt;0,COUNTIF($AB$13:$AM$13,BM.medicao-1)&gt;0),M16/$I16*100,0))</f>
        <v>0</v>
      </c>
      <c r="K16" s="124">
        <f t="shared" ref="K16:K35" ca="1" si="3">L16-J16</f>
        <v>0</v>
      </c>
      <c r="L16" s="377">
        <f ca="1">IF($A16="S",IF(CAIXA.Modo,BM.AFAcumulado,BM.MEDAcumulado),IF(AND(RegimeExecucao="Global",$I16&gt;0,COUNTIF($AB$13:$AM$13,BM.medicao)&gt;0),O16/$I16*100,0))</f>
        <v>0</v>
      </c>
      <c r="M16" s="378">
        <f ca="1">IF($A16="S",VTOTALBM,IF($A16=0,0,ROUND(SomaAgrupBM,15-13*ORÇAMENTO!$AF$11)))</f>
        <v>0</v>
      </c>
      <c r="N16" s="379">
        <f t="shared" ref="N16:N35" ca="1" si="4">O16-M16</f>
        <v>0</v>
      </c>
      <c r="O16" s="127">
        <f ca="1">IF($A16="S",VTOTALBM,IF($A16=0,0,ROUND(SomaAgrupBM,15-13*ORÇAMENTO!$AF$11)))</f>
        <v>0</v>
      </c>
      <c r="Q16" s="380"/>
      <c r="R16" s="381"/>
      <c r="T16" s="119" t="str">
        <f t="shared" ref="T16:T35" ca="1" si="5">IF($W16&gt;0,$D16,"")</f>
        <v/>
      </c>
      <c r="U16" s="172" t="str">
        <f t="shared" ref="U16:U35" ca="1" si="6">IF($W16&gt;0,$E16,"")</f>
        <v/>
      </c>
      <c r="V16" s="173" t="str">
        <f ca="1">IF(AND($W16&gt;0,RegimeExecucao="Unitário"),$F16,"")</f>
        <v/>
      </c>
      <c r="W16" s="525">
        <f ca="1">IF($Y16&gt;0,CHOOSE(MATCH(RegimeExecucao,{"Unitário","Global"},0),IF($A16="S",$Y16/$X16,""),($Y16/$X16)*100),0)</f>
        <v>0</v>
      </c>
      <c r="X16" s="382" t="str">
        <f ca="1">IF($Y16&gt;0,CHOOSE(MATCH(RegimeExecucao,{"Unitário","Global"},0),IF($A16="S",ROUND($H16,ORÇAMENTO!$AF$10),""),ROUND($I16,ORÇAMENTO!$AF$11)),"")</f>
        <v/>
      </c>
      <c r="Y16" s="382">
        <f t="shared" ref="Y16:Y35" ca="1" si="7">AO16-O16</f>
        <v>0</v>
      </c>
      <c r="Z16" s="549"/>
      <c r="AB16" s="380"/>
      <c r="AC16" s="503"/>
      <c r="AD16" s="503"/>
      <c r="AE16" s="503"/>
      <c r="AF16" s="503"/>
      <c r="AG16" s="503"/>
      <c r="AH16" s="503"/>
      <c r="AI16" s="503"/>
      <c r="AJ16" s="503"/>
      <c r="AK16" s="503"/>
      <c r="AL16" s="503"/>
      <c r="AM16" s="381"/>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19</v>
      </c>
      <c r="C17" s="116" t="str">
        <f t="shared" ca="1" si="1"/>
        <v>F</v>
      </c>
      <c r="D17" s="119" t="str">
        <f ca="1">ORÇAMENTO!O17</f>
        <v>1.1.</v>
      </c>
      <c r="E17" s="172" t="str">
        <f t="shared" si="2"/>
        <v>Lote 01  - Manutenção e Reparos Abrigos Passagerios Onibus e Táxi</v>
      </c>
      <c r="F17" s="173" t="str">
        <f ca="1">IF(RegimeExecucao="Global","",ORÇAMENTO.Unidade)</f>
        <v>-</v>
      </c>
      <c r="G17" s="124">
        <f ca="1">IF(RegimeExecucao="Global","",ORÇAMENTO!T17)</f>
        <v>0</v>
      </c>
      <c r="H17" s="124">
        <f ca="1">IF(RegimeExecucao="Global","",ORÇAMENTO!W17)</f>
        <v>0</v>
      </c>
      <c r="I17" s="127">
        <f ca="1">ORÇAMENTO!X17</f>
        <v>0</v>
      </c>
      <c r="J17" s="376">
        <f ca="1">IF($A17="S",IF(CAIXA.Modo,BM.AFAnterior,BM.MEDAnterior),IF(AND(RegimeExecucao="Global",$I17&gt;0,COUNTIF($AB$13:$AM$13,BM.medicao-1)&gt;0),M17/$I17*100,0))</f>
        <v>0</v>
      </c>
      <c r="K17" s="124">
        <f t="shared" ca="1" si="3"/>
        <v>0</v>
      </c>
      <c r="L17" s="377">
        <f ca="1">IF($A17="S",IF(CAIXA.Modo,BM.AFAcumulado,BM.MEDAcumulado),IF(AND(RegimeExecucao="Global",$I17&gt;0,COUNTIF($AB$13:$AM$13,BM.medicao)&gt;0),O17/$I17*100,0))</f>
        <v>0</v>
      </c>
      <c r="M17" s="378">
        <f ca="1">IF($A17="S",VTOTALBM,IF($A17=0,0,ROUND(SomaAgrupBM,15-13*ORÇAMENTO!$AF$11)))</f>
        <v>0</v>
      </c>
      <c r="N17" s="379">
        <f t="shared" ca="1" si="4"/>
        <v>0</v>
      </c>
      <c r="O17" s="127">
        <f ca="1">IF($A17="S",VTOTALBM,IF($A17=0,0,ROUND(SomaAgrupBM,15-13*ORÇAMENTO!$AF$11)))</f>
        <v>0</v>
      </c>
      <c r="Q17" s="380"/>
      <c r="R17" s="381"/>
      <c r="T17" s="119" t="str">
        <f t="shared" ca="1" si="5"/>
        <v/>
      </c>
      <c r="U17" s="172" t="str">
        <f t="shared" ca="1" si="6"/>
        <v/>
      </c>
      <c r="V17" s="173" t="str">
        <f ca="1">IF(AND($W17&gt;0,RegimeExecucao="Unitário"),$F17,"")</f>
        <v/>
      </c>
      <c r="W17" s="525">
        <f ca="1">IF($Y17&gt;0,CHOOSE(MATCH(RegimeExecucao,{"Unitário","Global"},0),IF($A17="S",$Y17/$X17,""),($Y17/$X17)*100),0)</f>
        <v>0</v>
      </c>
      <c r="X17" s="382" t="str">
        <f ca="1">IF($Y17&gt;0,CHOOSE(MATCH(RegimeExecucao,{"Unitário","Global"},0),IF($A17="S",ROUND($H17,ORÇAMENTO!$AF$10),""),ROUND($I17,ORÇAMENTO!$AF$11)),"")</f>
        <v/>
      </c>
      <c r="Y17" s="382">
        <f t="shared" ca="1" si="7"/>
        <v>0</v>
      </c>
      <c r="Z17" s="549"/>
      <c r="AB17" s="380"/>
      <c r="AC17" s="503"/>
      <c r="AD17" s="503"/>
      <c r="AE17" s="503"/>
      <c r="AF17" s="503"/>
      <c r="AG17" s="503"/>
      <c r="AH17" s="503"/>
      <c r="AI17" s="503"/>
      <c r="AJ17" s="503"/>
      <c r="AK17" s="503"/>
      <c r="AL17" s="503"/>
      <c r="AM17" s="381"/>
      <c r="AO17">
        <f ca="1">IF($A17="S",IF(BM!$I17=0,0,CHOOSE(MATCH(RegimeExecucao,{"Global","Unitário"},0),ROUND(ROUND(BM.MEDAcumulado,15-13*BM!$A$9)/100*BM!$I17,15-13*ORÇAMENTO!$AF$11),ROUND(ROUND(BM.MEDAcumulado,15-13*BM!$A$9)*ROUND(BM!$H17,15-13*ORÇAMENTO!$AF$10),15-13*ORÇAMENTO!$AF$11))),IF($A17=0,0,ROUND(SomaAgrupBM,15-13*ORÇAMENTO!$AF$11)))</f>
        <v>0</v>
      </c>
    </row>
    <row r="18" spans="1:41" ht="25.5" x14ac:dyDescent="0.2">
      <c r="A18" t="str">
        <f ca="1">ORÇAMENTO!C18</f>
        <v>S</v>
      </c>
      <c r="B18">
        <f ca="1">ORÇAMENTO!D18</f>
        <v>0</v>
      </c>
      <c r="C18" s="116" t="str">
        <f t="shared" ca="1" si="1"/>
        <v/>
      </c>
      <c r="D18" s="119" t="str">
        <f ca="1">ORÇAMENTO!O18</f>
        <v>-</v>
      </c>
      <c r="E18" s="172" t="str">
        <f t="shared" ca="1" si="2"/>
        <v>(abra o arquivo 'Referência 03-Sunday.xlsm)</v>
      </c>
      <c r="F18" s="173" t="str">
        <f ca="1">IF(RegimeExecucao="Global","",ORÇAMENTO.Unidade)</f>
        <v>-</v>
      </c>
      <c r="G18" s="124">
        <f ca="1">IF(RegimeExecucao="Global","",ORÇAMENTO!T18)</f>
        <v>100</v>
      </c>
      <c r="H18" s="124">
        <f ca="1">IF(RegimeExecucao="Global","",ORÇAMENTO!W18)</f>
        <v>0</v>
      </c>
      <c r="I18" s="127">
        <f ca="1">ORÇAMENTO!X18</f>
        <v>0</v>
      </c>
      <c r="J18" s="376">
        <f ca="1">IF($A18="S",IF(CAIXA.Modo,BM.AFAnterior,BM.MEDAnterior),IF(AND(RegimeExecucao="Global",$I18&gt;0,COUNTIF($AB$13:$AM$13,BM.medicao-1)&gt;0),M18/$I18*100,0))</f>
        <v>0</v>
      </c>
      <c r="K18" s="124">
        <f t="shared" ca="1" si="3"/>
        <v>0</v>
      </c>
      <c r="L18" s="377">
        <f ca="1">IF($A18="S",IF(CAIXA.Modo,BM.AFAcumulado,BM.MEDAcumulado),IF(AND(RegimeExecucao="Global",$I18&gt;0,COUNTIF($AB$13:$AM$13,BM.medicao)&gt;0),O18/$I18*100,0))</f>
        <v>0</v>
      </c>
      <c r="M18" s="378">
        <f ca="1">IF($A18="S",VTOTALBM,IF($A18=0,0,ROUND(SomaAgrupBM,15-13*ORÇAMENTO!$AF$11)))</f>
        <v>0</v>
      </c>
      <c r="N18" s="379">
        <f t="shared" ca="1" si="4"/>
        <v>0</v>
      </c>
      <c r="O18" s="127">
        <f ca="1">IF($A18="S",VTOTALBM,IF($A18=0,0,ROUND(SomaAgrupBM,15-13*ORÇAMENTO!$AF$11)))</f>
        <v>0</v>
      </c>
      <c r="Q18" s="380"/>
      <c r="R18" s="381"/>
      <c r="T18" s="119" t="str">
        <f t="shared" ca="1" si="5"/>
        <v/>
      </c>
      <c r="U18" s="172" t="str">
        <f t="shared" ca="1" si="6"/>
        <v/>
      </c>
      <c r="V18" s="173" t="str">
        <f ca="1">IF(AND($W18&gt;0,RegimeExecucao="Unitário"),$F18,"")</f>
        <v/>
      </c>
      <c r="W18" s="525">
        <f ca="1">IF($Y18&gt;0,CHOOSE(MATCH(RegimeExecucao,{"Unitário","Global"},0),IF($A18="S",$Y18/$X18,""),($Y18/$X18)*100),0)</f>
        <v>0</v>
      </c>
      <c r="X18" s="382" t="str">
        <f ca="1">IF($Y18&gt;0,CHOOSE(MATCH(RegimeExecucao,{"Unitário","Global"},0),IF($A18="S",ROUND($H18,ORÇAMENTO!$AF$10),""),ROUND($I18,ORÇAMENTO!$AF$11)),"")</f>
        <v/>
      </c>
      <c r="Y18" s="382">
        <f t="shared" ca="1" si="7"/>
        <v>0</v>
      </c>
      <c r="Z18" s="549"/>
      <c r="AB18" s="380"/>
      <c r="AC18" s="503"/>
      <c r="AD18" s="503"/>
      <c r="AE18" s="503"/>
      <c r="AF18" s="503"/>
      <c r="AG18" s="503"/>
      <c r="AH18" s="503"/>
      <c r="AI18" s="503"/>
      <c r="AJ18" s="503"/>
      <c r="AK18" s="503"/>
      <c r="AL18" s="503"/>
      <c r="AM18" s="381"/>
      <c r="AO18">
        <f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6" t="str">
        <f t="shared" ca="1" si="1"/>
        <v/>
      </c>
      <c r="D19" s="119" t="str">
        <f ca="1">ORÇAMENTO!O19</f>
        <v>-</v>
      </c>
      <c r="E19" s="172" t="str">
        <f t="shared" ca="1" si="2"/>
        <v>(abra o arquivo 'Referência 03-Sunday.xlsm)</v>
      </c>
      <c r="F19" s="173" t="str">
        <f ca="1">IF(RegimeExecucao="Global","",ORÇAMENTO.Unidade)</f>
        <v>-</v>
      </c>
      <c r="G19" s="124">
        <f ca="1">IF(RegimeExecucao="Global","",ORÇAMENTO!T19)</f>
        <v>880</v>
      </c>
      <c r="H19" s="124">
        <f ca="1">IF(RegimeExecucao="Global","",ORÇAMENTO!W19)</f>
        <v>0</v>
      </c>
      <c r="I19" s="127">
        <f ca="1">ORÇAMENTO!X19</f>
        <v>0</v>
      </c>
      <c r="J19" s="376">
        <f ca="1">IF($A19="S",IF(CAIXA.Modo,BM.AFAnterior,BM.MEDAnterior),IF(AND(RegimeExecucao="Global",$I19&gt;0,COUNTIF($AB$13:$AM$13,BM.medicao-1)&gt;0),M19/$I19*100,0))</f>
        <v>0</v>
      </c>
      <c r="K19" s="124">
        <f t="shared" ca="1" si="3"/>
        <v>0</v>
      </c>
      <c r="L19" s="377">
        <f ca="1">IF($A19="S",IF(CAIXA.Modo,BM.AFAcumulado,BM.MEDAcumulado),IF(AND(RegimeExecucao="Global",$I19&gt;0,COUNTIF($AB$13:$AM$13,BM.medicao)&gt;0),O19/$I19*100,0))</f>
        <v>0</v>
      </c>
      <c r="M19" s="378">
        <f ca="1">IF($A19="S",VTOTALBM,IF($A19=0,0,ROUND(SomaAgrupBM,15-13*ORÇAMENTO!$AF$11)))</f>
        <v>0</v>
      </c>
      <c r="N19" s="379">
        <f t="shared" ca="1" si="4"/>
        <v>0</v>
      </c>
      <c r="O19" s="127">
        <f ca="1">IF($A19="S",VTOTALBM,IF($A19=0,0,ROUND(SomaAgrupBM,15-13*ORÇAMENTO!$AF$11)))</f>
        <v>0</v>
      </c>
      <c r="Q19" s="380"/>
      <c r="R19" s="381"/>
      <c r="T19" s="119" t="str">
        <f t="shared" ca="1" si="5"/>
        <v/>
      </c>
      <c r="U19" s="172" t="str">
        <f t="shared" ca="1" si="6"/>
        <v/>
      </c>
      <c r="V19" s="173" t="str">
        <f ca="1">IF(AND($W19&gt;0,RegimeExecucao="Unitário"),$F19,"")</f>
        <v/>
      </c>
      <c r="W19" s="525">
        <f ca="1">IF($Y19&gt;0,CHOOSE(MATCH(RegimeExecucao,{"Unitário","Global"},0),IF($A19="S",$Y19/$X19,""),($Y19/$X19)*100),0)</f>
        <v>0</v>
      </c>
      <c r="X19" s="382" t="str">
        <f ca="1">IF($Y19&gt;0,CHOOSE(MATCH(RegimeExecucao,{"Unitário","Global"},0),IF($A19="S",ROUND($H19,ORÇAMENTO!$AF$10),""),ROUND($I19,ORÇAMENTO!$AF$11)),"")</f>
        <v/>
      </c>
      <c r="Y19" s="382">
        <f t="shared" ca="1" si="7"/>
        <v>0</v>
      </c>
      <c r="Z19" s="549"/>
      <c r="AB19" s="380"/>
      <c r="AC19" s="503"/>
      <c r="AD19" s="503"/>
      <c r="AE19" s="503"/>
      <c r="AF19" s="503"/>
      <c r="AG19" s="503"/>
      <c r="AH19" s="503"/>
      <c r="AI19" s="503"/>
      <c r="AJ19" s="503"/>
      <c r="AK19" s="503"/>
      <c r="AL19" s="503"/>
      <c r="AM19" s="381"/>
      <c r="AO19">
        <f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6" t="str">
        <f t="shared" ca="1" si="1"/>
        <v/>
      </c>
      <c r="D20" s="119" t="str">
        <f ca="1">ORÇAMENTO!O20</f>
        <v>-</v>
      </c>
      <c r="E20" s="172" t="str">
        <f t="shared" ca="1" si="2"/>
        <v>(abra o arquivo 'Referência 03-Sunday.xlsm)</v>
      </c>
      <c r="F20" s="173" t="str">
        <f ca="1">IF(RegimeExecucao="Global","",ORÇAMENTO.Unidade)</f>
        <v>-</v>
      </c>
      <c r="G20" s="124">
        <f ca="1">IF(RegimeExecucao="Global","",ORÇAMENTO!T20)</f>
        <v>600</v>
      </c>
      <c r="H20" s="124">
        <f ca="1">IF(RegimeExecucao="Global","",ORÇAMENTO!W20)</f>
        <v>0</v>
      </c>
      <c r="I20" s="127">
        <f ca="1">ORÇAMENTO!X20</f>
        <v>0</v>
      </c>
      <c r="J20" s="376">
        <f ca="1">IF($A20="S",IF(CAIXA.Modo,BM.AFAnterior,BM.MEDAnterior),IF(AND(RegimeExecucao="Global",$I20&gt;0,COUNTIF($AB$13:$AM$13,BM.medicao-1)&gt;0),M20/$I20*100,0))</f>
        <v>0</v>
      </c>
      <c r="K20" s="124">
        <f t="shared" ca="1" si="3"/>
        <v>0</v>
      </c>
      <c r="L20" s="377">
        <f ca="1">IF($A20="S",IF(CAIXA.Modo,BM.AFAcumulado,BM.MEDAcumulado),IF(AND(RegimeExecucao="Global",$I20&gt;0,COUNTIF($AB$13:$AM$13,BM.medicao)&gt;0),O20/$I20*100,0))</f>
        <v>0</v>
      </c>
      <c r="M20" s="378">
        <f ca="1">IF($A20="S",VTOTALBM,IF($A20=0,0,ROUND(SomaAgrupBM,15-13*ORÇAMENTO!$AF$11)))</f>
        <v>0</v>
      </c>
      <c r="N20" s="379">
        <f t="shared" ca="1" si="4"/>
        <v>0</v>
      </c>
      <c r="O20" s="127">
        <f ca="1">IF($A20="S",VTOTALBM,IF($A20=0,0,ROUND(SomaAgrupBM,15-13*ORÇAMENTO!$AF$11)))</f>
        <v>0</v>
      </c>
      <c r="Q20" s="380"/>
      <c r="R20" s="381"/>
      <c r="T20" s="119" t="str">
        <f t="shared" ca="1" si="5"/>
        <v/>
      </c>
      <c r="U20" s="172" t="str">
        <f t="shared" ca="1" si="6"/>
        <v/>
      </c>
      <c r="V20" s="173" t="str">
        <f ca="1">IF(AND($W20&gt;0,RegimeExecucao="Unitário"),$F20,"")</f>
        <v/>
      </c>
      <c r="W20" s="525">
        <f ca="1">IF($Y20&gt;0,CHOOSE(MATCH(RegimeExecucao,{"Unitário","Global"},0),IF($A20="S",$Y20/$X20,""),($Y20/$X20)*100),0)</f>
        <v>0</v>
      </c>
      <c r="X20" s="382" t="str">
        <f ca="1">IF($Y20&gt;0,CHOOSE(MATCH(RegimeExecucao,{"Unitário","Global"},0),IF($A20="S",ROUND($H20,ORÇAMENTO!$AF$10),""),ROUND($I20,ORÇAMENTO!$AF$11)),"")</f>
        <v/>
      </c>
      <c r="Y20" s="382">
        <f t="shared" ca="1" si="7"/>
        <v>0</v>
      </c>
      <c r="Z20" s="549"/>
      <c r="AB20" s="380"/>
      <c r="AC20" s="503"/>
      <c r="AD20" s="503"/>
      <c r="AE20" s="503"/>
      <c r="AF20" s="503"/>
      <c r="AG20" s="503"/>
      <c r="AH20" s="503"/>
      <c r="AI20" s="503"/>
      <c r="AJ20" s="503"/>
      <c r="AK20" s="503"/>
      <c r="AL20" s="503"/>
      <c r="AM20" s="381"/>
      <c r="AO20">
        <f ca="1">IF($A20="S",IF(BM!$I20=0,0,CHOOSE(MATCH(RegimeExecucao,{"Global","Unitário"},0),ROUND(ROUND(BM.MEDAcumulado,15-13*BM!$A$9)/100*BM!$I20,15-13*ORÇAMENTO!$AF$11),ROUND(ROUND(BM.MEDAcumulado,15-13*BM!$A$9)*ROUND(BM!$H20,15-13*ORÇAMENTO!$AF$10),15-13*ORÇAMENTO!$AF$11))),IF($A20=0,0,ROUND(SomaAgrupBM,15-13*ORÇAMENTO!$AF$11)))</f>
        <v>0</v>
      </c>
    </row>
    <row r="21" spans="1:41" ht="51" x14ac:dyDescent="0.2">
      <c r="A21" t="str">
        <f ca="1">ORÇAMENTO!C21</f>
        <v>S</v>
      </c>
      <c r="B21">
        <f ca="1">ORÇAMENTO!D21</f>
        <v>0</v>
      </c>
      <c r="C21" s="116" t="str">
        <f t="shared" ca="1" si="1"/>
        <v/>
      </c>
      <c r="D21" s="119" t="str">
        <f ca="1">ORÇAMENTO!O21</f>
        <v>-</v>
      </c>
      <c r="E21" s="172" t="str">
        <f t="shared" ca="1" si="2"/>
        <v>(abra o arquivo 'Referência 03-Sunday.xlsm)</v>
      </c>
      <c r="F21" s="173" t="str">
        <f ca="1">IF(RegimeExecucao="Global","",ORÇAMENTO.Unidade)</f>
        <v>-</v>
      </c>
      <c r="G21" s="124">
        <f ca="1">IF(RegimeExecucao="Global","",ORÇAMENTO!T21)</f>
        <v>100</v>
      </c>
      <c r="H21" s="124">
        <f ca="1">IF(RegimeExecucao="Global","",ORÇAMENTO!W21)</f>
        <v>0</v>
      </c>
      <c r="I21" s="127">
        <f ca="1">ORÇAMENTO!X21</f>
        <v>0</v>
      </c>
      <c r="J21" s="376">
        <f ca="1">IF($A21="S",IF(CAIXA.Modo,BM.AFAnterior,BM.MEDAnterior),IF(AND(RegimeExecucao="Global",$I21&gt;0,COUNTIF($AB$13:$AM$13,BM.medicao-1)&gt;0),M21/$I21*100,0))</f>
        <v>0</v>
      </c>
      <c r="K21" s="124">
        <f t="shared" ca="1" si="3"/>
        <v>0</v>
      </c>
      <c r="L21" s="377">
        <f ca="1">IF($A21="S",IF(CAIXA.Modo,BM.AFAcumulado,BM.MEDAcumulado),IF(AND(RegimeExecucao="Global",$I21&gt;0,COUNTIF($AB$13:$AM$13,BM.medicao)&gt;0),O21/$I21*100,0))</f>
        <v>0</v>
      </c>
      <c r="M21" s="378">
        <f ca="1">IF($A21="S",VTOTALBM,IF($A21=0,0,ROUND(SomaAgrupBM,15-13*ORÇAMENTO!$AF$11)))</f>
        <v>0</v>
      </c>
      <c r="N21" s="379">
        <f t="shared" ca="1" si="4"/>
        <v>0</v>
      </c>
      <c r="O21" s="127">
        <f ca="1">IF($A21="S",VTOTALBM,IF($A21=0,0,ROUND(SomaAgrupBM,15-13*ORÇAMENTO!$AF$11)))</f>
        <v>0</v>
      </c>
      <c r="Q21" s="380"/>
      <c r="R21" s="381"/>
      <c r="T21" s="119" t="str">
        <f t="shared" ca="1" si="5"/>
        <v/>
      </c>
      <c r="U21" s="172" t="str">
        <f t="shared" ca="1" si="6"/>
        <v/>
      </c>
      <c r="V21" s="173" t="str">
        <f ca="1">IF(AND($W21&gt;0,RegimeExecucao="Unitário"),$F21,"")</f>
        <v/>
      </c>
      <c r="W21" s="525">
        <f ca="1">IF($Y21&gt;0,CHOOSE(MATCH(RegimeExecucao,{"Unitário","Global"},0),IF($A21="S",$Y21/$X21,""),($Y21/$X21)*100),0)</f>
        <v>0</v>
      </c>
      <c r="X21" s="382" t="str">
        <f ca="1">IF($Y21&gt;0,CHOOSE(MATCH(RegimeExecucao,{"Unitário","Global"},0),IF($A21="S",ROUND($H21,ORÇAMENTO!$AF$10),""),ROUND($I21,ORÇAMENTO!$AF$11)),"")</f>
        <v/>
      </c>
      <c r="Y21" s="382">
        <f t="shared" ca="1" si="7"/>
        <v>0</v>
      </c>
      <c r="Z21" s="549"/>
      <c r="AB21" s="380"/>
      <c r="AC21" s="503"/>
      <c r="AD21" s="503"/>
      <c r="AE21" s="503"/>
      <c r="AF21" s="503"/>
      <c r="AG21" s="503"/>
      <c r="AH21" s="503"/>
      <c r="AI21" s="503"/>
      <c r="AJ21" s="503"/>
      <c r="AK21" s="503"/>
      <c r="AL21" s="503"/>
      <c r="AM21" s="381"/>
      <c r="AO21">
        <f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6" t="str">
        <f t="shared" ca="1" si="1"/>
        <v/>
      </c>
      <c r="D22" s="119" t="str">
        <f ca="1">ORÇAMENTO!O22</f>
        <v>-</v>
      </c>
      <c r="E22" s="172" t="str">
        <f t="shared" ca="1" si="2"/>
        <v>(abra o arquivo 'Referência 03-Sunday.xlsm)</v>
      </c>
      <c r="F22" s="173" t="str">
        <f ca="1">IF(RegimeExecucao="Global","",ORÇAMENTO.Unidade)</f>
        <v>-</v>
      </c>
      <c r="G22" s="124">
        <f ca="1">IF(RegimeExecucao="Global","",ORÇAMENTO!T22)</f>
        <v>12</v>
      </c>
      <c r="H22" s="124">
        <f ca="1">IF(RegimeExecucao="Global","",ORÇAMENTO!W22)</f>
        <v>0</v>
      </c>
      <c r="I22" s="127">
        <f ca="1">ORÇAMENTO!X22</f>
        <v>0</v>
      </c>
      <c r="J22" s="376">
        <f ca="1">IF($A22="S",IF(CAIXA.Modo,BM.AFAnterior,BM.MEDAnterior),IF(AND(RegimeExecucao="Global",$I22&gt;0,COUNTIF($AB$13:$AM$13,BM.medicao-1)&gt;0),M22/$I22*100,0))</f>
        <v>0</v>
      </c>
      <c r="K22" s="124">
        <f t="shared" ca="1" si="3"/>
        <v>0</v>
      </c>
      <c r="L22" s="377">
        <f ca="1">IF($A22="S",IF(CAIXA.Modo,BM.AFAcumulado,BM.MEDAcumulado),IF(AND(RegimeExecucao="Global",$I22&gt;0,COUNTIF($AB$13:$AM$13,BM.medicao)&gt;0),O22/$I22*100,0))</f>
        <v>0</v>
      </c>
      <c r="M22" s="378">
        <f ca="1">IF($A22="S",VTOTALBM,IF($A22=0,0,ROUND(SomaAgrupBM,15-13*ORÇAMENTO!$AF$11)))</f>
        <v>0</v>
      </c>
      <c r="N22" s="379">
        <f t="shared" ca="1" si="4"/>
        <v>0</v>
      </c>
      <c r="O22" s="127">
        <f ca="1">IF($A22="S",VTOTALBM,IF($A22=0,0,ROUND(SomaAgrupBM,15-13*ORÇAMENTO!$AF$11)))</f>
        <v>0</v>
      </c>
      <c r="Q22" s="380"/>
      <c r="R22" s="381"/>
      <c r="T22" s="119" t="str">
        <f t="shared" ca="1" si="5"/>
        <v/>
      </c>
      <c r="U22" s="172" t="str">
        <f t="shared" ca="1" si="6"/>
        <v/>
      </c>
      <c r="V22" s="173" t="str">
        <f ca="1">IF(AND($W22&gt;0,RegimeExecucao="Unitário"),$F22,"")</f>
        <v/>
      </c>
      <c r="W22" s="525">
        <f ca="1">IF($Y22&gt;0,CHOOSE(MATCH(RegimeExecucao,{"Unitário","Global"},0),IF($A22="S",$Y22/$X22,""),($Y22/$X22)*100),0)</f>
        <v>0</v>
      </c>
      <c r="X22" s="382" t="str">
        <f ca="1">IF($Y22&gt;0,CHOOSE(MATCH(RegimeExecucao,{"Unitário","Global"},0),IF($A22="S",ROUND($H22,ORÇAMENTO!$AF$10),""),ROUND($I22,ORÇAMENTO!$AF$11)),"")</f>
        <v/>
      </c>
      <c r="Y22" s="382">
        <f t="shared" ca="1" si="7"/>
        <v>0</v>
      </c>
      <c r="Z22" s="549"/>
      <c r="AB22" s="380"/>
      <c r="AC22" s="503"/>
      <c r="AD22" s="503"/>
      <c r="AE22" s="503"/>
      <c r="AF22" s="503"/>
      <c r="AG22" s="503"/>
      <c r="AH22" s="503"/>
      <c r="AI22" s="503"/>
      <c r="AJ22" s="503"/>
      <c r="AK22" s="503"/>
      <c r="AL22" s="503"/>
      <c r="AM22" s="381"/>
      <c r="AO22">
        <f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6" t="str">
        <f t="shared" ca="1" si="1"/>
        <v/>
      </c>
      <c r="D23" s="119" t="str">
        <f ca="1">ORÇAMENTO!O23</f>
        <v>-</v>
      </c>
      <c r="E23" s="172" t="str">
        <f t="shared" ca="1" si="2"/>
        <v>(abra o arquivo 'Referência 03-Sunday.xlsm)</v>
      </c>
      <c r="F23" s="173" t="str">
        <f ca="1">IF(RegimeExecucao="Global","",ORÇAMENTO.Unidade)</f>
        <v>-</v>
      </c>
      <c r="G23" s="124">
        <f ca="1">IF(RegimeExecucao="Global","",ORÇAMENTO!T23)</f>
        <v>100</v>
      </c>
      <c r="H23" s="124">
        <f ca="1">IF(RegimeExecucao="Global","",ORÇAMENTO!W23)</f>
        <v>0</v>
      </c>
      <c r="I23" s="127">
        <f ca="1">ORÇAMENTO!X23</f>
        <v>0</v>
      </c>
      <c r="J23" s="376">
        <f ca="1">IF($A23="S",IF(CAIXA.Modo,BM.AFAnterior,BM.MEDAnterior),IF(AND(RegimeExecucao="Global",$I23&gt;0,COUNTIF($AB$13:$AM$13,BM.medicao-1)&gt;0),M23/$I23*100,0))</f>
        <v>0</v>
      </c>
      <c r="K23" s="124">
        <f t="shared" ca="1" si="3"/>
        <v>0</v>
      </c>
      <c r="L23" s="377">
        <f ca="1">IF($A23="S",IF(CAIXA.Modo,BM.AFAcumulado,BM.MEDAcumulado),IF(AND(RegimeExecucao="Global",$I23&gt;0,COUNTIF($AB$13:$AM$13,BM.medicao)&gt;0),O23/$I23*100,0))</f>
        <v>0</v>
      </c>
      <c r="M23" s="378">
        <f ca="1">IF($A23="S",VTOTALBM,IF($A23=0,0,ROUND(SomaAgrupBM,15-13*ORÇAMENTO!$AF$11)))</f>
        <v>0</v>
      </c>
      <c r="N23" s="379">
        <f t="shared" ca="1" si="4"/>
        <v>0</v>
      </c>
      <c r="O23" s="127">
        <f ca="1">IF($A23="S",VTOTALBM,IF($A23=0,0,ROUND(SomaAgrupBM,15-13*ORÇAMENTO!$AF$11)))</f>
        <v>0</v>
      </c>
      <c r="Q23" s="380"/>
      <c r="R23" s="381"/>
      <c r="T23" s="119" t="str">
        <f t="shared" ca="1" si="5"/>
        <v/>
      </c>
      <c r="U23" s="172" t="str">
        <f t="shared" ca="1" si="6"/>
        <v/>
      </c>
      <c r="V23" s="173" t="str">
        <f ca="1">IF(AND($W23&gt;0,RegimeExecucao="Unitário"),$F23,"")</f>
        <v/>
      </c>
      <c r="W23" s="525">
        <f ca="1">IF($Y23&gt;0,CHOOSE(MATCH(RegimeExecucao,{"Unitário","Global"},0),IF($A23="S",$Y23/$X23,""),($Y23/$X23)*100),0)</f>
        <v>0</v>
      </c>
      <c r="X23" s="382" t="str">
        <f ca="1">IF($Y23&gt;0,CHOOSE(MATCH(RegimeExecucao,{"Unitário","Global"},0),IF($A23="S",ROUND($H23,ORÇAMENTO!$AF$10),""),ROUND($I23,ORÇAMENTO!$AF$11)),"")</f>
        <v/>
      </c>
      <c r="Y23" s="382">
        <f t="shared" ca="1" si="7"/>
        <v>0</v>
      </c>
      <c r="Z23" s="549"/>
      <c r="AB23" s="380"/>
      <c r="AC23" s="503"/>
      <c r="AD23" s="503"/>
      <c r="AE23" s="503"/>
      <c r="AF23" s="503"/>
      <c r="AG23" s="503"/>
      <c r="AH23" s="503"/>
      <c r="AI23" s="503"/>
      <c r="AJ23" s="503"/>
      <c r="AK23" s="503"/>
      <c r="AL23" s="503"/>
      <c r="AM23" s="381"/>
      <c r="AO23">
        <f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6" t="str">
        <f t="shared" ca="1" si="1"/>
        <v/>
      </c>
      <c r="D24" s="119" t="str">
        <f ca="1">ORÇAMENTO!O24</f>
        <v>-</v>
      </c>
      <c r="E24" s="172" t="str">
        <f t="shared" ca="1" si="2"/>
        <v>(abra o arquivo 'Referência 03-Sunday.xlsm)</v>
      </c>
      <c r="F24" s="173" t="str">
        <f ca="1">IF(RegimeExecucao="Global","",ORÇAMENTO.Unidade)</f>
        <v>-</v>
      </c>
      <c r="G24" s="124">
        <f ca="1">IF(RegimeExecucao="Global","",ORÇAMENTO!T24)</f>
        <v>7000</v>
      </c>
      <c r="H24" s="124">
        <f ca="1">IF(RegimeExecucao="Global","",ORÇAMENTO!W24)</f>
        <v>0</v>
      </c>
      <c r="I24" s="127">
        <f ca="1">ORÇAMENTO!X24</f>
        <v>0</v>
      </c>
      <c r="J24" s="376">
        <f ca="1">IF($A24="S",IF(CAIXA.Modo,BM.AFAnterior,BM.MEDAnterior),IF(AND(RegimeExecucao="Global",$I24&gt;0,COUNTIF($AB$13:$AM$13,BM.medicao-1)&gt;0),M24/$I24*100,0))</f>
        <v>0</v>
      </c>
      <c r="K24" s="124">
        <f t="shared" ca="1" si="3"/>
        <v>0</v>
      </c>
      <c r="L24" s="377">
        <f ca="1">IF($A24="S",IF(CAIXA.Modo,BM.AFAcumulado,BM.MEDAcumulado),IF(AND(RegimeExecucao="Global",$I24&gt;0,COUNTIF($AB$13:$AM$13,BM.medicao)&gt;0),O24/$I24*100,0))</f>
        <v>0</v>
      </c>
      <c r="M24" s="378">
        <f ca="1">IF($A24="S",VTOTALBM,IF($A24=0,0,ROUND(SomaAgrupBM,15-13*ORÇAMENTO!$AF$11)))</f>
        <v>0</v>
      </c>
      <c r="N24" s="379">
        <f t="shared" ca="1" si="4"/>
        <v>0</v>
      </c>
      <c r="O24" s="127">
        <f ca="1">IF($A24="S",VTOTALBM,IF($A24=0,0,ROUND(SomaAgrupBM,15-13*ORÇAMENTO!$AF$11)))</f>
        <v>0</v>
      </c>
      <c r="Q24" s="380"/>
      <c r="R24" s="381"/>
      <c r="T24" s="119" t="str">
        <f t="shared" ca="1" si="5"/>
        <v/>
      </c>
      <c r="U24" s="172" t="str">
        <f t="shared" ca="1" si="6"/>
        <v/>
      </c>
      <c r="V24" s="173" t="str">
        <f ca="1">IF(AND($W24&gt;0,RegimeExecucao="Unitário"),$F24,"")</f>
        <v/>
      </c>
      <c r="W24" s="525">
        <f ca="1">IF($Y24&gt;0,CHOOSE(MATCH(RegimeExecucao,{"Unitário","Global"},0),IF($A24="S",$Y24/$X24,""),($Y24/$X24)*100),0)</f>
        <v>0</v>
      </c>
      <c r="X24" s="382" t="str">
        <f ca="1">IF($Y24&gt;0,CHOOSE(MATCH(RegimeExecucao,{"Unitário","Global"},0),IF($A24="S",ROUND($H24,ORÇAMENTO!$AF$10),""),ROUND($I24,ORÇAMENTO!$AF$11)),"")</f>
        <v/>
      </c>
      <c r="Y24" s="382">
        <f t="shared" ca="1" si="7"/>
        <v>0</v>
      </c>
      <c r="Z24" s="549"/>
      <c r="AB24" s="380"/>
      <c r="AC24" s="503"/>
      <c r="AD24" s="503"/>
      <c r="AE24" s="503"/>
      <c r="AF24" s="503"/>
      <c r="AG24" s="503"/>
      <c r="AH24" s="503"/>
      <c r="AI24" s="503"/>
      <c r="AJ24" s="503"/>
      <c r="AK24" s="503"/>
      <c r="AL24" s="503"/>
      <c r="AM24" s="381"/>
      <c r="AO24">
        <f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6" t="str">
        <f t="shared" ca="1" si="1"/>
        <v/>
      </c>
      <c r="D25" s="119" t="str">
        <f ca="1">ORÇAMENTO!O25</f>
        <v>-</v>
      </c>
      <c r="E25" s="172" t="str">
        <f t="shared" ca="1" si="2"/>
        <v>(abra o arquivo 'Referência 03-Sunday.xlsm)</v>
      </c>
      <c r="F25" s="173" t="str">
        <f ca="1">IF(RegimeExecucao="Global","",ORÇAMENTO.Unidade)</f>
        <v>-</v>
      </c>
      <c r="G25" s="124">
        <f ca="1">IF(RegimeExecucao="Global","",ORÇAMENTO!T25)</f>
        <v>1200</v>
      </c>
      <c r="H25" s="124">
        <f ca="1">IF(RegimeExecucao="Global","",ORÇAMENTO!W25)</f>
        <v>0</v>
      </c>
      <c r="I25" s="127">
        <f ca="1">ORÇAMENTO!X25</f>
        <v>0</v>
      </c>
      <c r="J25" s="376">
        <f ca="1">IF($A25="S",IF(CAIXA.Modo,BM.AFAnterior,BM.MEDAnterior),IF(AND(RegimeExecucao="Global",$I25&gt;0,COUNTIF($AB$13:$AM$13,BM.medicao-1)&gt;0),M25/$I25*100,0))</f>
        <v>0</v>
      </c>
      <c r="K25" s="124">
        <f t="shared" ca="1" si="3"/>
        <v>0</v>
      </c>
      <c r="L25" s="377">
        <f ca="1">IF($A25="S",IF(CAIXA.Modo,BM.AFAcumulado,BM.MEDAcumulado),IF(AND(RegimeExecucao="Global",$I25&gt;0,COUNTIF($AB$13:$AM$13,BM.medicao)&gt;0),O25/$I25*100,0))</f>
        <v>0</v>
      </c>
      <c r="M25" s="378">
        <f ca="1">IF($A25="S",VTOTALBM,IF($A25=0,0,ROUND(SomaAgrupBM,15-13*ORÇAMENTO!$AF$11)))</f>
        <v>0</v>
      </c>
      <c r="N25" s="379">
        <f t="shared" ca="1" si="4"/>
        <v>0</v>
      </c>
      <c r="O25" s="127">
        <f ca="1">IF($A25="S",VTOTALBM,IF($A25=0,0,ROUND(SomaAgrupBM,15-13*ORÇAMENTO!$AF$11)))</f>
        <v>0</v>
      </c>
      <c r="Q25" s="380"/>
      <c r="R25" s="381"/>
      <c r="T25" s="119" t="str">
        <f t="shared" ca="1" si="5"/>
        <v/>
      </c>
      <c r="U25" s="172" t="str">
        <f t="shared" ca="1" si="6"/>
        <v/>
      </c>
      <c r="V25" s="173" t="str">
        <f ca="1">IF(AND($W25&gt;0,RegimeExecucao="Unitário"),$F25,"")</f>
        <v/>
      </c>
      <c r="W25" s="525">
        <f ca="1">IF($Y25&gt;0,CHOOSE(MATCH(RegimeExecucao,{"Unitário","Global"},0),IF($A25="S",$Y25/$X25,""),($Y25/$X25)*100),0)</f>
        <v>0</v>
      </c>
      <c r="X25" s="382" t="str">
        <f ca="1">IF($Y25&gt;0,CHOOSE(MATCH(RegimeExecucao,{"Unitário","Global"},0),IF($A25="S",ROUND($H25,ORÇAMENTO!$AF$10),""),ROUND($I25,ORÇAMENTO!$AF$11)),"")</f>
        <v/>
      </c>
      <c r="Y25" s="382">
        <f t="shared" ca="1" si="7"/>
        <v>0</v>
      </c>
      <c r="Z25" s="549"/>
      <c r="AB25" s="380"/>
      <c r="AC25" s="503"/>
      <c r="AD25" s="503"/>
      <c r="AE25" s="503"/>
      <c r="AF25" s="503"/>
      <c r="AG25" s="503"/>
      <c r="AH25" s="503"/>
      <c r="AI25" s="503"/>
      <c r="AJ25" s="503"/>
      <c r="AK25" s="503"/>
      <c r="AL25" s="503"/>
      <c r="AM25" s="381"/>
      <c r="AO25">
        <f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6" t="str">
        <f t="shared" ca="1" si="1"/>
        <v/>
      </c>
      <c r="D26" s="119" t="str">
        <f ca="1">ORÇAMENTO!O26</f>
        <v>-</v>
      </c>
      <c r="E26" s="172" t="str">
        <f t="shared" ca="1" si="2"/>
        <v>(abra o arquivo 'Referência 03-Sunday.xlsm)</v>
      </c>
      <c r="F26" s="173" t="str">
        <f ca="1">IF(RegimeExecucao="Global","",ORÇAMENTO.Unidade)</f>
        <v>-</v>
      </c>
      <c r="G26" s="124">
        <f ca="1">IF(RegimeExecucao="Global","",ORÇAMENTO!T26)</f>
        <v>1200</v>
      </c>
      <c r="H26" s="124">
        <f ca="1">IF(RegimeExecucao="Global","",ORÇAMENTO!W26)</f>
        <v>0</v>
      </c>
      <c r="I26" s="127">
        <f ca="1">ORÇAMENTO!X26</f>
        <v>0</v>
      </c>
      <c r="J26" s="376">
        <f ca="1">IF($A26="S",IF(CAIXA.Modo,BM.AFAnterior,BM.MEDAnterior),IF(AND(RegimeExecucao="Global",$I26&gt;0,COUNTIF($AB$13:$AM$13,BM.medicao-1)&gt;0),M26/$I26*100,0))</f>
        <v>0</v>
      </c>
      <c r="K26" s="124">
        <f t="shared" ca="1" si="3"/>
        <v>0</v>
      </c>
      <c r="L26" s="377">
        <f ca="1">IF($A26="S",IF(CAIXA.Modo,BM.AFAcumulado,BM.MEDAcumulado),IF(AND(RegimeExecucao="Global",$I26&gt;0,COUNTIF($AB$13:$AM$13,BM.medicao)&gt;0),O26/$I26*100,0))</f>
        <v>0</v>
      </c>
      <c r="M26" s="378">
        <f ca="1">IF($A26="S",VTOTALBM,IF($A26=0,0,ROUND(SomaAgrupBM,15-13*ORÇAMENTO!$AF$11)))</f>
        <v>0</v>
      </c>
      <c r="N26" s="379">
        <f t="shared" ca="1" si="4"/>
        <v>0</v>
      </c>
      <c r="O26" s="127">
        <f ca="1">IF($A26="S",VTOTALBM,IF($A26=0,0,ROUND(SomaAgrupBM,15-13*ORÇAMENTO!$AF$11)))</f>
        <v>0</v>
      </c>
      <c r="Q26" s="380"/>
      <c r="R26" s="381"/>
      <c r="T26" s="119" t="str">
        <f t="shared" ca="1" si="5"/>
        <v/>
      </c>
      <c r="U26" s="172" t="str">
        <f t="shared" ca="1" si="6"/>
        <v/>
      </c>
      <c r="V26" s="173" t="str">
        <f ca="1">IF(AND($W26&gt;0,RegimeExecucao="Unitário"),$F26,"")</f>
        <v/>
      </c>
      <c r="W26" s="525">
        <f ca="1">IF($Y26&gt;0,CHOOSE(MATCH(RegimeExecucao,{"Unitário","Global"},0),IF($A26="S",$Y26/$X26,""),($Y26/$X26)*100),0)</f>
        <v>0</v>
      </c>
      <c r="X26" s="382" t="str">
        <f ca="1">IF($Y26&gt;0,CHOOSE(MATCH(RegimeExecucao,{"Unitário","Global"},0),IF($A26="S",ROUND($H26,ORÇAMENTO!$AF$10),""),ROUND($I26,ORÇAMENTO!$AF$11)),"")</f>
        <v/>
      </c>
      <c r="Y26" s="382">
        <f t="shared" ca="1" si="7"/>
        <v>0</v>
      </c>
      <c r="Z26" s="549"/>
      <c r="AB26" s="380"/>
      <c r="AC26" s="503"/>
      <c r="AD26" s="503"/>
      <c r="AE26" s="503"/>
      <c r="AF26" s="503"/>
      <c r="AG26" s="503"/>
      <c r="AH26" s="503"/>
      <c r="AI26" s="503"/>
      <c r="AJ26" s="503"/>
      <c r="AK26" s="503"/>
      <c r="AL26" s="503"/>
      <c r="AM26" s="381"/>
      <c r="AO26">
        <f ca="1">IF($A26="S",IF(BM!$I26=0,0,CHOOSE(MATCH(RegimeExecucao,{"Global","Unitário"},0),ROUND(ROUND(BM.MEDAcumulado,15-13*BM!$A$9)/100*BM!$I26,15-13*ORÇAMENTO!$AF$11),ROUND(ROUND(BM.MEDAcumulado,15-13*BM!$A$9)*ROUND(BM!$H26,15-13*ORÇAMENTO!$AF$10),15-13*ORÇAMENTO!$AF$11))),IF($A26=0,0,ROUND(SomaAgrupBM,15-13*ORÇAMENTO!$AF$11)))</f>
        <v>0</v>
      </c>
    </row>
    <row r="27" spans="1:41" ht="51" x14ac:dyDescent="0.2">
      <c r="A27" t="str">
        <f ca="1">ORÇAMENTO!C27</f>
        <v>S</v>
      </c>
      <c r="B27">
        <f ca="1">ORÇAMENTO!D27</f>
        <v>0</v>
      </c>
      <c r="C27" s="116" t="str">
        <f t="shared" ca="1" si="1"/>
        <v/>
      </c>
      <c r="D27" s="119" t="str">
        <f ca="1">ORÇAMENTO!O27</f>
        <v>-</v>
      </c>
      <c r="E27" s="172" t="str">
        <f t="shared" ca="1" si="2"/>
        <v>(abra o arquivo 'Referência 03-Sunday.xlsm)</v>
      </c>
      <c r="F27" s="173" t="str">
        <f ca="1">IF(RegimeExecucao="Global","",ORÇAMENTO.Unidade)</f>
        <v>-</v>
      </c>
      <c r="G27" s="124">
        <f ca="1">IF(RegimeExecucao="Global","",ORÇAMENTO!T27)</f>
        <v>880</v>
      </c>
      <c r="H27" s="124">
        <f ca="1">IF(RegimeExecucao="Global","",ORÇAMENTO!W27)</f>
        <v>0</v>
      </c>
      <c r="I27" s="127">
        <f ca="1">ORÇAMENTO!X27</f>
        <v>0</v>
      </c>
      <c r="J27" s="376">
        <f ca="1">IF($A27="S",IF(CAIXA.Modo,BM.AFAnterior,BM.MEDAnterior),IF(AND(RegimeExecucao="Global",$I27&gt;0,COUNTIF($AB$13:$AM$13,BM.medicao-1)&gt;0),M27/$I27*100,0))</f>
        <v>0</v>
      </c>
      <c r="K27" s="124">
        <f t="shared" ca="1" si="3"/>
        <v>0</v>
      </c>
      <c r="L27" s="377">
        <f ca="1">IF($A27="S",IF(CAIXA.Modo,BM.AFAcumulado,BM.MEDAcumulado),IF(AND(RegimeExecucao="Global",$I27&gt;0,COUNTIF($AB$13:$AM$13,BM.medicao)&gt;0),O27/$I27*100,0))</f>
        <v>0</v>
      </c>
      <c r="M27" s="378">
        <f ca="1">IF($A27="S",VTOTALBM,IF($A27=0,0,ROUND(SomaAgrupBM,15-13*ORÇAMENTO!$AF$11)))</f>
        <v>0</v>
      </c>
      <c r="N27" s="379">
        <f t="shared" ca="1" si="4"/>
        <v>0</v>
      </c>
      <c r="O27" s="127">
        <f ca="1">IF($A27="S",VTOTALBM,IF($A27=0,0,ROUND(SomaAgrupBM,15-13*ORÇAMENTO!$AF$11)))</f>
        <v>0</v>
      </c>
      <c r="Q27" s="380"/>
      <c r="R27" s="381"/>
      <c r="T27" s="119" t="str">
        <f t="shared" ca="1" si="5"/>
        <v/>
      </c>
      <c r="U27" s="172" t="str">
        <f t="shared" ca="1" si="6"/>
        <v/>
      </c>
      <c r="V27" s="173" t="str">
        <f ca="1">IF(AND($W27&gt;0,RegimeExecucao="Unitário"),$F27,"")</f>
        <v/>
      </c>
      <c r="W27" s="525">
        <f ca="1">IF($Y27&gt;0,CHOOSE(MATCH(RegimeExecucao,{"Unitário","Global"},0),IF($A27="S",$Y27/$X27,""),($Y27/$X27)*100),0)</f>
        <v>0</v>
      </c>
      <c r="X27" s="382" t="str">
        <f ca="1">IF($Y27&gt;0,CHOOSE(MATCH(RegimeExecucao,{"Unitário","Global"},0),IF($A27="S",ROUND($H27,ORÇAMENTO!$AF$10),""),ROUND($I27,ORÇAMENTO!$AF$11)),"")</f>
        <v/>
      </c>
      <c r="Y27" s="382">
        <f t="shared" ca="1" si="7"/>
        <v>0</v>
      </c>
      <c r="Z27" s="549"/>
      <c r="AB27" s="380"/>
      <c r="AC27" s="503"/>
      <c r="AD27" s="503"/>
      <c r="AE27" s="503"/>
      <c r="AF27" s="503"/>
      <c r="AG27" s="503"/>
      <c r="AH27" s="503"/>
      <c r="AI27" s="503"/>
      <c r="AJ27" s="503"/>
      <c r="AK27" s="503"/>
      <c r="AL27" s="503"/>
      <c r="AM27" s="381"/>
      <c r="AO27">
        <f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6" t="str">
        <f t="shared" ca="1" si="1"/>
        <v/>
      </c>
      <c r="D28" s="119" t="str">
        <f ca="1">ORÇAMENTO!O28</f>
        <v>-</v>
      </c>
      <c r="E28" s="172" t="str">
        <f t="shared" ca="1" si="2"/>
        <v>(abra o arquivo 'Referência 03-Sunday.xlsm)</v>
      </c>
      <c r="F28" s="173" t="str">
        <f ca="1">IF(RegimeExecucao="Global","",ORÇAMENTO.Unidade)</f>
        <v>-</v>
      </c>
      <c r="G28" s="124">
        <f ca="1">IF(RegimeExecucao="Global","",ORÇAMENTO!T28)</f>
        <v>600</v>
      </c>
      <c r="H28" s="124">
        <f ca="1">IF(RegimeExecucao="Global","",ORÇAMENTO!W28)</f>
        <v>0</v>
      </c>
      <c r="I28" s="127">
        <f ca="1">ORÇAMENTO!X28</f>
        <v>0</v>
      </c>
      <c r="J28" s="376">
        <f ca="1">IF($A28="S",IF(CAIXA.Modo,BM.AFAnterior,BM.MEDAnterior),IF(AND(RegimeExecucao="Global",$I28&gt;0,COUNTIF($AB$13:$AM$13,BM.medicao-1)&gt;0),M28/$I28*100,0))</f>
        <v>0</v>
      </c>
      <c r="K28" s="124">
        <f t="shared" ca="1" si="3"/>
        <v>0</v>
      </c>
      <c r="L28" s="377">
        <f ca="1">IF($A28="S",IF(CAIXA.Modo,BM.AFAcumulado,BM.MEDAcumulado),IF(AND(RegimeExecucao="Global",$I28&gt;0,COUNTIF($AB$13:$AM$13,BM.medicao)&gt;0),O28/$I28*100,0))</f>
        <v>0</v>
      </c>
      <c r="M28" s="378">
        <f ca="1">IF($A28="S",VTOTALBM,IF($A28=0,0,ROUND(SomaAgrupBM,15-13*ORÇAMENTO!$AF$11)))</f>
        <v>0</v>
      </c>
      <c r="N28" s="379">
        <f t="shared" ca="1" si="4"/>
        <v>0</v>
      </c>
      <c r="O28" s="127">
        <f ca="1">IF($A28="S",VTOTALBM,IF($A28=0,0,ROUND(SomaAgrupBM,15-13*ORÇAMENTO!$AF$11)))</f>
        <v>0</v>
      </c>
      <c r="Q28" s="380"/>
      <c r="R28" s="381"/>
      <c r="T28" s="119" t="str">
        <f t="shared" ca="1" si="5"/>
        <v/>
      </c>
      <c r="U28" s="172" t="str">
        <f t="shared" ca="1" si="6"/>
        <v/>
      </c>
      <c r="V28" s="173" t="str">
        <f ca="1">IF(AND($W28&gt;0,RegimeExecucao="Unitário"),$F28,"")</f>
        <v/>
      </c>
      <c r="W28" s="525">
        <f ca="1">IF($Y28&gt;0,CHOOSE(MATCH(RegimeExecucao,{"Unitário","Global"},0),IF($A28="S",$Y28/$X28,""),($Y28/$X28)*100),0)</f>
        <v>0</v>
      </c>
      <c r="X28" s="382" t="str">
        <f ca="1">IF($Y28&gt;0,CHOOSE(MATCH(RegimeExecucao,{"Unitário","Global"},0),IF($A28="S",ROUND($H28,ORÇAMENTO!$AF$10),""),ROUND($I28,ORÇAMENTO!$AF$11)),"")</f>
        <v/>
      </c>
      <c r="Y28" s="382">
        <f t="shared" ca="1" si="7"/>
        <v>0</v>
      </c>
      <c r="Z28" s="549"/>
      <c r="AB28" s="380"/>
      <c r="AC28" s="503"/>
      <c r="AD28" s="503"/>
      <c r="AE28" s="503"/>
      <c r="AF28" s="503"/>
      <c r="AG28" s="503"/>
      <c r="AH28" s="503"/>
      <c r="AI28" s="503"/>
      <c r="AJ28" s="503"/>
      <c r="AK28" s="503"/>
      <c r="AL28" s="503"/>
      <c r="AM28" s="381"/>
      <c r="AO28">
        <f ca="1">IF($A28="S",IF(BM!$I28=0,0,CHOOSE(MATCH(RegimeExecucao,{"Global","Unitário"},0),ROUND(ROUND(BM.MEDAcumulado,15-13*BM!$A$9)/100*BM!$I28,15-13*ORÇAMENTO!$AF$11),ROUND(ROUND(BM.MEDAcumulado,15-13*BM!$A$9)*ROUND(BM!$H28,15-13*ORÇAMENTO!$AF$10),15-13*ORÇAMENTO!$AF$11))),IF($A28=0,0,ROUND(SomaAgrupBM,15-13*ORÇAMENTO!$AF$11)))</f>
        <v>0</v>
      </c>
    </row>
    <row r="29" spans="1:41" ht="51" x14ac:dyDescent="0.2">
      <c r="A29" t="str">
        <f ca="1">ORÇAMENTO!C29</f>
        <v>S</v>
      </c>
      <c r="B29">
        <f ca="1">ORÇAMENTO!D29</f>
        <v>0</v>
      </c>
      <c r="C29" s="116" t="str">
        <f t="shared" ca="1" si="1"/>
        <v/>
      </c>
      <c r="D29" s="119" t="str">
        <f ca="1">ORÇAMENTO!O29</f>
        <v>-</v>
      </c>
      <c r="E29" s="172" t="str">
        <f t="shared" ca="1" si="2"/>
        <v>(abra o arquivo 'Referência 03-Sunday.xlsm)</v>
      </c>
      <c r="F29" s="173" t="str">
        <f ca="1">IF(RegimeExecucao="Global","",ORÇAMENTO.Unidade)</f>
        <v>-</v>
      </c>
      <c r="G29" s="124">
        <f ca="1">IF(RegimeExecucao="Global","",ORÇAMENTO!T29)</f>
        <v>300</v>
      </c>
      <c r="H29" s="124">
        <f ca="1">IF(RegimeExecucao="Global","",ORÇAMENTO!W29)</f>
        <v>0</v>
      </c>
      <c r="I29" s="127">
        <f ca="1">ORÇAMENTO!X29</f>
        <v>0</v>
      </c>
      <c r="J29" s="376">
        <f ca="1">IF($A29="S",IF(CAIXA.Modo,BM.AFAnterior,BM.MEDAnterior),IF(AND(RegimeExecucao="Global",$I29&gt;0,COUNTIF($AB$13:$AM$13,BM.medicao-1)&gt;0),M29/$I29*100,0))</f>
        <v>0</v>
      </c>
      <c r="K29" s="124">
        <f t="shared" ca="1" si="3"/>
        <v>0</v>
      </c>
      <c r="L29" s="377">
        <f ca="1">IF($A29="S",IF(CAIXA.Modo,BM.AFAcumulado,BM.MEDAcumulado),IF(AND(RegimeExecucao="Global",$I29&gt;0,COUNTIF($AB$13:$AM$13,BM.medicao)&gt;0),O29/$I29*100,0))</f>
        <v>0</v>
      </c>
      <c r="M29" s="378">
        <f ca="1">IF($A29="S",VTOTALBM,IF($A29=0,0,ROUND(SomaAgrupBM,15-13*ORÇAMENTO!$AF$11)))</f>
        <v>0</v>
      </c>
      <c r="N29" s="379">
        <f t="shared" ca="1" si="4"/>
        <v>0</v>
      </c>
      <c r="O29" s="127">
        <f ca="1">IF($A29="S",VTOTALBM,IF($A29=0,0,ROUND(SomaAgrupBM,15-13*ORÇAMENTO!$AF$11)))</f>
        <v>0</v>
      </c>
      <c r="Q29" s="380"/>
      <c r="R29" s="381"/>
      <c r="T29" s="119" t="str">
        <f t="shared" ca="1" si="5"/>
        <v/>
      </c>
      <c r="U29" s="172" t="str">
        <f t="shared" ca="1" si="6"/>
        <v/>
      </c>
      <c r="V29" s="173" t="str">
        <f ca="1">IF(AND($W29&gt;0,RegimeExecucao="Unitário"),$F29,"")</f>
        <v/>
      </c>
      <c r="W29" s="525">
        <f ca="1">IF($Y29&gt;0,CHOOSE(MATCH(RegimeExecucao,{"Unitário","Global"},0),IF($A29="S",$Y29/$X29,""),($Y29/$X29)*100),0)</f>
        <v>0</v>
      </c>
      <c r="X29" s="382" t="str">
        <f ca="1">IF($Y29&gt;0,CHOOSE(MATCH(RegimeExecucao,{"Unitário","Global"},0),IF($A29="S",ROUND($H29,ORÇAMENTO!$AF$10),""),ROUND($I29,ORÇAMENTO!$AF$11)),"")</f>
        <v/>
      </c>
      <c r="Y29" s="382">
        <f t="shared" ca="1" si="7"/>
        <v>0</v>
      </c>
      <c r="Z29" s="549"/>
      <c r="AB29" s="380"/>
      <c r="AC29" s="503"/>
      <c r="AD29" s="503"/>
      <c r="AE29" s="503"/>
      <c r="AF29" s="503"/>
      <c r="AG29" s="503"/>
      <c r="AH29" s="503"/>
      <c r="AI29" s="503"/>
      <c r="AJ29" s="503"/>
      <c r="AK29" s="503"/>
      <c r="AL29" s="503"/>
      <c r="AM29" s="381"/>
      <c r="AO29">
        <f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116" t="str">
        <f t="shared" ca="1" si="1"/>
        <v/>
      </c>
      <c r="D30" s="119" t="str">
        <f ca="1">ORÇAMENTO!O30</f>
        <v>-</v>
      </c>
      <c r="E30" s="172" t="str">
        <f t="shared" ca="1" si="2"/>
        <v>(abra o arquivo 'Referência 03-Sunday.xlsm)</v>
      </c>
      <c r="F30" s="173" t="str">
        <f ca="1">IF(RegimeExecucao="Global","",ORÇAMENTO.Unidade)</f>
        <v>-</v>
      </c>
      <c r="G30" s="124">
        <f ca="1">IF(RegimeExecucao="Global","",ORÇAMENTO!T30)</f>
        <v>600</v>
      </c>
      <c r="H30" s="124">
        <f ca="1">IF(RegimeExecucao="Global","",ORÇAMENTO!W30)</f>
        <v>0</v>
      </c>
      <c r="I30" s="127">
        <f ca="1">ORÇAMENTO!X30</f>
        <v>0</v>
      </c>
      <c r="J30" s="376">
        <f ca="1">IF($A30="S",IF(CAIXA.Modo,BM.AFAnterior,BM.MEDAnterior),IF(AND(RegimeExecucao="Global",$I30&gt;0,COUNTIF($AB$13:$AM$13,BM.medicao-1)&gt;0),M30/$I30*100,0))</f>
        <v>0</v>
      </c>
      <c r="K30" s="124">
        <f t="shared" ca="1" si="3"/>
        <v>0</v>
      </c>
      <c r="L30" s="377">
        <f ca="1">IF($A30="S",IF(CAIXA.Modo,BM.AFAcumulado,BM.MEDAcumulado),IF(AND(RegimeExecucao="Global",$I30&gt;0,COUNTIF($AB$13:$AM$13,BM.medicao)&gt;0),O30/$I30*100,0))</f>
        <v>0</v>
      </c>
      <c r="M30" s="378">
        <f ca="1">IF($A30="S",VTOTALBM,IF($A30=0,0,ROUND(SomaAgrupBM,15-13*ORÇAMENTO!$AF$11)))</f>
        <v>0</v>
      </c>
      <c r="N30" s="379">
        <f t="shared" ca="1" si="4"/>
        <v>0</v>
      </c>
      <c r="O30" s="127">
        <f ca="1">IF($A30="S",VTOTALBM,IF($A30=0,0,ROUND(SomaAgrupBM,15-13*ORÇAMENTO!$AF$11)))</f>
        <v>0</v>
      </c>
      <c r="Q30" s="380"/>
      <c r="R30" s="381"/>
      <c r="T30" s="119" t="str">
        <f t="shared" ca="1" si="5"/>
        <v/>
      </c>
      <c r="U30" s="172" t="str">
        <f t="shared" ca="1" si="6"/>
        <v/>
      </c>
      <c r="V30" s="173" t="str">
        <f ca="1">IF(AND($W30&gt;0,RegimeExecucao="Unitário"),$F30,"")</f>
        <v/>
      </c>
      <c r="W30" s="525">
        <f ca="1">IF($Y30&gt;0,CHOOSE(MATCH(RegimeExecucao,{"Unitário","Global"},0),IF($A30="S",$Y30/$X30,""),($Y30/$X30)*100),0)</f>
        <v>0</v>
      </c>
      <c r="X30" s="382" t="str">
        <f ca="1">IF($Y30&gt;0,CHOOSE(MATCH(RegimeExecucao,{"Unitário","Global"},0),IF($A30="S",ROUND($H30,ORÇAMENTO!$AF$10),""),ROUND($I30,ORÇAMENTO!$AF$11)),"")</f>
        <v/>
      </c>
      <c r="Y30" s="382">
        <f t="shared" ca="1" si="7"/>
        <v>0</v>
      </c>
      <c r="Z30" s="549"/>
      <c r="AB30" s="380"/>
      <c r="AC30" s="503"/>
      <c r="AD30" s="503"/>
      <c r="AE30" s="503"/>
      <c r="AF30" s="503"/>
      <c r="AG30" s="503"/>
      <c r="AH30" s="503"/>
      <c r="AI30" s="503"/>
      <c r="AJ30" s="503"/>
      <c r="AK30" s="503"/>
      <c r="AL30" s="503"/>
      <c r="AM30" s="381"/>
      <c r="AO30">
        <f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6" t="str">
        <f t="shared" ca="1" si="1"/>
        <v/>
      </c>
      <c r="D31" s="119" t="str">
        <f ca="1">ORÇAMENTO!O31</f>
        <v>-</v>
      </c>
      <c r="E31" s="172" t="str">
        <f t="shared" ca="1" si="2"/>
        <v>(abra o arquivo 'Referência 03-Sunday.xlsm)</v>
      </c>
      <c r="F31" s="173" t="str">
        <f ca="1">IF(RegimeExecucao="Global","",ORÇAMENTO.Unidade)</f>
        <v>-</v>
      </c>
      <c r="G31" s="124">
        <f ca="1">IF(RegimeExecucao="Global","",ORÇAMENTO!T31)</f>
        <v>8</v>
      </c>
      <c r="H31" s="124">
        <f ca="1">IF(RegimeExecucao="Global","",ORÇAMENTO!W31)</f>
        <v>0</v>
      </c>
      <c r="I31" s="127">
        <f ca="1">ORÇAMENTO!X31</f>
        <v>0</v>
      </c>
      <c r="J31" s="376">
        <f ca="1">IF($A31="S",IF(CAIXA.Modo,BM.AFAnterior,BM.MEDAnterior),IF(AND(RegimeExecucao="Global",$I31&gt;0,COUNTIF($AB$13:$AM$13,BM.medicao-1)&gt;0),M31/$I31*100,0))</f>
        <v>0</v>
      </c>
      <c r="K31" s="124">
        <f t="shared" ca="1" si="3"/>
        <v>0</v>
      </c>
      <c r="L31" s="377">
        <f ca="1">IF($A31="S",IF(CAIXA.Modo,BM.AFAcumulado,BM.MEDAcumulado),IF(AND(RegimeExecucao="Global",$I31&gt;0,COUNTIF($AB$13:$AM$13,BM.medicao)&gt;0),O31/$I31*100,0))</f>
        <v>0</v>
      </c>
      <c r="M31" s="378">
        <f ca="1">IF($A31="S",VTOTALBM,IF($A31=0,0,ROUND(SomaAgrupBM,15-13*ORÇAMENTO!$AF$11)))</f>
        <v>0</v>
      </c>
      <c r="N31" s="379">
        <f t="shared" ca="1" si="4"/>
        <v>0</v>
      </c>
      <c r="O31" s="127">
        <f ca="1">IF($A31="S",VTOTALBM,IF($A31=0,0,ROUND(SomaAgrupBM,15-13*ORÇAMENTO!$AF$11)))</f>
        <v>0</v>
      </c>
      <c r="Q31" s="380"/>
      <c r="R31" s="381"/>
      <c r="T31" s="119" t="str">
        <f t="shared" ca="1" si="5"/>
        <v/>
      </c>
      <c r="U31" s="172" t="str">
        <f t="shared" ca="1" si="6"/>
        <v/>
      </c>
      <c r="V31" s="173" t="str">
        <f ca="1">IF(AND($W31&gt;0,RegimeExecucao="Unitário"),$F31,"")</f>
        <v/>
      </c>
      <c r="W31" s="525">
        <f ca="1">IF($Y31&gt;0,CHOOSE(MATCH(RegimeExecucao,{"Unitário","Global"},0),IF($A31="S",$Y31/$X31,""),($Y31/$X31)*100),0)</f>
        <v>0</v>
      </c>
      <c r="X31" s="382" t="str">
        <f ca="1">IF($Y31&gt;0,CHOOSE(MATCH(RegimeExecucao,{"Unitário","Global"},0),IF($A31="S",ROUND($H31,ORÇAMENTO!$AF$10),""),ROUND($I31,ORÇAMENTO!$AF$11)),"")</f>
        <v/>
      </c>
      <c r="Y31" s="382">
        <f t="shared" ca="1" si="7"/>
        <v>0</v>
      </c>
      <c r="Z31" s="549"/>
      <c r="AB31" s="380"/>
      <c r="AC31" s="503"/>
      <c r="AD31" s="503"/>
      <c r="AE31" s="503"/>
      <c r="AF31" s="503"/>
      <c r="AG31" s="503"/>
      <c r="AH31" s="503"/>
      <c r="AI31" s="503"/>
      <c r="AJ31" s="503"/>
      <c r="AK31" s="503"/>
      <c r="AL31" s="503"/>
      <c r="AM31" s="381"/>
      <c r="AO31">
        <f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6" t="str">
        <f t="shared" ca="1" si="1"/>
        <v/>
      </c>
      <c r="D32" s="119" t="str">
        <f ca="1">ORÇAMENTO!O32</f>
        <v>-</v>
      </c>
      <c r="E32" s="172" t="str">
        <f t="shared" ca="1" si="2"/>
        <v>(abra o arquivo 'Referência 03-Sunday.xlsm)</v>
      </c>
      <c r="F32" s="173" t="str">
        <f ca="1">IF(RegimeExecucao="Global","",ORÇAMENTO.Unidade)</f>
        <v>-</v>
      </c>
      <c r="G32" s="124">
        <f ca="1">IF(RegimeExecucao="Global","",ORÇAMENTO!T32)</f>
        <v>8</v>
      </c>
      <c r="H32" s="124">
        <f ca="1">IF(RegimeExecucao="Global","",ORÇAMENTO!W32)</f>
        <v>0</v>
      </c>
      <c r="I32" s="127">
        <f ca="1">ORÇAMENTO!X32</f>
        <v>0</v>
      </c>
      <c r="J32" s="376">
        <f ca="1">IF($A32="S",IF(CAIXA.Modo,BM.AFAnterior,BM.MEDAnterior),IF(AND(RegimeExecucao="Global",$I32&gt;0,COUNTIF($AB$13:$AM$13,BM.medicao-1)&gt;0),M32/$I32*100,0))</f>
        <v>0</v>
      </c>
      <c r="K32" s="124">
        <f t="shared" ca="1" si="3"/>
        <v>0</v>
      </c>
      <c r="L32" s="377">
        <f ca="1">IF($A32="S",IF(CAIXA.Modo,BM.AFAcumulado,BM.MEDAcumulado),IF(AND(RegimeExecucao="Global",$I32&gt;0,COUNTIF($AB$13:$AM$13,BM.medicao)&gt;0),O32/$I32*100,0))</f>
        <v>0</v>
      </c>
      <c r="M32" s="378">
        <f ca="1">IF($A32="S",VTOTALBM,IF($A32=0,0,ROUND(SomaAgrupBM,15-13*ORÇAMENTO!$AF$11)))</f>
        <v>0</v>
      </c>
      <c r="N32" s="379">
        <f t="shared" ca="1" si="4"/>
        <v>0</v>
      </c>
      <c r="O32" s="127">
        <f ca="1">IF($A32="S",VTOTALBM,IF($A32=0,0,ROUND(SomaAgrupBM,15-13*ORÇAMENTO!$AF$11)))</f>
        <v>0</v>
      </c>
      <c r="Q32" s="380"/>
      <c r="R32" s="381"/>
      <c r="T32" s="119" t="str">
        <f t="shared" ca="1" si="5"/>
        <v/>
      </c>
      <c r="U32" s="172" t="str">
        <f t="shared" ca="1" si="6"/>
        <v/>
      </c>
      <c r="V32" s="173" t="str">
        <f ca="1">IF(AND($W32&gt;0,RegimeExecucao="Unitário"),$F32,"")</f>
        <v/>
      </c>
      <c r="W32" s="525">
        <f ca="1">IF($Y32&gt;0,CHOOSE(MATCH(RegimeExecucao,{"Unitário","Global"},0),IF($A32="S",$Y32/$X32,""),($Y32/$X32)*100),0)</f>
        <v>0</v>
      </c>
      <c r="X32" s="382" t="str">
        <f ca="1">IF($Y32&gt;0,CHOOSE(MATCH(RegimeExecucao,{"Unitário","Global"},0),IF($A32="S",ROUND($H32,ORÇAMENTO!$AF$10),""),ROUND($I32,ORÇAMENTO!$AF$11)),"")</f>
        <v/>
      </c>
      <c r="Y32" s="382">
        <f t="shared" ca="1" si="7"/>
        <v>0</v>
      </c>
      <c r="Z32" s="549"/>
      <c r="AB32" s="380"/>
      <c r="AC32" s="503"/>
      <c r="AD32" s="503"/>
      <c r="AE32" s="503"/>
      <c r="AF32" s="503"/>
      <c r="AG32" s="503"/>
      <c r="AH32" s="503"/>
      <c r="AI32" s="503"/>
      <c r="AJ32" s="503"/>
      <c r="AK32" s="503"/>
      <c r="AL32" s="503"/>
      <c r="AM32" s="381"/>
      <c r="AO32">
        <f ca="1">IF($A32="S",IF(BM!$I32=0,0,CHOOSE(MATCH(RegimeExecucao,{"Global","Unitário"},0),ROUND(ROUND(BM.MEDAcumulado,15-13*BM!$A$9)/100*BM!$I32,15-13*ORÇAMENTO!$AF$11),ROUND(ROUND(BM.MEDAcumulado,15-13*BM!$A$9)*ROUND(BM!$H32,15-13*ORÇAMENTO!$AF$10),15-13*ORÇAMENTO!$AF$11))),IF($A32=0,0,ROUND(SomaAgrupBM,15-13*ORÇAMENTO!$AF$11)))</f>
        <v>0</v>
      </c>
    </row>
    <row r="33" spans="1:41" ht="38.25" x14ac:dyDescent="0.2">
      <c r="A33" t="str">
        <f ca="1">ORÇAMENTO!C33</f>
        <v>S</v>
      </c>
      <c r="B33">
        <f ca="1">ORÇAMENTO!D33</f>
        <v>0</v>
      </c>
      <c r="C33" s="116" t="str">
        <f t="shared" ca="1" si="1"/>
        <v/>
      </c>
      <c r="D33" s="119" t="str">
        <f ca="1">ORÇAMENTO!O33</f>
        <v>-</v>
      </c>
      <c r="E33" s="172" t="str">
        <f t="shared" ca="1" si="2"/>
        <v>(abra o arquivo 'Referência 03-Sunday.xlsm)</v>
      </c>
      <c r="F33" s="173" t="str">
        <f ca="1">IF(RegimeExecucao="Global","",ORÇAMENTO.Unidade)</f>
        <v>-</v>
      </c>
      <c r="G33" s="124">
        <f ca="1">IF(RegimeExecucao="Global","",ORÇAMENTO!T33)</f>
        <v>800</v>
      </c>
      <c r="H33" s="124">
        <f ca="1">IF(RegimeExecucao="Global","",ORÇAMENTO!W33)</f>
        <v>0</v>
      </c>
      <c r="I33" s="127">
        <f ca="1">ORÇAMENTO!X33</f>
        <v>0</v>
      </c>
      <c r="J33" s="376">
        <f ca="1">IF($A33="S",IF(CAIXA.Modo,BM.AFAnterior,BM.MEDAnterior),IF(AND(RegimeExecucao="Global",$I33&gt;0,COUNTIF($AB$13:$AM$13,BM.medicao-1)&gt;0),M33/$I33*100,0))</f>
        <v>0</v>
      </c>
      <c r="K33" s="124">
        <f t="shared" ca="1" si="3"/>
        <v>0</v>
      </c>
      <c r="L33" s="377">
        <f ca="1">IF($A33="S",IF(CAIXA.Modo,BM.AFAcumulado,BM.MEDAcumulado),IF(AND(RegimeExecucao="Global",$I33&gt;0,COUNTIF($AB$13:$AM$13,BM.medicao)&gt;0),O33/$I33*100,0))</f>
        <v>0</v>
      </c>
      <c r="M33" s="378">
        <f ca="1">IF($A33="S",VTOTALBM,IF($A33=0,0,ROUND(SomaAgrupBM,15-13*ORÇAMENTO!$AF$11)))</f>
        <v>0</v>
      </c>
      <c r="N33" s="379">
        <f t="shared" ca="1" si="4"/>
        <v>0</v>
      </c>
      <c r="O33" s="127">
        <f ca="1">IF($A33="S",VTOTALBM,IF($A33=0,0,ROUND(SomaAgrupBM,15-13*ORÇAMENTO!$AF$11)))</f>
        <v>0</v>
      </c>
      <c r="Q33" s="380"/>
      <c r="R33" s="381"/>
      <c r="T33" s="119" t="str">
        <f t="shared" ca="1" si="5"/>
        <v/>
      </c>
      <c r="U33" s="172" t="str">
        <f t="shared" ca="1" si="6"/>
        <v/>
      </c>
      <c r="V33" s="173" t="str">
        <f ca="1">IF(AND($W33&gt;0,RegimeExecucao="Unitário"),$F33,"")</f>
        <v/>
      </c>
      <c r="W33" s="525">
        <f ca="1">IF($Y33&gt;0,CHOOSE(MATCH(RegimeExecucao,{"Unitário","Global"},0),IF($A33="S",$Y33/$X33,""),($Y33/$X33)*100),0)</f>
        <v>0</v>
      </c>
      <c r="X33" s="382" t="str">
        <f ca="1">IF($Y33&gt;0,CHOOSE(MATCH(RegimeExecucao,{"Unitário","Global"},0),IF($A33="S",ROUND($H33,ORÇAMENTO!$AF$10),""),ROUND($I33,ORÇAMENTO!$AF$11)),"")</f>
        <v/>
      </c>
      <c r="Y33" s="382">
        <f t="shared" ca="1" si="7"/>
        <v>0</v>
      </c>
      <c r="Z33" s="549"/>
      <c r="AB33" s="380"/>
      <c r="AC33" s="503"/>
      <c r="AD33" s="503"/>
      <c r="AE33" s="503"/>
      <c r="AF33" s="503"/>
      <c r="AG33" s="503"/>
      <c r="AH33" s="503"/>
      <c r="AI33" s="503"/>
      <c r="AJ33" s="503"/>
      <c r="AK33" s="503"/>
      <c r="AL33" s="503"/>
      <c r="AM33" s="381"/>
      <c r="AO33">
        <f ca="1">IF($A33="S",IF(BM!$I33=0,0,CHOOSE(MATCH(RegimeExecucao,{"Global","Unitário"},0),ROUND(ROUND(BM.MEDAcumulado,15-13*BM!$A$9)/100*BM!$I33,15-13*ORÇAMENTO!$AF$11),ROUND(ROUND(BM.MEDAcumulado,15-13*BM!$A$9)*ROUND(BM!$H33,15-13*ORÇAMENTO!$AF$10),15-13*ORÇAMENTO!$AF$11))),IF($A33=0,0,ROUND(SomaAgrupBM,15-13*ORÇAMENTO!$AF$11)))</f>
        <v>0</v>
      </c>
    </row>
    <row r="34" spans="1:41" ht="51" x14ac:dyDescent="0.2">
      <c r="A34" t="str">
        <f ca="1">ORÇAMENTO!C34</f>
        <v>S</v>
      </c>
      <c r="B34">
        <f ca="1">ORÇAMENTO!D34</f>
        <v>0</v>
      </c>
      <c r="C34" s="116" t="str">
        <f t="shared" ca="1" si="1"/>
        <v/>
      </c>
      <c r="D34" s="119" t="str">
        <f ca="1">ORÇAMENTO!O34</f>
        <v>-</v>
      </c>
      <c r="E34" s="172" t="str">
        <f t="shared" ca="1" si="2"/>
        <v>(abra o arquivo 'Referência 03-Sunday.xlsm)</v>
      </c>
      <c r="F34" s="173" t="str">
        <f ca="1">IF(RegimeExecucao="Global","",ORÇAMENTO.Unidade)</f>
        <v>-</v>
      </c>
      <c r="G34" s="124">
        <f ca="1">IF(RegimeExecucao="Global","",ORÇAMENTO!T34)</f>
        <v>3000</v>
      </c>
      <c r="H34" s="124">
        <f ca="1">IF(RegimeExecucao="Global","",ORÇAMENTO!W34)</f>
        <v>0</v>
      </c>
      <c r="I34" s="127">
        <f ca="1">ORÇAMENTO!X34</f>
        <v>0</v>
      </c>
      <c r="J34" s="376">
        <f ca="1">IF($A34="S",IF(CAIXA.Modo,BM.AFAnterior,BM.MEDAnterior),IF(AND(RegimeExecucao="Global",$I34&gt;0,COUNTIF($AB$13:$AM$13,BM.medicao-1)&gt;0),M34/$I34*100,0))</f>
        <v>0</v>
      </c>
      <c r="K34" s="124">
        <f t="shared" ca="1" si="3"/>
        <v>0</v>
      </c>
      <c r="L34" s="377">
        <f ca="1">IF($A34="S",IF(CAIXA.Modo,BM.AFAcumulado,BM.MEDAcumulado),IF(AND(RegimeExecucao="Global",$I34&gt;0,COUNTIF($AB$13:$AM$13,BM.medicao)&gt;0),O34/$I34*100,0))</f>
        <v>0</v>
      </c>
      <c r="M34" s="378">
        <f ca="1">IF($A34="S",VTOTALBM,IF($A34=0,0,ROUND(SomaAgrupBM,15-13*ORÇAMENTO!$AF$11)))</f>
        <v>0</v>
      </c>
      <c r="N34" s="379">
        <f t="shared" ca="1" si="4"/>
        <v>0</v>
      </c>
      <c r="O34" s="127">
        <f ca="1">IF($A34="S",VTOTALBM,IF($A34=0,0,ROUND(SomaAgrupBM,15-13*ORÇAMENTO!$AF$11)))</f>
        <v>0</v>
      </c>
      <c r="Q34" s="380"/>
      <c r="R34" s="381"/>
      <c r="T34" s="119" t="str">
        <f t="shared" ca="1" si="5"/>
        <v/>
      </c>
      <c r="U34" s="172" t="str">
        <f t="shared" ca="1" si="6"/>
        <v/>
      </c>
      <c r="V34" s="173" t="str">
        <f ca="1">IF(AND($W34&gt;0,RegimeExecucao="Unitário"),$F34,"")</f>
        <v/>
      </c>
      <c r="W34" s="525">
        <f ca="1">IF($Y34&gt;0,CHOOSE(MATCH(RegimeExecucao,{"Unitário","Global"},0),IF($A34="S",$Y34/$X34,""),($Y34/$X34)*100),0)</f>
        <v>0</v>
      </c>
      <c r="X34" s="382" t="str">
        <f ca="1">IF($Y34&gt;0,CHOOSE(MATCH(RegimeExecucao,{"Unitário","Global"},0),IF($A34="S",ROUND($H34,ORÇAMENTO!$AF$10),""),ROUND($I34,ORÇAMENTO!$AF$11)),"")</f>
        <v/>
      </c>
      <c r="Y34" s="382">
        <f t="shared" ca="1" si="7"/>
        <v>0</v>
      </c>
      <c r="Z34" s="549"/>
      <c r="AB34" s="380"/>
      <c r="AC34" s="503"/>
      <c r="AD34" s="503"/>
      <c r="AE34" s="503"/>
      <c r="AF34" s="503"/>
      <c r="AG34" s="503"/>
      <c r="AH34" s="503"/>
      <c r="AI34" s="503"/>
      <c r="AJ34" s="503"/>
      <c r="AK34" s="503"/>
      <c r="AL34" s="503"/>
      <c r="AM34" s="381"/>
      <c r="AO34">
        <f ca="1">IF($A34="S",IF(BM!$I34=0,0,CHOOSE(MATCH(RegimeExecucao,{"Global","Unitário"},0),ROUND(ROUND(BM.MEDAcumulado,15-13*BM!$A$9)/100*BM!$I34,15-13*ORÇAMENTO!$AF$11),ROUND(ROUND(BM.MEDAcumulado,15-13*BM!$A$9)*ROUND(BM!$H34,15-13*ORÇAMENTO!$AF$10),15-13*ORÇAMENTO!$AF$11))),IF($A34=0,0,ROUND(SomaAgrupBM,15-13*ORÇAMENTO!$AF$11)))</f>
        <v>0</v>
      </c>
    </row>
    <row r="35" spans="1:41" ht="51" x14ac:dyDescent="0.2">
      <c r="A35" t="str">
        <f ca="1">ORÇAMENTO!C35</f>
        <v>S</v>
      </c>
      <c r="B35">
        <f ca="1">ORÇAMENTO!D35</f>
        <v>0</v>
      </c>
      <c r="C35" s="116" t="str">
        <f t="shared" ca="1" si="1"/>
        <v/>
      </c>
      <c r="D35" s="119" t="str">
        <f ca="1">ORÇAMENTO!O35</f>
        <v>-</v>
      </c>
      <c r="E35" s="172" t="str">
        <f t="shared" ca="1" si="2"/>
        <v>(abra o arquivo 'Referência 03-Sunday.xlsm)</v>
      </c>
      <c r="F35" s="173" t="str">
        <f ca="1">IF(RegimeExecucao="Global","",ORÇAMENTO.Unidade)</f>
        <v>-</v>
      </c>
      <c r="G35" s="124">
        <f ca="1">IF(RegimeExecucao="Global","",ORÇAMENTO!T35)</f>
        <v>880</v>
      </c>
      <c r="H35" s="124">
        <f ca="1">IF(RegimeExecucao="Global","",ORÇAMENTO!W35)</f>
        <v>0</v>
      </c>
      <c r="I35" s="127">
        <f ca="1">ORÇAMENTO!X35</f>
        <v>0</v>
      </c>
      <c r="J35" s="376">
        <f ca="1">IF($A35="S",IF(CAIXA.Modo,BM.AFAnterior,BM.MEDAnterior),IF(AND(RegimeExecucao="Global",$I35&gt;0,COUNTIF($AB$13:$AM$13,BM.medicao-1)&gt;0),M35/$I35*100,0))</f>
        <v>0</v>
      </c>
      <c r="K35" s="124">
        <f t="shared" ca="1" si="3"/>
        <v>0</v>
      </c>
      <c r="L35" s="377">
        <f ca="1">IF($A35="S",IF(CAIXA.Modo,BM.AFAcumulado,BM.MEDAcumulado),IF(AND(RegimeExecucao="Global",$I35&gt;0,COUNTIF($AB$13:$AM$13,BM.medicao)&gt;0),O35/$I35*100,0))</f>
        <v>0</v>
      </c>
      <c r="M35" s="378">
        <f ca="1">IF($A35="S",VTOTALBM,IF($A35=0,0,ROUND(SomaAgrupBM,15-13*ORÇAMENTO!$AF$11)))</f>
        <v>0</v>
      </c>
      <c r="N35" s="379">
        <f t="shared" ca="1" si="4"/>
        <v>0</v>
      </c>
      <c r="O35" s="127">
        <f ca="1">IF($A35="S",VTOTALBM,IF($A35=0,0,ROUND(SomaAgrupBM,15-13*ORÇAMENTO!$AF$11)))</f>
        <v>0</v>
      </c>
      <c r="Q35" s="380"/>
      <c r="R35" s="381"/>
      <c r="T35" s="119" t="str">
        <f t="shared" ca="1" si="5"/>
        <v/>
      </c>
      <c r="U35" s="172" t="str">
        <f t="shared" ca="1" si="6"/>
        <v/>
      </c>
      <c r="V35" s="173" t="str">
        <f ca="1">IF(AND($W35&gt;0,RegimeExecucao="Unitário"),$F35,"")</f>
        <v/>
      </c>
      <c r="W35" s="525">
        <f ca="1">IF($Y35&gt;0,CHOOSE(MATCH(RegimeExecucao,{"Unitário","Global"},0),IF($A35="S",$Y35/$X35,""),($Y35/$X35)*100),0)</f>
        <v>0</v>
      </c>
      <c r="X35" s="382" t="str">
        <f ca="1">IF($Y35&gt;0,CHOOSE(MATCH(RegimeExecucao,{"Unitário","Global"},0),IF($A35="S",ROUND($H35,ORÇAMENTO!$AF$10),""),ROUND($I35,ORÇAMENTO!$AF$11)),"")</f>
        <v/>
      </c>
      <c r="Y35" s="382">
        <f t="shared" ca="1" si="7"/>
        <v>0</v>
      </c>
      <c r="Z35" s="549"/>
      <c r="AB35" s="380"/>
      <c r="AC35" s="503"/>
      <c r="AD35" s="503"/>
      <c r="AE35" s="503"/>
      <c r="AF35" s="503"/>
      <c r="AG35" s="503"/>
      <c r="AH35" s="503"/>
      <c r="AI35" s="503"/>
      <c r="AJ35" s="503"/>
      <c r="AK35" s="503"/>
      <c r="AL35" s="503"/>
      <c r="AM35" s="381"/>
      <c r="AO35">
        <f ca="1">IF($A35="S",IF(BM!$I35=0,0,CHOOSE(MATCH(RegimeExecucao,{"Global","Unitário"},0),ROUND(ROUND(BM.MEDAcumulado,15-13*BM!$A$9)/100*BM!$I35,15-13*ORÇAMENTO!$AF$11),ROUND(ROUND(BM.MEDAcumulado,15-13*BM!$A$9)*ROUND(BM!$H35,15-13*ORÇAMENTO!$AF$10),15-13*ORÇAMENTO!$AF$11))),IF($A35=0,0,ROUND(SomaAgrupBM,15-13*ORÇAMENTO!$AF$11)))</f>
        <v>0</v>
      </c>
    </row>
    <row r="36" spans="1:41" ht="5.0999999999999996" customHeight="1" x14ac:dyDescent="0.2">
      <c r="C36" s="116" t="s">
        <v>245</v>
      </c>
      <c r="D36" s="471"/>
      <c r="E36" s="472"/>
      <c r="F36" s="472"/>
      <c r="G36" s="472"/>
      <c r="H36" s="472"/>
      <c r="I36" s="473"/>
      <c r="J36" s="471"/>
      <c r="K36" s="472"/>
      <c r="L36" s="473"/>
      <c r="M36" s="500"/>
      <c r="N36" s="501"/>
      <c r="O36" s="502"/>
      <c r="Q36" s="471"/>
      <c r="R36" s="473"/>
      <c r="T36" s="471"/>
      <c r="U36" s="472"/>
      <c r="V36" s="472"/>
      <c r="W36" s="472"/>
      <c r="X36" s="472"/>
      <c r="Y36" s="472"/>
      <c r="Z36" s="473"/>
      <c r="AB36" s="471"/>
      <c r="AC36" s="472"/>
      <c r="AD36" s="472"/>
      <c r="AE36" s="472"/>
      <c r="AF36" s="472"/>
      <c r="AG36" s="472"/>
      <c r="AH36" s="472"/>
      <c r="AI36" s="472"/>
      <c r="AJ36" s="472"/>
      <c r="AK36" s="472"/>
      <c r="AL36" s="472"/>
      <c r="AM36" s="473"/>
    </row>
    <row r="38" spans="1:41" ht="14.25" x14ac:dyDescent="0.2">
      <c r="D38" s="722" t="s">
        <v>186</v>
      </c>
      <c r="E38" s="722"/>
      <c r="F38" s="722"/>
      <c r="G38" s="722"/>
      <c r="H38" s="722"/>
      <c r="I38" s="722"/>
      <c r="J38" s="722"/>
      <c r="K38" s="722"/>
      <c r="L38" s="722"/>
      <c r="M38" s="722"/>
      <c r="N38" s="722"/>
      <c r="O38" s="722"/>
      <c r="T38" s="723" t="s">
        <v>351</v>
      </c>
      <c r="U38" s="723"/>
      <c r="V38" s="723"/>
      <c r="W38" s="723"/>
      <c r="X38" s="723"/>
      <c r="Y38" s="723"/>
      <c r="Z38" s="723"/>
    </row>
    <row r="39" spans="1:41" ht="12.75" customHeight="1" x14ac:dyDescent="0.2">
      <c r="D39" s="642"/>
      <c r="E39" s="642"/>
      <c r="F39" s="642"/>
      <c r="G39" s="642"/>
      <c r="H39" s="642"/>
      <c r="I39" s="642"/>
      <c r="J39" s="642"/>
      <c r="K39" s="642"/>
      <c r="L39" s="642"/>
      <c r="M39" s="642"/>
      <c r="N39" s="642"/>
      <c r="O39" s="642"/>
      <c r="T39" s="724"/>
      <c r="U39" s="724"/>
      <c r="V39" s="724"/>
      <c r="W39" s="724"/>
      <c r="X39" s="724"/>
      <c r="Y39" s="724"/>
      <c r="Z39" s="724"/>
    </row>
    <row r="40" spans="1:41" ht="12.75" customHeight="1" x14ac:dyDescent="0.2">
      <c r="D40" s="642"/>
      <c r="E40" s="642"/>
      <c r="F40" s="642"/>
      <c r="G40" s="642"/>
      <c r="H40" s="642"/>
      <c r="I40" s="642"/>
      <c r="J40" s="642"/>
      <c r="K40" s="642"/>
      <c r="L40" s="642"/>
      <c r="M40" s="642"/>
      <c r="N40" s="642"/>
      <c r="O40" s="642"/>
      <c r="T40" s="724"/>
      <c r="U40" s="724"/>
      <c r="V40" s="724"/>
      <c r="W40" s="724"/>
      <c r="X40" s="724"/>
      <c r="Y40" s="724"/>
      <c r="Z40" s="724"/>
    </row>
    <row r="41" spans="1:41" ht="12.75" customHeight="1" x14ac:dyDescent="0.2">
      <c r="D41" s="642"/>
      <c r="E41" s="642"/>
      <c r="F41" s="642"/>
      <c r="G41" s="642"/>
      <c r="H41" s="642"/>
      <c r="I41" s="642"/>
      <c r="J41" s="642"/>
      <c r="K41" s="642"/>
      <c r="L41" s="642"/>
      <c r="M41" s="642"/>
      <c r="N41" s="642"/>
      <c r="O41" s="642"/>
      <c r="T41" s="724"/>
      <c r="U41" s="724"/>
      <c r="V41" s="724"/>
      <c r="W41" s="724"/>
      <c r="X41" s="724"/>
      <c r="Y41" s="724"/>
      <c r="Z41" s="724"/>
    </row>
    <row r="42" spans="1:41" ht="14.25" x14ac:dyDescent="0.2">
      <c r="D42" s="512"/>
      <c r="E42" s="512"/>
      <c r="F42" s="512"/>
      <c r="G42" s="512"/>
      <c r="H42" s="512"/>
      <c r="I42" s="512"/>
      <c r="J42" s="512"/>
      <c r="K42" s="512"/>
      <c r="L42" s="512"/>
      <c r="M42" s="512"/>
      <c r="N42" s="512"/>
      <c r="O42" s="512"/>
    </row>
    <row r="43" spans="1:41" ht="15" customHeight="1" x14ac:dyDescent="0.25">
      <c r="D43" s="643"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43" s="643"/>
      <c r="F43" s="643"/>
      <c r="G43" s="643"/>
      <c r="H43" s="643"/>
      <c r="I43" s="643"/>
      <c r="J43" s="643"/>
      <c r="K43" s="643"/>
      <c r="L43" s="643"/>
    </row>
    <row r="44" spans="1:41" x14ac:dyDescent="0.2">
      <c r="D44" s="720"/>
      <c r="E44" s="720"/>
      <c r="F44" s="720"/>
      <c r="G44" s="720"/>
      <c r="H44" s="720"/>
      <c r="I44" s="720"/>
    </row>
    <row r="45" spans="1:41" x14ac:dyDescent="0.2">
      <c r="D45" s="71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45" s="718"/>
      <c r="F45" s="718"/>
      <c r="G45" s="718"/>
      <c r="H45" s="718"/>
      <c r="I45" s="718"/>
      <c r="J45" s="718"/>
      <c r="K45" s="718"/>
      <c r="L45" s="718"/>
      <c r="M45" s="718"/>
      <c r="N45" s="718"/>
      <c r="O45" s="718"/>
    </row>
    <row r="46" spans="1:41" ht="39.950000000000003" customHeight="1" x14ac:dyDescent="0.2">
      <c r="E46" s="144" t="str">
        <f>Import.Município</f>
        <v>Bento Gonçalves</v>
      </c>
      <c r="J46" s="719"/>
      <c r="K46" s="719"/>
      <c r="L46" s="719"/>
      <c r="M46" s="719"/>
      <c r="W46" s="719"/>
      <c r="X46" s="719"/>
      <c r="Y46" s="719"/>
      <c r="Z46" s="719"/>
    </row>
    <row r="47" spans="1:41" x14ac:dyDescent="0.2">
      <c r="E47" s="10" t="s">
        <v>187</v>
      </c>
      <c r="J47" s="195" t="s">
        <v>300</v>
      </c>
      <c r="W47" s="195" t="s">
        <v>352</v>
      </c>
    </row>
    <row r="48" spans="1:41" x14ac:dyDescent="0.2">
      <c r="J48" s="78" t="s">
        <v>108</v>
      </c>
      <c r="K48" s="311">
        <f t="array" ref="K48:K51">Import.RespFiscalização</f>
        <v>0</v>
      </c>
      <c r="L48" s="79"/>
      <c r="W48" s="78" t="s">
        <v>108</v>
      </c>
      <c r="X48" s="717"/>
      <c r="Y48" s="717"/>
      <c r="Z48" s="717"/>
    </row>
    <row r="49" spans="5:26" x14ac:dyDescent="0.2">
      <c r="E49" s="530">
        <f>DADOS!$F$48</f>
        <v>46449</v>
      </c>
      <c r="J49" s="78" t="s">
        <v>127</v>
      </c>
      <c r="K49" s="311">
        <v>0</v>
      </c>
      <c r="L49" s="79"/>
      <c r="W49" s="78" t="s">
        <v>353</v>
      </c>
      <c r="X49" s="717"/>
      <c r="Y49" s="717"/>
      <c r="Z49" s="717"/>
    </row>
    <row r="50" spans="5:26" x14ac:dyDescent="0.2">
      <c r="E50" s="146" t="s">
        <v>188</v>
      </c>
      <c r="J50" s="78" t="s">
        <v>109</v>
      </c>
      <c r="K50" s="311">
        <v>0</v>
      </c>
      <c r="L50" s="79"/>
      <c r="W50" s="78" t="s">
        <v>109</v>
      </c>
      <c r="X50" s="717"/>
      <c r="Y50" s="717"/>
      <c r="Z50" s="717"/>
    </row>
    <row r="51" spans="5:26" x14ac:dyDescent="0.2">
      <c r="J51" s="78" t="s">
        <v>110</v>
      </c>
      <c r="K51" s="13">
        <v>0</v>
      </c>
      <c r="W51" s="78"/>
      <c r="X51" s="13"/>
    </row>
  </sheetData>
  <sheetProtection algorithmName="SHA-512" hashValue="pyXPgCLVhTINnUmUH9RoTUJw58IhLB89457PiQj7l3y00Op9l4cHq59ODoXehbB935DrYTN63oLqLeGF49+38g==" saltValue="ppkAwx7/L/IbMIfV22fPWA==" spinCount="100000" sheet="1" objects="1" scenarios="1" autoFilter="0"/>
  <autoFilter ref="C15:C36" xr:uid="{00000000-0001-0000-0B00-000000000000}"/>
  <mergeCells count="35">
    <mergeCell ref="D5:E5"/>
    <mergeCell ref="F5:H5"/>
    <mergeCell ref="J5:N5"/>
    <mergeCell ref="A3:B3"/>
    <mergeCell ref="D4:E4"/>
    <mergeCell ref="F4:H4"/>
    <mergeCell ref="J4:N4"/>
    <mergeCell ref="C8:C12"/>
    <mergeCell ref="F8:H8"/>
    <mergeCell ref="I8:L8"/>
    <mergeCell ref="M8:N8"/>
    <mergeCell ref="E10:I11"/>
    <mergeCell ref="N10:O11"/>
    <mergeCell ref="AB11:AM11"/>
    <mergeCell ref="J12:L12"/>
    <mergeCell ref="M12:O12"/>
    <mergeCell ref="Q12:R12"/>
    <mergeCell ref="F7:H7"/>
    <mergeCell ref="I7:L7"/>
    <mergeCell ref="M7:N7"/>
    <mergeCell ref="T11:U11"/>
    <mergeCell ref="D43:L43"/>
    <mergeCell ref="D44:I44"/>
    <mergeCell ref="AB15:AM15"/>
    <mergeCell ref="D38:O38"/>
    <mergeCell ref="T38:Z38"/>
    <mergeCell ref="D39:O41"/>
    <mergeCell ref="T39:Z41"/>
    <mergeCell ref="D15:E15"/>
    <mergeCell ref="X50:Z50"/>
    <mergeCell ref="D45:O45"/>
    <mergeCell ref="J46:M46"/>
    <mergeCell ref="W46:Z46"/>
    <mergeCell ref="X48:Z48"/>
    <mergeCell ref="X49:Z49"/>
  </mergeCells>
  <phoneticPr fontId="38" type="noConversion"/>
  <conditionalFormatting sqref="D14:O14 T14:Z14 D16:O22 T16:Z22 D32:O35 T32:Z35">
    <cfRule type="expression" dxfId="22" priority="4558" stopIfTrue="1">
      <formula>OR(ACOMPANHAMENTO="PLE",TIPOORCAMENTO="Proposto",$L14&lt;0,AND($L14&gt;100,RegimeExecucao="Global"),$O14&gt;$I14,$O14&lt;0)</formula>
    </cfRule>
    <cfRule type="expression" dxfId="21" priority="4559" stopIfTrue="1">
      <formula>$A14=1</formula>
    </cfRule>
    <cfRule type="expression" dxfId="20" priority="4560" stopIfTrue="1">
      <formula>$A14&lt;&gt;"S"</formula>
    </cfRule>
  </conditionalFormatting>
  <conditionalFormatting sqref="Q14:R14 AB14:AM14 Q16:R22 AB16:AM22 Q32:R35 AB32:AM35">
    <cfRule type="expression" dxfId="19" priority="4561" stopIfTrue="1">
      <formula>$A14=1</formula>
    </cfRule>
    <cfRule type="expression" dxfId="18" priority="4562" stopIfTrue="1">
      <formula>$A14&lt;&gt;"S"</formula>
    </cfRule>
  </conditionalFormatting>
  <conditionalFormatting sqref="E2">
    <cfRule type="expression" dxfId="17" priority="4563" stopIfTrue="1">
      <formula>Import.RegimeExecução="(SELECIONAR)"</formula>
    </cfRule>
  </conditionalFormatting>
  <conditionalFormatting sqref="F13:H13">
    <cfRule type="expression" dxfId="16" priority="4564" stopIfTrue="1">
      <formula>RegimeExecucao="Global"</formula>
    </cfRule>
  </conditionalFormatting>
  <conditionalFormatting sqref="D15:O15">
    <cfRule type="expression" dxfId="15" priority="4565" stopIfTrue="1">
      <formula>OR(ACOMPANHAMENTO="PLE",TIPOORCAMENTO="Proposto")</formula>
    </cfRule>
  </conditionalFormatting>
  <conditionalFormatting sqref="AB13">
    <cfRule type="cellIs" dxfId="14" priority="4566" stopIfTrue="1" operator="notEqual">
      <formula>1</formula>
    </cfRule>
  </conditionalFormatting>
  <conditionalFormatting sqref="D23:O31 T23:Z31">
    <cfRule type="expression" dxfId="13" priority="131" stopIfTrue="1">
      <formula>OR(ACOMPANHAMENTO="PLE",TIPOORCAMENTO="Proposto",$L23&lt;0,AND($L23&gt;100,RegimeExecucao="Global"),$O23&gt;$I23,$O23&lt;0)</formula>
    </cfRule>
    <cfRule type="expression" dxfId="12" priority="132" stopIfTrue="1">
      <formula>$A23=1</formula>
    </cfRule>
    <cfRule type="expression" dxfId="11" priority="133" stopIfTrue="1">
      <formula>$A23&lt;&gt;"S"</formula>
    </cfRule>
  </conditionalFormatting>
  <conditionalFormatting sqref="Q23:R31 AB23:AM31">
    <cfRule type="expression" dxfId="10" priority="134" stopIfTrue="1">
      <formula>$A23=1</formula>
    </cfRule>
    <cfRule type="expression" dxfId="9" priority="135" stopIfTrue="1">
      <formula>$A23&lt;&gt;"S"</formula>
    </cfRule>
  </conditionalFormatting>
  <dataValidations count="4">
    <dataValidation type="list" allowBlank="1" showErrorMessage="1" sqref="Z14 Z16:Z35"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35"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35"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389" t="str">
        <f>CONCATENATE("RRE - RELATÓRIO RESUMO DO EMPREENDIMENTO - ",IF(CAIXA.Modo,"CAIXA","TOMADOR"))</f>
        <v>RRE - RELATÓRIO RESUMO DO EMPREENDIMENTO - TOMADOR</v>
      </c>
      <c r="H1" s="8"/>
      <c r="I1" s="8"/>
      <c r="P1" s="570" t="s">
        <v>456</v>
      </c>
      <c r="AD1" s="390" t="s">
        <v>354</v>
      </c>
      <c r="AE1" s="391" t="s">
        <v>355</v>
      </c>
    </row>
    <row r="2" spans="1:41" x14ac:dyDescent="0.2">
      <c r="AC2" s="392" t="str">
        <f>J25</f>
        <v>Repasse</v>
      </c>
      <c r="AD2" s="393">
        <f ca="1">AD6-AD4-AD3</f>
        <v>0</v>
      </c>
      <c r="AE2" s="393">
        <f ca="1">AE6-AE4-AE3</f>
        <v>0</v>
      </c>
    </row>
    <row r="3" spans="1:41" x14ac:dyDescent="0.2">
      <c r="E3" s="633" t="s">
        <v>147</v>
      </c>
      <c r="F3" s="633"/>
      <c r="G3" s="633"/>
      <c r="H3" s="633"/>
      <c r="I3" s="622" t="s">
        <v>146</v>
      </c>
      <c r="J3" s="622"/>
      <c r="K3" s="622"/>
      <c r="L3" s="89" t="s">
        <v>432</v>
      </c>
      <c r="M3" s="152"/>
      <c r="O3" s="394"/>
      <c r="P3" s="314" t="s">
        <v>209</v>
      </c>
      <c r="R3" s="152"/>
      <c r="S3" s="152"/>
      <c r="T3" s="152"/>
      <c r="U3" s="152"/>
      <c r="AC3" s="392" t="s">
        <v>169</v>
      </c>
      <c r="AD3" s="393">
        <f ca="1">SUM(T13:OFFSET(T24,-1,0))</f>
        <v>0</v>
      </c>
      <c r="AE3" s="393">
        <f ca="1">IF(OR($O$28&lt;$M$28,$M$26&gt;$AD$3),MIN($M$26,$L$26),MIN($AD$3,$N$28-$N$27+$M$26))</f>
        <v>0</v>
      </c>
    </row>
    <row r="4" spans="1:41" ht="12.75" customHeight="1" x14ac:dyDescent="0.2">
      <c r="E4" s="638" t="str">
        <f>Import.Proponente</f>
        <v>Secretario Diego Salini</v>
      </c>
      <c r="F4" s="638"/>
      <c r="G4" s="638"/>
      <c r="H4" s="638"/>
      <c r="I4" s="625">
        <f>Import.CR</f>
        <v>0</v>
      </c>
      <c r="J4" s="625"/>
      <c r="K4" s="625"/>
      <c r="L4" s="57">
        <f>Import.TransfereGOV</f>
        <v>0</v>
      </c>
      <c r="M4" s="730" t="s">
        <v>305</v>
      </c>
      <c r="N4" s="731"/>
      <c r="O4" s="732"/>
      <c r="P4" s="395" t="str">
        <f>import.recurso</f>
        <v>(SELECIONAR)</v>
      </c>
      <c r="R4" s="152"/>
      <c r="S4" s="152"/>
      <c r="T4" s="394"/>
      <c r="U4" s="394"/>
      <c r="AC4" s="392" t="s">
        <v>356</v>
      </c>
      <c r="AD4" s="393">
        <f ca="1">SUM(U13:OFFSET(U24,-1,0))</f>
        <v>0</v>
      </c>
      <c r="AE4" s="393">
        <f ca="1">IF(OR($O$28&lt;$M$28,$M$27&gt;$AD$4),MIN($M$27,$L$27),MIN($AD$4,$N$28+$M$27))</f>
        <v>0</v>
      </c>
    </row>
    <row r="5" spans="1:41" ht="5.0999999999999996" customHeight="1" x14ac:dyDescent="0.2">
      <c r="H5" s="317"/>
      <c r="I5" s="317"/>
      <c r="J5" s="317"/>
      <c r="K5" s="317"/>
      <c r="L5" s="317"/>
      <c r="M5" s="396"/>
      <c r="N5" s="305"/>
      <c r="O5" s="4"/>
      <c r="R5" s="152"/>
      <c r="S5" s="152"/>
      <c r="T5" s="152"/>
      <c r="U5" s="152"/>
    </row>
    <row r="6" spans="1:41" ht="12.75" customHeight="1" x14ac:dyDescent="0.2">
      <c r="E6" s="622" t="s">
        <v>201</v>
      </c>
      <c r="F6" s="622"/>
      <c r="G6" s="622"/>
      <c r="H6" s="622"/>
      <c r="I6" s="757" t="s">
        <v>304</v>
      </c>
      <c r="J6" s="757"/>
      <c r="K6" s="757"/>
      <c r="L6" s="757"/>
      <c r="M6" s="56" t="str">
        <f>IF(import.recurso="FGTS","FINANCIAMENTO","REPASSE")</f>
        <v>REPASSE</v>
      </c>
      <c r="N6" s="98" t="s">
        <v>306</v>
      </c>
      <c r="O6" s="56" t="s">
        <v>307</v>
      </c>
      <c r="P6" s="153" t="s">
        <v>357</v>
      </c>
      <c r="R6" s="152"/>
      <c r="S6" s="152"/>
      <c r="T6" s="152"/>
      <c r="U6" s="152"/>
      <c r="AC6" s="392" t="s">
        <v>358</v>
      </c>
      <c r="AD6" s="393">
        <f ca="1">$O$28</f>
        <v>0</v>
      </c>
      <c r="AE6" s="393">
        <f ca="1">AD6</f>
        <v>0</v>
      </c>
    </row>
    <row r="7" spans="1:41" ht="12.75" customHeight="1" x14ac:dyDescent="0.2">
      <c r="D7" s="615" t="s">
        <v>208</v>
      </c>
      <c r="E7" s="625" t="str">
        <f>Import.Apelido</f>
        <v>ANEXO I TR - MANUTENÇÃO ABRIGO PASSAGEIROS ÔNIBUS E TÁXI</v>
      </c>
      <c r="F7" s="625"/>
      <c r="G7" s="625"/>
      <c r="H7" s="625"/>
      <c r="I7" s="754" t="str">
        <f>Import.Município</f>
        <v>Bento Gonçalves</v>
      </c>
      <c r="J7" s="754"/>
      <c r="K7" s="754"/>
      <c r="L7" s="754"/>
      <c r="M7" s="397">
        <f>Import.Repasse</f>
        <v>0</v>
      </c>
      <c r="N7" s="398">
        <f>Import.Contrapartida</f>
        <v>0</v>
      </c>
      <c r="O7" s="397">
        <f>M7+N7</f>
        <v>0</v>
      </c>
      <c r="P7" s="478">
        <f>IF(ACOMPANHAMENTO="PLE",PLE.Medicao,BM.medicao)</f>
        <v>1</v>
      </c>
      <c r="R7" s="152"/>
      <c r="S7" s="152"/>
      <c r="T7" s="152"/>
      <c r="U7" s="152"/>
    </row>
    <row r="8" spans="1:41" x14ac:dyDescent="0.2">
      <c r="D8" s="615"/>
      <c r="E8" s="94"/>
      <c r="F8" s="94"/>
      <c r="G8" s="94"/>
      <c r="H8" s="94"/>
      <c r="I8" s="94"/>
      <c r="J8" s="94"/>
      <c r="K8" s="94"/>
      <c r="L8" s="94"/>
      <c r="M8" s="94"/>
      <c r="N8" s="94"/>
      <c r="O8" s="94"/>
      <c r="P8" s="94"/>
      <c r="R8" s="152"/>
      <c r="S8" s="152"/>
      <c r="T8" s="152"/>
      <c r="U8" s="152"/>
    </row>
    <row r="9" spans="1:41" ht="12.75" customHeight="1" x14ac:dyDescent="0.2">
      <c r="D9" s="615"/>
      <c r="G9" s="755" t="s">
        <v>359</v>
      </c>
      <c r="H9" s="755"/>
      <c r="I9" s="755" t="s">
        <v>360</v>
      </c>
      <c r="J9" s="755"/>
      <c r="K9" s="399"/>
      <c r="L9" s="756" t="s">
        <v>311</v>
      </c>
      <c r="M9" s="400" t="s">
        <v>314</v>
      </c>
      <c r="N9" s="318" t="s">
        <v>237</v>
      </c>
      <c r="P9" s="401"/>
      <c r="R9" s="152"/>
      <c r="S9" s="152"/>
      <c r="T9" s="152"/>
      <c r="U9" s="152"/>
      <c r="V9" s="7" t="s">
        <v>361</v>
      </c>
    </row>
    <row r="10" spans="1:41" ht="12.75" customHeight="1" x14ac:dyDescent="0.2">
      <c r="D10" s="615"/>
      <c r="G10" s="627" t="e">
        <f ca="1">IF(J10="-","-",IF($P$24&lt;J10,"Atrasada",IF($P$24&gt;J10,"Adiantada","Normal")))</f>
        <v>#DIV/0!</v>
      </c>
      <c r="H10" s="627"/>
      <c r="I10" s="402">
        <f>DATE(YEAR($L$35),MONTH($L$35),1)</f>
        <v>46447</v>
      </c>
      <c r="J10" s="403" t="e">
        <f ca="1">IF($I$10&lt;DATE(YEAR(CRONO!$T$13),MONTH(CRONO!$T$13),1),0,IF($I$10&gt;CRONO!$AE$13,1,INDEX(CRONO!$S$23:$AG$23,MATCH(RRE!$I$10,CRONO!$S$13:$AG$13,0))))</f>
        <v>#DIV/0!</v>
      </c>
      <c r="K10" s="399"/>
      <c r="L10" s="756"/>
      <c r="M10" s="404">
        <f ca="1">QCI!L10</f>
        <v>0</v>
      </c>
      <c r="N10" s="320">
        <f ca="1">QCI!M10</f>
        <v>0</v>
      </c>
      <c r="P10" s="401"/>
      <c r="R10" s="152"/>
      <c r="S10" s="152"/>
      <c r="T10" s="152"/>
      <c r="U10" s="152"/>
      <c r="AC10" s="751" t="s">
        <v>362</v>
      </c>
      <c r="AD10" s="751"/>
      <c r="AE10" s="751"/>
      <c r="AF10" s="751"/>
      <c r="AG10" s="751"/>
      <c r="AH10" s="751"/>
      <c r="AJ10" s="751" t="s">
        <v>4</v>
      </c>
      <c r="AK10" s="751"/>
      <c r="AL10" s="751"/>
      <c r="AM10" s="751"/>
      <c r="AN10" s="751"/>
      <c r="AO10" s="751"/>
    </row>
    <row r="11" spans="1:41" ht="20.100000000000001" customHeight="1" x14ac:dyDescent="0.2">
      <c r="D11" s="615"/>
      <c r="M11" s="520" t="str">
        <f>IF(CAIXA.Modo,"Valores Aferidos (R$)","Valores Medidos (R$)")</f>
        <v>Valores Medidos (R$)</v>
      </c>
      <c r="N11" s="520"/>
      <c r="O11" s="520"/>
      <c r="R11" s="405"/>
      <c r="S11" s="405"/>
      <c r="T11" s="520"/>
      <c r="U11" s="520"/>
      <c r="V11" s="517" t="s">
        <v>402</v>
      </c>
      <c r="Y11" s="752" t="str">
        <f>IF(CAIXA.Modo,"Valores Aferidos (R$)","Valores Medidos (R$)")</f>
        <v>Valores Medidos (R$)</v>
      </c>
      <c r="Z11" s="752"/>
      <c r="AC11" s="753" t="s">
        <v>363</v>
      </c>
      <c r="AD11" s="753"/>
      <c r="AE11" s="753"/>
      <c r="AF11" s="753" t="s">
        <v>364</v>
      </c>
      <c r="AG11" s="753"/>
      <c r="AH11" s="753"/>
      <c r="AJ11" s="753" t="s">
        <v>363</v>
      </c>
      <c r="AK11" s="753"/>
      <c r="AL11" s="753"/>
      <c r="AM11" s="753" t="s">
        <v>364</v>
      </c>
      <c r="AN11" s="753"/>
      <c r="AO11" s="753"/>
    </row>
    <row r="12" spans="1:41" hidden="1" x14ac:dyDescent="0.2">
      <c r="A12" t="e">
        <f ca="1">MATCH(E12,ORÇAMENTO!$E$15:$E$36,0)-1</f>
        <v>#N/A</v>
      </c>
      <c r="B12" t="e">
        <f ca="1">IF(ISERROR($A12),NA(),OFFSET(ORÇAMENTO!$D$15,$A12,0))</f>
        <v>#N/A</v>
      </c>
      <c r="C12" t="str">
        <f ca="1">QCI!B12</f>
        <v>Branco</v>
      </c>
      <c r="D12" t="str">
        <f ca="1">IF(L12&gt;0,"F","")</f>
        <v/>
      </c>
      <c r="E12" s="321">
        <f>QCI!D12</f>
        <v>-1</v>
      </c>
      <c r="F12" s="406" t="str">
        <f ca="1">QCI!G12</f>
        <v/>
      </c>
      <c r="G12" s="407">
        <f>QCI!H12</f>
        <v>0</v>
      </c>
      <c r="H12" s="322">
        <f>QCI!I12</f>
        <v>0</v>
      </c>
      <c r="I12" s="322" t="str">
        <f ca="1">QCI!J12</f>
        <v/>
      </c>
      <c r="J12" s="408" t="str">
        <f ca="1">QCI!K12</f>
        <v/>
      </c>
      <c r="K12" s="409" t="str">
        <f ca="1">IF($C12="Automático",IF(ACOMPANHAMENTO="BM",BM.medicao,PLE.Medicao),IF(ISBLANK($X12),"",$X12))</f>
        <v/>
      </c>
      <c r="L12" s="326">
        <f ca="1">QCI!$O12</f>
        <v>0</v>
      </c>
      <c r="M12" s="323">
        <f ca="1">ROUND(IF(C12="Automático",AE12+AL12,Y12),2)</f>
        <v>0</v>
      </c>
      <c r="N12" s="324">
        <f ca="1">O12-M12</f>
        <v>0</v>
      </c>
      <c r="O12" s="325">
        <f ca="1">ROUND(IF(C12="Automático",AH12+AO12,Z12),2)</f>
        <v>0</v>
      </c>
      <c r="P12" s="411">
        <f ca="1">O12/(L12+10^-12)</f>
        <v>0</v>
      </c>
      <c r="R12" s="410">
        <f ca="1">ROUND(IF($C12="Automático",AC12+AJ12,$Y12*IF(ISERROR(QCI!$AA12/QCI!$O12),0,QCI!$AA12/QCI!$O12)),2)</f>
        <v>0</v>
      </c>
      <c r="S12" s="410">
        <f ca="1">ROUND(IF($C12="Automático",AD12+AK12,$Y12*IF(ISERROR(QCI!$AB12/QCI!$O12),0,QCI!$AB12/QCI!$O12)),2)</f>
        <v>0</v>
      </c>
      <c r="T12" s="410">
        <f ca="1">ROUND(IF($C12="Automático",AF12+AM12,$Z12*IF(ISERROR(QCI!$AA12/QCI!$O12),0,QCI!$AA12/QCI!$O12)),2)</f>
        <v>0</v>
      </c>
      <c r="U12" s="410">
        <f ca="1">ROUND(IF($C12="Automático",AG12+AN12,$Z12*IF(ISERROR(QCI!$AB12/QCI!$O12),0,QCI!$AB12/QCI!$O12)),2)</f>
        <v>0</v>
      </c>
      <c r="V12" s="518" t="str">
        <f ca="1">IF(AND($L12&gt;0,$J12&lt;&gt;0,$J12&lt;&gt;"",COUNTIF($J12:$J$13,$J12)=1),OFFSET(V12,-1,0)+1,OFFSET(V12,-1,0))</f>
        <v>Lista CTEFs</v>
      </c>
      <c r="X12" s="597"/>
      <c r="Y12" s="327"/>
      <c r="Z12" s="329"/>
      <c r="AC12" s="198" t="e">
        <f ca="1">IF(ACOMPANHAMENTO&lt;&gt;"PLE",0,SUMPRODUCT((OFFSET(CÁLCULO!$BV$15:$CN$15,$A12,0,$B12)&lt;=(PLE.Medicao-1))*OFFSET(CÁLCULO!$AJ$15:$BB$15,$A12,0,$B12)*OFFSET(ORÇAMENTO!$AA$15,$A12,0,$B12)/(OFFSET(ORÇAMENTO!$X$15,$A12,0,$B12)+10^-12))+IF(AUTOEVENTO="Manual",SUMPRODUCT((OFFSET(CÁLCULO!$M$15,$A12,0,$B12)=1)*OFFSET(ORÇAMENTO!$AA$15,$A12,0,$B12)*(PLE!$AE$9-PLE!$Y$9)),0))</f>
        <v>#N/A</v>
      </c>
      <c r="AD12" s="198" t="e">
        <f ca="1">IF(ACOMPANHAMENTO&lt;&gt;"PLE",0,SUMPRODUCT((OFFSET(CÁLCULO!$BV$15:$CN$15,$A12,0,$B12)&lt;=(PLE.Medicao-1))*OFFSET(CÁLCULO!$AJ$15:$BB$15,$A12,0,$B12)*OFFSET(ORÇAMENTO!$AB$15,$A12,0,$B12)/(OFFSET(ORÇAMENTO!$X$15,$A12,0,$B12)+10^-12))+IF(AUTOEVENTO="Manual",SUMPRODUCT((OFFSET(CÁLCULO!$M$15,$A12,0,$B12)=1)*OFFSET(ORÇAMENTO!$AB$15,$A12,0,$B12)*(PLE!$AE$9-PLE!$Y$9)),0))</f>
        <v>#N/A</v>
      </c>
      <c r="AE12" s="198" t="e">
        <f ca="1">ROUND(IF(ACOMPANHAMENTO&lt;&gt;"PLE",0,SUMIF(OFFSET(CÁLCULO!$BV$15:$CN$15,$A12,0,$B12),"&lt;="&amp;(PLE.Medicao-1),OFFSET(CÁLCULO!$AJ$15:$BB$15,$A12,0,$B12))+IF(AUTOEVENTO="Manual",SUMIF(OFFSET(CÁLCULO!$M$15,$A12,0,$B12),1,OFFSET(ORÇAMENTO!$X$15,$A12,0,$B12))*(PLE!$AE$9-PLE!$Y$9),0)),2)</f>
        <v>#N/A</v>
      </c>
      <c r="AF12" s="198" t="e">
        <f ca="1">IF(ACOMPANHAMENTO&lt;&gt;"PLE",0,SUMPRODUCT((OFFSET(CÁLCULO!$BV$15:$CN$15,$A12,0,$B12)&lt;=PLE.Medicao)*OFFSET(CÁLCULO!$AJ$15:$BB$15,$A12,0,$B12)*OFFSET(ORÇAMENTO!$AA$15,$A12,0,$B12)/(OFFSET(ORÇAMENTO!$X$15,$A12,0,$B12)+10^-12))+IF(AUTOEVENTO="Manual",SUMPRODUCT((OFFSET(CÁLCULO!$M$15,$A12,0,$B12)=1)*OFFSET(ORÇAMENTO!$AA$15,$A12,0,$B12)*PLE!$AE$9),0))</f>
        <v>#N/A</v>
      </c>
      <c r="AG12" s="198" t="e">
        <f ca="1">IF(ACOMPANHAMENTO&lt;&gt;"PLE",0,SUMPRODUCT((OFFSET(CÁLCULO!$BV$15:$CN$15,$A12,0,$B12)&lt;=PLE.Medicao)*OFFSET(CÁLCULO!$AJ$15:$BB$15,$A12,0,$B12)*OFFSET(ORÇAMENTO!$AB$15,$A12,0,$B12)/(OFFSET(ORÇAMENTO!$X$15,$A12,0,$B12)+10^-12))+IF(AUTOEVENTO="Manual",SUMPRODUCT((OFFSET(CÁLCULO!$M$15,$A12,0,$B12)=1)*OFFSET(ORÇAMENTO!$AB$15,$A12,0,$B12)*PLE!$AE$9),0))</f>
        <v>#N/A</v>
      </c>
      <c r="AH12" s="198" t="e">
        <f ca="1">ROUND(IF(ACOMPANHAMENTO&lt;&gt;"PLE",0,SUMIF(OFFSET(CÁLCULO!$BV$15:$CN$15,$A12,0,$B12),"&lt;="&amp;PLE.Medicao,OFFSET(CÁLCULO!$AJ$15:$BB$15,$A12,0,$B12))+IF(AUTOEVENTO="Manual",SUMIF(OFFSET(CÁLCULO!$M$15,$A12,0,$B12),1,OFFSET(ORÇAMENTO!$X$15,$A12,0,$B12))*PLE!$AE$9,0)),2)</f>
        <v>#N/A</v>
      </c>
      <c r="AJ12" s="198">
        <f ca="1">IF(ACOMPANHAMENTO&lt;&gt;"BM",0,SUMPRODUCT(OFFSET(BM!$M$15,$A12,0,$B12)*(OFFSET(BM!$A$15,$A12,0,$B12)="S")*OFFSET(ORÇAMENTO!AA$15,$A12,0,$B12)/(OFFSET(ORÇAMENTO!$X$15,$A12,0,$B12)+10^-12)))</f>
        <v>0</v>
      </c>
      <c r="AK12" s="198">
        <f ca="1">IF(ACOMPANHAMENTO&lt;&gt;"BM",0,SUMPRODUCT(OFFSET(BM!$M$15,$A12,0,$B12)*(OFFSET(BM!$A$15,$A12,0,$B12)="S")*OFFSET(ORÇAMENTO!AB$15,$A12,0,$B12)/(OFFSET(ORÇAMENTO!$X$15,$A12,0,$B12)+10^-12)))</f>
        <v>0</v>
      </c>
      <c r="AL12" s="198">
        <f ca="1">IF(ACOMPANHAMENTO&lt;&gt;"BM",0,OFFSET(BM!$M$15,$A12,0))</f>
        <v>0</v>
      </c>
      <c r="AM12" s="198">
        <f ca="1">IF(ACOMPANHAMENTO&lt;&gt;"BM",0,SUMPRODUCT(OFFSET(BM!$O$15,$A12,0,$B12)*(OFFSET(BM!$A$15,$A12,0,$B12)="S")*OFFSET(ORÇAMENTO!AA$15,$A12,0,$B12)/(OFFSET(ORÇAMENTO!$X$15,$A12,0,$B12)+10^-12)))</f>
        <v>0</v>
      </c>
      <c r="AN12" s="198">
        <f ca="1">IF(ACOMPANHAMENTO&lt;&gt;"BM",0,SUMPRODUCT(OFFSET(BM!$O$15,$A12,0,$B12)*(OFFSET(BM!$A$15,$A12,0,$B12)="S")*OFFSET(ORÇAMENTO!AB$15,$A12,0,$B12)/(OFFSET(ORÇAMENTO!$X$15,$A12,0,$B12)+10^-12)))</f>
        <v>0</v>
      </c>
      <c r="AO12" s="198">
        <f ca="1">IF(ACOMPANHAMENTO&lt;&gt;"BM",0,OFFSET(BM!$O$15,$A12,0))</f>
        <v>0</v>
      </c>
    </row>
    <row r="13" spans="1:41" ht="39.950000000000003" customHeight="1" x14ac:dyDescent="0.2">
      <c r="A13" s="331" t="s">
        <v>365</v>
      </c>
      <c r="B13" s="10" t="s">
        <v>220</v>
      </c>
      <c r="C13" s="331" t="s">
        <v>316</v>
      </c>
      <c r="D13" s="108" t="s">
        <v>216</v>
      </c>
      <c r="E13" s="109" t="s">
        <v>194</v>
      </c>
      <c r="F13" s="109" t="s">
        <v>319</v>
      </c>
      <c r="G13" s="109" t="s">
        <v>161</v>
      </c>
      <c r="H13" s="109" t="s">
        <v>202</v>
      </c>
      <c r="I13" s="109" t="s">
        <v>320</v>
      </c>
      <c r="J13" s="109" t="s">
        <v>321</v>
      </c>
      <c r="K13" s="332" t="s">
        <v>366</v>
      </c>
      <c r="L13" s="109" t="s">
        <v>367</v>
      </c>
      <c r="M13" s="332" t="s">
        <v>363</v>
      </c>
      <c r="N13" s="333" t="s">
        <v>370</v>
      </c>
      <c r="O13" s="334" t="s">
        <v>364</v>
      </c>
      <c r="P13" s="109" t="s">
        <v>373</v>
      </c>
      <c r="R13" s="412" t="s">
        <v>368</v>
      </c>
      <c r="S13" s="412" t="s">
        <v>369</v>
      </c>
      <c r="T13" s="412" t="s">
        <v>371</v>
      </c>
      <c r="U13" s="412" t="s">
        <v>372</v>
      </c>
      <c r="V13" s="519"/>
      <c r="X13" s="332" t="s">
        <v>366</v>
      </c>
      <c r="Y13" s="168" t="s">
        <v>363</v>
      </c>
      <c r="Z13" s="169" t="s">
        <v>364</v>
      </c>
      <c r="AC13" s="111" t="s">
        <v>169</v>
      </c>
      <c r="AD13" s="111" t="s">
        <v>356</v>
      </c>
      <c r="AE13" s="111" t="s">
        <v>358</v>
      </c>
      <c r="AF13" s="111" t="s">
        <v>169</v>
      </c>
      <c r="AG13" s="111" t="s">
        <v>356</v>
      </c>
      <c r="AH13" s="111" t="s">
        <v>358</v>
      </c>
      <c r="AJ13" s="111" t="s">
        <v>169</v>
      </c>
      <c r="AK13" s="111" t="s">
        <v>356</v>
      </c>
      <c r="AL13" s="111" t="s">
        <v>358</v>
      </c>
      <c r="AM13" s="111" t="s">
        <v>169</v>
      </c>
      <c r="AN13" s="111" t="s">
        <v>356</v>
      </c>
      <c r="AO13" s="111" t="s">
        <v>358</v>
      </c>
    </row>
    <row r="14" spans="1:41" x14ac:dyDescent="0.2">
      <c r="A14">
        <f ca="1">MATCH(E14,ORÇAMENTO!$E$15:$E$36,0)-1</f>
        <v>1</v>
      </c>
      <c r="B14">
        <f ca="1">IF(ISERROR($A14),NA(),OFFSET(ORÇAMENTO!$D$15,$A14,0))</f>
        <v>20</v>
      </c>
      <c r="C14" t="str">
        <f ca="1">QCI!B14</f>
        <v>Automático</v>
      </c>
      <c r="D14" t="str">
        <f t="shared" ref="D14:D22" ca="1" si="0">IF(L14&gt;0,"F","")</f>
        <v/>
      </c>
      <c r="E14" s="321">
        <f>QCI!D14</f>
        <v>1</v>
      </c>
      <c r="F14" s="406" t="str">
        <f ca="1">QCI!G14</f>
        <v>Manutenção e Reparos Abrigos Passagerios Onibus e Táxi</v>
      </c>
      <c r="G14" s="407">
        <f>QCI!H14</f>
        <v>0</v>
      </c>
      <c r="H14" s="322">
        <f>QCI!I14</f>
        <v>0</v>
      </c>
      <c r="I14" s="322" t="str">
        <f ca="1">QCI!J14</f>
        <v/>
      </c>
      <c r="J14" s="408" t="str">
        <f ca="1">QCI!K14</f>
        <v>LOTE 1</v>
      </c>
      <c r="K14" s="409">
        <f ca="1">IF($C14="Automático",IF(ACOMPANHAMENTO="BM",BM.medicao,PLE.Medicao),IF(ISBLANK($X14),"",$X14))</f>
        <v>1</v>
      </c>
      <c r="L14" s="326">
        <f ca="1">QCI!$O14</f>
        <v>0</v>
      </c>
      <c r="M14" s="323">
        <f t="shared" ref="M14:M22" ca="1" si="1">ROUND(IF(C14="Automático",AE14+AL14,Y14),2)</f>
        <v>0</v>
      </c>
      <c r="N14" s="324">
        <f t="shared" ref="N14:N22" ca="1" si="2">O14-M14</f>
        <v>0</v>
      </c>
      <c r="O14" s="325">
        <f t="shared" ref="O14:O22" ca="1" si="3">ROUND(IF(C14="Automático",AH14+AO14,Z14),2)</f>
        <v>0</v>
      </c>
      <c r="P14" s="411">
        <f t="shared" ref="P14:P22" ca="1" si="4">O14/(L14+10^-12)</f>
        <v>0</v>
      </c>
      <c r="R14" s="410">
        <f ca="1">ROUND(IF($C14="Automático",AC14+AJ14,$Y14*IF(ISERROR(QCI!$AA14/QCI!$O14),0,QCI!$AA14/QCI!$O14)),2)</f>
        <v>0</v>
      </c>
      <c r="S14" s="410">
        <f ca="1">ROUND(IF($C14="Automático",AD14+AK14,$Y14*IF(ISERROR(QCI!$AB14/QCI!$O14),0,QCI!$AB14/QCI!$O14)),2)</f>
        <v>0</v>
      </c>
      <c r="T14" s="410">
        <f ca="1">ROUND(IF($C14="Automático",AF14+AM14,$Z14*IF(ISERROR(QCI!$AA14/QCI!$O14),0,QCI!$AA14/QCI!$O14)),2)</f>
        <v>0</v>
      </c>
      <c r="U14" s="410">
        <f ca="1">ROUND(IF($C14="Automático",AG14+AN14,$Z14*IF(ISERROR(QCI!$AB14/QCI!$O14),0,QCI!$AB14/QCI!$O14)),2)</f>
        <v>0</v>
      </c>
      <c r="V14" s="518">
        <f ca="1">IF(AND($L14&gt;0,$J14&lt;&gt;0,$J14&lt;&gt;"",COUNTIF($J$13:$J14,$J14)=1),OFFSET(V14,-1,0)+1,OFFSET(V14,-1,0))</f>
        <v>0</v>
      </c>
      <c r="X14" s="597"/>
      <c r="Y14" s="327"/>
      <c r="Z14" s="329"/>
      <c r="AC14" s="198">
        <f ca="1">IF(ACOMPANHAMENTO&lt;&gt;"PLE",0,SUMPRODUCT((OFFSET(CÁLCULO!$BV$15:$CN$15,$A14,0,$B14)&lt;=(PLE.Medicao-1))*OFFSET(CÁLCULO!$AJ$15:$BB$15,$A14,0,$B14)*OFFSET(ORÇAMENTO!$AA$15,$A14,0,$B14)/(OFFSET(ORÇAMENTO!$X$15,$A14,0,$B14)+10^-12))+IF(AUTOEVENTO="Manual",SUMPRODUCT((OFFSET(CÁLCULO!$M$15,$A14,0,$B14)=1)*OFFSET(ORÇAMENTO!$AA$15,$A14,0,$B14)*(PLE!$AE$9-PLE!$Y$9)),0))</f>
        <v>0</v>
      </c>
      <c r="AD14" s="198">
        <f ca="1">IF(ACOMPANHAMENTO&lt;&gt;"PLE",0,SUMPRODUCT((OFFSET(CÁLCULO!$BV$15:$CN$15,$A14,0,$B14)&lt;=(PLE.Medicao-1))*OFFSET(CÁLCULO!$AJ$15:$BB$15,$A14,0,$B14)*OFFSET(ORÇAMENTO!$AB$15,$A14,0,$B14)/(OFFSET(ORÇAMENTO!$X$15,$A14,0,$B14)+10^-12))+IF(AUTOEVENTO="Manual",SUMPRODUCT((OFFSET(CÁLCULO!$M$15,$A14,0,$B14)=1)*OFFSET(ORÇAMENTO!$AB$15,$A14,0,$B14)*(PLE!$AE$9-PLE!$Y$9)),0))</f>
        <v>0</v>
      </c>
      <c r="AE14" s="198">
        <f ca="1">ROUND(IF(ACOMPANHAMENTO&lt;&gt;"PLE",0,SUMIF(OFFSET(CÁLCULO!$BV$15:$CN$15,$A14,0,$B14),"&lt;="&amp;(PLE.Medicao-1),OFFSET(CÁLCULO!$AJ$15:$BB$15,$A14,0,$B14))+IF(AUTOEVENTO="Manual",SUMIF(OFFSET(CÁLCULO!$M$15,$A14,0,$B14),1,OFFSET(ORÇAMENTO!$X$15,$A14,0,$B14))*(PLE!$AE$9-PLE!$Y$9),0)),2)</f>
        <v>0</v>
      </c>
      <c r="AF14" s="198">
        <f ca="1">IF(ACOMPANHAMENTO&lt;&gt;"PLE",0,SUMPRODUCT((OFFSET(CÁLCULO!$BV$15:$CN$15,$A14,0,$B14)&lt;=PLE.Medicao)*OFFSET(CÁLCULO!$AJ$15:$BB$15,$A14,0,$B14)*OFFSET(ORÇAMENTO!$AA$15,$A14,0,$B14)/(OFFSET(ORÇAMENTO!$X$15,$A14,0,$B14)+10^-12))+IF(AUTOEVENTO="Manual",SUMPRODUCT((OFFSET(CÁLCULO!$M$15,$A14,0,$B14)=1)*OFFSET(ORÇAMENTO!$AA$15,$A14,0,$B14)*PLE!$AE$9),0))</f>
        <v>0</v>
      </c>
      <c r="AG14" s="198">
        <f ca="1">IF(ACOMPANHAMENTO&lt;&gt;"PLE",0,SUMPRODUCT((OFFSET(CÁLCULO!$BV$15:$CN$15,$A14,0,$B14)&lt;=PLE.Medicao)*OFFSET(CÁLCULO!$AJ$15:$BB$15,$A14,0,$B14)*OFFSET(ORÇAMENTO!$AB$15,$A14,0,$B14)/(OFFSET(ORÇAMENTO!$X$15,$A14,0,$B14)+10^-12))+IF(AUTOEVENTO="Manual",SUMPRODUCT((OFFSET(CÁLCULO!$M$15,$A14,0,$B14)=1)*OFFSET(ORÇAMENTO!$AB$15,$A14,0,$B14)*PLE!$AE$9),0))</f>
        <v>0</v>
      </c>
      <c r="AH14" s="198">
        <f ca="1">ROUND(IF(ACOMPANHAMENTO&lt;&gt;"PLE",0,SUMIF(OFFSET(CÁLCULO!$BV$15:$CN$15,$A14,0,$B14),"&lt;="&amp;PLE.Medicao,OFFSET(CÁLCULO!$AJ$15:$BB$15,$A14,0,$B14))+IF(AUTOEVENTO="Manual",SUMIF(OFFSET(CÁLCULO!$M$15,$A14,0,$B14),1,OFFSET(ORÇAMENTO!$X$15,$A14,0,$B14))*PLE!$AE$9,0)),2)</f>
        <v>0</v>
      </c>
      <c r="AJ14" s="198">
        <f ca="1">IF(ACOMPANHAMENTO&lt;&gt;"BM",0,SUMPRODUCT(OFFSET(BM!$M$15,$A14,0,$B14)*(OFFSET(BM!$A$15,$A14,0,$B14)="S")*OFFSET(ORÇAMENTO!AA$15,$A14,0,$B14)/(OFFSET(ORÇAMENTO!$X$15,$A14,0,$B14)+10^-12)))</f>
        <v>0</v>
      </c>
      <c r="AK14" s="198">
        <f ca="1">IF(ACOMPANHAMENTO&lt;&gt;"BM",0,SUMPRODUCT(OFFSET(BM!$M$15,$A14,0,$B14)*(OFFSET(BM!$A$15,$A14,0,$B14)="S")*OFFSET(ORÇAMENTO!AB$15,$A14,0,$B14)/(OFFSET(ORÇAMENTO!$X$15,$A14,0,$B14)+10^-12)))</f>
        <v>0</v>
      </c>
      <c r="AL14" s="198">
        <f ca="1">IF(ACOMPANHAMENTO&lt;&gt;"BM",0,OFFSET(BM!$M$15,$A14,0))</f>
        <v>0</v>
      </c>
      <c r="AM14" s="198">
        <f ca="1">IF(ACOMPANHAMENTO&lt;&gt;"BM",0,SUMPRODUCT(OFFSET(BM!$O$15,$A14,0,$B14)*(OFFSET(BM!$A$15,$A14,0,$B14)="S")*OFFSET(ORÇAMENTO!AA$15,$A14,0,$B14)/(OFFSET(ORÇAMENTO!$X$15,$A14,0,$B14)+10^-12)))</f>
        <v>0</v>
      </c>
      <c r="AN14" s="198">
        <f ca="1">IF(ACOMPANHAMENTO&lt;&gt;"BM",0,SUMPRODUCT(OFFSET(BM!$O$15,$A14,0,$B14)*(OFFSET(BM!$A$15,$A14,0,$B14)="S")*OFFSET(ORÇAMENTO!AB$15,$A14,0,$B14)/(OFFSET(ORÇAMENTO!$X$15,$A14,0,$B14)+10^-12)))</f>
        <v>0</v>
      </c>
      <c r="AO14" s="198">
        <f ca="1">IF(ACOMPANHAMENTO&lt;&gt;"BM",0,OFFSET(BM!$O$15,$A14,0))</f>
        <v>0</v>
      </c>
    </row>
    <row r="15" spans="1:41" x14ac:dyDescent="0.2">
      <c r="A15" t="e">
        <f ca="1">MATCH(E15,ORÇAMENTO!$E$15:$E$36,0)-1</f>
        <v>#N/A</v>
      </c>
      <c r="B15" t="e">
        <f ca="1">IF(ISERROR($A15),NA(),OFFSET(ORÇAMENTO!$D$15,$A15,0))</f>
        <v>#N/A</v>
      </c>
      <c r="C15" t="str">
        <f ca="1">QCI!B15</f>
        <v>Branco</v>
      </c>
      <c r="D15" t="str">
        <f t="shared" ca="1" si="0"/>
        <v/>
      </c>
      <c r="E15" s="321">
        <f>QCI!D15</f>
        <v>2</v>
      </c>
      <c r="F15" s="406" t="str">
        <f ca="1">QCI!G15</f>
        <v/>
      </c>
      <c r="G15" s="407">
        <f>QCI!H15</f>
        <v>0</v>
      </c>
      <c r="H15" s="322">
        <f>QCI!I15</f>
        <v>0</v>
      </c>
      <c r="I15" s="322" t="str">
        <f ca="1">QCI!J15</f>
        <v/>
      </c>
      <c r="J15" s="408" t="str">
        <f ca="1">QCI!K15</f>
        <v/>
      </c>
      <c r="K15" s="409" t="str">
        <f ca="1">IF($C15="Automático",IF(ACOMPANHAMENTO="BM",BM.medicao,PLE.Medicao),IF(ISBLANK($X15),"",$X15))</f>
        <v/>
      </c>
      <c r="L15" s="326">
        <f ca="1">QCI!$O15</f>
        <v>0</v>
      </c>
      <c r="M15" s="323">
        <f t="shared" ca="1" si="1"/>
        <v>0</v>
      </c>
      <c r="N15" s="324">
        <f t="shared" ca="1" si="2"/>
        <v>0</v>
      </c>
      <c r="O15" s="325">
        <f t="shared" ca="1" si="3"/>
        <v>0</v>
      </c>
      <c r="P15" s="411">
        <f t="shared" ca="1" si="4"/>
        <v>0</v>
      </c>
      <c r="R15" s="410">
        <f ca="1">ROUND(IF($C15="Automático",AC15+AJ15,$Y15*IF(ISERROR(QCI!$AA15/QCI!$O15),0,QCI!$AA15/QCI!$O15)),2)</f>
        <v>0</v>
      </c>
      <c r="S15" s="410">
        <f ca="1">ROUND(IF($C15="Automático",AD15+AK15,$Y15*IF(ISERROR(QCI!$AB15/QCI!$O15),0,QCI!$AB15/QCI!$O15)),2)</f>
        <v>0</v>
      </c>
      <c r="T15" s="410">
        <f ca="1">ROUND(IF($C15="Automático",AF15+AM15,$Z15*IF(ISERROR(QCI!$AA15/QCI!$O15),0,QCI!$AA15/QCI!$O15)),2)</f>
        <v>0</v>
      </c>
      <c r="U15" s="410">
        <f ca="1">ROUND(IF($C15="Automático",AG15+AN15,$Z15*IF(ISERROR(QCI!$AB15/QCI!$O15),0,QCI!$AB15/QCI!$O15)),2)</f>
        <v>0</v>
      </c>
      <c r="V15" s="518">
        <f ca="1">IF(AND($L15&gt;0,$J15&lt;&gt;0,$J15&lt;&gt;"",COUNTIF($J$13:$J15,$J15)=1),OFFSET(V15,-1,0)+1,OFFSET(V15,-1,0))</f>
        <v>0</v>
      </c>
      <c r="X15" s="597"/>
      <c r="Y15" s="327"/>
      <c r="Z15" s="329"/>
      <c r="AC15" s="198" t="e">
        <f ca="1">IF(ACOMPANHAMENTO&lt;&gt;"PLE",0,SUMPRODUCT((OFFSET(CÁLCULO!$BV$15:$CN$15,$A15,0,$B15)&lt;=(PLE.Medicao-1))*OFFSET(CÁLCULO!$AJ$15:$BB$15,$A15,0,$B15)*OFFSET(ORÇAMENTO!$AA$15,$A15,0,$B15)/(OFFSET(ORÇAMENTO!$X$15,$A15,0,$B15)+10^-12))+IF(AUTOEVENTO="Manual",SUMPRODUCT((OFFSET(CÁLCULO!$M$15,$A15,0,$B15)=1)*OFFSET(ORÇAMENTO!$AA$15,$A15,0,$B15)*(PLE!$AE$9-PLE!$Y$9)),0))</f>
        <v>#N/A</v>
      </c>
      <c r="AD15" s="198" t="e">
        <f ca="1">IF(ACOMPANHAMENTO&lt;&gt;"PLE",0,SUMPRODUCT((OFFSET(CÁLCULO!$BV$15:$CN$15,$A15,0,$B15)&lt;=(PLE.Medicao-1))*OFFSET(CÁLCULO!$AJ$15:$BB$15,$A15,0,$B15)*OFFSET(ORÇAMENTO!$AB$15,$A15,0,$B15)/(OFFSET(ORÇAMENTO!$X$15,$A15,0,$B15)+10^-12))+IF(AUTOEVENTO="Manual",SUMPRODUCT((OFFSET(CÁLCULO!$M$15,$A15,0,$B15)=1)*OFFSET(ORÇAMENTO!$AB$15,$A15,0,$B15)*(PLE!$AE$9-PLE!$Y$9)),0))</f>
        <v>#N/A</v>
      </c>
      <c r="AE15" s="198" t="e">
        <f ca="1">ROUND(IF(ACOMPANHAMENTO&lt;&gt;"PLE",0,SUMIF(OFFSET(CÁLCULO!$BV$15:$CN$15,$A15,0,$B15),"&lt;="&amp;(PLE.Medicao-1),OFFSET(CÁLCULO!$AJ$15:$BB$15,$A15,0,$B15))+IF(AUTOEVENTO="Manual",SUMIF(OFFSET(CÁLCULO!$M$15,$A15,0,$B15),1,OFFSET(ORÇAMENTO!$X$15,$A15,0,$B15))*(PLE!$AE$9-PLE!$Y$9),0)),2)</f>
        <v>#N/A</v>
      </c>
      <c r="AF15" s="198" t="e">
        <f ca="1">IF(ACOMPANHAMENTO&lt;&gt;"PLE",0,SUMPRODUCT((OFFSET(CÁLCULO!$BV$15:$CN$15,$A15,0,$B15)&lt;=PLE.Medicao)*OFFSET(CÁLCULO!$AJ$15:$BB$15,$A15,0,$B15)*OFFSET(ORÇAMENTO!$AA$15,$A15,0,$B15)/(OFFSET(ORÇAMENTO!$X$15,$A15,0,$B15)+10^-12))+IF(AUTOEVENTO="Manual",SUMPRODUCT((OFFSET(CÁLCULO!$M$15,$A15,0,$B15)=1)*OFFSET(ORÇAMENTO!$AA$15,$A15,0,$B15)*PLE!$AE$9),0))</f>
        <v>#N/A</v>
      </c>
      <c r="AG15" s="198" t="e">
        <f ca="1">IF(ACOMPANHAMENTO&lt;&gt;"PLE",0,SUMPRODUCT((OFFSET(CÁLCULO!$BV$15:$CN$15,$A15,0,$B15)&lt;=PLE.Medicao)*OFFSET(CÁLCULO!$AJ$15:$BB$15,$A15,0,$B15)*OFFSET(ORÇAMENTO!$AB$15,$A15,0,$B15)/(OFFSET(ORÇAMENTO!$X$15,$A15,0,$B15)+10^-12))+IF(AUTOEVENTO="Manual",SUMPRODUCT((OFFSET(CÁLCULO!$M$15,$A15,0,$B15)=1)*OFFSET(ORÇAMENTO!$AB$15,$A15,0,$B15)*PLE!$AE$9),0))</f>
        <v>#N/A</v>
      </c>
      <c r="AH15" s="198" t="e">
        <f ca="1">ROUND(IF(ACOMPANHAMENTO&lt;&gt;"PLE",0,SUMIF(OFFSET(CÁLCULO!$BV$15:$CN$15,$A15,0,$B15),"&lt;="&amp;PLE.Medicao,OFFSET(CÁLCULO!$AJ$15:$BB$15,$A15,0,$B15))+IF(AUTOEVENTO="Manual",SUMIF(OFFSET(CÁLCULO!$M$15,$A15,0,$B15),1,OFFSET(ORÇAMENTO!$X$15,$A15,0,$B15))*PLE!$AE$9,0)),2)</f>
        <v>#N/A</v>
      </c>
      <c r="AJ15" s="198">
        <f ca="1">IF(ACOMPANHAMENTO&lt;&gt;"BM",0,SUMPRODUCT(OFFSET(BM!$M$15,$A15,0,$B15)*(OFFSET(BM!$A$15,$A15,0,$B15)="S")*OFFSET(ORÇAMENTO!AA$15,$A15,0,$B15)/(OFFSET(ORÇAMENTO!$X$15,$A15,0,$B15)+10^-12)))</f>
        <v>0</v>
      </c>
      <c r="AK15" s="198">
        <f ca="1">IF(ACOMPANHAMENTO&lt;&gt;"BM",0,SUMPRODUCT(OFFSET(BM!$M$15,$A15,0,$B15)*(OFFSET(BM!$A$15,$A15,0,$B15)="S")*OFFSET(ORÇAMENTO!AB$15,$A15,0,$B15)/(OFFSET(ORÇAMENTO!$X$15,$A15,0,$B15)+10^-12)))</f>
        <v>0</v>
      </c>
      <c r="AL15" s="198">
        <f ca="1">IF(ACOMPANHAMENTO&lt;&gt;"BM",0,OFFSET(BM!$M$15,$A15,0))</f>
        <v>0</v>
      </c>
      <c r="AM15" s="198">
        <f ca="1">IF(ACOMPANHAMENTO&lt;&gt;"BM",0,SUMPRODUCT(OFFSET(BM!$O$15,$A15,0,$B15)*(OFFSET(BM!$A$15,$A15,0,$B15)="S")*OFFSET(ORÇAMENTO!AA$15,$A15,0,$B15)/(OFFSET(ORÇAMENTO!$X$15,$A15,0,$B15)+10^-12)))</f>
        <v>0</v>
      </c>
      <c r="AN15" s="198">
        <f ca="1">IF(ACOMPANHAMENTO&lt;&gt;"BM",0,SUMPRODUCT(OFFSET(BM!$O$15,$A15,0,$B15)*(OFFSET(BM!$A$15,$A15,0,$B15)="S")*OFFSET(ORÇAMENTO!AB$15,$A15,0,$B15)/(OFFSET(ORÇAMENTO!$X$15,$A15,0,$B15)+10^-12)))</f>
        <v>0</v>
      </c>
      <c r="AO15" s="198">
        <f ca="1">IF(ACOMPANHAMENTO&lt;&gt;"BM",0,OFFSET(BM!$O$15,$A15,0))</f>
        <v>0</v>
      </c>
    </row>
    <row r="16" spans="1:41" x14ac:dyDescent="0.2">
      <c r="A16" t="e">
        <f ca="1">MATCH(E16,ORÇAMENTO!$E$15:$E$36,0)-1</f>
        <v>#N/A</v>
      </c>
      <c r="B16" t="e">
        <f ca="1">IF(ISERROR($A16),NA(),OFFSET(ORÇAMENTO!$D$15,$A16,0))</f>
        <v>#N/A</v>
      </c>
      <c r="C16" t="str">
        <f ca="1">QCI!B16</f>
        <v>Branco</v>
      </c>
      <c r="D16" t="str">
        <f t="shared" ca="1" si="0"/>
        <v/>
      </c>
      <c r="E16" s="321">
        <f>QCI!D16</f>
        <v>3</v>
      </c>
      <c r="F16" s="406" t="str">
        <f ca="1">QCI!G16</f>
        <v/>
      </c>
      <c r="G16" s="407">
        <f>QCI!H16</f>
        <v>0</v>
      </c>
      <c r="H16" s="322">
        <f>QCI!I16</f>
        <v>0</v>
      </c>
      <c r="I16" s="322" t="str">
        <f ca="1">QCI!J16</f>
        <v/>
      </c>
      <c r="J16" s="408" t="str">
        <f ca="1">QCI!K16</f>
        <v/>
      </c>
      <c r="K16" s="409" t="str">
        <f ca="1">IF($C16="Automático",IF(ACOMPANHAMENTO="BM",BM.medicao,PLE.Medicao),IF(ISBLANK($X16),"",$X16))</f>
        <v/>
      </c>
      <c r="L16" s="326">
        <f ca="1">QCI!$O16</f>
        <v>0</v>
      </c>
      <c r="M16" s="323">
        <f t="shared" ca="1" si="1"/>
        <v>0</v>
      </c>
      <c r="N16" s="324">
        <f t="shared" ca="1" si="2"/>
        <v>0</v>
      </c>
      <c r="O16" s="325">
        <f t="shared" ca="1" si="3"/>
        <v>0</v>
      </c>
      <c r="P16" s="411">
        <f t="shared" ca="1" si="4"/>
        <v>0</v>
      </c>
      <c r="R16" s="410">
        <f ca="1">ROUND(IF($C16="Automático",AC16+AJ16,$Y16*IF(ISERROR(QCI!$AA16/QCI!$O16),0,QCI!$AA16/QCI!$O16)),2)</f>
        <v>0</v>
      </c>
      <c r="S16" s="410">
        <f ca="1">ROUND(IF($C16="Automático",AD16+AK16,$Y16*IF(ISERROR(QCI!$AB16/QCI!$O16),0,QCI!$AB16/QCI!$O16)),2)</f>
        <v>0</v>
      </c>
      <c r="T16" s="410">
        <f ca="1">ROUND(IF($C16="Automático",AF16+AM16,$Z16*IF(ISERROR(QCI!$AA16/QCI!$O16),0,QCI!$AA16/QCI!$O16)),2)</f>
        <v>0</v>
      </c>
      <c r="U16" s="410">
        <f ca="1">ROUND(IF($C16="Automático",AG16+AN16,$Z16*IF(ISERROR(QCI!$AB16/QCI!$O16),0,QCI!$AB16/QCI!$O16)),2)</f>
        <v>0</v>
      </c>
      <c r="V16" s="518">
        <f ca="1">IF(AND($L16&gt;0,$J16&lt;&gt;0,$J16&lt;&gt;"",COUNTIF($J$13:$J16,$J16)=1),OFFSET(V16,-1,0)+1,OFFSET(V16,-1,0))</f>
        <v>0</v>
      </c>
      <c r="X16" s="597"/>
      <c r="Y16" s="327"/>
      <c r="Z16" s="329"/>
      <c r="AC16" s="198" t="e">
        <f ca="1">IF(ACOMPANHAMENTO&lt;&gt;"PLE",0,SUMPRODUCT((OFFSET(CÁLCULO!$BV$15:$CN$15,$A16,0,$B16)&lt;=(PLE.Medicao-1))*OFFSET(CÁLCULO!$AJ$15:$BB$15,$A16,0,$B16)*OFFSET(ORÇAMENTO!$AA$15,$A16,0,$B16)/(OFFSET(ORÇAMENTO!$X$15,$A16,0,$B16)+10^-12))+IF(AUTOEVENTO="Manual",SUMPRODUCT((OFFSET(CÁLCULO!$M$15,$A16,0,$B16)=1)*OFFSET(ORÇAMENTO!$AA$15,$A16,0,$B16)*(PLE!$AE$9-PLE!$Y$9)),0))</f>
        <v>#N/A</v>
      </c>
      <c r="AD16" s="198" t="e">
        <f ca="1">IF(ACOMPANHAMENTO&lt;&gt;"PLE",0,SUMPRODUCT((OFFSET(CÁLCULO!$BV$15:$CN$15,$A16,0,$B16)&lt;=(PLE.Medicao-1))*OFFSET(CÁLCULO!$AJ$15:$BB$15,$A16,0,$B16)*OFFSET(ORÇAMENTO!$AB$15,$A16,0,$B16)/(OFFSET(ORÇAMENTO!$X$15,$A16,0,$B16)+10^-12))+IF(AUTOEVENTO="Manual",SUMPRODUCT((OFFSET(CÁLCULO!$M$15,$A16,0,$B16)=1)*OFFSET(ORÇAMENTO!$AB$15,$A16,0,$B16)*(PLE!$AE$9-PLE!$Y$9)),0))</f>
        <v>#N/A</v>
      </c>
      <c r="AE16" s="198" t="e">
        <f ca="1">ROUND(IF(ACOMPANHAMENTO&lt;&gt;"PLE",0,SUMIF(OFFSET(CÁLCULO!$BV$15:$CN$15,$A16,0,$B16),"&lt;="&amp;(PLE.Medicao-1),OFFSET(CÁLCULO!$AJ$15:$BB$15,$A16,0,$B16))+IF(AUTOEVENTO="Manual",SUMIF(OFFSET(CÁLCULO!$M$15,$A16,0,$B16),1,OFFSET(ORÇAMENTO!$X$15,$A16,0,$B16))*(PLE!$AE$9-PLE!$Y$9),0)),2)</f>
        <v>#N/A</v>
      </c>
      <c r="AF16" s="198" t="e">
        <f ca="1">IF(ACOMPANHAMENTO&lt;&gt;"PLE",0,SUMPRODUCT((OFFSET(CÁLCULO!$BV$15:$CN$15,$A16,0,$B16)&lt;=PLE.Medicao)*OFFSET(CÁLCULO!$AJ$15:$BB$15,$A16,0,$B16)*OFFSET(ORÇAMENTO!$AA$15,$A16,0,$B16)/(OFFSET(ORÇAMENTO!$X$15,$A16,0,$B16)+10^-12))+IF(AUTOEVENTO="Manual",SUMPRODUCT((OFFSET(CÁLCULO!$M$15,$A16,0,$B16)=1)*OFFSET(ORÇAMENTO!$AA$15,$A16,0,$B16)*PLE!$AE$9),0))</f>
        <v>#N/A</v>
      </c>
      <c r="AG16" s="198" t="e">
        <f ca="1">IF(ACOMPANHAMENTO&lt;&gt;"PLE",0,SUMPRODUCT((OFFSET(CÁLCULO!$BV$15:$CN$15,$A16,0,$B16)&lt;=PLE.Medicao)*OFFSET(CÁLCULO!$AJ$15:$BB$15,$A16,0,$B16)*OFFSET(ORÇAMENTO!$AB$15,$A16,0,$B16)/(OFFSET(ORÇAMENTO!$X$15,$A16,0,$B16)+10^-12))+IF(AUTOEVENTO="Manual",SUMPRODUCT((OFFSET(CÁLCULO!$M$15,$A16,0,$B16)=1)*OFFSET(ORÇAMENTO!$AB$15,$A16,0,$B16)*PLE!$AE$9),0))</f>
        <v>#N/A</v>
      </c>
      <c r="AH16" s="198" t="e">
        <f ca="1">ROUND(IF(ACOMPANHAMENTO&lt;&gt;"PLE",0,SUMIF(OFFSET(CÁLCULO!$BV$15:$CN$15,$A16,0,$B16),"&lt;="&amp;PLE.Medicao,OFFSET(CÁLCULO!$AJ$15:$BB$15,$A16,0,$B16))+IF(AUTOEVENTO="Manual",SUMIF(OFFSET(CÁLCULO!$M$15,$A16,0,$B16),1,OFFSET(ORÇAMENTO!$X$15,$A16,0,$B16))*PLE!$AE$9,0)),2)</f>
        <v>#N/A</v>
      </c>
      <c r="AJ16" s="198">
        <f ca="1">IF(ACOMPANHAMENTO&lt;&gt;"BM",0,SUMPRODUCT(OFFSET(BM!$M$15,$A16,0,$B16)*(OFFSET(BM!$A$15,$A16,0,$B16)="S")*OFFSET(ORÇAMENTO!AA$15,$A16,0,$B16)/(OFFSET(ORÇAMENTO!$X$15,$A16,0,$B16)+10^-12)))</f>
        <v>0</v>
      </c>
      <c r="AK16" s="198">
        <f ca="1">IF(ACOMPANHAMENTO&lt;&gt;"BM",0,SUMPRODUCT(OFFSET(BM!$M$15,$A16,0,$B16)*(OFFSET(BM!$A$15,$A16,0,$B16)="S")*OFFSET(ORÇAMENTO!AB$15,$A16,0,$B16)/(OFFSET(ORÇAMENTO!$X$15,$A16,0,$B16)+10^-12)))</f>
        <v>0</v>
      </c>
      <c r="AL16" s="198">
        <f ca="1">IF(ACOMPANHAMENTO&lt;&gt;"BM",0,OFFSET(BM!$M$15,$A16,0))</f>
        <v>0</v>
      </c>
      <c r="AM16" s="198">
        <f ca="1">IF(ACOMPANHAMENTO&lt;&gt;"BM",0,SUMPRODUCT(OFFSET(BM!$O$15,$A16,0,$B16)*(OFFSET(BM!$A$15,$A16,0,$B16)="S")*OFFSET(ORÇAMENTO!AA$15,$A16,0,$B16)/(OFFSET(ORÇAMENTO!$X$15,$A16,0,$B16)+10^-12)))</f>
        <v>0</v>
      </c>
      <c r="AN16" s="198">
        <f ca="1">IF(ACOMPANHAMENTO&lt;&gt;"BM",0,SUMPRODUCT(OFFSET(BM!$O$15,$A16,0,$B16)*(OFFSET(BM!$A$15,$A16,0,$B16)="S")*OFFSET(ORÇAMENTO!AB$15,$A16,0,$B16)/(OFFSET(ORÇAMENTO!$X$15,$A16,0,$B16)+10^-12)))</f>
        <v>0</v>
      </c>
      <c r="AO16" s="198">
        <f ca="1">IF(ACOMPANHAMENTO&lt;&gt;"BM",0,OFFSET(BM!$O$15,$A16,0))</f>
        <v>0</v>
      </c>
    </row>
    <row r="17" spans="1:41" x14ac:dyDescent="0.2">
      <c r="A17" t="e">
        <f ca="1">MATCH(E17,ORÇAMENTO!$E$15:$E$36,0)-1</f>
        <v>#N/A</v>
      </c>
      <c r="B17" t="e">
        <f ca="1">IF(ISERROR($A17),NA(),OFFSET(ORÇAMENTO!$D$15,$A17,0))</f>
        <v>#N/A</v>
      </c>
      <c r="C17" t="str">
        <f ca="1">QCI!B17</f>
        <v>Branco</v>
      </c>
      <c r="D17" t="str">
        <f t="shared" ca="1" si="0"/>
        <v/>
      </c>
      <c r="E17" s="321">
        <f>QCI!D17</f>
        <v>4</v>
      </c>
      <c r="F17" s="406" t="str">
        <f ca="1">QCI!G17</f>
        <v/>
      </c>
      <c r="G17" s="407">
        <f>QCI!H17</f>
        <v>0</v>
      </c>
      <c r="H17" s="322">
        <f>QCI!I17</f>
        <v>0</v>
      </c>
      <c r="I17" s="322" t="str">
        <f ca="1">QCI!J17</f>
        <v/>
      </c>
      <c r="J17" s="408" t="str">
        <f ca="1">QCI!K17</f>
        <v/>
      </c>
      <c r="K17" s="409" t="str">
        <f ca="1">IF($C17="Automático",IF(ACOMPANHAMENTO="BM",BM.medicao,PLE.Medicao),IF(ISBLANK($X17),"",$X17))</f>
        <v/>
      </c>
      <c r="L17" s="326">
        <f ca="1">QCI!$O17</f>
        <v>0</v>
      </c>
      <c r="M17" s="323">
        <f t="shared" ca="1" si="1"/>
        <v>0</v>
      </c>
      <c r="N17" s="324">
        <f t="shared" ca="1" si="2"/>
        <v>0</v>
      </c>
      <c r="O17" s="325">
        <f t="shared" ca="1" si="3"/>
        <v>0</v>
      </c>
      <c r="P17" s="411">
        <f t="shared" ca="1" si="4"/>
        <v>0</v>
      </c>
      <c r="R17" s="410">
        <f ca="1">ROUND(IF($C17="Automático",AC17+AJ17,$Y17*IF(ISERROR(QCI!$AA17/QCI!$O17),0,QCI!$AA17/QCI!$O17)),2)</f>
        <v>0</v>
      </c>
      <c r="S17" s="410">
        <f ca="1">ROUND(IF($C17="Automático",AD17+AK17,$Y17*IF(ISERROR(QCI!$AB17/QCI!$O17),0,QCI!$AB17/QCI!$O17)),2)</f>
        <v>0</v>
      </c>
      <c r="T17" s="410">
        <f ca="1">ROUND(IF($C17="Automático",AF17+AM17,$Z17*IF(ISERROR(QCI!$AA17/QCI!$O17),0,QCI!$AA17/QCI!$O17)),2)</f>
        <v>0</v>
      </c>
      <c r="U17" s="410">
        <f ca="1">ROUND(IF($C17="Automático",AG17+AN17,$Z17*IF(ISERROR(QCI!$AB17/QCI!$O17),0,QCI!$AB17/QCI!$O17)),2)</f>
        <v>0</v>
      </c>
      <c r="V17" s="518">
        <f ca="1">IF(AND($L17&gt;0,$J17&lt;&gt;0,$J17&lt;&gt;"",COUNTIF($J$13:$J17,$J17)=1),OFFSET(V17,-1,0)+1,OFFSET(V17,-1,0))</f>
        <v>0</v>
      </c>
      <c r="X17" s="597"/>
      <c r="Y17" s="327"/>
      <c r="Z17" s="329"/>
      <c r="AC17" s="198" t="e">
        <f ca="1">IF(ACOMPANHAMENTO&lt;&gt;"PLE",0,SUMPRODUCT((OFFSET(CÁLCULO!$BV$15:$CN$15,$A17,0,$B17)&lt;=(PLE.Medicao-1))*OFFSET(CÁLCULO!$AJ$15:$BB$15,$A17,0,$B17)*OFFSET(ORÇAMENTO!$AA$15,$A17,0,$B17)/(OFFSET(ORÇAMENTO!$X$15,$A17,0,$B17)+10^-12))+IF(AUTOEVENTO="Manual",SUMPRODUCT((OFFSET(CÁLCULO!$M$15,$A17,0,$B17)=1)*OFFSET(ORÇAMENTO!$AA$15,$A17,0,$B17)*(PLE!$AE$9-PLE!$Y$9)),0))</f>
        <v>#N/A</v>
      </c>
      <c r="AD17" s="198" t="e">
        <f ca="1">IF(ACOMPANHAMENTO&lt;&gt;"PLE",0,SUMPRODUCT((OFFSET(CÁLCULO!$BV$15:$CN$15,$A17,0,$B17)&lt;=(PLE.Medicao-1))*OFFSET(CÁLCULO!$AJ$15:$BB$15,$A17,0,$B17)*OFFSET(ORÇAMENTO!$AB$15,$A17,0,$B17)/(OFFSET(ORÇAMENTO!$X$15,$A17,0,$B17)+10^-12))+IF(AUTOEVENTO="Manual",SUMPRODUCT((OFFSET(CÁLCULO!$M$15,$A17,0,$B17)=1)*OFFSET(ORÇAMENTO!$AB$15,$A17,0,$B17)*(PLE!$AE$9-PLE!$Y$9)),0))</f>
        <v>#N/A</v>
      </c>
      <c r="AE17" s="198" t="e">
        <f ca="1">ROUND(IF(ACOMPANHAMENTO&lt;&gt;"PLE",0,SUMIF(OFFSET(CÁLCULO!$BV$15:$CN$15,$A17,0,$B17),"&lt;="&amp;(PLE.Medicao-1),OFFSET(CÁLCULO!$AJ$15:$BB$15,$A17,0,$B17))+IF(AUTOEVENTO="Manual",SUMIF(OFFSET(CÁLCULO!$M$15,$A17,0,$B17),1,OFFSET(ORÇAMENTO!$X$15,$A17,0,$B17))*(PLE!$AE$9-PLE!$Y$9),0)),2)</f>
        <v>#N/A</v>
      </c>
      <c r="AF17" s="198" t="e">
        <f ca="1">IF(ACOMPANHAMENTO&lt;&gt;"PLE",0,SUMPRODUCT((OFFSET(CÁLCULO!$BV$15:$CN$15,$A17,0,$B17)&lt;=PLE.Medicao)*OFFSET(CÁLCULO!$AJ$15:$BB$15,$A17,0,$B17)*OFFSET(ORÇAMENTO!$AA$15,$A17,0,$B17)/(OFFSET(ORÇAMENTO!$X$15,$A17,0,$B17)+10^-12))+IF(AUTOEVENTO="Manual",SUMPRODUCT((OFFSET(CÁLCULO!$M$15,$A17,0,$B17)=1)*OFFSET(ORÇAMENTO!$AA$15,$A17,0,$B17)*PLE!$AE$9),0))</f>
        <v>#N/A</v>
      </c>
      <c r="AG17" s="198" t="e">
        <f ca="1">IF(ACOMPANHAMENTO&lt;&gt;"PLE",0,SUMPRODUCT((OFFSET(CÁLCULO!$BV$15:$CN$15,$A17,0,$B17)&lt;=PLE.Medicao)*OFFSET(CÁLCULO!$AJ$15:$BB$15,$A17,0,$B17)*OFFSET(ORÇAMENTO!$AB$15,$A17,0,$B17)/(OFFSET(ORÇAMENTO!$X$15,$A17,0,$B17)+10^-12))+IF(AUTOEVENTO="Manual",SUMPRODUCT((OFFSET(CÁLCULO!$M$15,$A17,0,$B17)=1)*OFFSET(ORÇAMENTO!$AB$15,$A17,0,$B17)*PLE!$AE$9),0))</f>
        <v>#N/A</v>
      </c>
      <c r="AH17" s="198" t="e">
        <f ca="1">ROUND(IF(ACOMPANHAMENTO&lt;&gt;"PLE",0,SUMIF(OFFSET(CÁLCULO!$BV$15:$CN$15,$A17,0,$B17),"&lt;="&amp;PLE.Medicao,OFFSET(CÁLCULO!$AJ$15:$BB$15,$A17,0,$B17))+IF(AUTOEVENTO="Manual",SUMIF(OFFSET(CÁLCULO!$M$15,$A17,0,$B17),1,OFFSET(ORÇAMENTO!$X$15,$A17,0,$B17))*PLE!$AE$9,0)),2)</f>
        <v>#N/A</v>
      </c>
      <c r="AJ17" s="198">
        <f ca="1">IF(ACOMPANHAMENTO&lt;&gt;"BM",0,SUMPRODUCT(OFFSET(BM!$M$15,$A17,0,$B17)*(OFFSET(BM!$A$15,$A17,0,$B17)="S")*OFFSET(ORÇAMENTO!AA$15,$A17,0,$B17)/(OFFSET(ORÇAMENTO!$X$15,$A17,0,$B17)+10^-12)))</f>
        <v>0</v>
      </c>
      <c r="AK17" s="198">
        <f ca="1">IF(ACOMPANHAMENTO&lt;&gt;"BM",0,SUMPRODUCT(OFFSET(BM!$M$15,$A17,0,$B17)*(OFFSET(BM!$A$15,$A17,0,$B17)="S")*OFFSET(ORÇAMENTO!AB$15,$A17,0,$B17)/(OFFSET(ORÇAMENTO!$X$15,$A17,0,$B17)+10^-12)))</f>
        <v>0</v>
      </c>
      <c r="AL17" s="198">
        <f ca="1">IF(ACOMPANHAMENTO&lt;&gt;"BM",0,OFFSET(BM!$M$15,$A17,0))</f>
        <v>0</v>
      </c>
      <c r="AM17" s="198">
        <f ca="1">IF(ACOMPANHAMENTO&lt;&gt;"BM",0,SUMPRODUCT(OFFSET(BM!$O$15,$A17,0,$B17)*(OFFSET(BM!$A$15,$A17,0,$B17)="S")*OFFSET(ORÇAMENTO!AA$15,$A17,0,$B17)/(OFFSET(ORÇAMENTO!$X$15,$A17,0,$B17)+10^-12)))</f>
        <v>0</v>
      </c>
      <c r="AN17" s="198">
        <f ca="1">IF(ACOMPANHAMENTO&lt;&gt;"BM",0,SUMPRODUCT(OFFSET(BM!$O$15,$A17,0,$B17)*(OFFSET(BM!$A$15,$A17,0,$B17)="S")*OFFSET(ORÇAMENTO!AB$15,$A17,0,$B17)/(OFFSET(ORÇAMENTO!$X$15,$A17,0,$B17)+10^-12)))</f>
        <v>0</v>
      </c>
      <c r="AO17" s="198">
        <f ca="1">IF(ACOMPANHAMENTO&lt;&gt;"BM",0,OFFSET(BM!$O$15,$A17,0))</f>
        <v>0</v>
      </c>
    </row>
    <row r="18" spans="1:41" x14ac:dyDescent="0.2">
      <c r="A18" t="e">
        <f ca="1">MATCH(E18,ORÇAMENTO!$E$15:$E$36,0)-1</f>
        <v>#N/A</v>
      </c>
      <c r="B18" t="e">
        <f ca="1">IF(ISERROR($A18),NA(),OFFSET(ORÇAMENTO!$D$15,$A18,0))</f>
        <v>#N/A</v>
      </c>
      <c r="C18" t="str">
        <f ca="1">QCI!B18</f>
        <v>Branco</v>
      </c>
      <c r="D18" t="str">
        <f t="shared" ca="1" si="0"/>
        <v/>
      </c>
      <c r="E18" s="321">
        <f>QCI!D18</f>
        <v>5</v>
      </c>
      <c r="F18" s="406" t="str">
        <f ca="1">QCI!G18</f>
        <v/>
      </c>
      <c r="G18" s="407">
        <f>QCI!H18</f>
        <v>0</v>
      </c>
      <c r="H18" s="322">
        <f>QCI!I18</f>
        <v>0</v>
      </c>
      <c r="I18" s="322" t="str">
        <f ca="1">QCI!J18</f>
        <v/>
      </c>
      <c r="J18" s="408" t="str">
        <f ca="1">QCI!K18</f>
        <v/>
      </c>
      <c r="K18" s="409" t="str">
        <f ca="1">IF($C18="Automático",IF(ACOMPANHAMENTO="BM",BM.medicao,PLE.Medicao),IF(ISBLANK($X18),"",$X18))</f>
        <v/>
      </c>
      <c r="L18" s="326">
        <f ca="1">QCI!$O18</f>
        <v>0</v>
      </c>
      <c r="M18" s="323">
        <f t="shared" ca="1" si="1"/>
        <v>0</v>
      </c>
      <c r="N18" s="324">
        <f t="shared" ca="1" si="2"/>
        <v>0</v>
      </c>
      <c r="O18" s="325">
        <f t="shared" ca="1" si="3"/>
        <v>0</v>
      </c>
      <c r="P18" s="411">
        <f t="shared" ca="1" si="4"/>
        <v>0</v>
      </c>
      <c r="R18" s="410">
        <f ca="1">ROUND(IF($C18="Automático",AC18+AJ18,$Y18*IF(ISERROR(QCI!$AA18/QCI!$O18),0,QCI!$AA18/QCI!$O18)),2)</f>
        <v>0</v>
      </c>
      <c r="S18" s="410">
        <f ca="1">ROUND(IF($C18="Automático",AD18+AK18,$Y18*IF(ISERROR(QCI!$AB18/QCI!$O18),0,QCI!$AB18/QCI!$O18)),2)</f>
        <v>0</v>
      </c>
      <c r="T18" s="410">
        <f ca="1">ROUND(IF($C18="Automático",AF18+AM18,$Z18*IF(ISERROR(QCI!$AA18/QCI!$O18),0,QCI!$AA18/QCI!$O18)),2)</f>
        <v>0</v>
      </c>
      <c r="U18" s="410">
        <f ca="1">ROUND(IF($C18="Automático",AG18+AN18,$Z18*IF(ISERROR(QCI!$AB18/QCI!$O18),0,QCI!$AB18/QCI!$O18)),2)</f>
        <v>0</v>
      </c>
      <c r="V18" s="518">
        <f ca="1">IF(AND($L18&gt;0,$J18&lt;&gt;0,$J18&lt;&gt;"",COUNTIF($J$13:$J18,$J18)=1),OFFSET(V18,-1,0)+1,OFFSET(V18,-1,0))</f>
        <v>0</v>
      </c>
      <c r="X18" s="597"/>
      <c r="Y18" s="327"/>
      <c r="Z18" s="329"/>
      <c r="AC18" s="198" t="e">
        <f ca="1">IF(ACOMPANHAMENTO&lt;&gt;"PLE",0,SUMPRODUCT((OFFSET(CÁLCULO!$BV$15:$CN$15,$A18,0,$B18)&lt;=(PLE.Medicao-1))*OFFSET(CÁLCULO!$AJ$15:$BB$15,$A18,0,$B18)*OFFSET(ORÇAMENTO!$AA$15,$A18,0,$B18)/(OFFSET(ORÇAMENTO!$X$15,$A18,0,$B18)+10^-12))+IF(AUTOEVENTO="Manual",SUMPRODUCT((OFFSET(CÁLCULO!$M$15,$A18,0,$B18)=1)*OFFSET(ORÇAMENTO!$AA$15,$A18,0,$B18)*(PLE!$AE$9-PLE!$Y$9)),0))</f>
        <v>#N/A</v>
      </c>
      <c r="AD18" s="198" t="e">
        <f ca="1">IF(ACOMPANHAMENTO&lt;&gt;"PLE",0,SUMPRODUCT((OFFSET(CÁLCULO!$BV$15:$CN$15,$A18,0,$B18)&lt;=(PLE.Medicao-1))*OFFSET(CÁLCULO!$AJ$15:$BB$15,$A18,0,$B18)*OFFSET(ORÇAMENTO!$AB$15,$A18,0,$B18)/(OFFSET(ORÇAMENTO!$X$15,$A18,0,$B18)+10^-12))+IF(AUTOEVENTO="Manual",SUMPRODUCT((OFFSET(CÁLCULO!$M$15,$A18,0,$B18)=1)*OFFSET(ORÇAMENTO!$AB$15,$A18,0,$B18)*(PLE!$AE$9-PLE!$Y$9)),0))</f>
        <v>#N/A</v>
      </c>
      <c r="AE18" s="198" t="e">
        <f ca="1">ROUND(IF(ACOMPANHAMENTO&lt;&gt;"PLE",0,SUMIF(OFFSET(CÁLCULO!$BV$15:$CN$15,$A18,0,$B18),"&lt;="&amp;(PLE.Medicao-1),OFFSET(CÁLCULO!$AJ$15:$BB$15,$A18,0,$B18))+IF(AUTOEVENTO="Manual",SUMIF(OFFSET(CÁLCULO!$M$15,$A18,0,$B18),1,OFFSET(ORÇAMENTO!$X$15,$A18,0,$B18))*(PLE!$AE$9-PLE!$Y$9),0)),2)</f>
        <v>#N/A</v>
      </c>
      <c r="AF18" s="198" t="e">
        <f ca="1">IF(ACOMPANHAMENTO&lt;&gt;"PLE",0,SUMPRODUCT((OFFSET(CÁLCULO!$BV$15:$CN$15,$A18,0,$B18)&lt;=PLE.Medicao)*OFFSET(CÁLCULO!$AJ$15:$BB$15,$A18,0,$B18)*OFFSET(ORÇAMENTO!$AA$15,$A18,0,$B18)/(OFFSET(ORÇAMENTO!$X$15,$A18,0,$B18)+10^-12))+IF(AUTOEVENTO="Manual",SUMPRODUCT((OFFSET(CÁLCULO!$M$15,$A18,0,$B18)=1)*OFFSET(ORÇAMENTO!$AA$15,$A18,0,$B18)*PLE!$AE$9),0))</f>
        <v>#N/A</v>
      </c>
      <c r="AG18" s="198" t="e">
        <f ca="1">IF(ACOMPANHAMENTO&lt;&gt;"PLE",0,SUMPRODUCT((OFFSET(CÁLCULO!$BV$15:$CN$15,$A18,0,$B18)&lt;=PLE.Medicao)*OFFSET(CÁLCULO!$AJ$15:$BB$15,$A18,0,$B18)*OFFSET(ORÇAMENTO!$AB$15,$A18,0,$B18)/(OFFSET(ORÇAMENTO!$X$15,$A18,0,$B18)+10^-12))+IF(AUTOEVENTO="Manual",SUMPRODUCT((OFFSET(CÁLCULO!$M$15,$A18,0,$B18)=1)*OFFSET(ORÇAMENTO!$AB$15,$A18,0,$B18)*PLE!$AE$9),0))</f>
        <v>#N/A</v>
      </c>
      <c r="AH18" s="198" t="e">
        <f ca="1">ROUND(IF(ACOMPANHAMENTO&lt;&gt;"PLE",0,SUMIF(OFFSET(CÁLCULO!$BV$15:$CN$15,$A18,0,$B18),"&lt;="&amp;PLE.Medicao,OFFSET(CÁLCULO!$AJ$15:$BB$15,$A18,0,$B18))+IF(AUTOEVENTO="Manual",SUMIF(OFFSET(CÁLCULO!$M$15,$A18,0,$B18),1,OFFSET(ORÇAMENTO!$X$15,$A18,0,$B18))*PLE!$AE$9,0)),2)</f>
        <v>#N/A</v>
      </c>
      <c r="AJ18" s="198">
        <f ca="1">IF(ACOMPANHAMENTO&lt;&gt;"BM",0,SUMPRODUCT(OFFSET(BM!$M$15,$A18,0,$B18)*(OFFSET(BM!$A$15,$A18,0,$B18)="S")*OFFSET(ORÇAMENTO!AA$15,$A18,0,$B18)/(OFFSET(ORÇAMENTO!$X$15,$A18,0,$B18)+10^-12)))</f>
        <v>0</v>
      </c>
      <c r="AK18" s="198">
        <f ca="1">IF(ACOMPANHAMENTO&lt;&gt;"BM",0,SUMPRODUCT(OFFSET(BM!$M$15,$A18,0,$B18)*(OFFSET(BM!$A$15,$A18,0,$B18)="S")*OFFSET(ORÇAMENTO!AB$15,$A18,0,$B18)/(OFFSET(ORÇAMENTO!$X$15,$A18,0,$B18)+10^-12)))</f>
        <v>0</v>
      </c>
      <c r="AL18" s="198">
        <f ca="1">IF(ACOMPANHAMENTO&lt;&gt;"BM",0,OFFSET(BM!$M$15,$A18,0))</f>
        <v>0</v>
      </c>
      <c r="AM18" s="198">
        <f ca="1">IF(ACOMPANHAMENTO&lt;&gt;"BM",0,SUMPRODUCT(OFFSET(BM!$O$15,$A18,0,$B18)*(OFFSET(BM!$A$15,$A18,0,$B18)="S")*OFFSET(ORÇAMENTO!AA$15,$A18,0,$B18)/(OFFSET(ORÇAMENTO!$X$15,$A18,0,$B18)+10^-12)))</f>
        <v>0</v>
      </c>
      <c r="AN18" s="198">
        <f ca="1">IF(ACOMPANHAMENTO&lt;&gt;"BM",0,SUMPRODUCT(OFFSET(BM!$O$15,$A18,0,$B18)*(OFFSET(BM!$A$15,$A18,0,$B18)="S")*OFFSET(ORÇAMENTO!AB$15,$A18,0,$B18)/(OFFSET(ORÇAMENTO!$X$15,$A18,0,$B18)+10^-12)))</f>
        <v>0</v>
      </c>
      <c r="AO18" s="198">
        <f ca="1">IF(ACOMPANHAMENTO&lt;&gt;"BM",0,OFFSET(BM!$O$15,$A18,0))</f>
        <v>0</v>
      </c>
    </row>
    <row r="19" spans="1:41" x14ac:dyDescent="0.2">
      <c r="A19" t="e">
        <f ca="1">MATCH(E19,ORÇAMENTO!$E$15:$E$36,0)-1</f>
        <v>#N/A</v>
      </c>
      <c r="B19" t="e">
        <f ca="1">IF(ISERROR($A19),NA(),OFFSET(ORÇAMENTO!$D$15,$A19,0))</f>
        <v>#N/A</v>
      </c>
      <c r="C19" t="str">
        <f ca="1">QCI!B19</f>
        <v>Branco</v>
      </c>
      <c r="D19" t="str">
        <f t="shared" ca="1" si="0"/>
        <v/>
      </c>
      <c r="E19" s="321">
        <f>QCI!D19</f>
        <v>6</v>
      </c>
      <c r="F19" s="406" t="str">
        <f ca="1">QCI!G19</f>
        <v/>
      </c>
      <c r="G19" s="407">
        <f>QCI!H19</f>
        <v>0</v>
      </c>
      <c r="H19" s="322">
        <f>QCI!I19</f>
        <v>0</v>
      </c>
      <c r="I19" s="322" t="str">
        <f ca="1">QCI!J19</f>
        <v/>
      </c>
      <c r="J19" s="408" t="str">
        <f ca="1">QCI!K19</f>
        <v/>
      </c>
      <c r="K19" s="409" t="str">
        <f ca="1">IF($C19="Automático",IF(ACOMPANHAMENTO="BM",BM.medicao,PLE.Medicao),IF(ISBLANK($X19),"",$X19))</f>
        <v/>
      </c>
      <c r="L19" s="326">
        <f ca="1">QCI!$O19</f>
        <v>0</v>
      </c>
      <c r="M19" s="323">
        <f t="shared" ca="1" si="1"/>
        <v>0</v>
      </c>
      <c r="N19" s="324">
        <f t="shared" ca="1" si="2"/>
        <v>0</v>
      </c>
      <c r="O19" s="325">
        <f t="shared" ca="1" si="3"/>
        <v>0</v>
      </c>
      <c r="P19" s="411">
        <f t="shared" ca="1" si="4"/>
        <v>0</v>
      </c>
      <c r="R19" s="410">
        <f ca="1">ROUND(IF($C19="Automático",AC19+AJ19,$Y19*IF(ISERROR(QCI!$AA19/QCI!$O19),0,QCI!$AA19/QCI!$O19)),2)</f>
        <v>0</v>
      </c>
      <c r="S19" s="410">
        <f ca="1">ROUND(IF($C19="Automático",AD19+AK19,$Y19*IF(ISERROR(QCI!$AB19/QCI!$O19),0,QCI!$AB19/QCI!$O19)),2)</f>
        <v>0</v>
      </c>
      <c r="T19" s="410">
        <f ca="1">ROUND(IF($C19="Automático",AF19+AM19,$Z19*IF(ISERROR(QCI!$AA19/QCI!$O19),0,QCI!$AA19/QCI!$O19)),2)</f>
        <v>0</v>
      </c>
      <c r="U19" s="410">
        <f ca="1">ROUND(IF($C19="Automático",AG19+AN19,$Z19*IF(ISERROR(QCI!$AB19/QCI!$O19),0,QCI!$AB19/QCI!$O19)),2)</f>
        <v>0</v>
      </c>
      <c r="V19" s="518">
        <f ca="1">IF(AND($L19&gt;0,$J19&lt;&gt;0,$J19&lt;&gt;"",COUNTIF($J$13:$J19,$J19)=1),OFFSET(V19,-1,0)+1,OFFSET(V19,-1,0))</f>
        <v>0</v>
      </c>
      <c r="X19" s="597"/>
      <c r="Y19" s="327"/>
      <c r="Z19" s="329"/>
      <c r="AC19" s="198" t="e">
        <f ca="1">IF(ACOMPANHAMENTO&lt;&gt;"PLE",0,SUMPRODUCT((OFFSET(CÁLCULO!$BV$15:$CN$15,$A19,0,$B19)&lt;=(PLE.Medicao-1))*OFFSET(CÁLCULO!$AJ$15:$BB$15,$A19,0,$B19)*OFFSET(ORÇAMENTO!$AA$15,$A19,0,$B19)/(OFFSET(ORÇAMENTO!$X$15,$A19,0,$B19)+10^-12))+IF(AUTOEVENTO="Manual",SUMPRODUCT((OFFSET(CÁLCULO!$M$15,$A19,0,$B19)=1)*OFFSET(ORÇAMENTO!$AA$15,$A19,0,$B19)*(PLE!$AE$9-PLE!$Y$9)),0))</f>
        <v>#N/A</v>
      </c>
      <c r="AD19" s="198" t="e">
        <f ca="1">IF(ACOMPANHAMENTO&lt;&gt;"PLE",0,SUMPRODUCT((OFFSET(CÁLCULO!$BV$15:$CN$15,$A19,0,$B19)&lt;=(PLE.Medicao-1))*OFFSET(CÁLCULO!$AJ$15:$BB$15,$A19,0,$B19)*OFFSET(ORÇAMENTO!$AB$15,$A19,0,$B19)/(OFFSET(ORÇAMENTO!$X$15,$A19,0,$B19)+10^-12))+IF(AUTOEVENTO="Manual",SUMPRODUCT((OFFSET(CÁLCULO!$M$15,$A19,0,$B19)=1)*OFFSET(ORÇAMENTO!$AB$15,$A19,0,$B19)*(PLE!$AE$9-PLE!$Y$9)),0))</f>
        <v>#N/A</v>
      </c>
      <c r="AE19" s="198" t="e">
        <f ca="1">ROUND(IF(ACOMPANHAMENTO&lt;&gt;"PLE",0,SUMIF(OFFSET(CÁLCULO!$BV$15:$CN$15,$A19,0,$B19),"&lt;="&amp;(PLE.Medicao-1),OFFSET(CÁLCULO!$AJ$15:$BB$15,$A19,0,$B19))+IF(AUTOEVENTO="Manual",SUMIF(OFFSET(CÁLCULO!$M$15,$A19,0,$B19),1,OFFSET(ORÇAMENTO!$X$15,$A19,0,$B19))*(PLE!$AE$9-PLE!$Y$9),0)),2)</f>
        <v>#N/A</v>
      </c>
      <c r="AF19" s="198" t="e">
        <f ca="1">IF(ACOMPANHAMENTO&lt;&gt;"PLE",0,SUMPRODUCT((OFFSET(CÁLCULO!$BV$15:$CN$15,$A19,0,$B19)&lt;=PLE.Medicao)*OFFSET(CÁLCULO!$AJ$15:$BB$15,$A19,0,$B19)*OFFSET(ORÇAMENTO!$AA$15,$A19,0,$B19)/(OFFSET(ORÇAMENTO!$X$15,$A19,0,$B19)+10^-12))+IF(AUTOEVENTO="Manual",SUMPRODUCT((OFFSET(CÁLCULO!$M$15,$A19,0,$B19)=1)*OFFSET(ORÇAMENTO!$AA$15,$A19,0,$B19)*PLE!$AE$9),0))</f>
        <v>#N/A</v>
      </c>
      <c r="AG19" s="198" t="e">
        <f ca="1">IF(ACOMPANHAMENTO&lt;&gt;"PLE",0,SUMPRODUCT((OFFSET(CÁLCULO!$BV$15:$CN$15,$A19,0,$B19)&lt;=PLE.Medicao)*OFFSET(CÁLCULO!$AJ$15:$BB$15,$A19,0,$B19)*OFFSET(ORÇAMENTO!$AB$15,$A19,0,$B19)/(OFFSET(ORÇAMENTO!$X$15,$A19,0,$B19)+10^-12))+IF(AUTOEVENTO="Manual",SUMPRODUCT((OFFSET(CÁLCULO!$M$15,$A19,0,$B19)=1)*OFFSET(ORÇAMENTO!$AB$15,$A19,0,$B19)*PLE!$AE$9),0))</f>
        <v>#N/A</v>
      </c>
      <c r="AH19" s="198" t="e">
        <f ca="1">ROUND(IF(ACOMPANHAMENTO&lt;&gt;"PLE",0,SUMIF(OFFSET(CÁLCULO!$BV$15:$CN$15,$A19,0,$B19),"&lt;="&amp;PLE.Medicao,OFFSET(CÁLCULO!$AJ$15:$BB$15,$A19,0,$B19))+IF(AUTOEVENTO="Manual",SUMIF(OFFSET(CÁLCULO!$M$15,$A19,0,$B19),1,OFFSET(ORÇAMENTO!$X$15,$A19,0,$B19))*PLE!$AE$9,0)),2)</f>
        <v>#N/A</v>
      </c>
      <c r="AJ19" s="198">
        <f ca="1">IF(ACOMPANHAMENTO&lt;&gt;"BM",0,SUMPRODUCT(OFFSET(BM!$M$15,$A19,0,$B19)*(OFFSET(BM!$A$15,$A19,0,$B19)="S")*OFFSET(ORÇAMENTO!AA$15,$A19,0,$B19)/(OFFSET(ORÇAMENTO!$X$15,$A19,0,$B19)+10^-12)))</f>
        <v>0</v>
      </c>
      <c r="AK19" s="198">
        <f ca="1">IF(ACOMPANHAMENTO&lt;&gt;"BM",0,SUMPRODUCT(OFFSET(BM!$M$15,$A19,0,$B19)*(OFFSET(BM!$A$15,$A19,0,$B19)="S")*OFFSET(ORÇAMENTO!AB$15,$A19,0,$B19)/(OFFSET(ORÇAMENTO!$X$15,$A19,0,$B19)+10^-12)))</f>
        <v>0</v>
      </c>
      <c r="AL19" s="198">
        <f ca="1">IF(ACOMPANHAMENTO&lt;&gt;"BM",0,OFFSET(BM!$M$15,$A19,0))</f>
        <v>0</v>
      </c>
      <c r="AM19" s="198">
        <f ca="1">IF(ACOMPANHAMENTO&lt;&gt;"BM",0,SUMPRODUCT(OFFSET(BM!$O$15,$A19,0,$B19)*(OFFSET(BM!$A$15,$A19,0,$B19)="S")*OFFSET(ORÇAMENTO!AA$15,$A19,0,$B19)/(OFFSET(ORÇAMENTO!$X$15,$A19,0,$B19)+10^-12)))</f>
        <v>0</v>
      </c>
      <c r="AN19" s="198">
        <f ca="1">IF(ACOMPANHAMENTO&lt;&gt;"BM",0,SUMPRODUCT(OFFSET(BM!$O$15,$A19,0,$B19)*(OFFSET(BM!$A$15,$A19,0,$B19)="S")*OFFSET(ORÇAMENTO!AB$15,$A19,0,$B19)/(OFFSET(ORÇAMENTO!$X$15,$A19,0,$B19)+10^-12)))</f>
        <v>0</v>
      </c>
      <c r="AO19" s="198">
        <f ca="1">IF(ACOMPANHAMENTO&lt;&gt;"BM",0,OFFSET(BM!$O$15,$A19,0))</f>
        <v>0</v>
      </c>
    </row>
    <row r="20" spans="1:41" x14ac:dyDescent="0.2">
      <c r="A20" t="e">
        <f ca="1">MATCH(E20,ORÇAMENTO!$E$15:$E$36,0)-1</f>
        <v>#N/A</v>
      </c>
      <c r="B20" t="e">
        <f ca="1">IF(ISERROR($A20),NA(),OFFSET(ORÇAMENTO!$D$15,$A20,0))</f>
        <v>#N/A</v>
      </c>
      <c r="C20" t="str">
        <f ca="1">QCI!B20</f>
        <v>Branco</v>
      </c>
      <c r="D20" t="str">
        <f t="shared" ca="1" si="0"/>
        <v/>
      </c>
      <c r="E20" s="321">
        <f>QCI!D20</f>
        <v>7</v>
      </c>
      <c r="F20" s="406" t="str">
        <f ca="1">QCI!G20</f>
        <v/>
      </c>
      <c r="G20" s="407">
        <f>QCI!H20</f>
        <v>0</v>
      </c>
      <c r="H20" s="322">
        <f>QCI!I20</f>
        <v>0</v>
      </c>
      <c r="I20" s="322" t="str">
        <f ca="1">QCI!J20</f>
        <v/>
      </c>
      <c r="J20" s="408" t="str">
        <f ca="1">QCI!K20</f>
        <v/>
      </c>
      <c r="K20" s="409" t="str">
        <f ca="1">IF($C20="Automático",IF(ACOMPANHAMENTO="BM",BM.medicao,PLE.Medicao),IF(ISBLANK($X20),"",$X20))</f>
        <v/>
      </c>
      <c r="L20" s="326">
        <f ca="1">QCI!$O20</f>
        <v>0</v>
      </c>
      <c r="M20" s="323">
        <f t="shared" ca="1" si="1"/>
        <v>0</v>
      </c>
      <c r="N20" s="324">
        <f t="shared" ca="1" si="2"/>
        <v>0</v>
      </c>
      <c r="O20" s="325">
        <f t="shared" ca="1" si="3"/>
        <v>0</v>
      </c>
      <c r="P20" s="411">
        <f t="shared" ca="1" si="4"/>
        <v>0</v>
      </c>
      <c r="R20" s="410">
        <f ca="1">ROUND(IF($C20="Automático",AC20+AJ20,$Y20*IF(ISERROR(QCI!$AA20/QCI!$O20),0,QCI!$AA20/QCI!$O20)),2)</f>
        <v>0</v>
      </c>
      <c r="S20" s="410">
        <f ca="1">ROUND(IF($C20="Automático",AD20+AK20,$Y20*IF(ISERROR(QCI!$AB20/QCI!$O20),0,QCI!$AB20/QCI!$O20)),2)</f>
        <v>0</v>
      </c>
      <c r="T20" s="410">
        <f ca="1">ROUND(IF($C20="Automático",AF20+AM20,$Z20*IF(ISERROR(QCI!$AA20/QCI!$O20),0,QCI!$AA20/QCI!$O20)),2)</f>
        <v>0</v>
      </c>
      <c r="U20" s="410">
        <f ca="1">ROUND(IF($C20="Automático",AG20+AN20,$Z20*IF(ISERROR(QCI!$AB20/QCI!$O20),0,QCI!$AB20/QCI!$O20)),2)</f>
        <v>0</v>
      </c>
      <c r="V20" s="518">
        <f ca="1">IF(AND($L20&gt;0,$J20&lt;&gt;0,$J20&lt;&gt;"",COUNTIF($J$13:$J20,$J20)=1),OFFSET(V20,-1,0)+1,OFFSET(V20,-1,0))</f>
        <v>0</v>
      </c>
      <c r="X20" s="597"/>
      <c r="Y20" s="327"/>
      <c r="Z20" s="329"/>
      <c r="AC20" s="198" t="e">
        <f ca="1">IF(ACOMPANHAMENTO&lt;&gt;"PLE",0,SUMPRODUCT((OFFSET(CÁLCULO!$BV$15:$CN$15,$A20,0,$B20)&lt;=(PLE.Medicao-1))*OFFSET(CÁLCULO!$AJ$15:$BB$15,$A20,0,$B20)*OFFSET(ORÇAMENTO!$AA$15,$A20,0,$B20)/(OFFSET(ORÇAMENTO!$X$15,$A20,0,$B20)+10^-12))+IF(AUTOEVENTO="Manual",SUMPRODUCT((OFFSET(CÁLCULO!$M$15,$A20,0,$B20)=1)*OFFSET(ORÇAMENTO!$AA$15,$A20,0,$B20)*(PLE!$AE$9-PLE!$Y$9)),0))</f>
        <v>#N/A</v>
      </c>
      <c r="AD20" s="198" t="e">
        <f ca="1">IF(ACOMPANHAMENTO&lt;&gt;"PLE",0,SUMPRODUCT((OFFSET(CÁLCULO!$BV$15:$CN$15,$A20,0,$B20)&lt;=(PLE.Medicao-1))*OFFSET(CÁLCULO!$AJ$15:$BB$15,$A20,0,$B20)*OFFSET(ORÇAMENTO!$AB$15,$A20,0,$B20)/(OFFSET(ORÇAMENTO!$X$15,$A20,0,$B20)+10^-12))+IF(AUTOEVENTO="Manual",SUMPRODUCT((OFFSET(CÁLCULO!$M$15,$A20,0,$B20)=1)*OFFSET(ORÇAMENTO!$AB$15,$A20,0,$B20)*(PLE!$AE$9-PLE!$Y$9)),0))</f>
        <v>#N/A</v>
      </c>
      <c r="AE20" s="198" t="e">
        <f ca="1">ROUND(IF(ACOMPANHAMENTO&lt;&gt;"PLE",0,SUMIF(OFFSET(CÁLCULO!$BV$15:$CN$15,$A20,0,$B20),"&lt;="&amp;(PLE.Medicao-1),OFFSET(CÁLCULO!$AJ$15:$BB$15,$A20,0,$B20))+IF(AUTOEVENTO="Manual",SUMIF(OFFSET(CÁLCULO!$M$15,$A20,0,$B20),1,OFFSET(ORÇAMENTO!$X$15,$A20,0,$B20))*(PLE!$AE$9-PLE!$Y$9),0)),2)</f>
        <v>#N/A</v>
      </c>
      <c r="AF20" s="198" t="e">
        <f ca="1">IF(ACOMPANHAMENTO&lt;&gt;"PLE",0,SUMPRODUCT((OFFSET(CÁLCULO!$BV$15:$CN$15,$A20,0,$B20)&lt;=PLE.Medicao)*OFFSET(CÁLCULO!$AJ$15:$BB$15,$A20,0,$B20)*OFFSET(ORÇAMENTO!$AA$15,$A20,0,$B20)/(OFFSET(ORÇAMENTO!$X$15,$A20,0,$B20)+10^-12))+IF(AUTOEVENTO="Manual",SUMPRODUCT((OFFSET(CÁLCULO!$M$15,$A20,0,$B20)=1)*OFFSET(ORÇAMENTO!$AA$15,$A20,0,$B20)*PLE!$AE$9),0))</f>
        <v>#N/A</v>
      </c>
      <c r="AG20" s="198" t="e">
        <f ca="1">IF(ACOMPANHAMENTO&lt;&gt;"PLE",0,SUMPRODUCT((OFFSET(CÁLCULO!$BV$15:$CN$15,$A20,0,$B20)&lt;=PLE.Medicao)*OFFSET(CÁLCULO!$AJ$15:$BB$15,$A20,0,$B20)*OFFSET(ORÇAMENTO!$AB$15,$A20,0,$B20)/(OFFSET(ORÇAMENTO!$X$15,$A20,0,$B20)+10^-12))+IF(AUTOEVENTO="Manual",SUMPRODUCT((OFFSET(CÁLCULO!$M$15,$A20,0,$B20)=1)*OFFSET(ORÇAMENTO!$AB$15,$A20,0,$B20)*PLE!$AE$9),0))</f>
        <v>#N/A</v>
      </c>
      <c r="AH20" s="198" t="e">
        <f ca="1">ROUND(IF(ACOMPANHAMENTO&lt;&gt;"PLE",0,SUMIF(OFFSET(CÁLCULO!$BV$15:$CN$15,$A20,0,$B20),"&lt;="&amp;PLE.Medicao,OFFSET(CÁLCULO!$AJ$15:$BB$15,$A20,0,$B20))+IF(AUTOEVENTO="Manual",SUMIF(OFFSET(CÁLCULO!$M$15,$A20,0,$B20),1,OFFSET(ORÇAMENTO!$X$15,$A20,0,$B20))*PLE!$AE$9,0)),2)</f>
        <v>#N/A</v>
      </c>
      <c r="AJ20" s="198">
        <f ca="1">IF(ACOMPANHAMENTO&lt;&gt;"BM",0,SUMPRODUCT(OFFSET(BM!$M$15,$A20,0,$B20)*(OFFSET(BM!$A$15,$A20,0,$B20)="S")*OFFSET(ORÇAMENTO!AA$15,$A20,0,$B20)/(OFFSET(ORÇAMENTO!$X$15,$A20,0,$B20)+10^-12)))</f>
        <v>0</v>
      </c>
      <c r="AK20" s="198">
        <f ca="1">IF(ACOMPANHAMENTO&lt;&gt;"BM",0,SUMPRODUCT(OFFSET(BM!$M$15,$A20,0,$B20)*(OFFSET(BM!$A$15,$A20,0,$B20)="S")*OFFSET(ORÇAMENTO!AB$15,$A20,0,$B20)/(OFFSET(ORÇAMENTO!$X$15,$A20,0,$B20)+10^-12)))</f>
        <v>0</v>
      </c>
      <c r="AL20" s="198">
        <f ca="1">IF(ACOMPANHAMENTO&lt;&gt;"BM",0,OFFSET(BM!$M$15,$A20,0))</f>
        <v>0</v>
      </c>
      <c r="AM20" s="198">
        <f ca="1">IF(ACOMPANHAMENTO&lt;&gt;"BM",0,SUMPRODUCT(OFFSET(BM!$O$15,$A20,0,$B20)*(OFFSET(BM!$A$15,$A20,0,$B20)="S")*OFFSET(ORÇAMENTO!AA$15,$A20,0,$B20)/(OFFSET(ORÇAMENTO!$X$15,$A20,0,$B20)+10^-12)))</f>
        <v>0</v>
      </c>
      <c r="AN20" s="198">
        <f ca="1">IF(ACOMPANHAMENTO&lt;&gt;"BM",0,SUMPRODUCT(OFFSET(BM!$O$15,$A20,0,$B20)*(OFFSET(BM!$A$15,$A20,0,$B20)="S")*OFFSET(ORÇAMENTO!AB$15,$A20,0,$B20)/(OFFSET(ORÇAMENTO!$X$15,$A20,0,$B20)+10^-12)))</f>
        <v>0</v>
      </c>
      <c r="AO20" s="198">
        <f ca="1">IF(ACOMPANHAMENTO&lt;&gt;"BM",0,OFFSET(BM!$O$15,$A20,0))</f>
        <v>0</v>
      </c>
    </row>
    <row r="21" spans="1:41" x14ac:dyDescent="0.2">
      <c r="A21" t="e">
        <f ca="1">MATCH(E21,ORÇAMENTO!$E$15:$E$36,0)-1</f>
        <v>#N/A</v>
      </c>
      <c r="B21" t="e">
        <f ca="1">IF(ISERROR($A21),NA(),OFFSET(ORÇAMENTO!$D$15,$A21,0))</f>
        <v>#N/A</v>
      </c>
      <c r="C21" t="str">
        <f ca="1">QCI!B21</f>
        <v>Branco</v>
      </c>
      <c r="D21" t="str">
        <f t="shared" ca="1" si="0"/>
        <v/>
      </c>
      <c r="E21" s="321">
        <f>QCI!D21</f>
        <v>8</v>
      </c>
      <c r="F21" s="406" t="str">
        <f ca="1">QCI!G21</f>
        <v/>
      </c>
      <c r="G21" s="407">
        <f>QCI!H21</f>
        <v>0</v>
      </c>
      <c r="H21" s="322">
        <f>QCI!I21</f>
        <v>0</v>
      </c>
      <c r="I21" s="322" t="str">
        <f ca="1">QCI!J21</f>
        <v/>
      </c>
      <c r="J21" s="408" t="str">
        <f ca="1">QCI!K21</f>
        <v/>
      </c>
      <c r="K21" s="409" t="str">
        <f ca="1">IF($C21="Automático",IF(ACOMPANHAMENTO="BM",BM.medicao,PLE.Medicao),IF(ISBLANK($X21),"",$X21))</f>
        <v/>
      </c>
      <c r="L21" s="326">
        <f ca="1">QCI!$O21</f>
        <v>0</v>
      </c>
      <c r="M21" s="323">
        <f t="shared" ca="1" si="1"/>
        <v>0</v>
      </c>
      <c r="N21" s="324">
        <f t="shared" ca="1" si="2"/>
        <v>0</v>
      </c>
      <c r="O21" s="325">
        <f t="shared" ca="1" si="3"/>
        <v>0</v>
      </c>
      <c r="P21" s="411">
        <f t="shared" ca="1" si="4"/>
        <v>0</v>
      </c>
      <c r="R21" s="410">
        <f ca="1">ROUND(IF($C21="Automático",AC21+AJ21,$Y21*IF(ISERROR(QCI!$AA21/QCI!$O21),0,QCI!$AA21/QCI!$O21)),2)</f>
        <v>0</v>
      </c>
      <c r="S21" s="410">
        <f ca="1">ROUND(IF($C21="Automático",AD21+AK21,$Y21*IF(ISERROR(QCI!$AB21/QCI!$O21),0,QCI!$AB21/QCI!$O21)),2)</f>
        <v>0</v>
      </c>
      <c r="T21" s="410">
        <f ca="1">ROUND(IF($C21="Automático",AF21+AM21,$Z21*IF(ISERROR(QCI!$AA21/QCI!$O21),0,QCI!$AA21/QCI!$O21)),2)</f>
        <v>0</v>
      </c>
      <c r="U21" s="410">
        <f ca="1">ROUND(IF($C21="Automático",AG21+AN21,$Z21*IF(ISERROR(QCI!$AB21/QCI!$O21),0,QCI!$AB21/QCI!$O21)),2)</f>
        <v>0</v>
      </c>
      <c r="V21" s="518">
        <f ca="1">IF(AND($L21&gt;0,$J21&lt;&gt;0,$J21&lt;&gt;"",COUNTIF($J$13:$J21,$J21)=1),OFFSET(V21,-1,0)+1,OFFSET(V21,-1,0))</f>
        <v>0</v>
      </c>
      <c r="X21" s="597"/>
      <c r="Y21" s="327"/>
      <c r="Z21" s="329"/>
      <c r="AC21" s="198" t="e">
        <f ca="1">IF(ACOMPANHAMENTO&lt;&gt;"PLE",0,SUMPRODUCT((OFFSET(CÁLCULO!$BV$15:$CN$15,$A21,0,$B21)&lt;=(PLE.Medicao-1))*OFFSET(CÁLCULO!$AJ$15:$BB$15,$A21,0,$B21)*OFFSET(ORÇAMENTO!$AA$15,$A21,0,$B21)/(OFFSET(ORÇAMENTO!$X$15,$A21,0,$B21)+10^-12))+IF(AUTOEVENTO="Manual",SUMPRODUCT((OFFSET(CÁLCULO!$M$15,$A21,0,$B21)=1)*OFFSET(ORÇAMENTO!$AA$15,$A21,0,$B21)*(PLE!$AE$9-PLE!$Y$9)),0))</f>
        <v>#N/A</v>
      </c>
      <c r="AD21" s="198" t="e">
        <f ca="1">IF(ACOMPANHAMENTO&lt;&gt;"PLE",0,SUMPRODUCT((OFFSET(CÁLCULO!$BV$15:$CN$15,$A21,0,$B21)&lt;=(PLE.Medicao-1))*OFFSET(CÁLCULO!$AJ$15:$BB$15,$A21,0,$B21)*OFFSET(ORÇAMENTO!$AB$15,$A21,0,$B21)/(OFFSET(ORÇAMENTO!$X$15,$A21,0,$B21)+10^-12))+IF(AUTOEVENTO="Manual",SUMPRODUCT((OFFSET(CÁLCULO!$M$15,$A21,0,$B21)=1)*OFFSET(ORÇAMENTO!$AB$15,$A21,0,$B21)*(PLE!$AE$9-PLE!$Y$9)),0))</f>
        <v>#N/A</v>
      </c>
      <c r="AE21" s="198" t="e">
        <f ca="1">ROUND(IF(ACOMPANHAMENTO&lt;&gt;"PLE",0,SUMIF(OFFSET(CÁLCULO!$BV$15:$CN$15,$A21,0,$B21),"&lt;="&amp;(PLE.Medicao-1),OFFSET(CÁLCULO!$AJ$15:$BB$15,$A21,0,$B21))+IF(AUTOEVENTO="Manual",SUMIF(OFFSET(CÁLCULO!$M$15,$A21,0,$B21),1,OFFSET(ORÇAMENTO!$X$15,$A21,0,$B21))*(PLE!$AE$9-PLE!$Y$9),0)),2)</f>
        <v>#N/A</v>
      </c>
      <c r="AF21" s="198" t="e">
        <f ca="1">IF(ACOMPANHAMENTO&lt;&gt;"PLE",0,SUMPRODUCT((OFFSET(CÁLCULO!$BV$15:$CN$15,$A21,0,$B21)&lt;=PLE.Medicao)*OFFSET(CÁLCULO!$AJ$15:$BB$15,$A21,0,$B21)*OFFSET(ORÇAMENTO!$AA$15,$A21,0,$B21)/(OFFSET(ORÇAMENTO!$X$15,$A21,0,$B21)+10^-12))+IF(AUTOEVENTO="Manual",SUMPRODUCT((OFFSET(CÁLCULO!$M$15,$A21,0,$B21)=1)*OFFSET(ORÇAMENTO!$AA$15,$A21,0,$B21)*PLE!$AE$9),0))</f>
        <v>#N/A</v>
      </c>
      <c r="AG21" s="198" t="e">
        <f ca="1">IF(ACOMPANHAMENTO&lt;&gt;"PLE",0,SUMPRODUCT((OFFSET(CÁLCULO!$BV$15:$CN$15,$A21,0,$B21)&lt;=PLE.Medicao)*OFFSET(CÁLCULO!$AJ$15:$BB$15,$A21,0,$B21)*OFFSET(ORÇAMENTO!$AB$15,$A21,0,$B21)/(OFFSET(ORÇAMENTO!$X$15,$A21,0,$B21)+10^-12))+IF(AUTOEVENTO="Manual",SUMPRODUCT((OFFSET(CÁLCULO!$M$15,$A21,0,$B21)=1)*OFFSET(ORÇAMENTO!$AB$15,$A21,0,$B21)*PLE!$AE$9),0))</f>
        <v>#N/A</v>
      </c>
      <c r="AH21" s="198" t="e">
        <f ca="1">ROUND(IF(ACOMPANHAMENTO&lt;&gt;"PLE",0,SUMIF(OFFSET(CÁLCULO!$BV$15:$CN$15,$A21,0,$B21),"&lt;="&amp;PLE.Medicao,OFFSET(CÁLCULO!$AJ$15:$BB$15,$A21,0,$B21))+IF(AUTOEVENTO="Manual",SUMIF(OFFSET(CÁLCULO!$M$15,$A21,0,$B21),1,OFFSET(ORÇAMENTO!$X$15,$A21,0,$B21))*PLE!$AE$9,0)),2)</f>
        <v>#N/A</v>
      </c>
      <c r="AJ21" s="198">
        <f ca="1">IF(ACOMPANHAMENTO&lt;&gt;"BM",0,SUMPRODUCT(OFFSET(BM!$M$15,$A21,0,$B21)*(OFFSET(BM!$A$15,$A21,0,$B21)="S")*OFFSET(ORÇAMENTO!AA$15,$A21,0,$B21)/(OFFSET(ORÇAMENTO!$X$15,$A21,0,$B21)+10^-12)))</f>
        <v>0</v>
      </c>
      <c r="AK21" s="198">
        <f ca="1">IF(ACOMPANHAMENTO&lt;&gt;"BM",0,SUMPRODUCT(OFFSET(BM!$M$15,$A21,0,$B21)*(OFFSET(BM!$A$15,$A21,0,$B21)="S")*OFFSET(ORÇAMENTO!AB$15,$A21,0,$B21)/(OFFSET(ORÇAMENTO!$X$15,$A21,0,$B21)+10^-12)))</f>
        <v>0</v>
      </c>
      <c r="AL21" s="198">
        <f ca="1">IF(ACOMPANHAMENTO&lt;&gt;"BM",0,OFFSET(BM!$M$15,$A21,0))</f>
        <v>0</v>
      </c>
      <c r="AM21" s="198">
        <f ca="1">IF(ACOMPANHAMENTO&lt;&gt;"BM",0,SUMPRODUCT(OFFSET(BM!$O$15,$A21,0,$B21)*(OFFSET(BM!$A$15,$A21,0,$B21)="S")*OFFSET(ORÇAMENTO!AA$15,$A21,0,$B21)/(OFFSET(ORÇAMENTO!$X$15,$A21,0,$B21)+10^-12)))</f>
        <v>0</v>
      </c>
      <c r="AN21" s="198">
        <f ca="1">IF(ACOMPANHAMENTO&lt;&gt;"BM",0,SUMPRODUCT(OFFSET(BM!$O$15,$A21,0,$B21)*(OFFSET(BM!$A$15,$A21,0,$B21)="S")*OFFSET(ORÇAMENTO!AB$15,$A21,0,$B21)/(OFFSET(ORÇAMENTO!$X$15,$A21,0,$B21)+10^-12)))</f>
        <v>0</v>
      </c>
      <c r="AO21" s="198">
        <f ca="1">IF(ACOMPANHAMENTO&lt;&gt;"BM",0,OFFSET(BM!$O$15,$A21,0))</f>
        <v>0</v>
      </c>
    </row>
    <row r="22" spans="1:41" x14ac:dyDescent="0.2">
      <c r="A22" t="e">
        <f ca="1">MATCH(E22,ORÇAMENTO!$E$15:$E$36,0)-1</f>
        <v>#N/A</v>
      </c>
      <c r="B22" t="e">
        <f ca="1">IF(ISERROR($A22),NA(),OFFSET(ORÇAMENTO!$D$15,$A22,0))</f>
        <v>#N/A</v>
      </c>
      <c r="C22" t="str">
        <f ca="1">QCI!B22</f>
        <v>Branco</v>
      </c>
      <c r="D22" t="str">
        <f t="shared" ca="1" si="0"/>
        <v/>
      </c>
      <c r="E22" s="321">
        <f>QCI!D22</f>
        <v>9</v>
      </c>
      <c r="F22" s="406" t="str">
        <f ca="1">QCI!G22</f>
        <v/>
      </c>
      <c r="G22" s="407">
        <f>QCI!H22</f>
        <v>0</v>
      </c>
      <c r="H22" s="322">
        <f>QCI!I22</f>
        <v>0</v>
      </c>
      <c r="I22" s="322" t="str">
        <f ca="1">QCI!J22</f>
        <v/>
      </c>
      <c r="J22" s="408" t="str">
        <f ca="1">QCI!K22</f>
        <v/>
      </c>
      <c r="K22" s="409" t="str">
        <f ca="1">IF($C22="Automático",IF(ACOMPANHAMENTO="BM",BM.medicao,PLE.Medicao),IF(ISBLANK($X22),"",$X22))</f>
        <v/>
      </c>
      <c r="L22" s="326">
        <f ca="1">QCI!$O22</f>
        <v>0</v>
      </c>
      <c r="M22" s="323">
        <f t="shared" ca="1" si="1"/>
        <v>0</v>
      </c>
      <c r="N22" s="324">
        <f t="shared" ca="1" si="2"/>
        <v>0</v>
      </c>
      <c r="O22" s="325">
        <f t="shared" ca="1" si="3"/>
        <v>0</v>
      </c>
      <c r="P22" s="411">
        <f t="shared" ca="1" si="4"/>
        <v>0</v>
      </c>
      <c r="R22" s="410">
        <f ca="1">ROUND(IF($C22="Automático",AC22+AJ22,$Y22*IF(ISERROR(QCI!$AA22/QCI!$O22),0,QCI!$AA22/QCI!$O22)),2)</f>
        <v>0</v>
      </c>
      <c r="S22" s="410">
        <f ca="1">ROUND(IF($C22="Automático",AD22+AK22,$Y22*IF(ISERROR(QCI!$AB22/QCI!$O22),0,QCI!$AB22/QCI!$O22)),2)</f>
        <v>0</v>
      </c>
      <c r="T22" s="410">
        <f ca="1">ROUND(IF($C22="Automático",AF22+AM22,$Z22*IF(ISERROR(QCI!$AA22/QCI!$O22),0,QCI!$AA22/QCI!$O22)),2)</f>
        <v>0</v>
      </c>
      <c r="U22" s="410">
        <f ca="1">ROUND(IF($C22="Automático",AG22+AN22,$Z22*IF(ISERROR(QCI!$AB22/QCI!$O22),0,QCI!$AB22/QCI!$O22)),2)</f>
        <v>0</v>
      </c>
      <c r="V22" s="518">
        <f ca="1">IF(AND($L22&gt;0,$J22&lt;&gt;0,$J22&lt;&gt;"",COUNTIF($J$13:$J22,$J22)=1),OFFSET(V22,-1,0)+1,OFFSET(V22,-1,0))</f>
        <v>0</v>
      </c>
      <c r="X22" s="597"/>
      <c r="Y22" s="327"/>
      <c r="Z22" s="329"/>
      <c r="AC22" s="198" t="e">
        <f ca="1">IF(ACOMPANHAMENTO&lt;&gt;"PLE",0,SUMPRODUCT((OFFSET(CÁLCULO!$BV$15:$CN$15,$A22,0,$B22)&lt;=(PLE.Medicao-1))*OFFSET(CÁLCULO!$AJ$15:$BB$15,$A22,0,$B22)*OFFSET(ORÇAMENTO!$AA$15,$A22,0,$B22)/(OFFSET(ORÇAMENTO!$X$15,$A22,0,$B22)+10^-12))+IF(AUTOEVENTO="Manual",SUMPRODUCT((OFFSET(CÁLCULO!$M$15,$A22,0,$B22)=1)*OFFSET(ORÇAMENTO!$AA$15,$A22,0,$B22)*(PLE!$AE$9-PLE!$Y$9)),0))</f>
        <v>#N/A</v>
      </c>
      <c r="AD22" s="198" t="e">
        <f ca="1">IF(ACOMPANHAMENTO&lt;&gt;"PLE",0,SUMPRODUCT((OFFSET(CÁLCULO!$BV$15:$CN$15,$A22,0,$B22)&lt;=(PLE.Medicao-1))*OFFSET(CÁLCULO!$AJ$15:$BB$15,$A22,0,$B22)*OFFSET(ORÇAMENTO!$AB$15,$A22,0,$B22)/(OFFSET(ORÇAMENTO!$X$15,$A22,0,$B22)+10^-12))+IF(AUTOEVENTO="Manual",SUMPRODUCT((OFFSET(CÁLCULO!$M$15,$A22,0,$B22)=1)*OFFSET(ORÇAMENTO!$AB$15,$A22,0,$B22)*(PLE!$AE$9-PLE!$Y$9)),0))</f>
        <v>#N/A</v>
      </c>
      <c r="AE22" s="198" t="e">
        <f ca="1">ROUND(IF(ACOMPANHAMENTO&lt;&gt;"PLE",0,SUMIF(OFFSET(CÁLCULO!$BV$15:$CN$15,$A22,0,$B22),"&lt;="&amp;(PLE.Medicao-1),OFFSET(CÁLCULO!$AJ$15:$BB$15,$A22,0,$B22))+IF(AUTOEVENTO="Manual",SUMIF(OFFSET(CÁLCULO!$M$15,$A22,0,$B22),1,OFFSET(ORÇAMENTO!$X$15,$A22,0,$B22))*(PLE!$AE$9-PLE!$Y$9),0)),2)</f>
        <v>#N/A</v>
      </c>
      <c r="AF22" s="198" t="e">
        <f ca="1">IF(ACOMPANHAMENTO&lt;&gt;"PLE",0,SUMPRODUCT((OFFSET(CÁLCULO!$BV$15:$CN$15,$A22,0,$B22)&lt;=PLE.Medicao)*OFFSET(CÁLCULO!$AJ$15:$BB$15,$A22,0,$B22)*OFFSET(ORÇAMENTO!$AA$15,$A22,0,$B22)/(OFFSET(ORÇAMENTO!$X$15,$A22,0,$B22)+10^-12))+IF(AUTOEVENTO="Manual",SUMPRODUCT((OFFSET(CÁLCULO!$M$15,$A22,0,$B22)=1)*OFFSET(ORÇAMENTO!$AA$15,$A22,0,$B22)*PLE!$AE$9),0))</f>
        <v>#N/A</v>
      </c>
      <c r="AG22" s="198" t="e">
        <f ca="1">IF(ACOMPANHAMENTO&lt;&gt;"PLE",0,SUMPRODUCT((OFFSET(CÁLCULO!$BV$15:$CN$15,$A22,0,$B22)&lt;=PLE.Medicao)*OFFSET(CÁLCULO!$AJ$15:$BB$15,$A22,0,$B22)*OFFSET(ORÇAMENTO!$AB$15,$A22,0,$B22)/(OFFSET(ORÇAMENTO!$X$15,$A22,0,$B22)+10^-12))+IF(AUTOEVENTO="Manual",SUMPRODUCT((OFFSET(CÁLCULO!$M$15,$A22,0,$B22)=1)*OFFSET(ORÇAMENTO!$AB$15,$A22,0,$B22)*PLE!$AE$9),0))</f>
        <v>#N/A</v>
      </c>
      <c r="AH22" s="198" t="e">
        <f ca="1">ROUND(IF(ACOMPANHAMENTO&lt;&gt;"PLE",0,SUMIF(OFFSET(CÁLCULO!$BV$15:$CN$15,$A22,0,$B22),"&lt;="&amp;PLE.Medicao,OFFSET(CÁLCULO!$AJ$15:$BB$15,$A22,0,$B22))+IF(AUTOEVENTO="Manual",SUMIF(OFFSET(CÁLCULO!$M$15,$A22,0,$B22),1,OFFSET(ORÇAMENTO!$X$15,$A22,0,$B22))*PLE!$AE$9,0)),2)</f>
        <v>#N/A</v>
      </c>
      <c r="AJ22" s="198">
        <f ca="1">IF(ACOMPANHAMENTO&lt;&gt;"BM",0,SUMPRODUCT(OFFSET(BM!$M$15,$A22,0,$B22)*(OFFSET(BM!$A$15,$A22,0,$B22)="S")*OFFSET(ORÇAMENTO!AA$15,$A22,0,$B22)/(OFFSET(ORÇAMENTO!$X$15,$A22,0,$B22)+10^-12)))</f>
        <v>0</v>
      </c>
      <c r="AK22" s="198">
        <f ca="1">IF(ACOMPANHAMENTO&lt;&gt;"BM",0,SUMPRODUCT(OFFSET(BM!$M$15,$A22,0,$B22)*(OFFSET(BM!$A$15,$A22,0,$B22)="S")*OFFSET(ORÇAMENTO!AB$15,$A22,0,$B22)/(OFFSET(ORÇAMENTO!$X$15,$A22,0,$B22)+10^-12)))</f>
        <v>0</v>
      </c>
      <c r="AL22" s="198">
        <f ca="1">IF(ACOMPANHAMENTO&lt;&gt;"BM",0,OFFSET(BM!$M$15,$A22,0))</f>
        <v>0</v>
      </c>
      <c r="AM22" s="198">
        <f ca="1">IF(ACOMPANHAMENTO&lt;&gt;"BM",0,SUMPRODUCT(OFFSET(BM!$O$15,$A22,0,$B22)*(OFFSET(BM!$A$15,$A22,0,$B22)="S")*OFFSET(ORÇAMENTO!AA$15,$A22,0,$B22)/(OFFSET(ORÇAMENTO!$X$15,$A22,0,$B22)+10^-12)))</f>
        <v>0</v>
      </c>
      <c r="AN22" s="198">
        <f ca="1">IF(ACOMPANHAMENTO&lt;&gt;"BM",0,SUMPRODUCT(OFFSET(BM!$O$15,$A22,0,$B22)*(OFFSET(BM!$A$15,$A22,0,$B22)="S")*OFFSET(ORÇAMENTO!AB$15,$A22,0,$B22)/(OFFSET(ORÇAMENTO!$X$15,$A22,0,$B22)+10^-12)))</f>
        <v>0</v>
      </c>
      <c r="AO22" s="198">
        <f ca="1">IF(ACOMPANHAMENTO&lt;&gt;"BM",0,OFFSET(BM!$O$15,$A22,0))</f>
        <v>0</v>
      </c>
    </row>
    <row r="23" spans="1:41" x14ac:dyDescent="0.2">
      <c r="A23" t="e">
        <f ca="1">MATCH(E23,ORÇAMENTO!$E$15:$E$36,0)-1</f>
        <v>#N/A</v>
      </c>
      <c r="B23" t="e">
        <f ca="1">IF(ISERROR($A23),NA(),OFFSET(ORÇAMENTO!$D$15,$A23,0))</f>
        <v>#N/A</v>
      </c>
      <c r="C23" t="str">
        <f ca="1">QCI!B23</f>
        <v>Branco</v>
      </c>
      <c r="D23" t="str">
        <f ca="1">IF(L23&gt;0,"F","")</f>
        <v/>
      </c>
      <c r="E23" s="321">
        <f>QCI!D23</f>
        <v>10</v>
      </c>
      <c r="F23" s="406" t="str">
        <f ca="1">QCI!G23</f>
        <v/>
      </c>
      <c r="G23" s="407">
        <f>QCI!H23</f>
        <v>0</v>
      </c>
      <c r="H23" s="322">
        <f>QCI!I23</f>
        <v>0</v>
      </c>
      <c r="I23" s="322" t="str">
        <f ca="1">QCI!J23</f>
        <v/>
      </c>
      <c r="J23" s="408" t="str">
        <f ca="1">QCI!K23</f>
        <v/>
      </c>
      <c r="K23" s="409" t="str">
        <f ca="1">IF($C23="Automático",IF(ACOMPANHAMENTO="BM",BM.medicao,PLE.Medicao),IF(ISBLANK($X23),"",$X23))</f>
        <v/>
      </c>
      <c r="L23" s="326">
        <f ca="1">QCI!$O23</f>
        <v>0</v>
      </c>
      <c r="M23" s="323">
        <f ca="1">ROUND(IF(C23="Automático",AE23+AL23,Y23),2)</f>
        <v>0</v>
      </c>
      <c r="N23" s="324">
        <f ca="1">O23-M23</f>
        <v>0</v>
      </c>
      <c r="O23" s="325">
        <f ca="1">ROUND(IF(C23="Automático",AH23+AO23,Z23),2)</f>
        <v>0</v>
      </c>
      <c r="P23" s="411">
        <f ca="1">O23/(L23+10^-12)</f>
        <v>0</v>
      </c>
      <c r="R23" s="410">
        <f ca="1">ROUND(IF($C23="Automático",AC23+AJ23,$Y23*IF(ISERROR(QCI!$AA23/QCI!$O23),0,QCI!$AA23/QCI!$O23)),2)</f>
        <v>0</v>
      </c>
      <c r="S23" s="410">
        <f ca="1">ROUND(IF($C23="Automático",AD23+AK23,$Y23*IF(ISERROR(QCI!$AB23/QCI!$O23),0,QCI!$AB23/QCI!$O23)),2)</f>
        <v>0</v>
      </c>
      <c r="T23" s="410">
        <f ca="1">ROUND(IF($C23="Automático",AF23+AM23,$Z23*IF(ISERROR(QCI!$AA23/QCI!$O23),0,QCI!$AA23/QCI!$O23)),2)</f>
        <v>0</v>
      </c>
      <c r="U23" s="410">
        <f ca="1">ROUND(IF($C23="Automático",AG23+AN23,$Z23*IF(ISERROR(QCI!$AB23/QCI!$O23),0,QCI!$AB23/QCI!$O23)),2)</f>
        <v>0</v>
      </c>
      <c r="V23" s="518">
        <f ca="1">IF(AND($L23&gt;0,$J23&lt;&gt;0,$J23&lt;&gt;"",COUNTIF($J$13:$J23,$J23)=1),OFFSET(V23,-1,0)+1,OFFSET(V23,-1,0))</f>
        <v>0</v>
      </c>
      <c r="X23" s="597"/>
      <c r="Y23" s="327"/>
      <c r="Z23" s="329"/>
      <c r="AC23" s="198" t="e">
        <f ca="1">IF(ACOMPANHAMENTO&lt;&gt;"PLE",0,SUMPRODUCT((OFFSET(CÁLCULO!$BV$15:$CN$15,$A23,0,$B23)&lt;=(PLE.Medicao-1))*OFFSET(CÁLCULO!$AJ$15:$BB$15,$A23,0,$B23)*OFFSET(ORÇAMENTO!$AA$15,$A23,0,$B23)/(OFFSET(ORÇAMENTO!$X$15,$A23,0,$B23)+10^-12))+IF(AUTOEVENTO="Manual",SUMPRODUCT((OFFSET(CÁLCULO!$M$15,$A23,0,$B23)=1)*OFFSET(ORÇAMENTO!$AA$15,$A23,0,$B23)*(PLE!$AE$9-PLE!$Y$9)),0))</f>
        <v>#N/A</v>
      </c>
      <c r="AD23" s="198" t="e">
        <f ca="1">IF(ACOMPANHAMENTO&lt;&gt;"PLE",0,SUMPRODUCT((OFFSET(CÁLCULO!$BV$15:$CN$15,$A23,0,$B23)&lt;=(PLE.Medicao-1))*OFFSET(CÁLCULO!$AJ$15:$BB$15,$A23,0,$B23)*OFFSET(ORÇAMENTO!$AB$15,$A23,0,$B23)/(OFFSET(ORÇAMENTO!$X$15,$A23,0,$B23)+10^-12))+IF(AUTOEVENTO="Manual",SUMPRODUCT((OFFSET(CÁLCULO!$M$15,$A23,0,$B23)=1)*OFFSET(ORÇAMENTO!$AB$15,$A23,0,$B23)*(PLE!$AE$9-PLE!$Y$9)),0))</f>
        <v>#N/A</v>
      </c>
      <c r="AE23" s="198" t="e">
        <f ca="1">ROUND(IF(ACOMPANHAMENTO&lt;&gt;"PLE",0,SUMIF(OFFSET(CÁLCULO!$BV$15:$CN$15,$A23,0,$B23),"&lt;="&amp;(PLE.Medicao-1),OFFSET(CÁLCULO!$AJ$15:$BB$15,$A23,0,$B23))+IF(AUTOEVENTO="Manual",SUMIF(OFFSET(CÁLCULO!$M$15,$A23,0,$B23),1,OFFSET(ORÇAMENTO!$X$15,$A23,0,$B23))*(PLE!$AE$9-PLE!$Y$9),0)),2)</f>
        <v>#N/A</v>
      </c>
      <c r="AF23" s="198" t="e">
        <f ca="1">IF(ACOMPANHAMENTO&lt;&gt;"PLE",0,SUMPRODUCT((OFFSET(CÁLCULO!$BV$15:$CN$15,$A23,0,$B23)&lt;=PLE.Medicao)*OFFSET(CÁLCULO!$AJ$15:$BB$15,$A23,0,$B23)*OFFSET(ORÇAMENTO!$AA$15,$A23,0,$B23)/(OFFSET(ORÇAMENTO!$X$15,$A23,0,$B23)+10^-12))+IF(AUTOEVENTO="Manual",SUMPRODUCT((OFFSET(CÁLCULO!$M$15,$A23,0,$B23)=1)*OFFSET(ORÇAMENTO!$AA$15,$A23,0,$B23)*PLE!$AE$9),0))</f>
        <v>#N/A</v>
      </c>
      <c r="AG23" s="198" t="e">
        <f ca="1">IF(ACOMPANHAMENTO&lt;&gt;"PLE",0,SUMPRODUCT((OFFSET(CÁLCULO!$BV$15:$CN$15,$A23,0,$B23)&lt;=PLE.Medicao)*OFFSET(CÁLCULO!$AJ$15:$BB$15,$A23,0,$B23)*OFFSET(ORÇAMENTO!$AB$15,$A23,0,$B23)/(OFFSET(ORÇAMENTO!$X$15,$A23,0,$B23)+10^-12))+IF(AUTOEVENTO="Manual",SUMPRODUCT((OFFSET(CÁLCULO!$M$15,$A23,0,$B23)=1)*OFFSET(ORÇAMENTO!$AB$15,$A23,0,$B23)*PLE!$AE$9),0))</f>
        <v>#N/A</v>
      </c>
      <c r="AH23" s="198" t="e">
        <f ca="1">ROUND(IF(ACOMPANHAMENTO&lt;&gt;"PLE",0,SUMIF(OFFSET(CÁLCULO!$BV$15:$CN$15,$A23,0,$B23),"&lt;="&amp;PLE.Medicao,OFFSET(CÁLCULO!$AJ$15:$BB$15,$A23,0,$B23))+IF(AUTOEVENTO="Manual",SUMIF(OFFSET(CÁLCULO!$M$15,$A23,0,$B23),1,OFFSET(ORÇAMENTO!$X$15,$A23,0,$B23))*PLE!$AE$9,0)),2)</f>
        <v>#N/A</v>
      </c>
      <c r="AJ23" s="198">
        <f ca="1">IF(ACOMPANHAMENTO&lt;&gt;"BM",0,SUMPRODUCT(OFFSET(BM!$M$15,$A23,0,$B23)*(OFFSET(BM!$A$15,$A23,0,$B23)="S")*OFFSET(ORÇAMENTO!AA$15,$A23,0,$B23)/(OFFSET(ORÇAMENTO!$X$15,$A23,0,$B23)+10^-12)))</f>
        <v>0</v>
      </c>
      <c r="AK23" s="198">
        <f ca="1">IF(ACOMPANHAMENTO&lt;&gt;"BM",0,SUMPRODUCT(OFFSET(BM!$M$15,$A23,0,$B23)*(OFFSET(BM!$A$15,$A23,0,$B23)="S")*OFFSET(ORÇAMENTO!AB$15,$A23,0,$B23)/(OFFSET(ORÇAMENTO!$X$15,$A23,0,$B23)+10^-12)))</f>
        <v>0</v>
      </c>
      <c r="AL23" s="198">
        <f ca="1">IF(ACOMPANHAMENTO&lt;&gt;"BM",0,OFFSET(BM!$M$15,$A23,0))</f>
        <v>0</v>
      </c>
      <c r="AM23" s="198">
        <f ca="1">IF(ACOMPANHAMENTO&lt;&gt;"BM",0,SUMPRODUCT(OFFSET(BM!$O$15,$A23,0,$B23)*(OFFSET(BM!$A$15,$A23,0,$B23)="S")*OFFSET(ORÇAMENTO!AA$15,$A23,0,$B23)/(OFFSET(ORÇAMENTO!$X$15,$A23,0,$B23)+10^-12)))</f>
        <v>0</v>
      </c>
      <c r="AN23" s="198">
        <f ca="1">IF(ACOMPANHAMENTO&lt;&gt;"BM",0,SUMPRODUCT(OFFSET(BM!$O$15,$A23,0,$B23)*(OFFSET(BM!$A$15,$A23,0,$B23)="S")*OFFSET(ORÇAMENTO!AB$15,$A23,0,$B23)/(OFFSET(ORÇAMENTO!$X$15,$A23,0,$B23)+10^-12)))</f>
        <v>0</v>
      </c>
      <c r="AO23" s="198">
        <f ca="1">IF(ACOMPANHAMENTO&lt;&gt;"BM",0,OFFSET(BM!$O$15,$A23,0))</f>
        <v>0</v>
      </c>
    </row>
    <row r="24" spans="1:41" ht="12.95" customHeight="1" x14ac:dyDescent="0.2">
      <c r="D24" t="s">
        <v>245</v>
      </c>
      <c r="E24" s="1"/>
      <c r="F24" s="1"/>
      <c r="G24" s="1"/>
      <c r="H24" s="1"/>
      <c r="I24" s="2"/>
      <c r="J24" s="739" t="s">
        <v>374</v>
      </c>
      <c r="K24" s="740"/>
      <c r="L24" s="413">
        <f ca="1">IF(ISERROR(L28/$L28),0,ROUND(L28/$L28,4))</f>
        <v>0</v>
      </c>
      <c r="M24" s="415">
        <f ca="1">IF(ISERROR(M28/$L28),0,ROUND(M28/$L28,4))</f>
        <v>0</v>
      </c>
      <c r="N24" s="414">
        <f ca="1">IF(ISERROR(N28/$L28),0,ROUND(N28/$L28,4))</f>
        <v>0</v>
      </c>
      <c r="O24" s="416">
        <f ca="1">IF(ISERROR(O28/$L28),0,ROUND(O28/$L28,4))</f>
        <v>0</v>
      </c>
      <c r="P24" s="741">
        <f ca="1">O28/(L28+10^-12)</f>
        <v>0</v>
      </c>
      <c r="X24" s="345"/>
      <c r="Y24" s="347"/>
      <c r="Z24" s="348"/>
    </row>
    <row r="25" spans="1:41" ht="12.95" customHeight="1" x14ac:dyDescent="0.2">
      <c r="D25" t="s">
        <v>245</v>
      </c>
      <c r="I25" s="4"/>
      <c r="J25" s="742" t="str">
        <f>IF(import.recurso="FGTS","Financiamento","Repasse")</f>
        <v>Repasse</v>
      </c>
      <c r="K25" s="743"/>
      <c r="L25" s="326">
        <f ca="1">QCI!L24</f>
        <v>0</v>
      </c>
      <c r="M25" s="323">
        <f ca="1">M28-M27-M26</f>
        <v>0</v>
      </c>
      <c r="N25" s="324">
        <f ca="1">O25-M25</f>
        <v>0</v>
      </c>
      <c r="O25" s="325">
        <f ca="1">O28-O27-O26</f>
        <v>0</v>
      </c>
      <c r="P25" s="741"/>
      <c r="X25" s="417"/>
      <c r="Y25" s="418" t="s">
        <v>375</v>
      </c>
      <c r="Z25" s="419" t="s">
        <v>376</v>
      </c>
      <c r="AC25" s="420" t="s">
        <v>377</v>
      </c>
      <c r="AD25" s="420" t="s">
        <v>378</v>
      </c>
    </row>
    <row r="26" spans="1:41" ht="12.95" customHeight="1" x14ac:dyDescent="0.2">
      <c r="D26" t="s">
        <v>245</v>
      </c>
      <c r="I26" s="4"/>
      <c r="J26" s="744" t="s">
        <v>379</v>
      </c>
      <c r="K26" s="745"/>
      <c r="L26" s="421">
        <f ca="1">QCI!M24</f>
        <v>0</v>
      </c>
      <c r="M26" s="422">
        <f ca="1">ROUND(IF(OFFSET($X$26,0,1)&lt;&gt;"",OFFSET($X$26,0,1),SUM(R13:OFFSET(R24,-1,0))),2)</f>
        <v>0</v>
      </c>
      <c r="N26" s="423">
        <f ca="1">O26-M26</f>
        <v>0</v>
      </c>
      <c r="O26" s="424">
        <f ca="1">IF(OFFSET($X$26,0,2)&lt;&gt;"",OFFSET($X$26,0,2),$AE$3)</f>
        <v>0</v>
      </c>
      <c r="P26" s="741"/>
      <c r="X26" s="425" t="s">
        <v>169</v>
      </c>
      <c r="Y26" s="513"/>
      <c r="Z26" s="514"/>
      <c r="AC26" s="426">
        <f ca="1">MIN($L26,$O$28-OFFSET($X$27,0,1))</f>
        <v>0</v>
      </c>
      <c r="AD26" s="426">
        <f ca="1">MIN($L26,$O$28-OFFSET($X$27,0,2))</f>
        <v>0</v>
      </c>
    </row>
    <row r="27" spans="1:41" ht="12.95" customHeight="1" x14ac:dyDescent="0.2">
      <c r="D27" t="s">
        <v>245</v>
      </c>
      <c r="I27" s="4"/>
      <c r="J27" s="746" t="s">
        <v>356</v>
      </c>
      <c r="K27" s="747"/>
      <c r="L27" s="427">
        <f ca="1">QCI!N24</f>
        <v>0</v>
      </c>
      <c r="M27" s="428">
        <f ca="1">ROUND(IF(OFFSET($X$27,0,1)&lt;&gt;"",OFFSET($X$27,0,1),SUM(S13:OFFSET(S24,-1,0))),2)</f>
        <v>0</v>
      </c>
      <c r="N27" s="429">
        <f ca="1">O27-M27</f>
        <v>0</v>
      </c>
      <c r="O27" s="430">
        <f ca="1">IF(OFFSET($X$27,0,2)&lt;&gt;"",OFFSET($X$27,0,2),$AE$4)</f>
        <v>0</v>
      </c>
      <c r="P27" s="741"/>
      <c r="X27" s="431" t="s">
        <v>276</v>
      </c>
      <c r="Y27" s="515"/>
      <c r="Z27" s="516"/>
      <c r="AC27" s="426">
        <f ca="1">MIN($L27,$O$28-OFFSET($X$26,0,1))</f>
        <v>0</v>
      </c>
      <c r="AD27" s="426">
        <f ca="1">MIN($L27,$O$28-OFFSET($X$26,0,2))</f>
        <v>0</v>
      </c>
    </row>
    <row r="28" spans="1:41" ht="15" x14ac:dyDescent="0.2">
      <c r="D28" t="s">
        <v>245</v>
      </c>
      <c r="I28" s="4"/>
      <c r="J28" s="748" t="s">
        <v>358</v>
      </c>
      <c r="K28" s="749"/>
      <c r="L28" s="432">
        <f ca="1">SUM(L13:OFFSET(L24,-1,0))</f>
        <v>0</v>
      </c>
      <c r="M28" s="433">
        <f ca="1">ROUND(SUM(M13:OFFSET(M24,-1,0)),2)</f>
        <v>0</v>
      </c>
      <c r="N28" s="434">
        <f ca="1">O28-M28</f>
        <v>0</v>
      </c>
      <c r="O28" s="435">
        <f ca="1">SUM(O13:OFFSET(O24,-1,0))</f>
        <v>0</v>
      </c>
      <c r="P28" s="741"/>
      <c r="X28" s="357"/>
      <c r="Y28" s="359"/>
      <c r="Z28" s="360"/>
    </row>
    <row r="29" spans="1:41" x14ac:dyDescent="0.2">
      <c r="O29" s="750" t="str">
        <f ca="1">"Acumulado Anterior:  "&amp;TEXT($M$28/($L$28+10^-12),"0,00%")</f>
        <v>Acumulado Anterior:  000%</v>
      </c>
      <c r="P29" s="750"/>
    </row>
    <row r="30" spans="1:41" ht="14.25" x14ac:dyDescent="0.2">
      <c r="E30" s="141" t="s">
        <v>186</v>
      </c>
      <c r="P30" s="463"/>
    </row>
    <row r="31" spans="1:41" ht="12.75" customHeight="1" x14ac:dyDescent="0.2">
      <c r="E31" s="733"/>
      <c r="F31" s="734"/>
      <c r="G31" s="734"/>
      <c r="H31" s="734"/>
      <c r="I31" s="734"/>
      <c r="J31" s="734"/>
      <c r="K31" s="734"/>
      <c r="L31" s="734"/>
      <c r="M31" s="734"/>
      <c r="N31" s="734"/>
      <c r="O31" s="734"/>
      <c r="P31" s="735"/>
    </row>
    <row r="32" spans="1:41" ht="12.75" customHeight="1" x14ac:dyDescent="0.2">
      <c r="E32" s="733"/>
      <c r="F32" s="734"/>
      <c r="G32" s="734"/>
      <c r="H32" s="734"/>
      <c r="I32" s="734"/>
      <c r="J32" s="734"/>
      <c r="K32" s="734"/>
      <c r="L32" s="734"/>
      <c r="M32" s="734"/>
      <c r="N32" s="734"/>
      <c r="O32" s="734"/>
      <c r="P32" s="735"/>
      <c r="Y32" s="436"/>
      <c r="Z32" s="436"/>
    </row>
    <row r="33" spans="5:16" ht="12.75" customHeight="1" x14ac:dyDescent="0.2">
      <c r="E33" s="736"/>
      <c r="F33" s="737"/>
      <c r="G33" s="737"/>
      <c r="H33" s="737"/>
      <c r="I33" s="737"/>
      <c r="J33" s="737"/>
      <c r="K33" s="737"/>
      <c r="L33" s="737"/>
      <c r="M33" s="737"/>
      <c r="N33" s="737"/>
      <c r="O33" s="737"/>
      <c r="P33" s="738"/>
    </row>
    <row r="35" spans="5:16" ht="15" x14ac:dyDescent="0.2">
      <c r="E35" s="644" t="str">
        <f>Import.Município</f>
        <v>Bento Gonçalves</v>
      </c>
      <c r="F35" s="644"/>
      <c r="G35" s="644"/>
      <c r="I35" s="437"/>
      <c r="L35" s="674">
        <f>DADOS!$F$48</f>
        <v>46449</v>
      </c>
      <c r="M35" s="674"/>
      <c r="N35" s="674"/>
      <c r="O35" s="674"/>
    </row>
    <row r="36" spans="5:16" x14ac:dyDescent="0.2">
      <c r="E36" s="10" t="s">
        <v>187</v>
      </c>
      <c r="L36" s="10" t="s">
        <v>188</v>
      </c>
    </row>
    <row r="38" spans="5:16" x14ac:dyDescent="0.2">
      <c r="E38" s="194"/>
      <c r="F38" s="194"/>
      <c r="G38" s="194"/>
      <c r="L38" s="194"/>
      <c r="M38" s="194"/>
      <c r="N38" s="194"/>
      <c r="O38" s="194"/>
    </row>
    <row r="39" spans="5:16" x14ac:dyDescent="0.2">
      <c r="E39" s="438" t="str">
        <f>IF(CAIXA.Modo,"Responsável Gerencial CAIXA","Representante Tomador")</f>
        <v>Representante Tomador</v>
      </c>
      <c r="F39" s="7"/>
      <c r="L39" s="438" t="str">
        <f>IF(CAIXA.Modo,"Responsável Técnico CAIXA","Responsável Técnico pela Fiscalização")</f>
        <v>Responsável Técnico pela Fiscalização</v>
      </c>
    </row>
    <row r="40" spans="5:16" x14ac:dyDescent="0.2">
      <c r="E40" s="78" t="s">
        <v>108</v>
      </c>
      <c r="F40" s="311" t="str">
        <f>IF(CAIXA.Modo,DADOS!F60,DADOS!F28)</f>
        <v>Amarildo Locatelli</v>
      </c>
      <c r="L40" s="78" t="s">
        <v>108</v>
      </c>
      <c r="M40" s="718">
        <f>IF(CAIXA.Modo,BM!X48,DADOS!F51)</f>
        <v>0</v>
      </c>
      <c r="N40" s="718"/>
      <c r="O40" s="718"/>
    </row>
    <row r="41" spans="5:16" x14ac:dyDescent="0.2">
      <c r="E41" s="78" t="str">
        <f>IF(CAIXA.Modo,"Função:","Cargo:")</f>
        <v>Cargo:</v>
      </c>
      <c r="F41" s="311" t="str">
        <f>IF(CAIXA.Modo,DADOS!F61,DADOS!F29)</f>
        <v>Prefeito Municipal</v>
      </c>
      <c r="L41" s="78" t="str">
        <f>IF(CAIXA.Modo,"Matrícula:","Profissão:")</f>
        <v>Profissão:</v>
      </c>
      <c r="M41" s="718">
        <f>IF(CAIXA.Modo,BM!X49,DADOS!F52)</f>
        <v>0</v>
      </c>
      <c r="N41" s="718"/>
      <c r="O41" s="718"/>
    </row>
    <row r="42" spans="5:16" x14ac:dyDescent="0.2">
      <c r="L42" s="78" t="s">
        <v>109</v>
      </c>
      <c r="M42" s="718">
        <f>IF(CAIXA.Modo,BM!X50,DADOS!F53)</f>
        <v>0</v>
      </c>
      <c r="N42" s="718"/>
      <c r="O42" s="718"/>
    </row>
    <row r="43" spans="5:16" x14ac:dyDescent="0.2">
      <c r="L43" s="78" t="str">
        <f>IF(CAIXA.Modo,"","ART/RRT:")</f>
        <v>ART/RRT:</v>
      </c>
      <c r="M43" s="13">
        <f>IF(CAIXA.Modo,"",DADOS!F54)</f>
        <v>0</v>
      </c>
    </row>
    <row r="45" spans="5:16" x14ac:dyDescent="0.2">
      <c r="E45" s="194"/>
      <c r="F45" s="194"/>
      <c r="G45" s="194"/>
      <c r="L45" s="194"/>
      <c r="M45" s="194"/>
      <c r="N45" s="194"/>
      <c r="O45" s="194"/>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17"/>
      <c r="G47" s="717"/>
      <c r="L47" s="78" t="s">
        <v>108</v>
      </c>
      <c r="M47" s="717"/>
      <c r="N47" s="717"/>
      <c r="O47" s="717"/>
    </row>
    <row r="48" spans="5:16" x14ac:dyDescent="0.2">
      <c r="E48" s="78" t="str">
        <f>IF(CAIXA.Modo,"Função:","Cargo:")</f>
        <v>Cargo:</v>
      </c>
      <c r="F48" s="717"/>
      <c r="G48" s="717"/>
      <c r="L48" s="78" t="str">
        <f>IF(CAIXA.Modo,"Função:","Cargo:")</f>
        <v>Cargo:</v>
      </c>
      <c r="M48" s="717"/>
      <c r="N48" s="717"/>
      <c r="O48" s="717"/>
    </row>
    <row r="49" spans="5:15" x14ac:dyDescent="0.2">
      <c r="E49" s="78" t="str">
        <f>IF(CAIXA.Modo,"Matr:","")</f>
        <v/>
      </c>
      <c r="F49" s="717"/>
      <c r="G49" s="717"/>
      <c r="L49" s="78" t="str">
        <f>IF(CAIXA.Modo,"Matrícula:","")</f>
        <v/>
      </c>
      <c r="M49" s="717"/>
      <c r="N49" s="717"/>
      <c r="O49" s="717"/>
    </row>
  </sheetData>
  <sheetProtection algorithmName="SHA-512" hashValue="uIowYIFusPMWoibtEet/hR4HgmFvH3I4rQ8b8HBkUphsuw1LhteDhas58NjyVGSgk+Sxfvm7L59UgycjKCHHnQ==" saltValue="HzbbhWVxw1+nb37pf0R09Q=="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8" priority="154" stopIfTrue="1">
      <formula>OR($C12="Automático",$C12="Branco")</formula>
    </cfRule>
  </conditionalFormatting>
  <conditionalFormatting sqref="F49:G49 M49:O49">
    <cfRule type="expression" dxfId="7" priority="155" stopIfTrue="1">
      <formula>CAIXA.Modo=FALSE</formula>
    </cfRule>
  </conditionalFormatting>
  <conditionalFormatting sqref="M12 M25:M28 O12 O25:O28">
    <cfRule type="cellIs" dxfId="6" priority="156" stopIfTrue="1" operator="notBetween">
      <formula>0</formula>
      <formula>$L12</formula>
    </cfRule>
  </conditionalFormatting>
  <conditionalFormatting sqref="M10:N10">
    <cfRule type="cellIs" dxfId="5" priority="157" stopIfTrue="1" operator="lessThan">
      <formula>0</formula>
    </cfRule>
  </conditionalFormatting>
  <conditionalFormatting sqref="X14:Z22">
    <cfRule type="expression" dxfId="4" priority="3" stopIfTrue="1">
      <formula>OR($C14="Automático",$C14="Branco")</formula>
    </cfRule>
  </conditionalFormatting>
  <conditionalFormatting sqref="M14:M22 O14:O22">
    <cfRule type="cellIs" dxfId="3" priority="4" stopIfTrue="1" operator="notBetween">
      <formula>0</formula>
      <formula>$L14</formula>
    </cfRule>
  </conditionalFormatting>
  <conditionalFormatting sqref="X23:Z23">
    <cfRule type="expression" dxfId="2" priority="1" stopIfTrue="1">
      <formula>OR($C23="Automático",$C23="Branco")</formula>
    </cfRule>
  </conditionalFormatting>
  <conditionalFormatting sqref="M23 O23">
    <cfRule type="cellIs" dxfId="1" priority="2" stopIfTrue="1" operator="notBetween">
      <formula>0</formula>
      <formula>$L23</formula>
    </cfRule>
  </conditionalFormatting>
  <dataValidations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0"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775"/>
      <c r="C1" s="775"/>
      <c r="D1" s="50"/>
      <c r="E1" s="50"/>
      <c r="F1" s="50"/>
      <c r="G1" s="53" t="s">
        <v>140</v>
      </c>
    </row>
    <row r="2" spans="2:13" x14ac:dyDescent="0.2">
      <c r="B2" s="775"/>
      <c r="C2" s="775"/>
      <c r="D2" s="50"/>
      <c r="E2" s="50"/>
      <c r="F2" s="50"/>
      <c r="G2" s="12" t="s">
        <v>380</v>
      </c>
    </row>
    <row r="3" spans="2:13" ht="26.1" customHeight="1" x14ac:dyDescent="0.2">
      <c r="B3" s="775"/>
      <c r="C3" s="775"/>
      <c r="D3" s="50"/>
      <c r="E3" s="50"/>
      <c r="F3" s="50"/>
      <c r="G3" s="439"/>
    </row>
    <row r="4" spans="2:13" ht="12.75" customHeight="1" x14ac:dyDescent="0.2">
      <c r="B4" s="775"/>
      <c r="C4" s="775"/>
      <c r="D4" s="50"/>
      <c r="E4" s="50"/>
      <c r="F4" s="50"/>
      <c r="G4" s="50"/>
    </row>
    <row r="6" spans="2:13" x14ac:dyDescent="0.2">
      <c r="B6" s="440" t="s">
        <v>381</v>
      </c>
      <c r="C6" s="773"/>
      <c r="D6" s="773"/>
      <c r="E6" s="440"/>
      <c r="F6" s="440"/>
      <c r="G6" s="50"/>
      <c r="J6" s="10"/>
    </row>
    <row r="7" spans="2:13" x14ac:dyDescent="0.2">
      <c r="B7" s="50"/>
      <c r="C7" s="50"/>
      <c r="D7" s="50"/>
      <c r="E7" s="50"/>
      <c r="F7" s="50"/>
      <c r="G7" s="50"/>
    </row>
    <row r="8" spans="2:13" x14ac:dyDescent="0.2">
      <c r="B8" s="774" t="str">
        <f>CONCATENATE(RRE!$E$35,", ",TEXT(RRE!$L$35,"dd"" de ""mmmm"" de ""aaaa"))</f>
        <v>Bento Gonçalves, 03 de March de Wednesday</v>
      </c>
      <c r="C8" s="774"/>
      <c r="D8" s="774"/>
      <c r="E8" s="774"/>
      <c r="F8" s="774"/>
      <c r="G8" s="774"/>
      <c r="H8" s="441"/>
      <c r="J8" s="441"/>
      <c r="K8" s="441"/>
      <c r="L8" s="441"/>
      <c r="M8" s="441"/>
    </row>
    <row r="9" spans="2:13" x14ac:dyDescent="0.2">
      <c r="B9" s="442" t="s">
        <v>382</v>
      </c>
      <c r="C9" s="50"/>
      <c r="D9" s="50"/>
      <c r="G9" s="50"/>
      <c r="H9" s="441"/>
      <c r="J9" s="441"/>
      <c r="K9" s="441"/>
      <c r="L9" s="441"/>
      <c r="M9" s="441"/>
    </row>
    <row r="10" spans="2:13" x14ac:dyDescent="0.2">
      <c r="B10" s="768" t="s">
        <v>383</v>
      </c>
      <c r="C10" s="768"/>
      <c r="D10" s="768"/>
      <c r="G10" s="50"/>
      <c r="H10" s="441"/>
      <c r="J10" s="441"/>
      <c r="K10" s="441"/>
      <c r="L10" s="441"/>
      <c r="M10" s="441"/>
    </row>
    <row r="11" spans="2:13" x14ac:dyDescent="0.2">
      <c r="B11" s="443" t="s">
        <v>401</v>
      </c>
      <c r="C11" s="717"/>
      <c r="D11" s="717"/>
      <c r="G11" s="50"/>
      <c r="H11" s="441"/>
      <c r="J11" s="441"/>
      <c r="K11" s="441"/>
      <c r="L11" s="441"/>
      <c r="M11" s="441"/>
    </row>
    <row r="12" spans="2:13" x14ac:dyDescent="0.2">
      <c r="B12" s="444"/>
      <c r="C12" s="444"/>
      <c r="D12" s="444"/>
      <c r="E12" s="444"/>
      <c r="F12" s="444"/>
      <c r="G12" s="50"/>
      <c r="H12" s="441"/>
      <c r="J12" s="441"/>
      <c r="K12" s="441"/>
      <c r="L12" s="441"/>
      <c r="M12" s="441"/>
    </row>
    <row r="13" spans="2:13" x14ac:dyDescent="0.2">
      <c r="B13" s="50"/>
      <c r="C13" s="50"/>
      <c r="D13" s="50"/>
      <c r="E13" s="50"/>
      <c r="F13" s="50"/>
      <c r="G13" s="50"/>
    </row>
    <row r="14" spans="2:13" x14ac:dyDescent="0.2">
      <c r="B14" s="442" t="s">
        <v>384</v>
      </c>
      <c r="C14" s="768" t="str">
        <f ca="1">CONCATENATE(RRE.Numero,"ª"," Solicitação de ",IF(import.recurso="OGU","Desbloqueio","Desembolso")," de Recursos.")</f>
        <v>1ª Solicitação de Desembolso de Recursos.</v>
      </c>
      <c r="D14" s="768"/>
      <c r="E14" s="768"/>
      <c r="F14" s="768"/>
      <c r="G14" s="768"/>
    </row>
    <row r="15" spans="2:13" ht="12.75" customHeight="1" x14ac:dyDescent="0.2">
      <c r="B15" s="442" t="s">
        <v>385</v>
      </c>
      <c r="C15" s="769" t="str">
        <f>CONCATENATE("Contrato de ",IF(import.recurso="OGU","Repasse","Financiamento")," - Operação nº ",Import.CR,IF(Import.TransfereGOV="","",CONCATENATE(" - TransfereGOV nº ",Import.TransfereGOV)))</f>
        <v xml:space="preserve">Contrato de Financiamento - Operação nº </v>
      </c>
      <c r="D15" s="769"/>
      <c r="E15" s="769"/>
      <c r="F15" s="769"/>
      <c r="G15" s="769"/>
    </row>
    <row r="16" spans="2:13" x14ac:dyDescent="0.2">
      <c r="B16" s="442"/>
      <c r="C16" s="769"/>
      <c r="D16" s="769"/>
      <c r="E16" s="769"/>
      <c r="F16" s="769"/>
      <c r="G16" s="769"/>
    </row>
    <row r="17" spans="2:7" x14ac:dyDescent="0.2">
      <c r="B17" s="50"/>
      <c r="C17" s="50"/>
      <c r="D17" s="50"/>
      <c r="E17" s="50"/>
      <c r="F17" s="50"/>
      <c r="G17" s="50"/>
    </row>
    <row r="18" spans="2:7" ht="12.75" customHeight="1" x14ac:dyDescent="0.2">
      <c r="B18" s="311" t="s">
        <v>386</v>
      </c>
      <c r="C18" s="770" t="str">
        <f>Import.DescLote</f>
        <v>REGISTRO DE PREÇOS PARA SERVIÇOS COMUNS DE ENGENHARIA P/ MANUTNEÇÃO ABRIGOS PASSAGEIROS ONIBUS TAXI</v>
      </c>
      <c r="D18" s="770"/>
      <c r="E18" s="770"/>
      <c r="F18" s="770"/>
      <c r="G18" s="770"/>
    </row>
    <row r="19" spans="2:7" ht="12.75" customHeight="1" x14ac:dyDescent="0.2">
      <c r="B19" s="766" t="s">
        <v>387</v>
      </c>
      <c r="C19" s="767" t="str">
        <f>Import.Proponente</f>
        <v>Secretario Diego Salini</v>
      </c>
      <c r="D19" s="767"/>
      <c r="E19" s="767"/>
      <c r="F19" s="767"/>
      <c r="G19" s="767"/>
    </row>
    <row r="20" spans="2:7" x14ac:dyDescent="0.2">
      <c r="B20" s="766"/>
      <c r="C20" s="767"/>
      <c r="D20" s="767"/>
      <c r="E20" s="767"/>
      <c r="F20" s="767"/>
      <c r="G20" s="767"/>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77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70"/>
      <c r="D24" s="770"/>
      <c r="E24" s="770"/>
      <c r="F24" s="770"/>
      <c r="G24" s="770"/>
    </row>
    <row r="25" spans="2:7" x14ac:dyDescent="0.2">
      <c r="B25" s="770"/>
      <c r="C25" s="770"/>
      <c r="D25" s="770"/>
      <c r="E25" s="770"/>
      <c r="F25" s="770"/>
      <c r="G25" s="770"/>
    </row>
    <row r="26" spans="2:7" x14ac:dyDescent="0.2">
      <c r="B26" s="770"/>
      <c r="C26" s="770"/>
      <c r="D26" s="770"/>
      <c r="E26" s="770"/>
      <c r="F26" s="770"/>
      <c r="G26" s="770"/>
    </row>
    <row r="27" spans="2:7" x14ac:dyDescent="0.2">
      <c r="B27" s="50"/>
      <c r="C27" s="50"/>
      <c r="D27" s="50"/>
      <c r="E27" s="50"/>
      <c r="F27" s="50"/>
      <c r="G27" s="50"/>
    </row>
    <row r="28" spans="2:7" ht="12.75" customHeight="1" x14ac:dyDescent="0.2">
      <c r="B28" s="765"/>
      <c r="C28" s="765"/>
      <c r="D28" s="771" t="s">
        <v>388</v>
      </c>
      <c r="E28" s="771" t="str">
        <f ca="1">"Evolução da "&amp;RRE.Numero&amp;"ª Medição"</f>
        <v>Evolução da 1ª Medição</v>
      </c>
      <c r="F28" s="772" t="s">
        <v>389</v>
      </c>
      <c r="G28" s="772"/>
    </row>
    <row r="29" spans="2:7" x14ac:dyDescent="0.2">
      <c r="B29" s="765"/>
      <c r="C29" s="765"/>
      <c r="D29" s="771"/>
      <c r="E29" s="771"/>
      <c r="F29" s="772"/>
      <c r="G29" s="772"/>
    </row>
    <row r="30" spans="2:7" x14ac:dyDescent="0.2">
      <c r="B30" s="760" t="str">
        <f>IF(import.recurso="FGTS","Financiamento:","Repasse:")</f>
        <v>Repasse:</v>
      </c>
      <c r="C30" s="760"/>
      <c r="D30" s="445">
        <f ca="1">RRE!L25</f>
        <v>0</v>
      </c>
      <c r="E30" s="445">
        <f ca="1">RRE!N25</f>
        <v>0</v>
      </c>
      <c r="F30" s="761">
        <f ca="1">RRE!O25</f>
        <v>0</v>
      </c>
      <c r="G30" s="761"/>
    </row>
    <row r="31" spans="2:7" x14ac:dyDescent="0.2">
      <c r="B31" s="760" t="s">
        <v>390</v>
      </c>
      <c r="C31" s="760"/>
      <c r="D31" s="445">
        <f ca="1">RRE!L26</f>
        <v>0</v>
      </c>
      <c r="E31" s="445">
        <f ca="1">RRE!N26</f>
        <v>0</v>
      </c>
      <c r="F31" s="761">
        <f ca="1">RRE!O26</f>
        <v>0</v>
      </c>
      <c r="G31" s="761"/>
    </row>
    <row r="32" spans="2:7" x14ac:dyDescent="0.2">
      <c r="B32" s="760" t="s">
        <v>283</v>
      </c>
      <c r="C32" s="760"/>
      <c r="D32" s="445">
        <f ca="1">RRE!L27</f>
        <v>0</v>
      </c>
      <c r="E32" s="445">
        <f ca="1">RRE!N27</f>
        <v>0</v>
      </c>
      <c r="F32" s="761">
        <f ca="1">RRE!O27</f>
        <v>0</v>
      </c>
      <c r="G32" s="761"/>
    </row>
    <row r="33" spans="2:7" x14ac:dyDescent="0.2">
      <c r="B33" s="760" t="s">
        <v>284</v>
      </c>
      <c r="C33" s="760"/>
      <c r="D33" s="445">
        <f ca="1">RRE!L28</f>
        <v>0</v>
      </c>
      <c r="E33" s="445">
        <f ca="1">RRE!N28</f>
        <v>0</v>
      </c>
      <c r="F33" s="761">
        <f ca="1">RRE!O28</f>
        <v>0</v>
      </c>
      <c r="G33" s="761"/>
    </row>
    <row r="34" spans="2:7" x14ac:dyDescent="0.2">
      <c r="B34" s="762" t="s">
        <v>391</v>
      </c>
      <c r="C34" s="762"/>
      <c r="D34" s="446" t="s">
        <v>166</v>
      </c>
      <c r="E34" s="447">
        <f ca="1">RRE!$N$28/(RRE!$L$28+10^-12)</f>
        <v>0</v>
      </c>
      <c r="F34" s="763">
        <f ca="1">RRE!P24</f>
        <v>0</v>
      </c>
      <c r="G34" s="763"/>
    </row>
    <row r="35" spans="2:7" x14ac:dyDescent="0.2">
      <c r="B35" s="195"/>
      <c r="C35" s="50"/>
      <c r="D35" s="50"/>
      <c r="E35" s="50"/>
      <c r="F35" s="50"/>
      <c r="G35" s="50"/>
    </row>
    <row r="36" spans="2:7" x14ac:dyDescent="0.2">
      <c r="B36" s="195"/>
      <c r="C36" s="195"/>
      <c r="D36" s="195"/>
      <c r="E36" s="195"/>
      <c r="F36" s="195"/>
      <c r="G36" s="50"/>
    </row>
    <row r="37" spans="2:7" x14ac:dyDescent="0.2">
      <c r="B37" s="764" t="str">
        <f ca="1">IF(RRE.Numero&gt;1,"2. Encaminhamos ainda a documentação relativa à prestação de contas da etapa físico-financeira anterior.","")</f>
        <v/>
      </c>
      <c r="C37" s="764"/>
      <c r="D37" s="764"/>
      <c r="E37" s="764"/>
      <c r="F37" s="764"/>
      <c r="G37" s="764"/>
    </row>
    <row r="38" spans="2:7" x14ac:dyDescent="0.2">
      <c r="B38" s="764"/>
      <c r="C38" s="764"/>
      <c r="D38" s="764"/>
      <c r="E38" s="764"/>
      <c r="F38" s="764"/>
      <c r="G38" s="764"/>
    </row>
    <row r="39" spans="2:7" ht="12.75" customHeight="1" x14ac:dyDescent="0.2">
      <c r="B39" s="764" t="str">
        <f ca="1">IF(AND(RRE.Numero&gt;1,NOT(ISBLANK(Import.TransfereGOV))),"3. Na oportunidade, informamos que a execução financeira da parcela anterior está devidamente comprovada no TransfereGOV.","")</f>
        <v/>
      </c>
      <c r="C39" s="764"/>
      <c r="D39" s="764"/>
      <c r="E39" s="764"/>
      <c r="F39" s="764"/>
      <c r="G39" s="764"/>
    </row>
    <row r="40" spans="2:7" x14ac:dyDescent="0.2">
      <c r="B40" s="764"/>
      <c r="C40" s="764"/>
      <c r="D40" s="764"/>
      <c r="E40" s="764"/>
      <c r="F40" s="764"/>
      <c r="G40" s="764"/>
    </row>
    <row r="41" spans="2:7" x14ac:dyDescent="0.2">
      <c r="B41" s="448"/>
      <c r="C41" s="443"/>
      <c r="D41" s="443"/>
      <c r="E41" s="443"/>
      <c r="F41" s="443"/>
      <c r="G41" s="443"/>
    </row>
    <row r="42" spans="2:7" ht="12.75" customHeight="1" x14ac:dyDescent="0.2">
      <c r="B42" s="76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64"/>
      <c r="D42" s="764"/>
      <c r="E42" s="764"/>
      <c r="F42" s="764"/>
      <c r="G42" s="764"/>
    </row>
    <row r="43" spans="2:7" x14ac:dyDescent="0.2">
      <c r="B43" s="764"/>
      <c r="C43" s="764"/>
      <c r="D43" s="764"/>
      <c r="E43" s="764"/>
      <c r="F43" s="764"/>
      <c r="G43" s="764"/>
    </row>
    <row r="44" spans="2:7" x14ac:dyDescent="0.2">
      <c r="B44" s="764"/>
      <c r="C44" s="764"/>
      <c r="D44" s="764"/>
      <c r="E44" s="764"/>
      <c r="F44" s="764"/>
      <c r="G44" s="764"/>
    </row>
    <row r="45" spans="2:7" x14ac:dyDescent="0.2">
      <c r="B45" s="764"/>
      <c r="C45" s="764"/>
      <c r="D45" s="764"/>
      <c r="E45" s="764"/>
      <c r="F45" s="764"/>
      <c r="G45" s="764"/>
    </row>
    <row r="46" spans="2:7" x14ac:dyDescent="0.2">
      <c r="B46" s="764"/>
      <c r="C46" s="764"/>
      <c r="D46" s="764"/>
      <c r="E46" s="764"/>
      <c r="F46" s="764"/>
      <c r="G46" s="764"/>
    </row>
    <row r="47" spans="2:7" x14ac:dyDescent="0.2">
      <c r="G47" s="317"/>
    </row>
    <row r="48" spans="2:7" x14ac:dyDescent="0.2">
      <c r="G48" s="317"/>
    </row>
    <row r="49" spans="2:7" x14ac:dyDescent="0.2">
      <c r="B49" s="50" t="s">
        <v>392</v>
      </c>
      <c r="G49" s="317"/>
    </row>
    <row r="50" spans="2:7" x14ac:dyDescent="0.2">
      <c r="B50" s="317"/>
      <c r="C50" s="317"/>
      <c r="D50" s="317"/>
      <c r="E50" s="317"/>
      <c r="F50" s="317"/>
      <c r="G50" s="317"/>
    </row>
    <row r="51" spans="2:7" x14ac:dyDescent="0.2">
      <c r="B51" s="50"/>
      <c r="C51" s="50"/>
      <c r="D51" s="50"/>
      <c r="E51" s="50"/>
      <c r="F51" s="50"/>
      <c r="G51" s="50"/>
    </row>
    <row r="52" spans="2:7" x14ac:dyDescent="0.2">
      <c r="B52" s="50"/>
      <c r="C52" s="50"/>
      <c r="D52" s="50"/>
      <c r="E52" s="50"/>
      <c r="F52" s="50"/>
      <c r="G52" s="50"/>
    </row>
    <row r="53" spans="2:7" x14ac:dyDescent="0.2">
      <c r="B53" s="449"/>
      <c r="C53" s="449"/>
      <c r="D53" s="449"/>
      <c r="E53" s="50"/>
      <c r="F53" s="50"/>
      <c r="G53" s="50"/>
    </row>
    <row r="54" spans="2:7" x14ac:dyDescent="0.2">
      <c r="B54" s="758" t="str">
        <f>DADOS!$F$28</f>
        <v>Amarildo Locatelli</v>
      </c>
      <c r="C54" s="758"/>
      <c r="D54" s="758"/>
      <c r="E54" s="758"/>
      <c r="F54" s="758"/>
      <c r="G54" s="758"/>
    </row>
    <row r="55" spans="2:7" x14ac:dyDescent="0.2">
      <c r="B55" s="758" t="str">
        <f>DADOS!$F$29</f>
        <v>Prefeito Municipal</v>
      </c>
      <c r="C55" s="758"/>
      <c r="D55" s="758"/>
      <c r="E55" s="758"/>
      <c r="F55" s="758"/>
      <c r="G55" s="758"/>
    </row>
    <row r="56" spans="2:7" x14ac:dyDescent="0.2">
      <c r="B56" s="759"/>
      <c r="C56" s="759"/>
      <c r="D56" s="759"/>
      <c r="E56" s="759"/>
      <c r="F56" s="759"/>
      <c r="G56" s="759"/>
    </row>
  </sheetData>
  <sheetProtection algorithmName="SHA-512" hashValue="xQo8BnejMh6DPAnD7OSLYFziqf8NmIrKSDoi3LK0EkB772Wy21xkegCpB0cdGy47AgnMcV2bLD/LSP96+quLTw==" saltValue="6LCZG4g8WQtSKRefc2mlfg=="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0"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&amp;LPMv3.07&amp;R&amp;P / &amp;N</oddFooter>
  </headerFooter>
  <drawing r:id="rId2"/>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Worksheets</vt:lpstr>
      </vt:variant>
      <vt:variant>
        <vt:i4>14</vt:i4>
      </vt:variant>
      <vt:variant>
        <vt:lpstr>Named Ranges</vt:lpstr>
      </vt:variant>
      <vt:variant>
        <vt:i4>19</vt:i4>
      </vt:variant>
    </vt:vector>
  </HeadingPairs>
  <TitlesOfParts>
    <vt:vector size="33"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app</cp:lastModifiedBy>
  <cp:revision>5</cp:revision>
  <cp:lastPrinted>2026-05-08T16:27:32Z</cp:lastPrinted>
  <dcterms:created xsi:type="dcterms:W3CDTF">1997-01-10T22:22:50Z</dcterms:created>
  <dcterms:modified xsi:type="dcterms:W3CDTF">2026-06-12T00:35:08Z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