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EstaPasta_de_trabalho"/>
  <mc:AlternateContent xmlns:mc="http://schemas.openxmlformats.org/markup-compatibility/2006">
    <mc:Choice Requires="x15">
      <x15ac:absPath xmlns:x15ac="http://schemas.microsoft.com/office/spreadsheetml/2010/11/ac" url="Z:\fc\task\"/>
    </mc:Choice>
  </mc:AlternateContent>
  <xr:revisionPtr revIDLastSave="0" documentId="8_{67774429-6A8A-40E4-9D0D-21840AF6BBD7}" xr6:coauthVersionLast="47" xr6:coauthVersionMax="47" xr10:uidLastSave="{00000000-0000-0000-0000-000000000000}"/>
  <workbookProtection workbookAlgorithmName="SHA-512" workbookHashValue="4zQQOzjWm+rkaniZPXNBv+aCOXJUoxlNGQt0JAI4e0GYxdKHmimm21GFLE6MI4DC3bKZdZ7vEfTpd5E8lakMhQ==" workbookSaltValue="G61gmzpdhjRxKMjw2Zsi+A==" workbookSpinCount="100000" lockStructure="1"/>
  <bookViews>
    <workbookView xWindow="1170" yWindow="1170" windowWidth="14400" windowHeight="8145" tabRatio="801" activeTab="1"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r:id="rId11"/>
    <sheet name="BM" sheetId="12" state="hidden" r:id="rId12"/>
    <sheet name="RRE" sheetId="13" r:id="rId13"/>
    <sheet name="OFÍCIO" sheetId="14" r:id="rId14"/>
  </sheets>
  <definedNames>
    <definedName name="_xlnm._FilterDatabase" localSheetId="3" hidden="1">BDI!$I$11:$I$132</definedName>
    <definedName name="_xlnm._FilterDatabase" localSheetId="11" hidden="1">BM!$C$15:$C$51</definedName>
    <definedName name="_xlnm._FilterDatabase" localSheetId="6" hidden="1">CÁLCULO!$C$15:$C$51</definedName>
    <definedName name="_xlnm._FilterDatabase" localSheetId="8" hidden="1">CRONO!$F$13:$F$48</definedName>
    <definedName name="_xlnm._FilterDatabase" localSheetId="7" hidden="1">CRONOPLE!$A$13:$A$34</definedName>
    <definedName name="_xlnm._FilterDatabase" localSheetId="5" hidden="1">EVENTOS!$A$13:$A$28</definedName>
    <definedName name="_xlnm._FilterDatabase" localSheetId="4" hidden="1">ORÇAMENTO!$L$15:$L$51</definedName>
    <definedName name="_xlnm._FilterDatabase" localSheetId="10" hidden="1">PLE!$A$13:$A$35</definedName>
    <definedName name="_xlnm._FilterDatabase" localSheetId="9" hidden="1">QCI!$C$13:$C$25</definedName>
    <definedName name="_xlnm._FilterDatabase" localSheetId="12" hidden="1">RRE!$D$13:$D$30</definedName>
    <definedName name="ACOMPANHAMENTO" hidden="1">IF(VALUE(MENU!$O$4)=2,"BM","PLE")</definedName>
    <definedName name="AUTOEVENTO" hidden="1">CÁLCULO!$A$12</definedName>
    <definedName name="BDI.ColAux" hidden="1">BDI!$A:$G</definedName>
    <definedName name="BDI.Filtro" hidden="1">BDI!$I$11:$I$132</definedName>
    <definedName name="BDI.Opcao" hidden="1">DADOS!$F$18</definedName>
    <definedName name="BDI.TipoObra" hidden="1">BDI!$A$138:$A$146</definedName>
    <definedName name="BM.AFAcumulado" hidden="1">BM!$R1</definedName>
    <definedName name="BM.AFAnterior" hidden="1">BM!$Q1</definedName>
    <definedName name="BM.CaixaColunas" hidden="1">BM!$Q:$AA</definedName>
    <definedName name="BM.Filtro" hidden="1">BM!$C$15:$C$51</definedName>
    <definedName name="BM.firstrow" hidden="1">BM!$15:$15</definedName>
    <definedName name="BM.FormulaMed" hidden="1">BM!$AO$7</definedName>
    <definedName name="BM.lastrow" hidden="1">BM!$51:$51</definedName>
    <definedName name="BM.LinhaPadrão" hidden="1">BM!$14:$14</definedName>
    <definedName name="BM.MaxMed" hidden="1">IF(RegimeExecucao="Global",1,BM!$G1)</definedName>
    <definedName name="BM.MCAIXA.Filter" hidden="1">BM!$C$15:$Z$51</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Filtro" hidden="1">CÁLCULO!$C$15:$C$51</definedName>
    <definedName name="CÁLCULO.firstcol" hidden="1">CÁLCULO!$P:$P</definedName>
    <definedName name="CÁLCULO.firstrow" hidden="1">CÁLCULO!$15:$15</definedName>
    <definedName name="CÁLCULO.Frenterow" hidden="1">CÁLCULO!$12:$12</definedName>
    <definedName name="CÁLCULO.lastcol" hidden="1">CÁLCULO!$AA:$AA</definedName>
    <definedName name="CÁLCULO.lastrow" hidden="1">CÁLCULO!$51:$51</definedName>
    <definedName name="CÁLCULO.LinhaPadrão" hidden="1">CÁLCULO!$14:$14</definedName>
    <definedName name="CÁLCULO.margemrow" hidden="1">CÁLCULO!$59:$59</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CÁLCULO!$51:$51</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CÁLCULO!$51:$51</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CÁLCULO!$51:$51</definedName>
    <definedName name="CÁLCULO.nEvento" hidden="1">CÁLCULO!$M$12</definedName>
    <definedName name="CÁLCULO.NúmeroDeEventos" hidden="1">IF(AUTOEVENTO&lt;&gt;"manual",MAX(CÁLCULO!$M$15:$M$51),MAX(OFFSET(EVENTOS!$C$1:$C$21,1,0)))</definedName>
    <definedName name="CÁLCULO.NúmeroDeFrentes" hidden="1">COLUMN(CÁLCULO!$AA$15)-COLUMN(CÁLCULO!$Q$15)</definedName>
    <definedName name="CÁLCULO.Título" hidden="1">CÁLCULO!$F$6</definedName>
    <definedName name="CÁLCULO.TotalAdmLocal" hidden="1">IF(AUTOEVENTO="manual",SUMIF(CÁLCULO!$M$15:$M$51,1,ORÇAMENTO!$X$15:$X$51),0)</definedName>
    <definedName name="CRONO.ColAux" hidden="1">CRONO!$L:$Q</definedName>
    <definedName name="CRONO.ColunaPadrão" hidden="1">CRONO!$D:$D</definedName>
    <definedName name="CRONO.Filtro" hidden="1">CRONO!$F$13:$F$48</definedName>
    <definedName name="CRONO.FirstCol" hidden="1">CRONO!$S:$S</definedName>
    <definedName name="CRONO.firstrow" hidden="1">CRONO!$13:$13</definedName>
    <definedName name="CRONO.Frenterow" hidden="1">CRONO!$12:$12</definedName>
    <definedName name="CRONO.LastCol" hidden="1">CRONO!$AF:$AF</definedName>
    <definedName name="CRONO.lastrow" hidden="1">CRONO!$43:$43</definedName>
    <definedName name="CRONO.LinhaPadrão" hidden="1">CRONO!$1:$3</definedName>
    <definedName name="CRONO.LinhasNecessarias" hidden="1">COUNTIF(QCI!$B$13:$B$24,"Manual")+COUNTIF(QCI!$B$13:$B$24,"SemiAuto")+COUNT(ORÇAMENTO.ListaCrono)</definedName>
    <definedName name="CRONO.margemrow" hidden="1">CRONO!$48:$48</definedName>
    <definedName name="CRONO.MaxParc" hidden="1">CRONO!$G1048576+CRONO!A1</definedName>
    <definedName name="CRONO.NivelExibicao" hidden="1">CRONO!$G$10</definedName>
    <definedName name="CRONO.Parcela1" hidden="1">CRONO!$T$12:$T$13</definedName>
    <definedName name="CRONO.Título" hidden="1">CRONO!$R$4</definedName>
    <definedName name="CRONOPLE.ColunaPadrão" hidden="1">CRONOPLE!$E:$E</definedName>
    <definedName name="CRONOPLE.Filtro" hidden="1">CRONOPLE!$A$13:$A$34</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CRONOPLE!$21:$21</definedName>
    <definedName name="CRONOPLE.lastrow2" hidden="1">CRONOPLE!$29:$29</definedName>
    <definedName name="CRONOPLE.LinhaPadrão" hidden="1">CRONOPLE!$1:$1</definedName>
    <definedName name="CRONOPLE.margemrow" hidden="1">CRONOPLE!$36:$36</definedName>
    <definedName name="CRONOPLE.Título" hidden="1">CRONOPLE!$G$4</definedName>
    <definedName name="CRONOPLE.ValorDoEvento" hidden="1">SUMIF(CÁLCULO!$M$15:$M$51,CRONOPLE!$B1,OFFSET(CÁLCULO!$AA$15:$AA$51,0,CRONOPLE!A$12))</definedName>
    <definedName name="DADOS.ColAux" hidden="1">DADOS!$J:$AS</definedName>
    <definedName name="DESONERACAO" hidden="1">IF(OR(Import.Desoneracao="DESONERADO",Import.Desoneracao="SIM"),"SIM","NÃO")</definedName>
    <definedName name="EVENTOS.ColunaPadrão" hidden="1">EVENTOS!$E:$E</definedName>
    <definedName name="EVENTOS.Filtro" hidden="1">EVENTOS!$A$13:$A$28</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EVENTOS!$21:$21</definedName>
    <definedName name="EVENTOS.LinhaPadrão" hidden="1">EVENTOS!$1:$1</definedName>
    <definedName name="EVENTOS.Lista" hidden="1">EVENTOS!$C$15:OFFSET(EVENTOS!$C$21,-1,0)</definedName>
    <definedName name="EVENTOS.ListaValidacao" hidden="1">EVENTOS!$B$15:OFFSET(EVENTOS!$B$21,-1,0)</definedName>
    <definedName name="EVENTOS.MargemRow" hidden="1">EVENTOS!$28:$28</definedName>
    <definedName name="EVENTOS.Título" hidden="1">EVENTOS!$F$2</definedName>
    <definedName name="Excel_BuiltIn_Database" hidden="1">TEXT(Import.DataBase,"mm-aaaa")</definedName>
    <definedName name="Import.Apelido" hidden="1">DADOS!$F$16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BM!$D$54</definedName>
    <definedName name="Import.BMAFAcumulado" hidden="1">OFFSET(BM!$R$15,1,0):OFFSET(BM!$R$51,-1,0)</definedName>
    <definedName name="Import.BMArred" hidden="1">BM!$A$9</definedName>
    <definedName name="Import.CNPJ" hidden="1">DADOS!$F$39</definedName>
    <definedName name="Import.Código" hidden="1">OFFSET(ORÇAMENTO!$Q$15,1,0):OFFSET(ORÇAMENTO!$Q$51,-1,0)</definedName>
    <definedName name="Import.Contrapartida" hidden="1">DADOS!$F$10</definedName>
    <definedName name="Import.CPMaxPerc" hidden="1">DADOS!$F$13</definedName>
    <definedName name="Import.CPMinAbsoluta" hidden="1">DADOS!$F$12</definedName>
    <definedName name="Import.CPMinPerc" hidden="1">DADOS!$F$11</definedName>
    <definedName name="Import.CR" hidden="1">DADOS!$F$7</definedName>
    <definedName name="Import.CRONOPLE" hidden="1">OFFSET(CRONOPLE!$F$15,1,1):OFFSET(CRONOPLE!$AF$21,-1,-1)</definedName>
    <definedName name="Import.CTEF" hidden="1">DADOS!$F$37</definedName>
    <definedName name="Import.CustoUnitário" hidden="1">OFFSET(ORÇAMENTO!$U$15,1,0):OFFSET(ORÇAMENTO!$U$51,-1,0)</definedName>
    <definedName name="Import.DataBase" hidden="1">OFFSET(DADOS!$G$19,0,-1)</definedName>
    <definedName name="Import.DataBaseLicit" hidden="1">OFFSET(DADOS!$G$41,0,-1)</definedName>
    <definedName name="Import.DataEmissaoLicit" hidden="1">DADOS!$F$36</definedName>
    <definedName name="Import.DataInicioObra" hidden="1">DADOS!$F$47</definedName>
    <definedName name="Import.DataPreenchimento" hidden="1">OFFSET(DADOS!$G$25,0,-1)</definedName>
    <definedName name="Import.DescLote" hidden="1">DADOS!$F$17</definedName>
    <definedName name="Import.Descrição" hidden="1">OFFSET(ORÇAMENTO!$R$15,1,0):OFFSET(ORÇAMENTO!$R$51,-1,0)</definedName>
    <definedName name="Import.Desoneracao" hidden="1">OFFSET(DADOS!$G$18,0,-1)</definedName>
    <definedName name="Import.empresa" hidden="1">DADOS!$F$38</definedName>
    <definedName name="Import.Eventos.Nível" hidden="1">EVENTOS!$C$8</definedName>
    <definedName name="Import.Eventos.Nomes" hidden="1">OFFSET(EVENTOS!$D$15,1,0):OFFSET(EVENTOS!$D$21,-1,0)</definedName>
    <definedName name="Import.Fonte" hidden="1">OFFSET(ORÇAMENTO!$P$15,1,0):OFFSET(ORÇAMENTO!$P$51,-1,0)</definedName>
    <definedName name="Import.FrenteDeObra" hidden="1">CÁLCULO!$Q$12:OFFSET(CÁLCULO!$AA$12,0,-1)</definedName>
    <definedName name="Import.Município" hidden="1">DADOS!$F$6</definedName>
    <definedName name="Import.Nível" hidden="1">OFFSET(ORÇAMENTO!$M$15,1,0):OFFSET(ORÇAMENTO!$M$51,-1,0)</definedName>
    <definedName name="Import.Ofício.Dest" hidden="1">OFÍCIO!$B$11</definedName>
    <definedName name="Import.Ofício.GIGOV" hidden="1">OFÍCIO!$C$11</definedName>
    <definedName name="Import.Ofício.Num" hidden="1">OFÍCIO!$C$6</definedName>
    <definedName name="Import.OpcaoBDI" hidden="1">OFFSET(ORÇAMENTO!$V$15,1,0):OFFSET(ORÇAMENTO!$V$51,-1,0)</definedName>
    <definedName name="Import.ORÇAMENTO.DivRecurso" hidden="1">OFFSET(ORÇAMENTO!$Y$15,1,0):OFFSET(ORÇAMENTO!$Y$51,-1,0)</definedName>
    <definedName name="Import.ORÇAMENTO.Obs" hidden="1">ORÇAMENTO!$O$57</definedName>
    <definedName name="Import.PLE" hidden="1">OFFSET(PLE!$G$15,1,1):OFFSET(PLE!$AG$21,-1,-1)</definedName>
    <definedName name="Import.PLE.Datas" hidden="1">PLE!$I$24:$AF$24</definedName>
    <definedName name="Import.PLQ" hidden="1">OFFSET(CÁLCULO!$P$15,1,1):OFFSET(CÁLCULO!$AA$51,-1,-1)</definedName>
    <definedName name="Import.PLQ.MemCalc" hidden="1">OFFSET(CÁLCULO!$I$15,1,0):OFFSET(CÁLCULO!$I$51,-1,0)</definedName>
    <definedName name="Import.PLQ.nAgrupEvent" hidden="1">OFFSET(CÁLCULO!$K$15,1,0):OFFSET(CÁLCULO!$K$51,-1,0)</definedName>
    <definedName name="Import.POArred" hidden="1">ORÇAMENTO!$AF$7:$AF$11</definedName>
    <definedName name="IMport.Prefeito" hidden="1">DADOS!$F$28:$F$29</definedName>
    <definedName name="Import.Proponente" hidden="1">DADOS!$F$5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OFFSET(ORÇAMENTO!$AJ$15,1,0):OFFSET(ORÇAMENTO!$AJ$51,-1,0)</definedName>
    <definedName name="import.recurso" hidden="1">DADOS!$F$4</definedName>
    <definedName name="Import.RegimeExecução" hidden="1">OFFSET(DADOS!$G$40,0,-1)</definedName>
    <definedName name="Import.Repasse" hidden="1">DADOS!$F$9</definedName>
    <definedName name="Import.RespFiscalização" hidden="1">DADOS!$F$51:$F$54</definedName>
    <definedName name="Import.RespOrçamento" hidden="1">DADOS!$F$22:$F$24</definedName>
    <definedName name="Import.RRE.Financeiro" hidden="1">RRE!$M$47:$O$49</definedName>
    <definedName name="Import.RRE.Obs" hidden="1">RRE!$E$31</definedName>
    <definedName name="Import.RRE.Social" hidden="1">RRE!$F$47:$G$49</definedName>
    <definedName name="Import.SICONV" hidden="1">DADOS!$F$8</definedName>
    <definedName name="Import.TipoArredondamento" hidden="1">DADOS!$F$31</definedName>
    <definedName name="Import.TransfereGOV" hidden="1">DADOS!$F$8</definedName>
    <definedName name="Import.Unidade" hidden="1">OFFSET(ORÇAMENTO!$S$15,1,0):OFFSET(ORÇAMENTO!$S$51,-1,0)</definedName>
    <definedName name="Import.UnitarioLicitado" hidden="1">OFFSET(ORÇAMENTO!$AL$15,1,0):OFFSET(ORÇAMENTO!$AL$51,-1,0)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OFFSET(CRONO!$T$11,1,0)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hidden="1">COUNT(OFFSET(Eventos,0,0,,1))</definedName>
    <definedName name="Objeto" hidden="1">MENU!$J$1</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Filtro" hidden="1">ORÇAMENTO!$L$15:$L$51</definedName>
    <definedName name="ORÇAMENTO.firstrow" hidden="1">ORÇAMENTO!$15:$15</definedName>
    <definedName name="ORÇAMENTO.Fonte" hidden="1">ORÇAMENTO!$P1</definedName>
    <definedName name="ORÇAMENTO.lastrow" hidden="1">ORÇAMENTO!$51:$51</definedName>
    <definedName name="ORÇAMENTO.LinhaPadrão" hidden="1">ORÇAMENTO!$14:$14</definedName>
    <definedName name="ORÇAMENTO.ListaCrono" hidden="1">OFFSET(ORÇAMENTO!$AD$15,1,0):OFFSET(ORÇAMENTO!$AD$51,-1,0)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OFFSET(ORÇAMENTO!$P$15,1,0):OFFSET(ORÇAMENTO!$S$51,-1,0)</definedName>
    <definedName name="ORÇAMENTO.PasteFormat2" hidden="1">OFFSET(ORÇAMENTO!$U$15,1,0):OFFSET(ORÇAMENTO!$V$51,-1,0)</definedName>
    <definedName name="ORÇAMENTO.PrecoUnitarioLicitado" hidden="1">ORÇAMENTO!$AL1</definedName>
    <definedName name="ORÇAMENTO.QuantBM" hidden="1">ORÇAMENTO!$AJ1</definedName>
    <definedName name="ORÇAMENTO.RangeQuant" hidden="1">OFFSET(ORÇAMENTO!$T$15,1,0):OFFSET(ORÇAMENTO!$T$51,-1,0)</definedName>
    <definedName name="ORÇAMENTO.SumCPMANUAL" hidden="1">SUMIF(ORÇAMENTO!$Z$15:$Z$51,"CP",ORÇAMENTO!$AA$15:$AA$51)</definedName>
    <definedName name="ORÇAMENTO.SumINVMANUAL" hidden="1">SUMIF(ORÇAMENTO!$Z$15:$Z$51,"RP",ORÇAMENTO!$X$15:$X$51)+SUMIF(ORÇAMENTO!$Z$15:$Z$51,"CP",ORÇAMENTO!$X$15:$X$51)+SUMIF(ORÇAMENTO!$Z$15:$Z$51,"OU",ORÇAMENTO!$X$15:$X$51)</definedName>
    <definedName name="ORÇAMENTO.SumOUTROSMANUAL" hidden="1">SUMIF(ORÇAMENTO!$Z$15:$Z$51,"OU",ORÇAMENTO!$AB$15:$AB$51)</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Filtro" hidden="1">PLE!$A$13:$A$35</definedName>
    <definedName name="PLE.FirstCol" hidden="1">PLE!$G:$G</definedName>
    <definedName name="PLE.firstrow" hidden="1">PLE!$15:$15</definedName>
    <definedName name="PLE.FrenteRow" hidden="1">PLE!$11:$11</definedName>
    <definedName name="PLE.LastCol" hidden="1">PLE!$AG:$AG</definedName>
    <definedName name="PLE.lastrow" hidden="1">PLE!$21:$21</definedName>
    <definedName name="PLE.LinhaPadrão" hidden="1">PLE!$1:$1</definedName>
    <definedName name="PLE.margemrow" hidden="1">PLE!$36:$36</definedName>
    <definedName name="PLE.Medicao" hidden="1">PLE!$J$9</definedName>
    <definedName name="PLE.MEDIÇÕES.firstrow" hidden="1">PLE!$22:$22</definedName>
    <definedName name="PLE.MEDIÇÕES.lastrow" hidden="1">PLE!$30:$30</definedName>
    <definedName name="PLE.MEDIÇÕES.LinhaPadrão" hidden="1">PLE!$22:$29</definedName>
    <definedName name="PLE.Título" hidden="1">PLE!$H$3</definedName>
    <definedName name="PLE.ValorDoEvento" hidden="1">SUMIF(CÁLCULO!$M$15:$M$51,PLE!$B1,OFFSET(CÁLCULO!$AA$15:$AA$51,0,PLE!A$12))</definedName>
    <definedName name="PO.ValoresBDI" hidden="1">OFFSET(ORÇAMENTO!$AH$15,1,0):OFFSET(ORÇAMENTO!$AH$51,-1,0)</definedName>
    <definedName name="_xlnm.Print_Area" localSheetId="3">BDI!$J$1:$S$132</definedName>
    <definedName name="_xlnm.Print_Area" localSheetId="11">BM!$D$1:$O$66</definedName>
    <definedName name="_xlnm.Print_Area" localSheetId="6">CÁLCULO!$E$6:$AA$59</definedName>
    <definedName name="_xlnm.Print_Area" localSheetId="8">CRONO!$H$1:$AF$48</definedName>
    <definedName name="_xlnm.Print_Area" localSheetId="5">EVENTOS!$C$2:$Z$28</definedName>
    <definedName name="_xlnm.Print_Area" localSheetId="1">MENU!$A$1:$I$25</definedName>
    <definedName name="_xlnm.Print_Area" localSheetId="13">OFÍCIO!$A$1:$G$56</definedName>
    <definedName name="_xlnm.Print_Area" localSheetId="4">ORÇAMENTO!$O$1:$Y$68</definedName>
    <definedName name="_xlnm.Print_Area" localSheetId="10">PLE!$B$3:$AG$36</definedName>
    <definedName name="_xlnm.Print_Area" localSheetId="9">QCI!$D$1:$O$37</definedName>
    <definedName name="_xlnm.Print_Area" localSheetId="12">RRE!$E$1:$P$49</definedName>
    <definedName name="_xlnm.Print_Titles" localSheetId="3">BDI!$1:$13</definedName>
    <definedName name="_xlnm.Print_Titles" localSheetId="11">BM!$1:$15</definedName>
    <definedName name="_xlnm.Print_Titles" localSheetId="6">CÁLCULO!$E:$H,CÁLCULO!$6:$15</definedName>
    <definedName name="_xlnm.Print_Titles" localSheetId="8">CRONO!$H:$S,CRONO!$1:$13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QCI.ColAux" hidden="1">QCI!$Z:$AE</definedName>
    <definedName name="QCI.CPManual" hidden="1">ROUND(QCI!$W1,2)</definedName>
    <definedName name="QCI.DescManual" hidden="1">QCI!$R1</definedName>
    <definedName name="QCI.Divisao" hidden="1">QCI!$V1</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OFFSET(DADOS!$J$2,1,0,COUNTA(DADOS!$J:$J)-1,1)</definedName>
    <definedName name="QCI.lastrow" hidden="1">QCI!$24:$24</definedName>
    <definedName name="QCI.LinhaPadrão" hidden="1">QCI!$12:$12</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2" i="12" l="1"/>
  <c r="G42" i="12"/>
  <c r="F42" i="12"/>
  <c r="A42" i="5"/>
  <c r="H39" i="12" l="1"/>
  <c r="G39" i="12"/>
  <c r="F39" i="12"/>
  <c r="A39" i="5"/>
  <c r="H45" i="12" l="1"/>
  <c r="G45" i="12"/>
  <c r="F45" i="12"/>
  <c r="A45" i="5"/>
  <c r="Q26" i="6" l="1"/>
  <c r="Q24" i="6"/>
  <c r="Q23" i="6"/>
  <c r="Q25" i="6"/>
  <c r="H38" i="12" l="1"/>
  <c r="G38" i="12"/>
  <c r="F38" i="12"/>
  <c r="A38" i="5"/>
  <c r="H50" i="12" l="1"/>
  <c r="G50" i="12"/>
  <c r="F50" i="12"/>
  <c r="A50" i="5"/>
  <c r="H41" i="12"/>
  <c r="G41" i="12"/>
  <c r="F41" i="12"/>
  <c r="A41" i="5"/>
  <c r="H46" i="12" l="1"/>
  <c r="G46" i="12"/>
  <c r="F46" i="12"/>
  <c r="A46" i="5"/>
  <c r="H25" i="12"/>
  <c r="G25" i="12"/>
  <c r="F25" i="12"/>
  <c r="A25" i="5"/>
  <c r="H24" i="12"/>
  <c r="G24" i="12"/>
  <c r="F24" i="12"/>
  <c r="A24" i="5"/>
  <c r="H32" i="12" l="1"/>
  <c r="G32" i="12"/>
  <c r="F32" i="12"/>
  <c r="H31" i="12"/>
  <c r="G31" i="12"/>
  <c r="F31" i="12"/>
  <c r="H30" i="12"/>
  <c r="G30" i="12"/>
  <c r="F30" i="12"/>
  <c r="H29" i="12"/>
  <c r="G29" i="12"/>
  <c r="F29" i="12"/>
  <c r="H28" i="12"/>
  <c r="G28" i="12"/>
  <c r="F28" i="12"/>
  <c r="H27" i="12"/>
  <c r="G27" i="12"/>
  <c r="F27" i="12"/>
  <c r="H26" i="12"/>
  <c r="G26" i="12"/>
  <c r="F26" i="12"/>
  <c r="H23" i="12"/>
  <c r="G23" i="12"/>
  <c r="F23" i="12"/>
  <c r="A32" i="5"/>
  <c r="A31" i="5"/>
  <c r="A30" i="5"/>
  <c r="A29" i="5"/>
  <c r="A28" i="5"/>
  <c r="A27" i="5"/>
  <c r="A26" i="5"/>
  <c r="A23" i="5"/>
  <c r="H20" i="12" l="1"/>
  <c r="G20" i="12"/>
  <c r="F20" i="12"/>
  <c r="A20" i="5"/>
  <c r="H49" i="12" l="1"/>
  <c r="G49" i="12"/>
  <c r="F49" i="12"/>
  <c r="H48" i="12"/>
  <c r="G48" i="12"/>
  <c r="F48" i="12"/>
  <c r="H47" i="12"/>
  <c r="G47" i="12"/>
  <c r="F47" i="12"/>
  <c r="A49" i="5"/>
  <c r="A48" i="5"/>
  <c r="A47" i="5"/>
  <c r="H44" i="12"/>
  <c r="G44" i="12"/>
  <c r="F44" i="12"/>
  <c r="H43" i="12"/>
  <c r="G43" i="12"/>
  <c r="F43" i="12"/>
  <c r="A44" i="5"/>
  <c r="A43" i="5"/>
  <c r="H40" i="12"/>
  <c r="G40" i="12"/>
  <c r="F40" i="12"/>
  <c r="A40" i="5"/>
  <c r="H21" i="12" l="1"/>
  <c r="G21" i="12"/>
  <c r="F21" i="12"/>
  <c r="A21" i="5"/>
  <c r="A20" i="7" l="1"/>
  <c r="H35" i="12" l="1"/>
  <c r="G35" i="12"/>
  <c r="F35" i="12"/>
  <c r="A35" i="5"/>
  <c r="H18" i="12" l="1"/>
  <c r="G18" i="12"/>
  <c r="F18" i="12"/>
  <c r="A18" i="5"/>
  <c r="H37" i="12" l="1"/>
  <c r="G37" i="12"/>
  <c r="F37" i="12"/>
  <c r="H36" i="12"/>
  <c r="G36" i="12"/>
  <c r="F36" i="12"/>
  <c r="H34" i="12"/>
  <c r="G34" i="12"/>
  <c r="F34" i="12"/>
  <c r="H33" i="12"/>
  <c r="G33" i="12"/>
  <c r="F33" i="12"/>
  <c r="A37" i="5"/>
  <c r="A36" i="5"/>
  <c r="A34" i="5"/>
  <c r="A33" i="5"/>
  <c r="H22" i="12" l="1"/>
  <c r="G22" i="12"/>
  <c r="F22" i="12"/>
  <c r="A22" i="5"/>
  <c r="H19" i="12" l="1"/>
  <c r="G19" i="12"/>
  <c r="F19" i="12"/>
  <c r="A19" i="5"/>
  <c r="H17" i="12" l="1"/>
  <c r="G17" i="12"/>
  <c r="F17" i="12"/>
  <c r="A17" i="5"/>
  <c r="C70" i="3" l="1"/>
  <c r="H23" i="13"/>
  <c r="G23" i="13"/>
  <c r="H22" i="13"/>
  <c r="G22" i="13"/>
  <c r="H21" i="13"/>
  <c r="G21" i="13"/>
  <c r="H20" i="13"/>
  <c r="G20" i="13"/>
  <c r="H19" i="13"/>
  <c r="G19" i="13"/>
  <c r="H18" i="13"/>
  <c r="G18" i="13"/>
  <c r="H17" i="13"/>
  <c r="G17" i="13"/>
  <c r="H16" i="13"/>
  <c r="G16" i="13"/>
  <c r="H15" i="13"/>
  <c r="G15" i="13"/>
  <c r="H14" i="13"/>
  <c r="G14" i="13"/>
  <c r="J23" i="11"/>
  <c r="I23" i="13" s="1"/>
  <c r="D23" i="11"/>
  <c r="J22" i="11"/>
  <c r="I22" i="13" s="1"/>
  <c r="D22" i="11"/>
  <c r="E22" i="13" s="1"/>
  <c r="A22" i="11"/>
  <c r="J21" i="11"/>
  <c r="I21" i="13" s="1"/>
  <c r="D21" i="11"/>
  <c r="E21" i="13" s="1"/>
  <c r="J20" i="11"/>
  <c r="I20" i="13" s="1"/>
  <c r="D20" i="11"/>
  <c r="A20" i="11" s="1"/>
  <c r="J19" i="11"/>
  <c r="I19" i="13" s="1"/>
  <c r="D19" i="11"/>
  <c r="E19" i="13" s="1"/>
  <c r="A19" i="11"/>
  <c r="J18" i="11"/>
  <c r="I18" i="13" s="1"/>
  <c r="D18" i="11"/>
  <c r="J17" i="11"/>
  <c r="I17" i="13" s="1"/>
  <c r="D17" i="11"/>
  <c r="A17" i="11" s="1"/>
  <c r="J16" i="11"/>
  <c r="I16" i="13" s="1"/>
  <c r="D16" i="11"/>
  <c r="A16" i="11" s="1"/>
  <c r="J15" i="11"/>
  <c r="I15" i="13" s="1"/>
  <c r="D15" i="11"/>
  <c r="J14" i="11"/>
  <c r="I14" i="13" s="1"/>
  <c r="D14" i="11"/>
  <c r="E14" i="13" s="1"/>
  <c r="A14" i="8"/>
  <c r="A17" i="8" s="1"/>
  <c r="A20" i="8" s="1"/>
  <c r="B16" i="10"/>
  <c r="B17" i="10" s="1"/>
  <c r="B18" i="10" s="1"/>
  <c r="B19" i="10" s="1"/>
  <c r="B20" i="10" s="1"/>
  <c r="B16" i="9"/>
  <c r="B17" i="9" s="1"/>
  <c r="B18" i="9" s="1"/>
  <c r="B19" i="9" s="1"/>
  <c r="B20" i="9" s="1"/>
  <c r="A19" i="7"/>
  <c r="A18" i="7"/>
  <c r="A17" i="7"/>
  <c r="C16" i="7"/>
  <c r="B16" i="7" s="1"/>
  <c r="A16" i="7"/>
  <c r="C16" i="5"/>
  <c r="A16" i="5"/>
  <c r="P7" i="13"/>
  <c r="L35" i="13"/>
  <c r="C84" i="3"/>
  <c r="A14" i="11" l="1"/>
  <c r="A21" i="11"/>
  <c r="E17" i="13"/>
  <c r="E20" i="13"/>
  <c r="C17" i="7"/>
  <c r="B17" i="7" s="1"/>
  <c r="A16" i="12"/>
  <c r="B16" i="6"/>
  <c r="B16" i="5"/>
  <c r="AE16" i="5"/>
  <c r="N16" i="5"/>
  <c r="I16" i="5"/>
  <c r="H16" i="5"/>
  <c r="G16" i="5"/>
  <c r="C17" i="5"/>
  <c r="W16" i="5"/>
  <c r="H16" i="12" s="1"/>
  <c r="F16" i="5"/>
  <c r="A23" i="8"/>
  <c r="E18" i="13"/>
  <c r="A18" i="11"/>
  <c r="E23" i="13"/>
  <c r="A23" i="11"/>
  <c r="E16" i="13"/>
  <c r="A15" i="11"/>
  <c r="E15" i="13"/>
  <c r="C56" i="3"/>
  <c r="C11" i="7"/>
  <c r="C18" i="5" l="1"/>
  <c r="B17" i="6"/>
  <c r="A17" i="12"/>
  <c r="AE17" i="5"/>
  <c r="N17" i="5"/>
  <c r="AD16" i="5"/>
  <c r="AD17" i="5" s="1"/>
  <c r="C18" i="7"/>
  <c r="B18" i="7" s="1"/>
  <c r="H17" i="5"/>
  <c r="G17" i="5"/>
  <c r="F17" i="5"/>
  <c r="B17" i="5"/>
  <c r="E16" i="5"/>
  <c r="D16" i="6"/>
  <c r="A26" i="8"/>
  <c r="Q13" i="6"/>
  <c r="R13" i="6" s="1"/>
  <c r="C1" i="7"/>
  <c r="B1" i="7" s="1"/>
  <c r="A1" i="7"/>
  <c r="H13" i="7"/>
  <c r="E13" i="7"/>
  <c r="V26" i="7" a="1"/>
  <c r="V26" i="7" s="1"/>
  <c r="Y5" i="7"/>
  <c r="X5" i="7"/>
  <c r="P5" i="7"/>
  <c r="C60" i="3"/>
  <c r="R4" i="8"/>
  <c r="F5" i="7"/>
  <c r="B18" i="6" l="1"/>
  <c r="AD18" i="5"/>
  <c r="H18" i="5"/>
  <c r="D18" i="5"/>
  <c r="B18" i="12" s="1"/>
  <c r="AE18" i="5"/>
  <c r="N18" i="5"/>
  <c r="A18" i="12"/>
  <c r="K18" i="5"/>
  <c r="G18" i="5"/>
  <c r="J18" i="5"/>
  <c r="F18" i="5"/>
  <c r="B18" i="5"/>
  <c r="C19" i="5"/>
  <c r="D17" i="6"/>
  <c r="C19" i="7"/>
  <c r="A29" i="8"/>
  <c r="A14" i="13"/>
  <c r="B14" i="11"/>
  <c r="AV16" i="6"/>
  <c r="BG16" i="6"/>
  <c r="AT16" i="6"/>
  <c r="AY16" i="6"/>
  <c r="AX16" i="6"/>
  <c r="AU16" i="6"/>
  <c r="AS16" i="6"/>
  <c r="BB16" i="6"/>
  <c r="AM16" i="6"/>
  <c r="G16" i="6"/>
  <c r="AQ16" i="6"/>
  <c r="AP16" i="6"/>
  <c r="AO16" i="6"/>
  <c r="AN16" i="6"/>
  <c r="BA16" i="6"/>
  <c r="M16" i="6"/>
  <c r="N16" i="6"/>
  <c r="H16" i="6"/>
  <c r="T16" i="5" s="1"/>
  <c r="G16" i="12" s="1"/>
  <c r="BF16" i="6"/>
  <c r="AR16" i="6"/>
  <c r="BE16" i="6"/>
  <c r="AZ16" i="6"/>
  <c r="BD16" i="6"/>
  <c r="BC16" i="6"/>
  <c r="S13" i="6"/>
  <c r="V27" i="7"/>
  <c r="V28" i="7"/>
  <c r="N5" i="7"/>
  <c r="O5" i="7"/>
  <c r="B19" i="7" l="1"/>
  <c r="C20" i="7"/>
  <c r="H19" i="5"/>
  <c r="D18" i="6"/>
  <c r="G19" i="5"/>
  <c r="F19" i="5"/>
  <c r="D19" i="5"/>
  <c r="B19" i="12" s="1"/>
  <c r="N19" i="5"/>
  <c r="D19" i="6" s="1"/>
  <c r="H19" i="6" s="1"/>
  <c r="T19" i="5" s="1"/>
  <c r="A19" i="12"/>
  <c r="B19" i="6"/>
  <c r="J19" i="5"/>
  <c r="AD19" i="5"/>
  <c r="AE19" i="5"/>
  <c r="K19" i="5"/>
  <c r="B19" i="5"/>
  <c r="H17" i="6"/>
  <c r="T17" i="5" s="1"/>
  <c r="E17" i="5"/>
  <c r="E18" i="5" s="1"/>
  <c r="K14" i="11"/>
  <c r="J14" i="13" s="1"/>
  <c r="C14" i="13"/>
  <c r="T13" i="6"/>
  <c r="E10" i="7"/>
  <c r="C57" i="3"/>
  <c r="C82" i="3"/>
  <c r="C77" i="3"/>
  <c r="B33" i="9"/>
  <c r="D27" i="7"/>
  <c r="A15" i="7"/>
  <c r="V32" i="9" a="1"/>
  <c r="V34" i="9" s="1"/>
  <c r="B30" i="9"/>
  <c r="H23" i="9"/>
  <c r="J23" i="9" s="1"/>
  <c r="L23" i="9" s="1"/>
  <c r="N23" i="9" s="1"/>
  <c r="P23" i="9" s="1"/>
  <c r="R23" i="9" s="1"/>
  <c r="T23" i="9" s="1"/>
  <c r="V23" i="9" s="1"/>
  <c r="X23" i="9" s="1"/>
  <c r="Z23" i="9" s="1"/>
  <c r="AB23" i="9" s="1"/>
  <c r="AD23" i="9" s="1"/>
  <c r="M7" i="9"/>
  <c r="J7" i="9"/>
  <c r="G7" i="9"/>
  <c r="B7" i="9"/>
  <c r="B20" i="7" l="1"/>
  <c r="H18" i="6"/>
  <c r="T18" i="5" s="1"/>
  <c r="E19" i="5"/>
  <c r="K14" i="13"/>
  <c r="C20" i="5"/>
  <c r="U13" i="6"/>
  <c r="V32" i="9"/>
  <c r="V33" i="9"/>
  <c r="L26" i="7" a="1"/>
  <c r="L28" i="7" s="1"/>
  <c r="D24" i="7"/>
  <c r="C5" i="7"/>
  <c r="B20" i="6" l="1"/>
  <c r="AD20" i="5"/>
  <c r="D20" i="5"/>
  <c r="B20" i="12" s="1"/>
  <c r="J20" i="5"/>
  <c r="N20" i="5"/>
  <c r="A20" i="12"/>
  <c r="K20" i="5"/>
  <c r="AE20" i="5"/>
  <c r="E20" i="5"/>
  <c r="H20" i="5"/>
  <c r="G20" i="5"/>
  <c r="B20" i="5"/>
  <c r="F20" i="5"/>
  <c r="C21" i="5"/>
  <c r="V13" i="6"/>
  <c r="L26" i="7"/>
  <c r="L27" i="7"/>
  <c r="C69" i="3"/>
  <c r="C86" i="3"/>
  <c r="C81" i="3"/>
  <c r="C80" i="3"/>
  <c r="C79" i="3"/>
  <c r="C76" i="3"/>
  <c r="C75" i="3"/>
  <c r="C74" i="3"/>
  <c r="C67" i="3"/>
  <c r="C65" i="3"/>
  <c r="C64" i="3"/>
  <c r="C61" i="3"/>
  <c r="C62" i="3"/>
  <c r="C59" i="3"/>
  <c r="C58" i="3"/>
  <c r="C72" i="3"/>
  <c r="S108" i="4" a="1"/>
  <c r="S108" i="4" s="1"/>
  <c r="X108" i="4" s="1"/>
  <c r="S68" i="4" a="1"/>
  <c r="S68" i="4" s="1"/>
  <c r="X68" i="4" s="1"/>
  <c r="S28" i="4" a="1"/>
  <c r="S28" i="4" s="1"/>
  <c r="Y28" i="4" s="1"/>
  <c r="D20" i="6" l="1"/>
  <c r="B21" i="6"/>
  <c r="AD21" i="5"/>
  <c r="D21" i="5"/>
  <c r="B21" i="12" s="1"/>
  <c r="A21" i="12"/>
  <c r="K21" i="5"/>
  <c r="AE21" i="5"/>
  <c r="J21" i="5"/>
  <c r="N21" i="5"/>
  <c r="E21" i="5"/>
  <c r="B21" i="5"/>
  <c r="H21" i="5"/>
  <c r="G21" i="5"/>
  <c r="F21" i="5"/>
  <c r="W13" i="6"/>
  <c r="X28" i="4"/>
  <c r="Z108" i="4"/>
  <c r="Y108" i="4"/>
  <c r="Z68" i="4"/>
  <c r="Y68" i="4"/>
  <c r="Z28" i="4"/>
  <c r="E28" i="14"/>
  <c r="C15" i="14"/>
  <c r="L4" i="13"/>
  <c r="I5" i="12"/>
  <c r="F4" i="11"/>
  <c r="D7" i="10"/>
  <c r="J8" i="8"/>
  <c r="L5" i="4"/>
  <c r="C14" i="15"/>
  <c r="C52" i="3"/>
  <c r="G10" i="6" a="1"/>
  <c r="G10" i="6" s="1"/>
  <c r="Q5" i="5" a="1"/>
  <c r="Q5" i="5" s="1"/>
  <c r="F9" i="5"/>
  <c r="F8" i="5"/>
  <c r="P85" i="4"/>
  <c r="C51" i="3"/>
  <c r="C47" i="3"/>
  <c r="C43" i="3"/>
  <c r="C41" i="3"/>
  <c r="C39" i="3"/>
  <c r="E2" i="15"/>
  <c r="C34" i="3"/>
  <c r="C32" i="3"/>
  <c r="A12" i="6"/>
  <c r="AX13" i="6"/>
  <c r="AY13" i="6" s="1"/>
  <c r="AZ13" i="6" s="1"/>
  <c r="AB13" i="6"/>
  <c r="AB12" i="6" s="1"/>
  <c r="AM13" i="6"/>
  <c r="AM12" i="6" s="1"/>
  <c r="H12" i="10"/>
  <c r="H11" i="10" s="1"/>
  <c r="S27" i="4"/>
  <c r="S29" i="4" s="1"/>
  <c r="BG15" i="6"/>
  <c r="BF15" i="6"/>
  <c r="BE15" i="6"/>
  <c r="BD15" i="6"/>
  <c r="BC15" i="6"/>
  <c r="BB15" i="6"/>
  <c r="BA15" i="6"/>
  <c r="AZ15" i="6"/>
  <c r="AY15" i="6"/>
  <c r="AX15" i="6"/>
  <c r="I25" i="10"/>
  <c r="N9" i="10" s="1"/>
  <c r="G12" i="9"/>
  <c r="G11" i="9" s="1"/>
  <c r="C20" i="3"/>
  <c r="C22" i="3"/>
  <c r="C24" i="3"/>
  <c r="C26" i="3"/>
  <c r="C28" i="3"/>
  <c r="C19" i="3"/>
  <c r="C15" i="3"/>
  <c r="C14" i="3"/>
  <c r="C12" i="3"/>
  <c r="I36" i="11"/>
  <c r="I35" i="11"/>
  <c r="Z46" i="8" a="1"/>
  <c r="T57" i="6" a="1"/>
  <c r="T59" i="6" s="1"/>
  <c r="I57" i="6" a="1"/>
  <c r="I58" i="6" s="1"/>
  <c r="AB13" i="12"/>
  <c r="C2" i="4"/>
  <c r="Z7" i="11"/>
  <c r="U12" i="8"/>
  <c r="D12" i="8"/>
  <c r="C11" i="10"/>
  <c r="A14" i="5"/>
  <c r="C14" i="5" s="1"/>
  <c r="B14" i="6" s="1"/>
  <c r="AV15" i="6"/>
  <c r="AU15" i="6"/>
  <c r="AT15" i="6"/>
  <c r="AS15" i="6"/>
  <c r="AR15" i="6"/>
  <c r="AQ15" i="6"/>
  <c r="AP15" i="6"/>
  <c r="AO15" i="6"/>
  <c r="AN15" i="6"/>
  <c r="AM15" i="6"/>
  <c r="D12" i="11"/>
  <c r="A12" i="11" s="1"/>
  <c r="L39" i="13"/>
  <c r="S107" i="4"/>
  <c r="S109" i="4" s="1"/>
  <c r="I95" i="4" s="1"/>
  <c r="S67" i="4"/>
  <c r="S69" i="4" s="1"/>
  <c r="I92" i="4" s="1"/>
  <c r="C8" i="4"/>
  <c r="C9" i="4"/>
  <c r="C10" i="4"/>
  <c r="C11" i="4"/>
  <c r="C12" i="4"/>
  <c r="C13" i="4"/>
  <c r="L46" i="13"/>
  <c r="A1" i="8"/>
  <c r="C10" i="15"/>
  <c r="G22" i="15"/>
  <c r="C22" i="15"/>
  <c r="E24" i="15"/>
  <c r="E22" i="15"/>
  <c r="G18" i="15"/>
  <c r="E18" i="15"/>
  <c r="C18" i="15"/>
  <c r="C12" i="15"/>
  <c r="E12" i="15"/>
  <c r="G10" i="15"/>
  <c r="E10" i="15"/>
  <c r="B20" i="15"/>
  <c r="B16" i="15"/>
  <c r="B8" i="15"/>
  <c r="Q8" i="5"/>
  <c r="O1" i="4"/>
  <c r="A3" i="4"/>
  <c r="C3" i="4" s="1"/>
  <c r="J5" i="4"/>
  <c r="N5" i="4"/>
  <c r="J8" i="4"/>
  <c r="C14" i="4"/>
  <c r="A15" i="4"/>
  <c r="C15" i="4" s="1"/>
  <c r="C20" i="4"/>
  <c r="A21" i="4"/>
  <c r="A22" i="4" s="1"/>
  <c r="A23" i="4" s="1"/>
  <c r="A24" i="4" s="1"/>
  <c r="A25" i="4" s="1"/>
  <c r="C25" i="4" s="1"/>
  <c r="J21" i="4"/>
  <c r="R21" i="4"/>
  <c r="J22" i="4"/>
  <c r="R22" i="4"/>
  <c r="J23" i="4"/>
  <c r="R23" i="4"/>
  <c r="J24" i="4"/>
  <c r="R24" i="4"/>
  <c r="J25" i="4"/>
  <c r="R25" i="4"/>
  <c r="C26" i="4"/>
  <c r="A27" i="4"/>
  <c r="A28" i="4" s="1"/>
  <c r="A29" i="4" s="1"/>
  <c r="C29" i="4" s="1"/>
  <c r="C32" i="4"/>
  <c r="A33" i="4"/>
  <c r="A34" i="4" s="1"/>
  <c r="A35" i="4" s="1"/>
  <c r="N35" i="4"/>
  <c r="C38" i="4"/>
  <c r="C39" i="4"/>
  <c r="C40" i="4"/>
  <c r="C41" i="4"/>
  <c r="C42" i="4"/>
  <c r="C43" i="4"/>
  <c r="C44" i="4"/>
  <c r="J38" i="4"/>
  <c r="A45" i="4"/>
  <c r="C45" i="4" s="1"/>
  <c r="J40" i="4"/>
  <c r="J45" i="4"/>
  <c r="K50" i="4" a="1"/>
  <c r="K52" i="4" s="1"/>
  <c r="J61" i="4"/>
  <c r="R61" i="4"/>
  <c r="J62" i="4"/>
  <c r="R62" i="4"/>
  <c r="J63" i="4"/>
  <c r="R63" i="4"/>
  <c r="J64" i="4"/>
  <c r="R64" i="4"/>
  <c r="J65" i="4"/>
  <c r="R65" i="4"/>
  <c r="N75" i="4"/>
  <c r="J78" i="4"/>
  <c r="J80" i="4"/>
  <c r="J85" i="4"/>
  <c r="K90" i="4" a="1"/>
  <c r="K92" i="4" s="1"/>
  <c r="J101" i="4"/>
  <c r="R101" i="4"/>
  <c r="J102" i="4"/>
  <c r="R102" i="4"/>
  <c r="J103" i="4"/>
  <c r="R103" i="4"/>
  <c r="J104" i="4"/>
  <c r="R104" i="4"/>
  <c r="J105" i="4"/>
  <c r="R105" i="4"/>
  <c r="N115" i="4"/>
  <c r="J118" i="4"/>
  <c r="J120" i="4"/>
  <c r="J125" i="4"/>
  <c r="K130" i="4" a="1"/>
  <c r="K131" i="4" s="1"/>
  <c r="E2" i="12"/>
  <c r="E1" i="12"/>
  <c r="D5" i="12"/>
  <c r="F5" i="12"/>
  <c r="J5" i="12"/>
  <c r="O5" i="12"/>
  <c r="A7" i="12"/>
  <c r="I7" i="12"/>
  <c r="D8" i="12"/>
  <c r="E8" i="12"/>
  <c r="F8" i="12"/>
  <c r="I8" i="12"/>
  <c r="E10" i="12"/>
  <c r="J12" i="12"/>
  <c r="Q12" i="12"/>
  <c r="V13" i="12"/>
  <c r="W13" i="12"/>
  <c r="X13" i="12"/>
  <c r="D15" i="12"/>
  <c r="AB15" i="12"/>
  <c r="D60" i="12"/>
  <c r="E61" i="12"/>
  <c r="K63" i="12" a="1"/>
  <c r="K65" i="12" s="1"/>
  <c r="F6" i="6"/>
  <c r="F7" i="6"/>
  <c r="E10" i="6"/>
  <c r="I10" i="6"/>
  <c r="K10" i="6"/>
  <c r="S10" i="6"/>
  <c r="U10" i="6"/>
  <c r="O13" i="6"/>
  <c r="O15" i="6" s="1"/>
  <c r="B15" i="6"/>
  <c r="C15" i="6"/>
  <c r="D15" i="6"/>
  <c r="E15" i="6"/>
  <c r="B51" i="6"/>
  <c r="C51" i="6"/>
  <c r="F55" i="6"/>
  <c r="R5" i="8"/>
  <c r="Y7" i="8"/>
  <c r="AE7" i="8"/>
  <c r="H8" i="8"/>
  <c r="K8" i="8"/>
  <c r="T8" i="8"/>
  <c r="Y8" i="8"/>
  <c r="AE8" i="8"/>
  <c r="D13" i="8"/>
  <c r="U13" i="8"/>
  <c r="V13" i="8" s="1"/>
  <c r="W13" i="8" s="1"/>
  <c r="X13" i="8" s="1"/>
  <c r="Y13" i="8" s="1"/>
  <c r="Z13" i="8" s="1"/>
  <c r="AA13" i="8" s="1"/>
  <c r="AB13" i="8" s="1"/>
  <c r="AC13" i="8" s="1"/>
  <c r="AD13" i="8" s="1"/>
  <c r="AE13" i="8" s="1"/>
  <c r="S34" i="8"/>
  <c r="S39" i="8"/>
  <c r="H44" i="8"/>
  <c r="B1" i="9"/>
  <c r="E12" i="9"/>
  <c r="E11" i="9" s="1"/>
  <c r="L2" i="2"/>
  <c r="N2" i="2"/>
  <c r="P2" i="2"/>
  <c r="R2" i="2"/>
  <c r="T2" i="2"/>
  <c r="V2" i="2"/>
  <c r="X2" i="2"/>
  <c r="Z2" i="2"/>
  <c r="AB2" i="2"/>
  <c r="AD2" i="2"/>
  <c r="AF2" i="2"/>
  <c r="AH2" i="2"/>
  <c r="AJ2" i="2"/>
  <c r="AL2" i="2"/>
  <c r="AN2" i="2"/>
  <c r="AP2" i="2"/>
  <c r="AR2" i="2"/>
  <c r="E9" i="2"/>
  <c r="B15" i="7"/>
  <c r="C8" i="3"/>
  <c r="C9" i="3"/>
  <c r="C18" i="14"/>
  <c r="C19" i="14"/>
  <c r="B22" i="14"/>
  <c r="B24" i="14"/>
  <c r="B30" i="14"/>
  <c r="B54" i="14"/>
  <c r="B55" i="14"/>
  <c r="R2" i="5"/>
  <c r="O5" i="5"/>
  <c r="R5" i="5"/>
  <c r="S5" i="5"/>
  <c r="O61" i="5"/>
  <c r="R7" i="5"/>
  <c r="S7" i="5"/>
  <c r="V7" i="5"/>
  <c r="W7" i="5"/>
  <c r="X7" i="5"/>
  <c r="R8" i="5"/>
  <c r="S8" i="5"/>
  <c r="U13" i="5"/>
  <c r="V13" i="5"/>
  <c r="AH13" i="5"/>
  <c r="M15" i="5"/>
  <c r="N15" i="5"/>
  <c r="O15" i="5"/>
  <c r="O64" i="5"/>
  <c r="T66" i="5" a="1"/>
  <c r="T66" i="5" s="1"/>
  <c r="B1" i="10"/>
  <c r="H4" i="10"/>
  <c r="V6" i="10"/>
  <c r="AE6" i="10"/>
  <c r="B7" i="10"/>
  <c r="H7" i="10"/>
  <c r="O7" i="10"/>
  <c r="V7" i="10"/>
  <c r="AE7" i="10"/>
  <c r="F12" i="10"/>
  <c r="F11" i="10" s="1"/>
  <c r="B31" i="10"/>
  <c r="W33" i="10" a="1"/>
  <c r="W34"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D58" i="12"/>
  <c r="K130" i="4"/>
  <c r="C33" i="4"/>
  <c r="C34" i="4"/>
  <c r="O8" i="5"/>
  <c r="H20" i="6" l="1"/>
  <c r="T20" i="5" s="1"/>
  <c r="D21" i="6"/>
  <c r="E20" i="7" a="1"/>
  <c r="E20" i="7" s="1"/>
  <c r="X20" i="7" a="1"/>
  <c r="X20" i="7" s="1"/>
  <c r="R20" i="7" a="1"/>
  <c r="R20" i="7" s="1"/>
  <c r="N20" i="7" a="1"/>
  <c r="N20" i="7" s="1"/>
  <c r="H20" i="7" a="1"/>
  <c r="H20" i="7" s="1"/>
  <c r="F20" i="7"/>
  <c r="Y20" i="7" a="1"/>
  <c r="Y20" i="7" s="1"/>
  <c r="W20" i="7" a="1"/>
  <c r="W20" i="7" s="1"/>
  <c r="U20" i="7" a="1"/>
  <c r="U20" i="7" s="1"/>
  <c r="S20" i="7" a="1"/>
  <c r="S20" i="7" s="1"/>
  <c r="Q20" i="7" a="1"/>
  <c r="Q20" i="7" s="1"/>
  <c r="O20" i="7" a="1"/>
  <c r="O20" i="7" s="1"/>
  <c r="M20" i="7" a="1"/>
  <c r="M20" i="7" s="1"/>
  <c r="K20" i="7" a="1"/>
  <c r="K20" i="7" s="1"/>
  <c r="I20" i="7" a="1"/>
  <c r="I20" i="7" s="1"/>
  <c r="V20" i="7" a="1"/>
  <c r="V20" i="7" s="1"/>
  <c r="T20" i="7" a="1"/>
  <c r="T20" i="7" s="1"/>
  <c r="P20" i="7" a="1"/>
  <c r="P20" i="7" s="1"/>
  <c r="L20" i="7" a="1"/>
  <c r="L20" i="7" s="1"/>
  <c r="J20" i="7" a="1"/>
  <c r="J20" i="7" s="1"/>
  <c r="A46" i="4"/>
  <c r="A47" i="4" s="1"/>
  <c r="A48" i="4" s="1"/>
  <c r="A49" i="4" s="1"/>
  <c r="C49" i="4" s="1"/>
  <c r="K50" i="4"/>
  <c r="U19" i="7" a="1"/>
  <c r="U19" i="7" s="1"/>
  <c r="O19" i="7" a="1"/>
  <c r="O19" i="7" s="1"/>
  <c r="I19" i="7" a="1"/>
  <c r="I19" i="7" s="1"/>
  <c r="X18" i="7" a="1"/>
  <c r="X18" i="7" s="1"/>
  <c r="R18" i="7" a="1"/>
  <c r="R18" i="7" s="1"/>
  <c r="L18" i="7" a="1"/>
  <c r="L18" i="7" s="1"/>
  <c r="U17" i="7" a="1"/>
  <c r="U17" i="7" s="1"/>
  <c r="O17" i="7" a="1"/>
  <c r="O17" i="7" s="1"/>
  <c r="I17" i="7" a="1"/>
  <c r="I17" i="7" s="1"/>
  <c r="X16" i="7" a="1"/>
  <c r="X16" i="7" s="1"/>
  <c r="R16" i="7" a="1"/>
  <c r="R16" i="7" s="1"/>
  <c r="L16" i="7" a="1"/>
  <c r="L16" i="7" s="1"/>
  <c r="S19" i="7" a="1"/>
  <c r="S19" i="7" s="1"/>
  <c r="K19" i="7" a="1"/>
  <c r="K19" i="7" s="1"/>
  <c r="P18" i="7" a="1"/>
  <c r="P18" i="7" s="1"/>
  <c r="H18" i="7" a="1"/>
  <c r="H18" i="7" s="1"/>
  <c r="M17" i="7" a="1"/>
  <c r="M17" i="7" s="1"/>
  <c r="J16" i="7" a="1"/>
  <c r="J16" i="7" s="1"/>
  <c r="W18" i="7" a="1"/>
  <c r="W18" i="7" s="1"/>
  <c r="M19" i="7" a="1"/>
  <c r="M19" i="7" s="1"/>
  <c r="Y18" i="7" a="1"/>
  <c r="Y18" i="7" s="1"/>
  <c r="O18" i="7" a="1"/>
  <c r="O18" i="7" s="1"/>
  <c r="E18" i="7" a="1"/>
  <c r="E18" i="7" s="1"/>
  <c r="J17" i="7" a="1"/>
  <c r="J17" i="7" s="1"/>
  <c r="N16" i="7" a="1"/>
  <c r="N16" i="7" s="1"/>
  <c r="V19" i="7" a="1"/>
  <c r="V19" i="7" s="1"/>
  <c r="N18" i="7" a="1"/>
  <c r="N18" i="7" s="1"/>
  <c r="R17" i="7" a="1"/>
  <c r="R17" i="7" s="1"/>
  <c r="V16" i="7" a="1"/>
  <c r="V16" i="7" s="1"/>
  <c r="L19" i="7" a="1"/>
  <c r="L19" i="7" s="1"/>
  <c r="V18" i="7" a="1"/>
  <c r="V18" i="7" s="1"/>
  <c r="Q17" i="7" a="1"/>
  <c r="Q17" i="7" s="1"/>
  <c r="H17" i="7" a="1"/>
  <c r="H17" i="7" s="1"/>
  <c r="M16" i="7" a="1"/>
  <c r="M16" i="7" s="1"/>
  <c r="Q18" i="7" a="1"/>
  <c r="Q18" i="7" s="1"/>
  <c r="I18" i="7" a="1"/>
  <c r="I18" i="7" s="1"/>
  <c r="T17" i="7" a="1"/>
  <c r="T17" i="7" s="1"/>
  <c r="L17" i="7" a="1"/>
  <c r="L17" i="7" s="1"/>
  <c r="Y16" i="7" a="1"/>
  <c r="Y16" i="7" s="1"/>
  <c r="X19" i="7" a="1"/>
  <c r="X19" i="7" s="1"/>
  <c r="N19" i="7" a="1"/>
  <c r="N19" i="7" s="1"/>
  <c r="F18" i="7"/>
  <c r="K17" i="7" a="1"/>
  <c r="K17" i="7" s="1"/>
  <c r="X17" i="7" a="1"/>
  <c r="X17" i="7" s="1"/>
  <c r="F17" i="7"/>
  <c r="H19" i="7" a="1"/>
  <c r="H19" i="7" s="1"/>
  <c r="W17" i="7" a="1"/>
  <c r="W17" i="7" s="1"/>
  <c r="P16" i="7" a="1"/>
  <c r="P16" i="7" s="1"/>
  <c r="W19" i="7" a="1"/>
  <c r="W19" i="7" s="1"/>
  <c r="V17" i="7" a="1"/>
  <c r="V17" i="7" s="1"/>
  <c r="P19" i="7" a="1"/>
  <c r="P19" i="7" s="1"/>
  <c r="T18" i="7" a="1"/>
  <c r="T18" i="7" s="1"/>
  <c r="F16" i="7"/>
  <c r="Y17" i="7" a="1"/>
  <c r="Y17" i="7" s="1"/>
  <c r="S16" i="7" a="1"/>
  <c r="S16" i="7" s="1"/>
  <c r="E16" i="7" a="1"/>
  <c r="E16" i="7" s="1"/>
  <c r="J18" i="7" a="1"/>
  <c r="J18" i="7" s="1"/>
  <c r="E17" i="7" a="1"/>
  <c r="E17" i="7" s="1"/>
  <c r="I16" i="7" a="1"/>
  <c r="I16" i="7" s="1"/>
  <c r="J19" i="7" a="1"/>
  <c r="J19" i="7" s="1"/>
  <c r="H16" i="7" a="1"/>
  <c r="H16" i="7" s="1"/>
  <c r="F19" i="7"/>
  <c r="E19" i="7" a="1"/>
  <c r="E19" i="7" s="1"/>
  <c r="W16" i="7" a="1"/>
  <c r="W16" i="7" s="1"/>
  <c r="M18" i="7" a="1"/>
  <c r="M18" i="7" s="1"/>
  <c r="K16" i="7" a="1"/>
  <c r="K16" i="7" s="1"/>
  <c r="Q19" i="7" a="1"/>
  <c r="Q19" i="7" s="1"/>
  <c r="P17" i="7" a="1"/>
  <c r="P17" i="7" s="1"/>
  <c r="N17" i="7" a="1"/>
  <c r="N17" i="7" s="1"/>
  <c r="U18" i="7" a="1"/>
  <c r="U18" i="7" s="1"/>
  <c r="K18" i="7" a="1"/>
  <c r="K18" i="7" s="1"/>
  <c r="S17" i="7" a="1"/>
  <c r="S17" i="7" s="1"/>
  <c r="T16" i="7" a="1"/>
  <c r="T16" i="7" s="1"/>
  <c r="Q16" i="7" a="1"/>
  <c r="Q16" i="7" s="1"/>
  <c r="Y19" i="7" a="1"/>
  <c r="Y19" i="7" s="1"/>
  <c r="O16" i="7" a="1"/>
  <c r="O16" i="7" s="1"/>
  <c r="T19" i="7" a="1"/>
  <c r="T19" i="7" s="1"/>
  <c r="R19" i="7" a="1"/>
  <c r="R19" i="7" s="1"/>
  <c r="S18" i="7" a="1"/>
  <c r="S18" i="7" s="1"/>
  <c r="U16" i="7" a="1"/>
  <c r="U16" i="7" s="1"/>
  <c r="A16" i="6"/>
  <c r="AB16" i="6"/>
  <c r="C48" i="4"/>
  <c r="C27" i="4"/>
  <c r="A16" i="4"/>
  <c r="V12" i="8"/>
  <c r="X13" i="6"/>
  <c r="O7" i="11"/>
  <c r="AC13" i="12"/>
  <c r="K25" i="10"/>
  <c r="M25" i="10" s="1"/>
  <c r="O25" i="10" s="1"/>
  <c r="Q25" i="10" s="1"/>
  <c r="S25" i="10" s="1"/>
  <c r="U25" i="10" s="1"/>
  <c r="W25" i="10" s="1"/>
  <c r="Y25" i="10" s="1"/>
  <c r="AA25" i="10" s="1"/>
  <c r="AC25" i="10" s="1"/>
  <c r="AE25" i="10" s="1"/>
  <c r="W36" i="10"/>
  <c r="E12" i="13"/>
  <c r="C23" i="4"/>
  <c r="A30" i="4"/>
  <c r="A31" i="4" s="1"/>
  <c r="C31" i="4" s="1"/>
  <c r="C28" i="4"/>
  <c r="K66" i="12"/>
  <c r="C21" i="4"/>
  <c r="C22" i="4"/>
  <c r="K132" i="4"/>
  <c r="B39" i="14"/>
  <c r="W35" i="10"/>
  <c r="K63" i="12"/>
  <c r="T68" i="5"/>
  <c r="B37" i="14"/>
  <c r="C14" i="14"/>
  <c r="O7" i="13"/>
  <c r="T58" i="6"/>
  <c r="P125" i="4"/>
  <c r="H47" i="8"/>
  <c r="I59" i="6"/>
  <c r="I57" i="6"/>
  <c r="AX12" i="6"/>
  <c r="AC13" i="6"/>
  <c r="AN13" i="6"/>
  <c r="B14" i="5"/>
  <c r="F14" i="5"/>
  <c r="I80" i="4"/>
  <c r="G15" i="9"/>
  <c r="M15" i="6"/>
  <c r="H15" i="10"/>
  <c r="I86" i="4"/>
  <c r="I88" i="4"/>
  <c r="I83" i="4"/>
  <c r="S110" i="4"/>
  <c r="H5" i="5" s="1"/>
  <c r="X8" i="5" s="1"/>
  <c r="I55" i="4"/>
  <c r="I69" i="4"/>
  <c r="I12" i="10"/>
  <c r="H12" i="9"/>
  <c r="I12" i="9" s="1"/>
  <c r="I70" i="4"/>
  <c r="I63" i="4"/>
  <c r="I82" i="4"/>
  <c r="I56" i="4"/>
  <c r="I58" i="4"/>
  <c r="I67" i="4"/>
  <c r="I72" i="4"/>
  <c r="I60" i="4"/>
  <c r="I78" i="4"/>
  <c r="I71" i="4"/>
  <c r="I66" i="4"/>
  <c r="I116" i="4"/>
  <c r="I79" i="4"/>
  <c r="I130" i="4"/>
  <c r="I76" i="4"/>
  <c r="I122" i="4"/>
  <c r="I104" i="4"/>
  <c r="I119" i="4"/>
  <c r="S30" i="4"/>
  <c r="F5" i="5" s="1"/>
  <c r="AH42" i="5" s="1"/>
  <c r="A36" i="4"/>
  <c r="C35" i="4"/>
  <c r="AZ12" i="6"/>
  <c r="BA13" i="6"/>
  <c r="I112" i="4"/>
  <c r="I117" i="4"/>
  <c r="I126" i="4"/>
  <c r="I121" i="4"/>
  <c r="I96" i="4"/>
  <c r="I109" i="4"/>
  <c r="I105" i="4"/>
  <c r="I115" i="4"/>
  <c r="I98" i="4"/>
  <c r="I125" i="4"/>
  <c r="I113" i="4"/>
  <c r="I111" i="4"/>
  <c r="I101" i="4"/>
  <c r="I132" i="4"/>
  <c r="I108" i="4"/>
  <c r="I103" i="4"/>
  <c r="I129" i="4"/>
  <c r="I100" i="4"/>
  <c r="I127" i="4"/>
  <c r="I124" i="4"/>
  <c r="I107" i="4"/>
  <c r="I106" i="4"/>
  <c r="I94" i="4"/>
  <c r="I118" i="4"/>
  <c r="I131" i="4"/>
  <c r="I128" i="4"/>
  <c r="I114" i="4"/>
  <c r="I102" i="4"/>
  <c r="I120" i="4"/>
  <c r="I97" i="4"/>
  <c r="I123" i="4"/>
  <c r="C24" i="4"/>
  <c r="I110" i="4"/>
  <c r="I99" i="4"/>
  <c r="Z47" i="8"/>
  <c r="Z48" i="8"/>
  <c r="Z46" i="8"/>
  <c r="P45" i="4"/>
  <c r="K14" i="5"/>
  <c r="J14" i="5"/>
  <c r="H14" i="5"/>
  <c r="A14" i="12"/>
  <c r="D14" i="5"/>
  <c r="B14" i="12" s="1"/>
  <c r="AD14" i="5"/>
  <c r="E14" i="5"/>
  <c r="G14" i="5"/>
  <c r="AE14" i="5"/>
  <c r="N14" i="5"/>
  <c r="I62" i="4"/>
  <c r="I74" i="4"/>
  <c r="I68" i="4"/>
  <c r="I61" i="4"/>
  <c r="I64" i="4"/>
  <c r="I87" i="4"/>
  <c r="I89" i="4"/>
  <c r="I57" i="4"/>
  <c r="I73" i="4"/>
  <c r="I93" i="4"/>
  <c r="I85" i="4"/>
  <c r="I84" i="4"/>
  <c r="I77" i="4"/>
  <c r="I65" i="4"/>
  <c r="I54" i="4"/>
  <c r="I59" i="4"/>
  <c r="I90" i="4"/>
  <c r="I81" i="4"/>
  <c r="I75" i="4"/>
  <c r="I91" i="4"/>
  <c r="E64" i="12"/>
  <c r="B34" i="10"/>
  <c r="F58" i="6"/>
  <c r="O67" i="5"/>
  <c r="D36" i="11"/>
  <c r="M8" i="12"/>
  <c r="AY12" i="6"/>
  <c r="W33" i="10"/>
  <c r="A4" i="4"/>
  <c r="K51" i="4"/>
  <c r="K64" i="12"/>
  <c r="S70" i="4"/>
  <c r="G5" i="5" s="1"/>
  <c r="W8" i="5" s="1"/>
  <c r="K91" i="4"/>
  <c r="T57" i="6"/>
  <c r="K90" i="4"/>
  <c r="T67" i="5"/>
  <c r="C46" i="4" l="1"/>
  <c r="C47" i="4"/>
  <c r="AH39" i="5"/>
  <c r="AH38" i="5"/>
  <c r="AH45" i="5"/>
  <c r="AH41" i="5"/>
  <c r="AH50" i="5"/>
  <c r="AH46" i="5"/>
  <c r="AH24" i="5"/>
  <c r="AH25" i="5"/>
  <c r="AH32" i="5"/>
  <c r="AH29" i="5"/>
  <c r="AH27" i="5"/>
  <c r="AH23" i="5"/>
  <c r="AH31" i="5"/>
  <c r="AH30" i="5"/>
  <c r="AH28" i="5"/>
  <c r="AH26" i="5"/>
  <c r="AH20" i="5"/>
  <c r="AH49" i="5"/>
  <c r="AH48" i="5"/>
  <c r="AH47" i="5"/>
  <c r="AH44" i="5"/>
  <c r="AH43" i="5"/>
  <c r="AH40" i="5"/>
  <c r="AH21" i="5"/>
  <c r="H21" i="6"/>
  <c r="T21" i="5" s="1"/>
  <c r="AH35" i="5"/>
  <c r="AH18" i="5"/>
  <c r="AH37" i="5"/>
  <c r="AH36" i="5"/>
  <c r="AH34" i="5"/>
  <c r="AH33" i="5"/>
  <c r="AH22" i="5"/>
  <c r="AH19" i="5"/>
  <c r="AH17" i="5"/>
  <c r="A17" i="6"/>
  <c r="AH16" i="5"/>
  <c r="AN16" i="5" s="1"/>
  <c r="C30" i="4"/>
  <c r="C16" i="4"/>
  <c r="A17" i="4"/>
  <c r="W12" i="8"/>
  <c r="AD13" i="12"/>
  <c r="Y13" i="6"/>
  <c r="B42" i="14"/>
  <c r="AC12" i="6"/>
  <c r="AD13" i="6"/>
  <c r="H11" i="9"/>
  <c r="AO13" i="6"/>
  <c r="AN12" i="6"/>
  <c r="B8" i="14"/>
  <c r="I10" i="13"/>
  <c r="I11" i="9"/>
  <c r="J12" i="9"/>
  <c r="I11" i="10"/>
  <c r="J12" i="10"/>
  <c r="AH14" i="5"/>
  <c r="V8" i="5"/>
  <c r="D14" i="6"/>
  <c r="BB13" i="6"/>
  <c r="C4" i="4"/>
  <c r="A5" i="4"/>
  <c r="C36" i="4"/>
  <c r="A37" i="4"/>
  <c r="C37" i="4" s="1"/>
  <c r="A18" i="6" l="1"/>
  <c r="A19" i="6" s="1"/>
  <c r="N17" i="6"/>
  <c r="M17" i="6"/>
  <c r="AC16" i="6"/>
  <c r="A18" i="4"/>
  <c r="C17" i="4"/>
  <c r="X12" i="8"/>
  <c r="AE13" i="12"/>
  <c r="Z13" i="6"/>
  <c r="AE13" i="6"/>
  <c r="AF13" i="6" s="1"/>
  <c r="AD12" i="6"/>
  <c r="AO12" i="6"/>
  <c r="AP13" i="6"/>
  <c r="K12" i="10"/>
  <c r="J11" i="10"/>
  <c r="K12" i="9"/>
  <c r="W14" i="5"/>
  <c r="H14" i="12" s="1"/>
  <c r="AN14" i="5"/>
  <c r="BC13" i="6"/>
  <c r="BB12" i="6"/>
  <c r="A14" i="6"/>
  <c r="N14" i="6" s="1"/>
  <c r="C5" i="4"/>
  <c r="A6" i="4"/>
  <c r="AC8" i="6"/>
  <c r="AC17" i="6" l="1"/>
  <c r="M18" i="6"/>
  <c r="AD18" i="6" s="1"/>
  <c r="AD17" i="6"/>
  <c r="AX17" i="6"/>
  <c r="AM17" i="6"/>
  <c r="BA17" i="6"/>
  <c r="AO17" i="6"/>
  <c r="BB17" i="6"/>
  <c r="AY17" i="6"/>
  <c r="AZ17" i="6"/>
  <c r="AN17" i="6"/>
  <c r="AP17" i="6"/>
  <c r="BC17" i="6"/>
  <c r="AD16" i="6"/>
  <c r="A19" i="4"/>
  <c r="C19" i="4" s="1"/>
  <c r="C18" i="4"/>
  <c r="Y12" i="8"/>
  <c r="AF13" i="12"/>
  <c r="AD8" i="6"/>
  <c r="AB8" i="6"/>
  <c r="AQ13" i="6"/>
  <c r="AQ17" i="6" s="1"/>
  <c r="L12" i="9"/>
  <c r="K11" i="9"/>
  <c r="M14" i="6"/>
  <c r="L12" i="10"/>
  <c r="AF12" i="6"/>
  <c r="AG13" i="6"/>
  <c r="A7" i="4"/>
  <c r="C7" i="4" s="1"/>
  <c r="C6" i="4"/>
  <c r="BC12" i="6"/>
  <c r="BD13" i="6"/>
  <c r="BD17" i="6" s="1"/>
  <c r="AF18" i="6" l="1"/>
  <c r="AQ18" i="6"/>
  <c r="AN18" i="6"/>
  <c r="AZ18" i="6"/>
  <c r="BB18" i="6"/>
  <c r="AX18" i="6"/>
  <c r="AY18" i="6"/>
  <c r="BD18" i="6"/>
  <c r="BA18" i="6"/>
  <c r="BC18" i="6"/>
  <c r="AM18" i="6"/>
  <c r="AO18" i="6"/>
  <c r="AP18" i="6"/>
  <c r="M19" i="6"/>
  <c r="AF17" i="6"/>
  <c r="AF16" i="6"/>
  <c r="Z12" i="8"/>
  <c r="AG13" i="12"/>
  <c r="AX14" i="6"/>
  <c r="AO14" i="6"/>
  <c r="BD14" i="6"/>
  <c r="AQ12" i="6"/>
  <c r="AR13" i="6"/>
  <c r="AR17" i="6" s="1"/>
  <c r="AZ14" i="6"/>
  <c r="BC14" i="6"/>
  <c r="BA14" i="6"/>
  <c r="AP14" i="6"/>
  <c r="AQ14" i="6"/>
  <c r="AN14" i="6"/>
  <c r="AM14" i="6"/>
  <c r="AY14" i="6"/>
  <c r="L11" i="9"/>
  <c r="M12" i="9"/>
  <c r="BB14" i="6"/>
  <c r="L11" i="10"/>
  <c r="M12" i="10"/>
  <c r="AH13" i="6"/>
  <c r="AG12" i="6"/>
  <c r="BD12" i="6"/>
  <c r="BE13" i="6"/>
  <c r="Z69" i="4"/>
  <c r="Y29" i="4"/>
  <c r="Z21" i="4"/>
  <c r="Y64" i="4"/>
  <c r="X21" i="4"/>
  <c r="Y24" i="4"/>
  <c r="X103" i="4"/>
  <c r="Y102" i="4"/>
  <c r="Y101" i="4"/>
  <c r="Y21" i="4"/>
  <c r="X105" i="4"/>
  <c r="Y103" i="4"/>
  <c r="Z62" i="4"/>
  <c r="X29"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N19" i="6" l="1"/>
  <c r="AG18" i="6"/>
  <c r="BE19" i="6"/>
  <c r="BC19" i="6"/>
  <c r="AO19" i="6"/>
  <c r="BD19" i="6"/>
  <c r="AF19" i="6"/>
  <c r="AP19" i="6"/>
  <c r="AM19" i="6"/>
  <c r="AQ19" i="6"/>
  <c r="AD19" i="6"/>
  <c r="AR18" i="6"/>
  <c r="BB19" i="6"/>
  <c r="AX19" i="6"/>
  <c r="AY19" i="6"/>
  <c r="BE18" i="6"/>
  <c r="AZ19" i="6"/>
  <c r="BA19" i="6"/>
  <c r="AG19" i="6"/>
  <c r="AR19" i="6"/>
  <c r="AG17" i="6"/>
  <c r="A20" i="6"/>
  <c r="BE17" i="6"/>
  <c r="AG16" i="6"/>
  <c r="AA12" i="8"/>
  <c r="AH13" i="12"/>
  <c r="U69" i="4"/>
  <c r="J72" i="4" s="1"/>
  <c r="BE14" i="6"/>
  <c r="AR14" i="6"/>
  <c r="U109" i="4"/>
  <c r="K112" i="4" s="1"/>
  <c r="AS13" i="6"/>
  <c r="AS18" i="6" s="1"/>
  <c r="AR12" i="6"/>
  <c r="M11" i="10"/>
  <c r="N12" i="10"/>
  <c r="M11" i="9"/>
  <c r="N12" i="9"/>
  <c r="AH12" i="6"/>
  <c r="AI13" i="6"/>
  <c r="U29" i="4"/>
  <c r="BF13" i="6"/>
  <c r="BF18" i="6" s="1"/>
  <c r="BE12" i="6"/>
  <c r="M20" i="6" l="1"/>
  <c r="AH18" i="6"/>
  <c r="AH19" i="6"/>
  <c r="BF17" i="6"/>
  <c r="BF19" i="6"/>
  <c r="AS17" i="6"/>
  <c r="AS19" i="6"/>
  <c r="AH17" i="6"/>
  <c r="A21" i="6"/>
  <c r="AH16" i="6"/>
  <c r="AB12" i="8"/>
  <c r="AI13" i="12"/>
  <c r="K72" i="4"/>
  <c r="BF14" i="6"/>
  <c r="J112" i="4"/>
  <c r="AS14" i="6"/>
  <c r="AT13" i="6"/>
  <c r="AT18" i="6" s="1"/>
  <c r="AS12" i="6"/>
  <c r="O12" i="9"/>
  <c r="N11" i="9"/>
  <c r="O12" i="10"/>
  <c r="N11" i="10"/>
  <c r="AI12" i="6"/>
  <c r="AJ13" i="6"/>
  <c r="K32" i="4"/>
  <c r="J32" i="4"/>
  <c r="BG13" i="6"/>
  <c r="BG18" i="6" s="1"/>
  <c r="BF12" i="6"/>
  <c r="AH20" i="6" l="1"/>
  <c r="AI20" i="6"/>
  <c r="BA20" i="6"/>
  <c r="AZ20" i="6"/>
  <c r="BC20" i="6"/>
  <c r="BF20" i="6"/>
  <c r="AO20" i="6"/>
  <c r="AY20" i="6"/>
  <c r="BB20" i="6"/>
  <c r="AR20" i="6"/>
  <c r="AQ20" i="6"/>
  <c r="AT20" i="6"/>
  <c r="AX20" i="6"/>
  <c r="BE20" i="6"/>
  <c r="AN20" i="6"/>
  <c r="BD20" i="6"/>
  <c r="AM20" i="6"/>
  <c r="BG20" i="6"/>
  <c r="AP20" i="6"/>
  <c r="AS20" i="6"/>
  <c r="AD20" i="6"/>
  <c r="AF20" i="6"/>
  <c r="AG20" i="6"/>
  <c r="M21" i="6"/>
  <c r="AI21" i="6" s="1"/>
  <c r="AI18" i="6"/>
  <c r="AI19" i="6"/>
  <c r="BG19" i="6"/>
  <c r="AT19" i="6"/>
  <c r="AI17" i="6"/>
  <c r="AT17" i="6"/>
  <c r="BG17" i="6"/>
  <c r="AI16" i="6"/>
  <c r="AC12" i="8"/>
  <c r="AJ13" i="12"/>
  <c r="BG14" i="6"/>
  <c r="AT12" i="6"/>
  <c r="AU13" i="6"/>
  <c r="AU18" i="6" s="1"/>
  <c r="AT14" i="6"/>
  <c r="P12" i="10"/>
  <c r="O11" i="10"/>
  <c r="O11" i="9"/>
  <c r="P12" i="9"/>
  <c r="AJ12" i="6"/>
  <c r="AK13" i="6"/>
  <c r="BG12" i="6"/>
  <c r="AJ20" i="6" l="1"/>
  <c r="AU20" i="6"/>
  <c r="AJ18" i="6"/>
  <c r="AJ21" i="6"/>
  <c r="BA21" i="6"/>
  <c r="AZ21" i="6"/>
  <c r="BG21" i="6"/>
  <c r="AP21" i="6"/>
  <c r="AS21" i="6"/>
  <c r="AU21" i="6"/>
  <c r="BC21" i="6"/>
  <c r="BF21" i="6"/>
  <c r="AO21" i="6"/>
  <c r="AR21" i="6"/>
  <c r="AQ21" i="6"/>
  <c r="AY21" i="6"/>
  <c r="BB21" i="6"/>
  <c r="BE21" i="6"/>
  <c r="AN21" i="6"/>
  <c r="BD21" i="6"/>
  <c r="AM21" i="6"/>
  <c r="AT21" i="6"/>
  <c r="AX21" i="6"/>
  <c r="AD21" i="6"/>
  <c r="AF21" i="6"/>
  <c r="AG21" i="6"/>
  <c r="AH21" i="6"/>
  <c r="AJ19" i="6"/>
  <c r="AU17" i="6"/>
  <c r="AU19" i="6"/>
  <c r="AJ17" i="6"/>
  <c r="AJ16" i="6"/>
  <c r="AD12" i="8"/>
  <c r="AK13" i="12"/>
  <c r="AK12" i="6"/>
  <c r="AU12" i="6"/>
  <c r="AV13" i="6"/>
  <c r="AU14" i="6"/>
  <c r="Q12" i="9"/>
  <c r="P11" i="9"/>
  <c r="Q12" i="10"/>
  <c r="P11" i="10"/>
  <c r="AK21" i="6" l="1"/>
  <c r="AK20" i="6"/>
  <c r="AV18" i="6"/>
  <c r="AV20" i="6"/>
  <c r="AV21" i="6"/>
  <c r="AK18" i="6"/>
  <c r="AK19" i="6"/>
  <c r="AV17" i="6"/>
  <c r="AV19" i="6"/>
  <c r="AK17" i="6"/>
  <c r="AK16" i="6"/>
  <c r="AE12" i="8"/>
  <c r="AL13" i="12"/>
  <c r="AV12" i="6"/>
  <c r="AV14" i="6"/>
  <c r="Q11" i="10"/>
  <c r="R12" i="10"/>
  <c r="R12" i="9"/>
  <c r="Q11" i="9"/>
  <c r="AM13" i="12" l="1"/>
  <c r="R11" i="9"/>
  <c r="S12" i="9"/>
  <c r="R11" i="10"/>
  <c r="S12" i="10"/>
  <c r="L20" i="12" l="1"/>
  <c r="J20" i="12"/>
  <c r="J21" i="12"/>
  <c r="L21" i="12"/>
  <c r="L18" i="12"/>
  <c r="J18" i="12"/>
  <c r="J19" i="12"/>
  <c r="L19" i="12"/>
  <c r="L14" i="12"/>
  <c r="AO7" i="12"/>
  <c r="J14" i="12"/>
  <c r="T12" i="10"/>
  <c r="S11" i="10"/>
  <c r="S11" i="9"/>
  <c r="T12" i="9"/>
  <c r="K20" i="12" l="1"/>
  <c r="K21" i="12"/>
  <c r="K18" i="12"/>
  <c r="K19" i="12"/>
  <c r="K14" i="12"/>
  <c r="U12" i="10"/>
  <c r="T11" i="10"/>
  <c r="T11" i="9"/>
  <c r="U12" i="9"/>
  <c r="V12" i="10" l="1"/>
  <c r="U11" i="10"/>
  <c r="V12" i="9"/>
  <c r="U11" i="9"/>
  <c r="W12" i="9" l="1"/>
  <c r="V11" i="9"/>
  <c r="W12" i="10"/>
  <c r="V11" i="10"/>
  <c r="W11" i="10" l="1"/>
  <c r="X12" i="10"/>
  <c r="W11" i="9"/>
  <c r="X12" i="9"/>
  <c r="X11" i="9" l="1"/>
  <c r="Y12" i="9"/>
  <c r="Y12" i="10"/>
  <c r="X11" i="10"/>
  <c r="Y11" i="10" l="1"/>
  <c r="Z12" i="10"/>
  <c r="Y11" i="9"/>
  <c r="Z12" i="9"/>
  <c r="Z11" i="10" l="1"/>
  <c r="AA12" i="10"/>
  <c r="Z11" i="9"/>
  <c r="AA12" i="9"/>
  <c r="AB12" i="10" l="1"/>
  <c r="AA11" i="10"/>
  <c r="AB12" i="9"/>
  <c r="AA11" i="9"/>
  <c r="AB11" i="10" l="1"/>
  <c r="AC12" i="10"/>
  <c r="AC12" i="9"/>
  <c r="AB11" i="9"/>
  <c r="AC11" i="10" l="1"/>
  <c r="AD12" i="10"/>
  <c r="AC11" i="9"/>
  <c r="AD12" i="9"/>
  <c r="AD11" i="9" l="1"/>
  <c r="AE12" i="9"/>
  <c r="AE12" i="10"/>
  <c r="AD11" i="10"/>
  <c r="AE11" i="9" l="1"/>
  <c r="AE11" i="10"/>
  <c r="AF12" i="10"/>
  <c r="AF11" i="10" l="1"/>
  <c r="AE12" i="6" l="1"/>
  <c r="H14" i="6"/>
  <c r="K11" i="10"/>
  <c r="AP12" i="6"/>
  <c r="J11" i="9"/>
  <c r="BA12" i="6"/>
  <c r="AE21" i="6" l="1"/>
  <c r="AE20" i="6"/>
  <c r="AE18" i="6"/>
  <c r="AE19" i="6"/>
  <c r="AE17" i="6"/>
  <c r="AE16" i="6"/>
  <c r="AJ14" i="6"/>
  <c r="AK14" i="6"/>
  <c r="T14" i="5"/>
  <c r="AB14" i="6"/>
  <c r="AE14" i="6"/>
  <c r="AD14" i="6"/>
  <c r="AH14" i="6"/>
  <c r="AC14" i="6"/>
  <c r="AG14" i="6"/>
  <c r="AI14" i="6"/>
  <c r="AF14" i="6"/>
  <c r="G14" i="12" l="1"/>
  <c r="X14" i="5"/>
  <c r="I14" i="12" l="1"/>
  <c r="L14" i="5"/>
  <c r="I14" i="5"/>
  <c r="Z14" i="5"/>
  <c r="AM14" i="5"/>
  <c r="AA14" i="5" l="1"/>
  <c r="AB14" i="5"/>
  <c r="O14" i="5"/>
  <c r="C14" i="6"/>
  <c r="O14" i="12"/>
  <c r="M14" i="12"/>
  <c r="C14" i="12"/>
  <c r="AO14" i="12"/>
  <c r="N14" i="12" l="1"/>
  <c r="Y14" i="12"/>
  <c r="D14" i="12"/>
  <c r="E14" i="6"/>
  <c r="W14" i="12" l="1"/>
  <c r="X14" i="12"/>
  <c r="U14" i="12" l="1"/>
  <c r="V14" i="12"/>
  <c r="T14" i="12"/>
  <c r="AE8" i="6" l="1"/>
  <c r="A15" i="10" l="1"/>
  <c r="I13" i="7" l="1"/>
  <c r="H10" i="7"/>
  <c r="J13" i="7" l="1"/>
  <c r="I10" i="7"/>
  <c r="K13" i="7" l="1"/>
  <c r="J10" i="7"/>
  <c r="L13" i="7" l="1"/>
  <c r="K10" i="7"/>
  <c r="M13" i="7" l="1"/>
  <c r="L10" i="7"/>
  <c r="M10" i="7" l="1"/>
  <c r="N13" i="7"/>
  <c r="N10" i="7" l="1"/>
  <c r="O13" i="7"/>
  <c r="P13" i="7" l="1"/>
  <c r="O10" i="7"/>
  <c r="C22" i="5" l="1"/>
  <c r="C23" i="5" s="1"/>
  <c r="C24" i="5" s="1"/>
  <c r="C25" i="5" s="1"/>
  <c r="Q13" i="7"/>
  <c r="P10" i="7"/>
  <c r="B25" i="6" l="1"/>
  <c r="AD25" i="5"/>
  <c r="D25" i="5"/>
  <c r="B25" i="12" s="1"/>
  <c r="A25" i="12"/>
  <c r="K25" i="5"/>
  <c r="AE25" i="5"/>
  <c r="N25" i="5"/>
  <c r="J25" i="5"/>
  <c r="B24" i="6"/>
  <c r="AD24" i="5"/>
  <c r="D24" i="5"/>
  <c r="B24" i="12" s="1"/>
  <c r="J24" i="5"/>
  <c r="A24" i="12"/>
  <c r="K24" i="5"/>
  <c r="AE24" i="5"/>
  <c r="N24" i="5"/>
  <c r="A23" i="12"/>
  <c r="B23" i="6"/>
  <c r="AD23" i="5"/>
  <c r="D23" i="5"/>
  <c r="B23" i="12" s="1"/>
  <c r="C26" i="5"/>
  <c r="K23" i="5"/>
  <c r="AE23" i="5"/>
  <c r="N23" i="5"/>
  <c r="J23" i="5"/>
  <c r="A22" i="12"/>
  <c r="B22" i="6"/>
  <c r="AE22" i="5"/>
  <c r="N22" i="5"/>
  <c r="E22" i="5"/>
  <c r="E23" i="5" s="1"/>
  <c r="E24" i="5" s="1"/>
  <c r="E25" i="5" s="1"/>
  <c r="AD22" i="5"/>
  <c r="H22" i="5"/>
  <c r="H23" i="5" s="1"/>
  <c r="H24" i="5" s="1"/>
  <c r="H25" i="5" s="1"/>
  <c r="G22" i="5"/>
  <c r="G23" i="5" s="1"/>
  <c r="G24" i="5" s="1"/>
  <c r="G25" i="5" s="1"/>
  <c r="B22" i="5"/>
  <c r="B23" i="5" s="1"/>
  <c r="B24" i="5" s="1"/>
  <c r="B25" i="5" s="1"/>
  <c r="F22" i="5"/>
  <c r="Q10" i="7"/>
  <c r="R13" i="7"/>
  <c r="J25" i="12" l="1"/>
  <c r="L25" i="12"/>
  <c r="D25" i="6"/>
  <c r="J24" i="12"/>
  <c r="L24" i="12"/>
  <c r="D24" i="6"/>
  <c r="A26" i="12"/>
  <c r="B26" i="6"/>
  <c r="J26" i="5"/>
  <c r="B26" i="5"/>
  <c r="C27" i="5"/>
  <c r="AE26" i="5"/>
  <c r="N26" i="5"/>
  <c r="E26" i="5"/>
  <c r="K26" i="5"/>
  <c r="G26" i="5"/>
  <c r="AD26" i="5"/>
  <c r="H26" i="5"/>
  <c r="D26" i="5"/>
  <c r="B26" i="12" s="1"/>
  <c r="D23" i="6"/>
  <c r="F23" i="5"/>
  <c r="J23" i="12"/>
  <c r="L23" i="12"/>
  <c r="E22" i="12"/>
  <c r="F22" i="6"/>
  <c r="D22" i="6"/>
  <c r="S13" i="7"/>
  <c r="S10" i="7" s="1"/>
  <c r="R10" i="7"/>
  <c r="K25" i="12" l="1"/>
  <c r="H25" i="6"/>
  <c r="T25" i="5" s="1"/>
  <c r="K24" i="12"/>
  <c r="H24" i="6"/>
  <c r="T24" i="5" s="1"/>
  <c r="F24" i="5"/>
  <c r="K23" i="12"/>
  <c r="H23" i="6"/>
  <c r="T23" i="5" s="1"/>
  <c r="A27" i="12"/>
  <c r="AD27" i="5"/>
  <c r="H27" i="5"/>
  <c r="D27" i="5"/>
  <c r="B27" i="12" s="1"/>
  <c r="C28" i="5"/>
  <c r="AE27" i="5"/>
  <c r="K27" i="5"/>
  <c r="G27" i="5"/>
  <c r="N27" i="5"/>
  <c r="J27" i="5"/>
  <c r="B27" i="5"/>
  <c r="B27" i="6"/>
  <c r="E27" i="5"/>
  <c r="D26" i="6"/>
  <c r="L26" i="12"/>
  <c r="J26" i="12"/>
  <c r="A22" i="6"/>
  <c r="H22" i="6"/>
  <c r="T22" i="5" s="1"/>
  <c r="T13" i="7"/>
  <c r="T10" i="7" s="1"/>
  <c r="F25" i="5" l="1"/>
  <c r="F26" i="5" s="1"/>
  <c r="F27" i="5" s="1"/>
  <c r="F28" i="5" s="1"/>
  <c r="K26" i="12"/>
  <c r="A28" i="12"/>
  <c r="B28" i="6"/>
  <c r="J28" i="5"/>
  <c r="B28" i="5"/>
  <c r="AE28" i="5"/>
  <c r="G28" i="5"/>
  <c r="C29" i="5"/>
  <c r="N28" i="5"/>
  <c r="E28" i="5"/>
  <c r="K28" i="5"/>
  <c r="AD28" i="5"/>
  <c r="H28" i="5"/>
  <c r="D28" i="5"/>
  <c r="B28" i="12" s="1"/>
  <c r="D27" i="6"/>
  <c r="J27" i="12"/>
  <c r="L27" i="12"/>
  <c r="H26" i="6"/>
  <c r="T26" i="5" s="1"/>
  <c r="A23" i="6"/>
  <c r="A24" i="6" s="1"/>
  <c r="A25" i="6" s="1"/>
  <c r="M22" i="6"/>
  <c r="BF22" i="6" s="1"/>
  <c r="U13" i="7"/>
  <c r="U10" i="7" s="1"/>
  <c r="N25" i="6" l="1"/>
  <c r="N24" i="6"/>
  <c r="K27" i="12"/>
  <c r="A29" i="12"/>
  <c r="B29" i="6"/>
  <c r="AD29" i="5"/>
  <c r="H29" i="5"/>
  <c r="D29" i="5"/>
  <c r="B29" i="12" s="1"/>
  <c r="K29" i="5"/>
  <c r="G29" i="5"/>
  <c r="AE29" i="5"/>
  <c r="C30" i="5"/>
  <c r="N29" i="5"/>
  <c r="E29" i="5"/>
  <c r="J29" i="5"/>
  <c r="F29" i="5"/>
  <c r="B29" i="5"/>
  <c r="H27" i="6"/>
  <c r="T27" i="5" s="1"/>
  <c r="A26" i="6"/>
  <c r="M23" i="6"/>
  <c r="M24" i="6" s="1"/>
  <c r="D28" i="6"/>
  <c r="L28" i="12"/>
  <c r="J28" i="12"/>
  <c r="AK22" i="6"/>
  <c r="AC22" i="6"/>
  <c r="AI22" i="6"/>
  <c r="AE22" i="6"/>
  <c r="AO22" i="6"/>
  <c r="AU22" i="6"/>
  <c r="BB22" i="6"/>
  <c r="AG22" i="6"/>
  <c r="AR22" i="6"/>
  <c r="AJ22" i="6"/>
  <c r="AT22" i="6"/>
  <c r="AP22" i="6"/>
  <c r="BA22" i="6"/>
  <c r="AZ22" i="6"/>
  <c r="BC22" i="6"/>
  <c r="AM22" i="6"/>
  <c r="AX22" i="6"/>
  <c r="BG22" i="6"/>
  <c r="BD22" i="6"/>
  <c r="AF22" i="6"/>
  <c r="AQ22" i="6"/>
  <c r="AV22" i="6"/>
  <c r="AS22" i="6"/>
  <c r="BE22" i="6"/>
  <c r="AN22" i="6"/>
  <c r="AY22" i="6"/>
  <c r="AB22" i="6"/>
  <c r="AH22" i="6"/>
  <c r="AD22" i="6"/>
  <c r="V13" i="7"/>
  <c r="W13" i="7" s="1"/>
  <c r="M25" i="6" l="1"/>
  <c r="BE24" i="6"/>
  <c r="AN24" i="6"/>
  <c r="BG24" i="6"/>
  <c r="AQ24" i="6"/>
  <c r="AX24" i="6"/>
  <c r="AT24" i="6"/>
  <c r="BA24" i="6"/>
  <c r="AY24" i="6"/>
  <c r="BB24" i="6"/>
  <c r="BD24" i="6"/>
  <c r="AM24" i="6"/>
  <c r="BC24" i="6"/>
  <c r="AO24" i="6"/>
  <c r="AG24" i="6"/>
  <c r="AV24" i="6"/>
  <c r="AP24" i="6"/>
  <c r="AS24" i="6"/>
  <c r="AZ24" i="6"/>
  <c r="AH24" i="6"/>
  <c r="AF24" i="6"/>
  <c r="AR24" i="6"/>
  <c r="AJ24" i="6"/>
  <c r="AU24" i="6"/>
  <c r="AD24" i="6"/>
  <c r="BF24" i="6"/>
  <c r="AK24" i="6"/>
  <c r="AE24" i="6"/>
  <c r="AI24" i="6"/>
  <c r="K28" i="12"/>
  <c r="A27" i="6"/>
  <c r="M26" i="6"/>
  <c r="D29" i="6"/>
  <c r="A30" i="12"/>
  <c r="B30" i="6"/>
  <c r="J30" i="5"/>
  <c r="F30" i="5"/>
  <c r="B30" i="5"/>
  <c r="AE30" i="5"/>
  <c r="N30" i="5"/>
  <c r="E30" i="5"/>
  <c r="K30" i="5"/>
  <c r="G30" i="5"/>
  <c r="AD30" i="5"/>
  <c r="H30" i="5"/>
  <c r="D30" i="5"/>
  <c r="B30" i="12" s="1"/>
  <c r="J29" i="12"/>
  <c r="L29" i="12"/>
  <c r="H28" i="6"/>
  <c r="T28" i="5" s="1"/>
  <c r="BG23" i="6"/>
  <c r="AP23" i="6"/>
  <c r="AR23" i="6"/>
  <c r="AF23" i="6"/>
  <c r="AM23" i="6"/>
  <c r="AJ23" i="6"/>
  <c r="AH23" i="6"/>
  <c r="BC23" i="6"/>
  <c r="BE23" i="6"/>
  <c r="AN23" i="6"/>
  <c r="BF23" i="6"/>
  <c r="AY23" i="6"/>
  <c r="BA23" i="6"/>
  <c r="AX23" i="6"/>
  <c r="BD23" i="6"/>
  <c r="BB23" i="6"/>
  <c r="AZ23" i="6"/>
  <c r="AT23" i="6"/>
  <c r="AV23" i="6"/>
  <c r="AO23" i="6"/>
  <c r="AU23" i="6"/>
  <c r="AS23" i="6"/>
  <c r="AQ23" i="6"/>
  <c r="AI23" i="6"/>
  <c r="AD23" i="6"/>
  <c r="AG23" i="6"/>
  <c r="AE23" i="6"/>
  <c r="AK23" i="6"/>
  <c r="V10" i="7"/>
  <c r="X13" i="7"/>
  <c r="W10" i="7"/>
  <c r="BE25" i="6" l="1"/>
  <c r="AN25" i="6"/>
  <c r="BD25" i="6"/>
  <c r="AM25" i="6"/>
  <c r="BF25" i="6"/>
  <c r="AO25" i="6"/>
  <c r="BC25" i="6"/>
  <c r="BA25" i="6"/>
  <c r="AI25" i="6"/>
  <c r="AZ25" i="6"/>
  <c r="AH25" i="6"/>
  <c r="BB25" i="6"/>
  <c r="AJ25" i="6"/>
  <c r="AY25" i="6"/>
  <c r="AG25" i="6"/>
  <c r="AV25" i="6"/>
  <c r="AU25" i="6"/>
  <c r="AX25" i="6"/>
  <c r="AT25" i="6"/>
  <c r="AR25" i="6"/>
  <c r="AQ25" i="6"/>
  <c r="AS25" i="6"/>
  <c r="BG25" i="6"/>
  <c r="AP25" i="6"/>
  <c r="AF25" i="6"/>
  <c r="AK25" i="6"/>
  <c r="AD25" i="6"/>
  <c r="AE25" i="6"/>
  <c r="H29" i="6"/>
  <c r="T29" i="5" s="1"/>
  <c r="C31" i="5"/>
  <c r="L30" i="12"/>
  <c r="J30" i="12"/>
  <c r="AX26" i="6"/>
  <c r="AV26" i="6"/>
  <c r="AU26" i="6"/>
  <c r="BE26" i="6"/>
  <c r="AR26" i="6"/>
  <c r="AP26" i="6"/>
  <c r="AZ26" i="6"/>
  <c r="AE26" i="6"/>
  <c r="AS26" i="6"/>
  <c r="AQ26" i="6"/>
  <c r="BF26" i="6"/>
  <c r="AO26" i="6"/>
  <c r="BG26" i="6"/>
  <c r="AT26" i="6"/>
  <c r="AY26" i="6"/>
  <c r="AM26" i="6"/>
  <c r="BD26" i="6"/>
  <c r="BB26" i="6"/>
  <c r="BC26" i="6"/>
  <c r="BA26" i="6"/>
  <c r="AN26" i="6"/>
  <c r="AD26" i="6"/>
  <c r="AG26" i="6"/>
  <c r="AJ26" i="6"/>
  <c r="AF26" i="6"/>
  <c r="AK26" i="6"/>
  <c r="AH26" i="6"/>
  <c r="AI26" i="6"/>
  <c r="K29" i="12"/>
  <c r="D30" i="6"/>
  <c r="M27" i="6"/>
  <c r="A28" i="6"/>
  <c r="X10" i="7"/>
  <c r="Y13" i="7"/>
  <c r="H30" i="6" l="1"/>
  <c r="T30" i="5" s="1"/>
  <c r="A29" i="6"/>
  <c r="M28" i="6"/>
  <c r="K30" i="12"/>
  <c r="A31" i="12"/>
  <c r="B31" i="6"/>
  <c r="J31" i="5"/>
  <c r="F31" i="5"/>
  <c r="B31" i="5"/>
  <c r="C32" i="5"/>
  <c r="E31" i="5"/>
  <c r="AE31" i="5"/>
  <c r="N31" i="5"/>
  <c r="K31" i="5"/>
  <c r="G31" i="5"/>
  <c r="AD31" i="5"/>
  <c r="H31" i="5"/>
  <c r="D31" i="5"/>
  <c r="B31" i="12" s="1"/>
  <c r="AS27" i="6"/>
  <c r="AT27" i="6"/>
  <c r="BD27" i="6"/>
  <c r="AQ27" i="6"/>
  <c r="BG27" i="6"/>
  <c r="AU27" i="6"/>
  <c r="BF27" i="6"/>
  <c r="AO27" i="6"/>
  <c r="AN27" i="6"/>
  <c r="AY27" i="6"/>
  <c r="BB27" i="6"/>
  <c r="BE27" i="6"/>
  <c r="AR27" i="6"/>
  <c r="BC27" i="6"/>
  <c r="AE27" i="6"/>
  <c r="BA27" i="6"/>
  <c r="AP27" i="6"/>
  <c r="AX27" i="6"/>
  <c r="AF27" i="6"/>
  <c r="AZ27" i="6"/>
  <c r="AM27" i="6"/>
  <c r="AV27" i="6"/>
  <c r="AD27" i="6"/>
  <c r="AG27" i="6"/>
  <c r="AH27" i="6"/>
  <c r="AI27" i="6"/>
  <c r="AJ27" i="6"/>
  <c r="AK27" i="6"/>
  <c r="Y10" i="7"/>
  <c r="D31" i="6" l="1"/>
  <c r="A32" i="12"/>
  <c r="B32" i="6"/>
  <c r="AD32" i="5"/>
  <c r="H32" i="5"/>
  <c r="D32" i="5"/>
  <c r="B32" i="12" s="1"/>
  <c r="K32" i="5"/>
  <c r="G32" i="5"/>
  <c r="J32" i="5"/>
  <c r="F32" i="5"/>
  <c r="B32" i="5"/>
  <c r="AE32" i="5"/>
  <c r="N32" i="5"/>
  <c r="E32" i="5"/>
  <c r="L31" i="12"/>
  <c r="J31" i="12"/>
  <c r="AS28" i="6"/>
  <c r="AQ28" i="6"/>
  <c r="BG28" i="6"/>
  <c r="AZ28" i="6"/>
  <c r="AY28" i="6"/>
  <c r="BF28" i="6"/>
  <c r="AO28" i="6"/>
  <c r="BA28" i="6"/>
  <c r="AT28" i="6"/>
  <c r="AM28" i="6"/>
  <c r="BB28" i="6"/>
  <c r="BC28" i="6"/>
  <c r="AU28" i="6"/>
  <c r="AN28" i="6"/>
  <c r="BD28" i="6"/>
  <c r="AR28" i="6"/>
  <c r="AX28" i="6"/>
  <c r="AV28" i="6"/>
  <c r="AP28" i="6"/>
  <c r="BE28" i="6"/>
  <c r="AG28" i="6"/>
  <c r="AJ28" i="6"/>
  <c r="AD28" i="6"/>
  <c r="AH28" i="6"/>
  <c r="AK28" i="6"/>
  <c r="AF28" i="6"/>
  <c r="AI28" i="6"/>
  <c r="AE28" i="6"/>
  <c r="M29" i="6"/>
  <c r="A30" i="6"/>
  <c r="X1" i="7" a="1"/>
  <c r="X1" i="7" s="1"/>
  <c r="R1" i="7" a="1"/>
  <c r="R1" i="7" s="1"/>
  <c r="W1" i="7" a="1"/>
  <c r="W1" i="7" s="1"/>
  <c r="V1" i="7" a="1"/>
  <c r="V1" i="7" s="1"/>
  <c r="U1" i="7" a="1"/>
  <c r="U1" i="7" s="1"/>
  <c r="T1" i="7" a="1"/>
  <c r="T1" i="7" s="1"/>
  <c r="Y1" i="7" a="1"/>
  <c r="Y1" i="7" s="1"/>
  <c r="S1" i="7" a="1"/>
  <c r="S1" i="7" s="1"/>
  <c r="K31" i="12" l="1"/>
  <c r="D32" i="6"/>
  <c r="M30" i="6"/>
  <c r="BF29" i="6"/>
  <c r="AO29" i="6"/>
  <c r="AN29" i="6"/>
  <c r="AY29" i="6"/>
  <c r="BG29" i="6"/>
  <c r="AU29" i="6"/>
  <c r="BB29" i="6"/>
  <c r="BE29" i="6"/>
  <c r="AR29" i="6"/>
  <c r="BC29" i="6"/>
  <c r="AX29" i="6"/>
  <c r="AZ29" i="6"/>
  <c r="AM29" i="6"/>
  <c r="AV29" i="6"/>
  <c r="BA29" i="6"/>
  <c r="AS29" i="6"/>
  <c r="AT29" i="6"/>
  <c r="BD29" i="6"/>
  <c r="AQ29" i="6"/>
  <c r="AP29" i="6"/>
  <c r="AJ29" i="6"/>
  <c r="AD29" i="6"/>
  <c r="AF29" i="6"/>
  <c r="AI29" i="6"/>
  <c r="AK29" i="6"/>
  <c r="AG29" i="6"/>
  <c r="AE29" i="6"/>
  <c r="AH29" i="6"/>
  <c r="J32" i="12"/>
  <c r="L32" i="12"/>
  <c r="H31" i="6"/>
  <c r="T31" i="5" s="1"/>
  <c r="E33" i="12"/>
  <c r="F33" i="6"/>
  <c r="F15" i="7"/>
  <c r="K32" i="12" l="1"/>
  <c r="H32" i="6"/>
  <c r="T32" i="5" s="1"/>
  <c r="A31" i="6"/>
  <c r="BF30" i="6"/>
  <c r="AO30" i="6"/>
  <c r="BA30" i="6"/>
  <c r="AT30" i="6"/>
  <c r="AR30" i="6"/>
  <c r="AY30" i="6"/>
  <c r="BB30" i="6"/>
  <c r="BC30" i="6"/>
  <c r="AU30" i="6"/>
  <c r="AN30" i="6"/>
  <c r="AM30" i="6"/>
  <c r="AX30" i="6"/>
  <c r="AV30" i="6"/>
  <c r="AP30" i="6"/>
  <c r="BE30" i="6"/>
  <c r="BD30" i="6"/>
  <c r="AS30" i="6"/>
  <c r="AQ30" i="6"/>
  <c r="BG30" i="6"/>
  <c r="AZ30" i="6"/>
  <c r="AG30" i="6"/>
  <c r="AF30" i="6"/>
  <c r="AI30" i="6"/>
  <c r="AE30" i="6"/>
  <c r="AD30" i="6"/>
  <c r="AH30" i="6"/>
  <c r="AJ30" i="6"/>
  <c r="AK30" i="6"/>
  <c r="V15" i="7"/>
  <c r="W15" i="7"/>
  <c r="L15" i="7"/>
  <c r="P15" i="7"/>
  <c r="T15" i="7"/>
  <c r="M15" i="7"/>
  <c r="Q15" i="7"/>
  <c r="N15" i="7"/>
  <c r="H15" i="7"/>
  <c r="R15" i="7"/>
  <c r="O15" i="7"/>
  <c r="S15" i="7"/>
  <c r="X15" i="7"/>
  <c r="J15" i="7"/>
  <c r="K15" i="7"/>
  <c r="I15" i="7"/>
  <c r="Y15" i="7"/>
  <c r="E15" i="7" s="1"/>
  <c r="U15" i="7"/>
  <c r="C33" i="5" l="1"/>
  <c r="M31" i="6"/>
  <c r="A32" i="6"/>
  <c r="M1" i="7" a="1"/>
  <c r="M1" i="7" s="1"/>
  <c r="L1" i="7" a="1"/>
  <c r="L1" i="7" s="1"/>
  <c r="J1" i="7" a="1"/>
  <c r="J1" i="7" s="1"/>
  <c r="P1" i="7" a="1"/>
  <c r="P1" i="7" s="1"/>
  <c r="K1" i="7" a="1"/>
  <c r="K1" i="7" s="1"/>
  <c r="N1" i="7" a="1"/>
  <c r="N1" i="7" s="1"/>
  <c r="O1" i="7" a="1"/>
  <c r="O1" i="7" s="1"/>
  <c r="Q1" i="7" a="1"/>
  <c r="Q1" i="7" s="1"/>
  <c r="AX31" i="6" l="1"/>
  <c r="AY31" i="6"/>
  <c r="AP31" i="6"/>
  <c r="AU31" i="6"/>
  <c r="AS31" i="6"/>
  <c r="AR31" i="6"/>
  <c r="BG31" i="6"/>
  <c r="AN31" i="6"/>
  <c r="AT31" i="6"/>
  <c r="BF31" i="6"/>
  <c r="AO31" i="6"/>
  <c r="AM31" i="6"/>
  <c r="AZ31" i="6"/>
  <c r="BE31" i="6"/>
  <c r="BA31" i="6"/>
  <c r="BB31" i="6"/>
  <c r="BD31" i="6"/>
  <c r="AQ31" i="6"/>
  <c r="AV31" i="6"/>
  <c r="BC31" i="6"/>
  <c r="AD31" i="6"/>
  <c r="AG31" i="6"/>
  <c r="AE31" i="6"/>
  <c r="AH31" i="6"/>
  <c r="AK31" i="6"/>
  <c r="AI31" i="6"/>
  <c r="AJ31" i="6"/>
  <c r="AF31" i="6"/>
  <c r="G33" i="5"/>
  <c r="C34" i="5"/>
  <c r="AD33" i="5"/>
  <c r="B33" i="6"/>
  <c r="A33" i="6" s="1"/>
  <c r="AE33" i="5"/>
  <c r="H33" i="5"/>
  <c r="F33" i="5"/>
  <c r="N33" i="5"/>
  <c r="D33" i="6" s="1"/>
  <c r="BD33" i="6" s="1"/>
  <c r="A33" i="12"/>
  <c r="B33" i="5"/>
  <c r="E33" i="5"/>
  <c r="M32" i="6"/>
  <c r="I1" i="7" a="1"/>
  <c r="I1" i="7" s="1"/>
  <c r="AV33" i="6" l="1"/>
  <c r="AX33" i="6"/>
  <c r="AR33" i="6"/>
  <c r="BA33" i="6"/>
  <c r="AP33" i="6"/>
  <c r="AS33" i="6"/>
  <c r="AN33" i="6"/>
  <c r="AM33" i="6"/>
  <c r="AU33" i="6"/>
  <c r="AQ33" i="6"/>
  <c r="BG33" i="6"/>
  <c r="AY33" i="6"/>
  <c r="AO33" i="6"/>
  <c r="C35" i="5"/>
  <c r="AE34" i="5"/>
  <c r="H34" i="5"/>
  <c r="J34" i="5"/>
  <c r="B34" i="6"/>
  <c r="N34" i="5"/>
  <c r="D34" i="6" s="1"/>
  <c r="D34" i="5"/>
  <c r="B34" i="12" s="1"/>
  <c r="F34" i="5"/>
  <c r="AD34" i="5"/>
  <c r="G34" i="5"/>
  <c r="A34" i="12"/>
  <c r="E34" i="5"/>
  <c r="K34" i="5"/>
  <c r="B34" i="5"/>
  <c r="BB32" i="6"/>
  <c r="BE32" i="6"/>
  <c r="AN32" i="6"/>
  <c r="AP32" i="6"/>
  <c r="AX32" i="6"/>
  <c r="BA32" i="6"/>
  <c r="BG32" i="6"/>
  <c r="AS32" i="6"/>
  <c r="AV32" i="6"/>
  <c r="BC32" i="6"/>
  <c r="AY32" i="6"/>
  <c r="AU32" i="6"/>
  <c r="BD32" i="6"/>
  <c r="BF32" i="6"/>
  <c r="AO32" i="6"/>
  <c r="AR32" i="6"/>
  <c r="AT32" i="6"/>
  <c r="AZ32" i="6"/>
  <c r="AM32" i="6"/>
  <c r="AH32" i="6"/>
  <c r="AQ32" i="6"/>
  <c r="AF32" i="6"/>
  <c r="AG32" i="6"/>
  <c r="AE32" i="6"/>
  <c r="AD32" i="6"/>
  <c r="AK32" i="6"/>
  <c r="AI32" i="6"/>
  <c r="AJ32" i="6"/>
  <c r="BB33" i="6"/>
  <c r="AZ33" i="6"/>
  <c r="H33" i="6"/>
  <c r="M33" i="6"/>
  <c r="BC33" i="6" s="1"/>
  <c r="BE33" i="6"/>
  <c r="AT33" i="6"/>
  <c r="BF33" i="6"/>
  <c r="N33" i="6"/>
  <c r="E1" i="7" a="1"/>
  <c r="E1" i="7" s="1"/>
  <c r="F1" i="7"/>
  <c r="H1" i="7" a="1"/>
  <c r="H1" i="7" s="1"/>
  <c r="T33" i="5" l="1"/>
  <c r="AE33" i="6"/>
  <c r="AG33" i="6"/>
  <c r="AF33" i="6"/>
  <c r="AI33" i="6"/>
  <c r="AK33" i="6"/>
  <c r="AD33" i="6"/>
  <c r="AH33" i="6"/>
  <c r="A34" i="6"/>
  <c r="N34" i="6" s="1"/>
  <c r="A35" i="12"/>
  <c r="H35" i="5"/>
  <c r="E35" i="5"/>
  <c r="J35" i="5"/>
  <c r="F35" i="5"/>
  <c r="AE35" i="5"/>
  <c r="AD35" i="5"/>
  <c r="B35" i="5"/>
  <c r="B35" i="6"/>
  <c r="K35" i="5"/>
  <c r="D35" i="5"/>
  <c r="B35" i="12" s="1"/>
  <c r="G35" i="5"/>
  <c r="N35" i="5"/>
  <c r="D35" i="6" s="1"/>
  <c r="C36" i="5"/>
  <c r="C37" i="5" s="1"/>
  <c r="C38" i="5" s="1"/>
  <c r="C39" i="5" s="1"/>
  <c r="AJ33" i="6"/>
  <c r="AB33" i="6"/>
  <c r="L34" i="12"/>
  <c r="J34" i="12"/>
  <c r="AC33" i="6"/>
  <c r="H34" i="6"/>
  <c r="I15" i="12"/>
  <c r="M15" i="12"/>
  <c r="J15" i="12" s="1"/>
  <c r="O15" i="12"/>
  <c r="B39" i="6" l="1"/>
  <c r="A39" i="12"/>
  <c r="K39" i="5"/>
  <c r="J39" i="5"/>
  <c r="D39" i="5"/>
  <c r="B39" i="12" s="1"/>
  <c r="AE39" i="5"/>
  <c r="N39" i="5"/>
  <c r="AD39" i="5"/>
  <c r="B38" i="6"/>
  <c r="A38" i="12"/>
  <c r="K38" i="5"/>
  <c r="N38" i="5"/>
  <c r="J38" i="5"/>
  <c r="AE38" i="5"/>
  <c r="AD38" i="5"/>
  <c r="D38" i="5"/>
  <c r="B38" i="12" s="1"/>
  <c r="K34" i="12"/>
  <c r="H35" i="6"/>
  <c r="J35" i="12"/>
  <c r="L35" i="12"/>
  <c r="T34" i="5"/>
  <c r="A35" i="6"/>
  <c r="N35" i="6" s="1"/>
  <c r="AE36" i="5"/>
  <c r="N36" i="5"/>
  <c r="D36" i="6" s="1"/>
  <c r="H36" i="6" s="1"/>
  <c r="T36" i="5" s="1"/>
  <c r="D36" i="5"/>
  <c r="B36" i="12" s="1"/>
  <c r="B36" i="5"/>
  <c r="B37" i="5" s="1"/>
  <c r="B38" i="5" s="1"/>
  <c r="B39" i="5" s="1"/>
  <c r="B36" i="6"/>
  <c r="F36" i="5"/>
  <c r="F37" i="5" s="1"/>
  <c r="F38" i="5" s="1"/>
  <c r="F39" i="5" s="1"/>
  <c r="A36" i="12"/>
  <c r="E36" i="5"/>
  <c r="E37" i="5" s="1"/>
  <c r="E38" i="5" s="1"/>
  <c r="E39" i="5" s="1"/>
  <c r="K36" i="5"/>
  <c r="J36" i="5"/>
  <c r="G36" i="5"/>
  <c r="G37" i="5" s="1"/>
  <c r="G38" i="5" s="1"/>
  <c r="G39" i="5" s="1"/>
  <c r="AD36" i="5"/>
  <c r="H36" i="5"/>
  <c r="H37" i="5" s="1"/>
  <c r="H38" i="5" s="1"/>
  <c r="H39" i="5" s="1"/>
  <c r="C40" i="5"/>
  <c r="C41" i="5" s="1"/>
  <c r="A37" i="12"/>
  <c r="B37" i="6"/>
  <c r="AD37" i="5"/>
  <c r="D37" i="5"/>
  <c r="B37" i="12" s="1"/>
  <c r="N37" i="5"/>
  <c r="K37" i="5"/>
  <c r="J37" i="5"/>
  <c r="AE37" i="5"/>
  <c r="N10" i="12"/>
  <c r="L15" i="12"/>
  <c r="K15" i="12" s="1"/>
  <c r="N15" i="12"/>
  <c r="D39" i="6" l="1"/>
  <c r="J39" i="12"/>
  <c r="L39" i="12"/>
  <c r="J38" i="12"/>
  <c r="L38" i="12"/>
  <c r="D38" i="6"/>
  <c r="B41" i="6"/>
  <c r="AD41" i="5"/>
  <c r="D41" i="5"/>
  <c r="B41" i="12" s="1"/>
  <c r="A41" i="12"/>
  <c r="K41" i="5"/>
  <c r="J41" i="5"/>
  <c r="AE41" i="5"/>
  <c r="N41" i="5"/>
  <c r="K35" i="12"/>
  <c r="A36" i="6"/>
  <c r="N36" i="6" s="1"/>
  <c r="M34" i="6"/>
  <c r="J36" i="12"/>
  <c r="L36" i="12"/>
  <c r="T35" i="5"/>
  <c r="B40" i="6"/>
  <c r="AD40" i="5"/>
  <c r="A40" i="12"/>
  <c r="K40" i="5"/>
  <c r="G40" i="5"/>
  <c r="G41" i="5" s="1"/>
  <c r="J40" i="5"/>
  <c r="F40" i="5"/>
  <c r="F41" i="5" s="1"/>
  <c r="B40" i="5"/>
  <c r="B41" i="5" s="1"/>
  <c r="AE40" i="5"/>
  <c r="N40" i="5"/>
  <c r="E40" i="5"/>
  <c r="E41" i="5" s="1"/>
  <c r="H40" i="5"/>
  <c r="H41" i="5" s="1"/>
  <c r="D40" i="5"/>
  <c r="B40" i="12" s="1"/>
  <c r="D37" i="6"/>
  <c r="L37" i="12"/>
  <c r="J37" i="12"/>
  <c r="K39" i="12" l="1"/>
  <c r="H39" i="6"/>
  <c r="T39" i="5" s="1"/>
  <c r="K38" i="12"/>
  <c r="H38" i="6"/>
  <c r="T38" i="5" s="1"/>
  <c r="D41" i="6"/>
  <c r="J41" i="12"/>
  <c r="L41" i="12"/>
  <c r="C42" i="5"/>
  <c r="M36" i="6"/>
  <c r="BC36" i="6" s="1"/>
  <c r="K36" i="12"/>
  <c r="AT34" i="6"/>
  <c r="AZ34" i="6"/>
  <c r="BA34" i="6"/>
  <c r="AO34" i="6"/>
  <c r="AM34" i="6"/>
  <c r="AR34" i="6"/>
  <c r="AU34" i="6"/>
  <c r="BF34" i="6"/>
  <c r="BB34" i="6"/>
  <c r="AY34" i="6"/>
  <c r="BG34" i="6"/>
  <c r="AQ34" i="6"/>
  <c r="AV34" i="6"/>
  <c r="AP34" i="6"/>
  <c r="AX34" i="6"/>
  <c r="BD34" i="6"/>
  <c r="AS34" i="6"/>
  <c r="BE34" i="6"/>
  <c r="AN34" i="6"/>
  <c r="BC34" i="6"/>
  <c r="AK34" i="6"/>
  <c r="AE34" i="6"/>
  <c r="AF34" i="6"/>
  <c r="AJ34" i="6"/>
  <c r="AI34" i="6"/>
  <c r="AH34" i="6"/>
  <c r="AD34" i="6"/>
  <c r="AG34" i="6"/>
  <c r="M35" i="6"/>
  <c r="D40" i="6"/>
  <c r="J40" i="12"/>
  <c r="L40" i="12"/>
  <c r="K37" i="12"/>
  <c r="A37" i="6"/>
  <c r="A38" i="6" s="1"/>
  <c r="H37" i="6"/>
  <c r="T37" i="5" s="1"/>
  <c r="B42" i="6" l="1"/>
  <c r="AD42" i="5"/>
  <c r="D42" i="5"/>
  <c r="B42" i="12" s="1"/>
  <c r="A42" i="12"/>
  <c r="K42" i="5"/>
  <c r="J42" i="5"/>
  <c r="AE42" i="5"/>
  <c r="N42" i="5"/>
  <c r="N38" i="6"/>
  <c r="A39" i="6"/>
  <c r="A40" i="6" s="1"/>
  <c r="A41" i="6" s="1"/>
  <c r="N41" i="6" s="1"/>
  <c r="M38" i="6"/>
  <c r="AK38" i="6" s="1"/>
  <c r="K41" i="12"/>
  <c r="H41" i="6"/>
  <c r="T41" i="5" s="1"/>
  <c r="B42" i="5"/>
  <c r="F42" i="5"/>
  <c r="E42" i="5"/>
  <c r="H42" i="5"/>
  <c r="G42" i="5"/>
  <c r="AK36" i="6"/>
  <c r="AX36" i="6"/>
  <c r="BG36" i="6"/>
  <c r="BB36" i="6"/>
  <c r="AH36" i="6"/>
  <c r="AQ36" i="6"/>
  <c r="AE36" i="6"/>
  <c r="AD36" i="6"/>
  <c r="AV36" i="6"/>
  <c r="AR36" i="6"/>
  <c r="BA36" i="6"/>
  <c r="AN36" i="6"/>
  <c r="AU36" i="6"/>
  <c r="BD36" i="6"/>
  <c r="AS36" i="6"/>
  <c r="AP36" i="6"/>
  <c r="AM36" i="6"/>
  <c r="AT36" i="6"/>
  <c r="AZ36" i="6"/>
  <c r="AJ36" i="6"/>
  <c r="AF36" i="6"/>
  <c r="BE36" i="6"/>
  <c r="AO36" i="6"/>
  <c r="BF36" i="6"/>
  <c r="AY36" i="6"/>
  <c r="AI36" i="6"/>
  <c r="AG36" i="6"/>
  <c r="AK35" i="6"/>
  <c r="AV35" i="6"/>
  <c r="AO35" i="6"/>
  <c r="BC35" i="6"/>
  <c r="AU35" i="6"/>
  <c r="AZ35" i="6"/>
  <c r="BA35" i="6"/>
  <c r="AM35" i="6"/>
  <c r="AS35" i="6"/>
  <c r="AP35" i="6"/>
  <c r="AX35" i="6"/>
  <c r="BG35" i="6"/>
  <c r="AT35" i="6"/>
  <c r="BD35" i="6"/>
  <c r="BF35" i="6"/>
  <c r="AQ35" i="6"/>
  <c r="AR35" i="6"/>
  <c r="AN35" i="6"/>
  <c r="BB35" i="6"/>
  <c r="BE35" i="6"/>
  <c r="AY35" i="6"/>
  <c r="AH35" i="6"/>
  <c r="AG35" i="6"/>
  <c r="AE35" i="6"/>
  <c r="AD35" i="6"/>
  <c r="AF35" i="6"/>
  <c r="AI35" i="6"/>
  <c r="AJ35" i="6"/>
  <c r="H40" i="6"/>
  <c r="T40" i="5" s="1"/>
  <c r="K40" i="12"/>
  <c r="N37" i="6"/>
  <c r="M37" i="6"/>
  <c r="AT37" i="6" s="1"/>
  <c r="J42" i="12" l="1"/>
  <c r="L42" i="12"/>
  <c r="D42" i="6"/>
  <c r="N39" i="6"/>
  <c r="M39" i="6"/>
  <c r="BE38" i="6"/>
  <c r="AN38" i="6"/>
  <c r="BD38" i="6"/>
  <c r="AM38" i="6"/>
  <c r="BG38" i="6"/>
  <c r="AP38" i="6"/>
  <c r="AS38" i="6"/>
  <c r="AU38" i="6"/>
  <c r="AG38" i="6"/>
  <c r="BA38" i="6"/>
  <c r="AZ38" i="6"/>
  <c r="BC38" i="6"/>
  <c r="BF38" i="6"/>
  <c r="AO38" i="6"/>
  <c r="AD38" i="6"/>
  <c r="AJ38" i="6"/>
  <c r="AV38" i="6"/>
  <c r="AE38" i="6"/>
  <c r="AY38" i="6"/>
  <c r="BB38" i="6"/>
  <c r="AR38" i="6"/>
  <c r="AQ38" i="6"/>
  <c r="AT38" i="6"/>
  <c r="AX38" i="6"/>
  <c r="AI38" i="6"/>
  <c r="AH38" i="6"/>
  <c r="AF38" i="6"/>
  <c r="M41" i="6"/>
  <c r="AK41" i="6" s="1"/>
  <c r="N40" i="6"/>
  <c r="M40" i="6"/>
  <c r="BE40" i="6" s="1"/>
  <c r="AP37" i="6"/>
  <c r="AK37" i="6"/>
  <c r="AV37" i="6"/>
  <c r="AM37" i="6"/>
  <c r="AX37" i="6"/>
  <c r="AQ37" i="6"/>
  <c r="BA37" i="6"/>
  <c r="BE37" i="6"/>
  <c r="AI37" i="6"/>
  <c r="AY37" i="6"/>
  <c r="AS37" i="6"/>
  <c r="AD37" i="6"/>
  <c r="AZ37" i="6"/>
  <c r="AJ37" i="6"/>
  <c r="BC37" i="6"/>
  <c r="AF37" i="6"/>
  <c r="AE37" i="6"/>
  <c r="AH37" i="6"/>
  <c r="BD37" i="6"/>
  <c r="AU37" i="6"/>
  <c r="BF37" i="6"/>
  <c r="BG37" i="6"/>
  <c r="BB37" i="6"/>
  <c r="AG37" i="6"/>
  <c r="AO37" i="6"/>
  <c r="AN37" i="6"/>
  <c r="AR37" i="6"/>
  <c r="K42" i="12" l="1"/>
  <c r="H42" i="6"/>
  <c r="T42" i="5" s="1"/>
  <c r="BE39" i="6"/>
  <c r="AN39" i="6"/>
  <c r="BD39" i="6"/>
  <c r="AM39" i="6"/>
  <c r="BG39" i="6"/>
  <c r="AP39" i="6"/>
  <c r="AS39" i="6"/>
  <c r="BA39" i="6"/>
  <c r="AZ39" i="6"/>
  <c r="BC39" i="6"/>
  <c r="BF39" i="6"/>
  <c r="AO39" i="6"/>
  <c r="AV39" i="6"/>
  <c r="AU39" i="6"/>
  <c r="AY39" i="6"/>
  <c r="BB39" i="6"/>
  <c r="AR39" i="6"/>
  <c r="AQ39" i="6"/>
  <c r="AT39" i="6"/>
  <c r="AX39" i="6"/>
  <c r="AJ39" i="6"/>
  <c r="AK39" i="6"/>
  <c r="AG39" i="6"/>
  <c r="AH39" i="6"/>
  <c r="AF39" i="6"/>
  <c r="AD39" i="6"/>
  <c r="AI39" i="6"/>
  <c r="AE39" i="6"/>
  <c r="AI41" i="6"/>
  <c r="BE41" i="6"/>
  <c r="AN41" i="6"/>
  <c r="BD41" i="6"/>
  <c r="AM41" i="6"/>
  <c r="BG41" i="6"/>
  <c r="AP41" i="6"/>
  <c r="AS41" i="6"/>
  <c r="BA41" i="6"/>
  <c r="AZ41" i="6"/>
  <c r="BC41" i="6"/>
  <c r="BF41" i="6"/>
  <c r="AO41" i="6"/>
  <c r="AJ41" i="6"/>
  <c r="AV41" i="6"/>
  <c r="AE41" i="6"/>
  <c r="AU41" i="6"/>
  <c r="AD41" i="6"/>
  <c r="AY41" i="6"/>
  <c r="AG41" i="6"/>
  <c r="BB41" i="6"/>
  <c r="AR41" i="6"/>
  <c r="AQ41" i="6"/>
  <c r="AT41" i="6"/>
  <c r="AX41" i="6"/>
  <c r="AH41" i="6"/>
  <c r="AF41" i="6"/>
  <c r="A42" i="6"/>
  <c r="N42" i="6" s="1"/>
  <c r="BG40" i="6"/>
  <c r="AI40" i="6"/>
  <c r="AK40" i="6"/>
  <c r="AF40" i="6"/>
  <c r="AN40" i="6"/>
  <c r="AP40" i="6"/>
  <c r="AZ40" i="6"/>
  <c r="AO40" i="6"/>
  <c r="AD40" i="6"/>
  <c r="BD40" i="6"/>
  <c r="AS40" i="6"/>
  <c r="AH40" i="6"/>
  <c r="AT40" i="6"/>
  <c r="AJ40" i="6"/>
  <c r="AM40" i="6"/>
  <c r="BA40" i="6"/>
  <c r="BC40" i="6"/>
  <c r="AV40" i="6"/>
  <c r="AY40" i="6"/>
  <c r="AR40" i="6"/>
  <c r="AE40" i="6"/>
  <c r="AG40" i="6"/>
  <c r="AQ40" i="6"/>
  <c r="BF40" i="6"/>
  <c r="AX40" i="6"/>
  <c r="AU40" i="6"/>
  <c r="BB40" i="6"/>
  <c r="M42" i="6" l="1"/>
  <c r="AH42" i="6" l="1"/>
  <c r="AG42" i="6"/>
  <c r="AK42" i="6"/>
  <c r="AF42" i="6"/>
  <c r="AJ42" i="6"/>
  <c r="AI42" i="6"/>
  <c r="AE42" i="6"/>
  <c r="AD42" i="6"/>
  <c r="AR42" i="6"/>
  <c r="AO42" i="6"/>
  <c r="AZ42" i="6"/>
  <c r="BC42" i="6"/>
  <c r="AS42" i="6"/>
  <c r="BE42" i="6"/>
  <c r="AN42" i="6"/>
  <c r="BF42" i="6"/>
  <c r="AU42" i="6"/>
  <c r="AY42" i="6"/>
  <c r="BA42" i="6"/>
  <c r="BB42" i="6"/>
  <c r="AQ42" i="6"/>
  <c r="AT42" i="6"/>
  <c r="AV42" i="6"/>
  <c r="AX42" i="6"/>
  <c r="BD42" i="6"/>
  <c r="AM42" i="6"/>
  <c r="BG42" i="6"/>
  <c r="AP42" i="6"/>
  <c r="C43" i="5" l="1"/>
  <c r="K22" i="5"/>
  <c r="G43" i="5" l="1"/>
  <c r="H43" i="5"/>
  <c r="E43" i="5"/>
  <c r="A43" i="12"/>
  <c r="AE43" i="5"/>
  <c r="AD43" i="5"/>
  <c r="W43" i="5"/>
  <c r="N43" i="5"/>
  <c r="D43" i="6" s="1"/>
  <c r="H43" i="6" s="1"/>
  <c r="T43" i="5" s="1"/>
  <c r="B43" i="6"/>
  <c r="C44" i="5"/>
  <c r="C45" i="5" s="1"/>
  <c r="B43" i="5"/>
  <c r="F43" i="5"/>
  <c r="A45" i="12" l="1"/>
  <c r="K45" i="5"/>
  <c r="J45" i="5"/>
  <c r="B45" i="6"/>
  <c r="AE45" i="5"/>
  <c r="N45" i="5"/>
  <c r="AD45" i="5"/>
  <c r="D45" i="5"/>
  <c r="B45" i="12" s="1"/>
  <c r="C46" i="5"/>
  <c r="AD46" i="5" s="1"/>
  <c r="A43" i="6"/>
  <c r="E44" i="5"/>
  <c r="E45" i="5" s="1"/>
  <c r="G43" i="6"/>
  <c r="B44" i="6"/>
  <c r="F44" i="5"/>
  <c r="F45" i="5" s="1"/>
  <c r="J44" i="5"/>
  <c r="AD44" i="5"/>
  <c r="K44" i="5"/>
  <c r="N44" i="5"/>
  <c r="D44" i="6" s="1"/>
  <c r="H44" i="6" s="1"/>
  <c r="T44" i="5" s="1"/>
  <c r="B44" i="5"/>
  <c r="B45" i="5" s="1"/>
  <c r="D44" i="5"/>
  <c r="B44" i="12" s="1"/>
  <c r="A44" i="12"/>
  <c r="H44" i="5"/>
  <c r="H45" i="5" s="1"/>
  <c r="G44" i="5"/>
  <c r="G45" i="5" s="1"/>
  <c r="AE44" i="5"/>
  <c r="E43" i="12"/>
  <c r="F43" i="6"/>
  <c r="M43" i="6"/>
  <c r="AD43" i="6" s="1"/>
  <c r="N43" i="6"/>
  <c r="J45" i="12" l="1"/>
  <c r="L45" i="12"/>
  <c r="D45" i="6"/>
  <c r="H46" i="5"/>
  <c r="G46" i="5"/>
  <c r="B46" i="5"/>
  <c r="C47" i="5" s="1"/>
  <c r="R47" i="5" s="1"/>
  <c r="E46" i="5"/>
  <c r="F46" i="5"/>
  <c r="N46" i="5"/>
  <c r="D46" i="6" s="1"/>
  <c r="AE46" i="5"/>
  <c r="J46" i="5"/>
  <c r="A46" i="12"/>
  <c r="L46" i="12" s="1"/>
  <c r="K46" i="5"/>
  <c r="B46" i="6"/>
  <c r="D46" i="5"/>
  <c r="B46" i="12" s="1"/>
  <c r="AH43" i="6"/>
  <c r="AG43" i="6"/>
  <c r="A44" i="6"/>
  <c r="N44" i="6" s="1"/>
  <c r="AI43" i="6"/>
  <c r="J44" i="12"/>
  <c r="L44" i="12"/>
  <c r="BE43" i="6"/>
  <c r="AN43" i="6"/>
  <c r="BD43" i="6"/>
  <c r="AM43" i="6"/>
  <c r="BG43" i="6"/>
  <c r="AP43" i="6"/>
  <c r="AS43" i="6"/>
  <c r="AB43" i="6"/>
  <c r="BA43" i="6"/>
  <c r="AZ43" i="6"/>
  <c r="BC43" i="6"/>
  <c r="BF43" i="6"/>
  <c r="AO43" i="6"/>
  <c r="AV43" i="6"/>
  <c r="AU43" i="6"/>
  <c r="AY43" i="6"/>
  <c r="BB43" i="6"/>
  <c r="AR43" i="6"/>
  <c r="AQ43" i="6"/>
  <c r="AT43" i="6"/>
  <c r="AX43" i="6"/>
  <c r="AJ43" i="6"/>
  <c r="AC43" i="6"/>
  <c r="AK43" i="6"/>
  <c r="AE43" i="6"/>
  <c r="AF43" i="6"/>
  <c r="AF47" i="5"/>
  <c r="K45" i="12" l="1"/>
  <c r="A45" i="6"/>
  <c r="N45" i="6" s="1"/>
  <c r="H45" i="6"/>
  <c r="T45" i="5" s="1"/>
  <c r="S47" i="5"/>
  <c r="J46" i="12"/>
  <c r="K46" i="12" s="1"/>
  <c r="H46" i="6"/>
  <c r="T46" i="5" s="1"/>
  <c r="E47" i="5"/>
  <c r="AG47" i="5"/>
  <c r="U47" i="5" s="1"/>
  <c r="AN47" i="5" s="1"/>
  <c r="H47" i="5"/>
  <c r="A47" i="12"/>
  <c r="AE47" i="5"/>
  <c r="N47" i="5"/>
  <c r="D47" i="6" s="1"/>
  <c r="G47" i="6" s="1"/>
  <c r="AD47" i="5"/>
  <c r="C48" i="5"/>
  <c r="B47" i="6"/>
  <c r="A47" i="6" s="1"/>
  <c r="W47" i="5"/>
  <c r="B47" i="5"/>
  <c r="F47" i="5"/>
  <c r="G47" i="5"/>
  <c r="M44" i="6"/>
  <c r="AX44" i="6" s="1"/>
  <c r="K44" i="12"/>
  <c r="A46" i="6" l="1"/>
  <c r="N46" i="6" s="1"/>
  <c r="M45" i="6"/>
  <c r="AJ45" i="6" s="1"/>
  <c r="N47" i="6"/>
  <c r="H47" i="6"/>
  <c r="T47" i="5" s="1"/>
  <c r="C49" i="5"/>
  <c r="C50" i="5" s="1"/>
  <c r="AD48" i="5"/>
  <c r="A48" i="12"/>
  <c r="B48" i="5"/>
  <c r="AE48" i="5"/>
  <c r="H48" i="5"/>
  <c r="F48" i="5"/>
  <c r="N48" i="5"/>
  <c r="D48" i="6" s="1"/>
  <c r="H48" i="6" s="1"/>
  <c r="T48" i="5" s="1"/>
  <c r="D48" i="5"/>
  <c r="B48" i="12" s="1"/>
  <c r="K48" i="5"/>
  <c r="G48" i="5"/>
  <c r="B48" i="6"/>
  <c r="E48" i="5"/>
  <c r="J48" i="5"/>
  <c r="E47" i="12"/>
  <c r="F47" i="6"/>
  <c r="M47" i="6"/>
  <c r="AS44" i="6"/>
  <c r="AR44" i="6"/>
  <c r="AT44" i="6"/>
  <c r="AF44" i="6"/>
  <c r="AG44" i="6"/>
  <c r="AE44" i="6"/>
  <c r="BF44" i="6"/>
  <c r="AZ44" i="6"/>
  <c r="BD44" i="6"/>
  <c r="AV44" i="6"/>
  <c r="AK44" i="6"/>
  <c r="AI44" i="6"/>
  <c r="AP44" i="6"/>
  <c r="AN44" i="6"/>
  <c r="AQ44" i="6"/>
  <c r="BA44" i="6"/>
  <c r="BE44" i="6"/>
  <c r="AY44" i="6"/>
  <c r="AJ44" i="6"/>
  <c r="AD44" i="6"/>
  <c r="BC44" i="6"/>
  <c r="BB44" i="6"/>
  <c r="AU44" i="6"/>
  <c r="AO44" i="6"/>
  <c r="AH44" i="6"/>
  <c r="AM44" i="6"/>
  <c r="BG44" i="6"/>
  <c r="M46" i="6" l="1"/>
  <c r="AG46" i="6" s="1"/>
  <c r="AD45" i="6"/>
  <c r="AH45" i="6"/>
  <c r="AE45" i="6"/>
  <c r="AI45" i="6"/>
  <c r="AG45" i="6"/>
  <c r="AK45" i="6"/>
  <c r="BD45" i="6"/>
  <c r="AM45" i="6"/>
  <c r="BE45" i="6"/>
  <c r="AN45" i="6"/>
  <c r="BG45" i="6"/>
  <c r="AP45" i="6"/>
  <c r="AS45" i="6"/>
  <c r="AZ45" i="6"/>
  <c r="BA45" i="6"/>
  <c r="BC45" i="6"/>
  <c r="BF45" i="6"/>
  <c r="AO45" i="6"/>
  <c r="AU45" i="6"/>
  <c r="AV45" i="6"/>
  <c r="AY45" i="6"/>
  <c r="BB45" i="6"/>
  <c r="AQ45" i="6"/>
  <c r="AR45" i="6"/>
  <c r="AT45" i="6"/>
  <c r="AX45" i="6"/>
  <c r="AF45" i="6"/>
  <c r="B50" i="6"/>
  <c r="AD50" i="5"/>
  <c r="D50" i="5"/>
  <c r="B50" i="12" s="1"/>
  <c r="A50" i="12"/>
  <c r="K50" i="5"/>
  <c r="AE50" i="5"/>
  <c r="N50" i="5"/>
  <c r="J50" i="5"/>
  <c r="BE46" i="6"/>
  <c r="AZ46" i="6"/>
  <c r="BD46" i="6"/>
  <c r="AJ46" i="6"/>
  <c r="AO46" i="6"/>
  <c r="BA46" i="6"/>
  <c r="AU46" i="6"/>
  <c r="AN46" i="6"/>
  <c r="AT46" i="6"/>
  <c r="BB46" i="6"/>
  <c r="BF46" i="6"/>
  <c r="AI46" i="6"/>
  <c r="BG46" i="6"/>
  <c r="BC46" i="6"/>
  <c r="AM46" i="6"/>
  <c r="AH46" i="6"/>
  <c r="AP46" i="6"/>
  <c r="AY46" i="6"/>
  <c r="AD46" i="6"/>
  <c r="AK46" i="6"/>
  <c r="AV46" i="6"/>
  <c r="AX46" i="6"/>
  <c r="AR46" i="6"/>
  <c r="AS46" i="6"/>
  <c r="AE46" i="6"/>
  <c r="AF46" i="6"/>
  <c r="AQ46" i="6"/>
  <c r="AI47" i="6"/>
  <c r="A48" i="6"/>
  <c r="N48" i="6" s="1"/>
  <c r="AH47" i="6"/>
  <c r="J48" i="12"/>
  <c r="L48" i="12"/>
  <c r="K49" i="5"/>
  <c r="F49" i="5"/>
  <c r="K17" i="5" s="1"/>
  <c r="E49" i="5"/>
  <c r="E50" i="5" s="1"/>
  <c r="B49" i="6"/>
  <c r="G49" i="5"/>
  <c r="G50" i="5" s="1"/>
  <c r="B49" i="5"/>
  <c r="B50" i="5" s="1"/>
  <c r="AD49" i="5"/>
  <c r="A49" i="12"/>
  <c r="AE49" i="5"/>
  <c r="H49" i="5"/>
  <c r="H50" i="5" s="1"/>
  <c r="J49" i="5"/>
  <c r="N49" i="5"/>
  <c r="D49" i="6" s="1"/>
  <c r="D49" i="5"/>
  <c r="B49" i="12" s="1"/>
  <c r="BE47" i="6"/>
  <c r="AN47" i="6"/>
  <c r="BD47" i="6"/>
  <c r="AM47" i="6"/>
  <c r="BG47" i="6"/>
  <c r="AP47" i="6"/>
  <c r="AS47" i="6"/>
  <c r="AB47" i="6"/>
  <c r="BA47" i="6"/>
  <c r="AZ47" i="6"/>
  <c r="BC47" i="6"/>
  <c r="BF47" i="6"/>
  <c r="AO47" i="6"/>
  <c r="AV47" i="6"/>
  <c r="AU47" i="6"/>
  <c r="AY47" i="6"/>
  <c r="BB47" i="6"/>
  <c r="AR47" i="6"/>
  <c r="AQ47" i="6"/>
  <c r="AT47" i="6"/>
  <c r="AX47" i="6"/>
  <c r="AE47" i="6"/>
  <c r="AD47" i="6"/>
  <c r="AG47" i="6"/>
  <c r="AJ47" i="6"/>
  <c r="AC47" i="6"/>
  <c r="AK47" i="6"/>
  <c r="AF47" i="6"/>
  <c r="D50" i="6" l="1"/>
  <c r="F50" i="5"/>
  <c r="J50" i="12"/>
  <c r="L50" i="12"/>
  <c r="M48" i="6"/>
  <c r="AV48" i="6" s="1"/>
  <c r="K48" i="12"/>
  <c r="H49" i="6"/>
  <c r="T49" i="5" s="1"/>
  <c r="J49" i="12"/>
  <c r="L49" i="12"/>
  <c r="A49" i="6"/>
  <c r="F14" i="12"/>
  <c r="F16" i="12"/>
  <c r="K50" i="12" l="1"/>
  <c r="A50" i="6"/>
  <c r="N50" i="6" s="1"/>
  <c r="H50" i="6"/>
  <c r="T50" i="5" s="1"/>
  <c r="AM48" i="6"/>
  <c r="BC48" i="6"/>
  <c r="AO48" i="6"/>
  <c r="BE48" i="6"/>
  <c r="AK48" i="6"/>
  <c r="AJ48" i="6"/>
  <c r="BG48" i="6"/>
  <c r="AP48" i="6"/>
  <c r="BD48" i="6"/>
  <c r="AE48" i="6"/>
  <c r="AX48" i="6"/>
  <c r="BA48" i="6"/>
  <c r="AS48" i="6"/>
  <c r="AZ48" i="6"/>
  <c r="BF48" i="6"/>
  <c r="AD48" i="6"/>
  <c r="AR48" i="6"/>
  <c r="AT48" i="6"/>
  <c r="AF48" i="6"/>
  <c r="AY48" i="6"/>
  <c r="AU48" i="6"/>
  <c r="AN48" i="6"/>
  <c r="AH48" i="6"/>
  <c r="AQ48" i="6"/>
  <c r="AG48" i="6"/>
  <c r="AI48" i="6"/>
  <c r="BB48" i="6"/>
  <c r="K49" i="12"/>
  <c r="F16" i="6"/>
  <c r="E16" i="12"/>
  <c r="G14" i="11"/>
  <c r="F14" i="13" s="1"/>
  <c r="N49" i="6"/>
  <c r="M49" i="6"/>
  <c r="M50" i="6" l="1"/>
  <c r="AQ50" i="6" s="1"/>
  <c r="BE49" i="6"/>
  <c r="AT49" i="6"/>
  <c r="AX49" i="6"/>
  <c r="AQ49" i="6"/>
  <c r="AJ49" i="6"/>
  <c r="AD49" i="6"/>
  <c r="AO49" i="6"/>
  <c r="AH49" i="6"/>
  <c r="AP49" i="6"/>
  <c r="AN49" i="6"/>
  <c r="AG49" i="6"/>
  <c r="AK49" i="6"/>
  <c r="AS49" i="6"/>
  <c r="AM49" i="6"/>
  <c r="AR49" i="6"/>
  <c r="BB49" i="6"/>
  <c r="AU49" i="6"/>
  <c r="BF49" i="6"/>
  <c r="AZ49" i="6"/>
  <c r="BG49" i="6"/>
  <c r="AE49" i="6"/>
  <c r="AF49" i="6"/>
  <c r="AY49" i="6"/>
  <c r="AV49" i="6"/>
  <c r="BC49" i="6"/>
  <c r="BA49" i="6"/>
  <c r="BD49" i="6"/>
  <c r="AI49" i="6"/>
  <c r="G17" i="6"/>
  <c r="F17" i="6"/>
  <c r="E17" i="12"/>
  <c r="AZ50" i="6" l="1"/>
  <c r="BB50" i="6"/>
  <c r="AS50" i="6"/>
  <c r="BF50" i="6"/>
  <c r="AM50" i="6"/>
  <c r="AU50" i="6"/>
  <c r="BD50" i="6"/>
  <c r="AI50" i="6"/>
  <c r="AK50" i="6"/>
  <c r="AE50" i="6"/>
  <c r="AG50" i="6"/>
  <c r="BE50" i="6"/>
  <c r="AT50" i="6"/>
  <c r="BG50" i="6"/>
  <c r="AH50" i="6"/>
  <c r="AO50" i="6"/>
  <c r="AD50" i="6"/>
  <c r="AJ50" i="6"/>
  <c r="AX50" i="6"/>
  <c r="AN50" i="6"/>
  <c r="AP50" i="6"/>
  <c r="BA50" i="6"/>
  <c r="BC50" i="6"/>
  <c r="AV50" i="6"/>
  <c r="AY50" i="6"/>
  <c r="AR50" i="6"/>
  <c r="AF50" i="6"/>
  <c r="N20" i="6"/>
  <c r="N22" i="6"/>
  <c r="N23" i="6"/>
  <c r="N26" i="6"/>
  <c r="N27" i="6"/>
  <c r="N28" i="6"/>
  <c r="N29" i="6"/>
  <c r="N30" i="6"/>
  <c r="N31" i="6"/>
  <c r="N32" i="6"/>
  <c r="N18" i="6"/>
  <c r="N21" i="6"/>
  <c r="N19" i="6"/>
  <c r="W17" i="5"/>
  <c r="I17" i="5" l="1"/>
  <c r="AB17" i="6"/>
  <c r="B15" i="11" l="1"/>
  <c r="K16" i="5"/>
  <c r="A15" i="13"/>
  <c r="J33" i="5"/>
  <c r="J17" i="5"/>
  <c r="D17" i="5" s="1"/>
  <c r="B17" i="12" s="1"/>
  <c r="J22" i="5"/>
  <c r="D22" i="5" s="1"/>
  <c r="B22" i="12" s="1"/>
  <c r="C15" i="13" l="1"/>
  <c r="K15" i="13" s="1"/>
  <c r="K15" i="11"/>
  <c r="J15" i="13" s="1"/>
  <c r="G15" i="11"/>
  <c r="F15" i="13" s="1"/>
  <c r="J43" i="5" l="1"/>
  <c r="K33" i="5"/>
  <c r="D33" i="5" s="1"/>
  <c r="B33" i="12" s="1"/>
  <c r="K43" i="5" l="1"/>
  <c r="D43" i="5" s="1"/>
  <c r="B43" i="12" s="1"/>
  <c r="J47" i="5" l="1"/>
  <c r="A5" i="5" l="1"/>
  <c r="AL15" i="13"/>
  <c r="AO15" i="13"/>
  <c r="E1" i="8" l="1"/>
  <c r="E2" i="8" s="1"/>
  <c r="E23" i="8"/>
  <c r="E24" i="8" s="1"/>
  <c r="E20" i="8"/>
  <c r="E21" i="8" s="1"/>
  <c r="E29" i="8"/>
  <c r="E26" i="8"/>
  <c r="E27" i="8" s="1"/>
  <c r="E14" i="8"/>
  <c r="E15" i="8" s="1"/>
  <c r="E17" i="8"/>
  <c r="E18" i="8" s="1"/>
  <c r="A23" i="13"/>
  <c r="B17" i="11"/>
  <c r="B21" i="11"/>
  <c r="A21" i="13"/>
  <c r="B20" i="11"/>
  <c r="B22" i="11"/>
  <c r="A16" i="13"/>
  <c r="A22" i="13"/>
  <c r="A17" i="13"/>
  <c r="B23" i="11"/>
  <c r="A19" i="13"/>
  <c r="B12" i="11"/>
  <c r="J16" i="5"/>
  <c r="D16" i="5" s="1"/>
  <c r="B19" i="11"/>
  <c r="A18" i="13"/>
  <c r="B18" i="11"/>
  <c r="A12" i="13"/>
  <c r="B16" i="11"/>
  <c r="A20" i="13"/>
  <c r="K47" i="5"/>
  <c r="D47" i="5" s="1"/>
  <c r="AO18" i="13" l="1"/>
  <c r="AL18" i="13"/>
  <c r="AL19" i="13"/>
  <c r="AO19" i="13"/>
  <c r="AO12" i="13"/>
  <c r="AL12" i="13"/>
  <c r="AL17" i="13"/>
  <c r="AO17" i="13"/>
  <c r="AO23" i="13"/>
  <c r="AL23" i="13"/>
  <c r="AO20" i="13"/>
  <c r="AL20" i="13"/>
  <c r="AL16" i="13"/>
  <c r="AO16" i="13"/>
  <c r="AL22" i="13"/>
  <c r="AO22" i="13"/>
  <c r="AL21" i="13"/>
  <c r="AO21" i="13"/>
  <c r="B20" i="13"/>
  <c r="AH20" i="13" s="1"/>
  <c r="B18" i="13"/>
  <c r="AC18" i="13" s="1"/>
  <c r="O12" i="11"/>
  <c r="C12" i="13"/>
  <c r="G12" i="11"/>
  <c r="F12" i="13" s="1"/>
  <c r="AB12" i="11"/>
  <c r="N12" i="11" s="1"/>
  <c r="K12" i="11"/>
  <c r="J12" i="13" s="1"/>
  <c r="AA12" i="11"/>
  <c r="AA20" i="11"/>
  <c r="C20" i="13"/>
  <c r="K20" i="11"/>
  <c r="J20" i="13" s="1"/>
  <c r="O20" i="11"/>
  <c r="G20" i="11"/>
  <c r="F20" i="13" s="1"/>
  <c r="AB20" i="11"/>
  <c r="N20" i="11" s="1"/>
  <c r="B23" i="13"/>
  <c r="AD23" i="13" s="1"/>
  <c r="K16" i="11"/>
  <c r="J16" i="13" s="1"/>
  <c r="G16" i="11"/>
  <c r="F16" i="13" s="1"/>
  <c r="C16" i="13"/>
  <c r="AA16" i="11"/>
  <c r="O16" i="11"/>
  <c r="AB16" i="11"/>
  <c r="N16" i="11" s="1"/>
  <c r="B19" i="13"/>
  <c r="AD19" i="13" s="1"/>
  <c r="B22" i="13"/>
  <c r="AD22" i="13" s="1"/>
  <c r="B21" i="13"/>
  <c r="AF21" i="13" s="1"/>
  <c r="L17" i="8"/>
  <c r="I17" i="8"/>
  <c r="L20" i="8"/>
  <c r="I20" i="8"/>
  <c r="B12" i="13"/>
  <c r="AE12" i="13" s="1"/>
  <c r="O19" i="11"/>
  <c r="K19" i="11"/>
  <c r="J19" i="13" s="1"/>
  <c r="AA19" i="11"/>
  <c r="AB19" i="11"/>
  <c r="N19" i="11" s="1"/>
  <c r="G19" i="11"/>
  <c r="F19" i="13" s="1"/>
  <c r="C19" i="13"/>
  <c r="AA23" i="11"/>
  <c r="O23" i="11"/>
  <c r="AB23" i="11"/>
  <c r="N23" i="11" s="1"/>
  <c r="K23" i="11"/>
  <c r="J23" i="13" s="1"/>
  <c r="G23" i="11"/>
  <c r="F23" i="13" s="1"/>
  <c r="C23" i="13"/>
  <c r="B16" i="13"/>
  <c r="AD16" i="13" s="1"/>
  <c r="AA21" i="11"/>
  <c r="O21" i="11"/>
  <c r="K21" i="11"/>
  <c r="J21" i="13" s="1"/>
  <c r="AB21" i="11"/>
  <c r="N21" i="11" s="1"/>
  <c r="C21" i="13"/>
  <c r="G21" i="11"/>
  <c r="F21" i="13" s="1"/>
  <c r="I14" i="8"/>
  <c r="L14" i="8"/>
  <c r="E30" i="8" s="1"/>
  <c r="I23" i="8"/>
  <c r="L23" i="8"/>
  <c r="B47" i="12"/>
  <c r="O18" i="11"/>
  <c r="AB18" i="11"/>
  <c r="N18" i="11" s="1"/>
  <c r="AA18" i="11"/>
  <c r="C18" i="13"/>
  <c r="G18" i="11"/>
  <c r="F18" i="13" s="1"/>
  <c r="K18" i="11"/>
  <c r="J18" i="13" s="1"/>
  <c r="B14" i="13"/>
  <c r="B16" i="12"/>
  <c r="B17" i="13"/>
  <c r="AH17" i="13" s="1"/>
  <c r="AB22" i="11"/>
  <c r="N22" i="11" s="1"/>
  <c r="C22" i="13"/>
  <c r="G22" i="11"/>
  <c r="F22" i="13" s="1"/>
  <c r="AA22" i="11"/>
  <c r="O22" i="11"/>
  <c r="K22" i="11"/>
  <c r="J22" i="13" s="1"/>
  <c r="G17" i="11"/>
  <c r="F17" i="13" s="1"/>
  <c r="O17" i="11"/>
  <c r="AB17" i="11"/>
  <c r="N17" i="11" s="1"/>
  <c r="AA17" i="11"/>
  <c r="K17" i="11"/>
  <c r="J17" i="13" s="1"/>
  <c r="C17" i="13"/>
  <c r="I26" i="8"/>
  <c r="L26" i="8"/>
  <c r="M1" i="8"/>
  <c r="O1" i="8"/>
  <c r="L1" i="8"/>
  <c r="I1" i="8"/>
  <c r="H1" i="8"/>
  <c r="P1" i="8"/>
  <c r="N1" i="8"/>
  <c r="R1" i="8"/>
  <c r="L29" i="8" l="1"/>
  <c r="R31" i="8" s="1"/>
  <c r="I29" i="8"/>
  <c r="AK12" i="13"/>
  <c r="AN17" i="13"/>
  <c r="AN22" i="13"/>
  <c r="AN23" i="13"/>
  <c r="AK20" i="13"/>
  <c r="AJ19" i="13"/>
  <c r="AM21" i="13"/>
  <c r="AM22" i="13"/>
  <c r="AK16" i="13"/>
  <c r="AN20" i="13"/>
  <c r="AJ23" i="13"/>
  <c r="AJ17" i="13"/>
  <c r="AJ12" i="13"/>
  <c r="AM19" i="13"/>
  <c r="AJ18" i="13"/>
  <c r="AK18" i="13"/>
  <c r="AJ21" i="13"/>
  <c r="AJ22" i="13"/>
  <c r="AM16" i="13"/>
  <c r="AN16" i="13"/>
  <c r="AJ20" i="13"/>
  <c r="AM23" i="13"/>
  <c r="AK17" i="13"/>
  <c r="AN12" i="13"/>
  <c r="AK19" i="13"/>
  <c r="AM18" i="13"/>
  <c r="AK21" i="13"/>
  <c r="AN21" i="13"/>
  <c r="AK22" i="13"/>
  <c r="AJ16" i="13"/>
  <c r="AM20" i="13"/>
  <c r="AK23" i="13"/>
  <c r="AM17" i="13"/>
  <c r="AM12" i="13"/>
  <c r="AN19" i="13"/>
  <c r="AN18" i="13"/>
  <c r="AE23" i="13"/>
  <c r="AH23" i="13"/>
  <c r="AH19" i="13"/>
  <c r="AC19" i="13"/>
  <c r="AC22" i="13"/>
  <c r="AE19" i="13"/>
  <c r="AF19" i="13"/>
  <c r="AG16" i="13"/>
  <c r="AH16" i="13"/>
  <c r="AF20" i="13"/>
  <c r="AE21" i="13"/>
  <c r="AG18" i="13"/>
  <c r="AD18" i="13"/>
  <c r="AC16" i="13"/>
  <c r="AF12" i="13"/>
  <c r="AG21" i="13"/>
  <c r="AE18" i="13"/>
  <c r="AF16" i="13"/>
  <c r="AC21" i="13"/>
  <c r="AH18" i="13"/>
  <c r="AF18" i="13"/>
  <c r="AE17" i="13"/>
  <c r="A16" i="10"/>
  <c r="C19" i="10"/>
  <c r="A1" i="10"/>
  <c r="AJ15" i="6"/>
  <c r="Y15" i="6" s="1"/>
  <c r="AD15" i="6"/>
  <c r="S15" i="6" s="1"/>
  <c r="C17" i="10"/>
  <c r="A17" i="9"/>
  <c r="AK15" i="6"/>
  <c r="Z15" i="6" s="1"/>
  <c r="AI15" i="6"/>
  <c r="X15" i="6" s="1"/>
  <c r="C16" i="10"/>
  <c r="C18" i="9"/>
  <c r="A20" i="10"/>
  <c r="A19" i="9"/>
  <c r="A18" i="10"/>
  <c r="C20" i="10"/>
  <c r="AE15" i="6"/>
  <c r="T15" i="6" s="1"/>
  <c r="A17" i="10"/>
  <c r="C1" i="9"/>
  <c r="C20" i="9"/>
  <c r="A19" i="10"/>
  <c r="C1" i="10"/>
  <c r="C17" i="9"/>
  <c r="A20" i="9"/>
  <c r="AF15" i="6"/>
  <c r="U15" i="6" s="1"/>
  <c r="C18" i="10"/>
  <c r="A16" i="9"/>
  <c r="C16" i="9"/>
  <c r="A1" i="9"/>
  <c r="M12" i="6"/>
  <c r="AG15" i="6"/>
  <c r="V15" i="6" s="1"/>
  <c r="AH15" i="6"/>
  <c r="W15" i="6" s="1"/>
  <c r="A18" i="9"/>
  <c r="C19" i="9"/>
  <c r="B15" i="13"/>
  <c r="D15" i="5"/>
  <c r="M17" i="13"/>
  <c r="R17" i="13"/>
  <c r="T17" i="13"/>
  <c r="O17" i="13"/>
  <c r="S17" i="13"/>
  <c r="K17" i="13"/>
  <c r="U17" i="13"/>
  <c r="W17" i="11"/>
  <c r="C17" i="11"/>
  <c r="L17" i="13"/>
  <c r="D17" i="13" s="1"/>
  <c r="Z17" i="11"/>
  <c r="AD17" i="13"/>
  <c r="AG17" i="13"/>
  <c r="O14" i="8"/>
  <c r="N14" i="8"/>
  <c r="R16" i="8"/>
  <c r="P14" i="8"/>
  <c r="U19" i="13"/>
  <c r="M19" i="13"/>
  <c r="S19" i="13"/>
  <c r="R19" i="13"/>
  <c r="K19" i="13"/>
  <c r="O19" i="13"/>
  <c r="T19" i="13"/>
  <c r="AF22" i="13"/>
  <c r="AE22" i="13"/>
  <c r="AG23" i="13"/>
  <c r="W20" i="11"/>
  <c r="L20" i="13"/>
  <c r="D20" i="13" s="1"/>
  <c r="Z20" i="11"/>
  <c r="C20" i="11"/>
  <c r="U12" i="13"/>
  <c r="S12" i="13"/>
  <c r="K12" i="13"/>
  <c r="R12" i="13"/>
  <c r="M12" i="13"/>
  <c r="T12" i="13"/>
  <c r="O12" i="13"/>
  <c r="L18" i="13"/>
  <c r="D18" i="13" s="1"/>
  <c r="Z18" i="11"/>
  <c r="W18" i="11"/>
  <c r="C18" i="11"/>
  <c r="L19" i="13"/>
  <c r="D19" i="13" s="1"/>
  <c r="C19" i="11"/>
  <c r="Z19" i="11"/>
  <c r="W19" i="11"/>
  <c r="AC12" i="13"/>
  <c r="O17" i="8"/>
  <c r="N17" i="8"/>
  <c r="P17" i="8"/>
  <c r="R19" i="8"/>
  <c r="L16" i="13"/>
  <c r="D16" i="13" s="1"/>
  <c r="W16" i="11"/>
  <c r="C16" i="11"/>
  <c r="Z12" i="11"/>
  <c r="W12" i="11"/>
  <c r="C12" i="11"/>
  <c r="L12" i="13"/>
  <c r="G2" i="8"/>
  <c r="F1" i="8"/>
  <c r="G1" i="8"/>
  <c r="I2" i="8" s="1"/>
  <c r="F2" i="8"/>
  <c r="P26" i="8"/>
  <c r="O26" i="8"/>
  <c r="R28" i="8"/>
  <c r="R22" i="13"/>
  <c r="M22" i="13"/>
  <c r="O22" i="13"/>
  <c r="T22" i="13"/>
  <c r="K22" i="13"/>
  <c r="U22" i="13"/>
  <c r="S22" i="13"/>
  <c r="AC17" i="13"/>
  <c r="O18" i="13"/>
  <c r="M18" i="13"/>
  <c r="U18" i="13"/>
  <c r="R18" i="13"/>
  <c r="K18" i="13"/>
  <c r="S18" i="13"/>
  <c r="T18" i="13"/>
  <c r="N23" i="8"/>
  <c r="P23" i="8"/>
  <c r="O23" i="8"/>
  <c r="R25" i="8"/>
  <c r="Z21" i="11"/>
  <c r="C21" i="11"/>
  <c r="L21" i="13"/>
  <c r="D21" i="13" s="1"/>
  <c r="W21" i="11"/>
  <c r="AE16" i="13"/>
  <c r="O23" i="13"/>
  <c r="M23" i="13"/>
  <c r="T23" i="13"/>
  <c r="R23" i="13"/>
  <c r="S23" i="13"/>
  <c r="K23" i="13"/>
  <c r="U23" i="13"/>
  <c r="L23" i="13"/>
  <c r="D23" i="13" s="1"/>
  <c r="Z23" i="11"/>
  <c r="W23" i="11"/>
  <c r="C23" i="11"/>
  <c r="AH21" i="13"/>
  <c r="AD21" i="13"/>
  <c r="AH22" i="13"/>
  <c r="AG19" i="13"/>
  <c r="Z16" i="11"/>
  <c r="AF23" i="13"/>
  <c r="S20" i="13"/>
  <c r="K20" i="13"/>
  <c r="O20" i="13"/>
  <c r="U20" i="13"/>
  <c r="M20" i="13"/>
  <c r="T20" i="13"/>
  <c r="R20" i="13"/>
  <c r="AG20" i="13"/>
  <c r="AD20" i="13"/>
  <c r="AE20" i="13"/>
  <c r="Q1" i="8"/>
  <c r="R3" i="8"/>
  <c r="W22" i="11"/>
  <c r="C22" i="11"/>
  <c r="L22" i="13"/>
  <c r="D22" i="13" s="1"/>
  <c r="Z22" i="11"/>
  <c r="AF17" i="13"/>
  <c r="AE14" i="13"/>
  <c r="AH14" i="13"/>
  <c r="U21" i="13"/>
  <c r="O21" i="13"/>
  <c r="M21" i="13"/>
  <c r="S21" i="13"/>
  <c r="K21" i="13"/>
  <c r="T21" i="13"/>
  <c r="R21" i="13"/>
  <c r="AH12" i="13"/>
  <c r="AD12" i="13"/>
  <c r="AG12" i="13"/>
  <c r="P20" i="8"/>
  <c r="N20" i="8"/>
  <c r="R22" i="8"/>
  <c r="O20" i="8"/>
  <c r="AG22" i="13"/>
  <c r="K16" i="13"/>
  <c r="T16" i="13"/>
  <c r="O16" i="13"/>
  <c r="U16" i="13"/>
  <c r="S16" i="13"/>
  <c r="R16" i="13"/>
  <c r="M16" i="13"/>
  <c r="AC23" i="13"/>
  <c r="AC20" i="13"/>
  <c r="W33" i="5"/>
  <c r="P29" i="8" l="1"/>
  <c r="O29" i="8"/>
  <c r="P20" i="13"/>
  <c r="AK15" i="13"/>
  <c r="AN15" i="13"/>
  <c r="AJ15" i="13"/>
  <c r="AM15" i="13"/>
  <c r="P16" i="13"/>
  <c r="N16" i="13"/>
  <c r="N21" i="13"/>
  <c r="P21" i="13"/>
  <c r="N20" i="13"/>
  <c r="P17" i="13"/>
  <c r="N17" i="13"/>
  <c r="P23" i="13"/>
  <c r="N23" i="13"/>
  <c r="N22" i="13"/>
  <c r="P22" i="13"/>
  <c r="V12" i="13"/>
  <c r="D12" i="13"/>
  <c r="P12" i="13"/>
  <c r="N12" i="13"/>
  <c r="N19" i="13"/>
  <c r="P19" i="13"/>
  <c r="AD1" i="8"/>
  <c r="W1" i="8"/>
  <c r="AC1" i="8"/>
  <c r="AA3" i="8"/>
  <c r="Z3" i="8"/>
  <c r="B1" i="8"/>
  <c r="E3" i="8"/>
  <c r="V1" i="8"/>
  <c r="AE3" i="8"/>
  <c r="T1" i="8"/>
  <c r="Y3" i="8"/>
  <c r="AC3" i="8"/>
  <c r="C1" i="8"/>
  <c r="Y1" i="8"/>
  <c r="U1" i="8"/>
  <c r="AD3" i="8"/>
  <c r="AB1" i="8"/>
  <c r="Z1" i="8"/>
  <c r="AA1" i="8"/>
  <c r="U3" i="8"/>
  <c r="AE1" i="8"/>
  <c r="AB3" i="8"/>
  <c r="V3" i="8"/>
  <c r="T3" i="8"/>
  <c r="D1" i="8"/>
  <c r="X1" i="8"/>
  <c r="D3" i="8"/>
  <c r="X3" i="8"/>
  <c r="W3" i="8"/>
  <c r="P18" i="13"/>
  <c r="N18" i="13"/>
  <c r="I33" i="5"/>
  <c r="M17" i="8" l="1"/>
  <c r="Q17" i="8" s="1"/>
  <c r="E19" i="8" s="1"/>
  <c r="M26" i="8"/>
  <c r="M23" i="8"/>
  <c r="Q23" i="8" s="1"/>
  <c r="E25" i="8" s="1"/>
  <c r="M29" i="8"/>
  <c r="M14" i="8"/>
  <c r="Q14" i="8" s="1"/>
  <c r="M20" i="8"/>
  <c r="Q20" i="8" s="1"/>
  <c r="E22" i="8" s="1"/>
  <c r="J10" i="13"/>
  <c r="B14" i="8" l="1"/>
  <c r="E16" i="8"/>
  <c r="C14" i="8"/>
  <c r="G33" i="6" l="1"/>
  <c r="N26" i="8" l="1"/>
  <c r="Q26" i="8" s="1"/>
  <c r="E28" i="8" s="1"/>
  <c r="N29" i="8"/>
  <c r="Q29" i="8" s="1"/>
  <c r="E31" i="8" l="1"/>
  <c r="I43" i="5" l="1"/>
  <c r="I47" i="5" l="1"/>
  <c r="AE15" i="13" l="1"/>
  <c r="M15" i="13" s="1"/>
  <c r="AH15" i="13"/>
  <c r="O15" i="13" s="1"/>
  <c r="O15" i="11" l="1"/>
  <c r="W15" i="11" s="1"/>
  <c r="N15" i="13"/>
  <c r="C15" i="11" l="1"/>
  <c r="L15" i="13"/>
  <c r="D15" i="13" s="1"/>
  <c r="AB15" i="11"/>
  <c r="N15" i="11" s="1"/>
  <c r="AD15" i="13"/>
  <c r="AG15" i="13"/>
  <c r="P15" i="13" l="1"/>
  <c r="S15" i="13"/>
  <c r="U15" i="13"/>
  <c r="AF15" i="13" l="1"/>
  <c r="AC15" i="13"/>
  <c r="AA15" i="11"/>
  <c r="Z15" i="11" s="1"/>
  <c r="R15" i="13" l="1"/>
  <c r="T15" i="13"/>
  <c r="W22" i="5" l="1"/>
  <c r="V28" i="8" l="1"/>
  <c r="AD28" i="8"/>
  <c r="X28" i="8"/>
  <c r="W28" i="8"/>
  <c r="AC28" i="8"/>
  <c r="AB28" i="8"/>
  <c r="Z28" i="8"/>
  <c r="AA28" i="8"/>
  <c r="AE28" i="8"/>
  <c r="Y28" i="8"/>
  <c r="AA31" i="8"/>
  <c r="AE31" i="8"/>
  <c r="W31" i="8"/>
  <c r="Y31" i="8"/>
  <c r="X31" i="8"/>
  <c r="AB31" i="8"/>
  <c r="V31" i="8"/>
  <c r="AC31" i="8"/>
  <c r="Z31" i="8"/>
  <c r="AD31" i="8"/>
  <c r="X19" i="8" l="1"/>
  <c r="Z19" i="8"/>
  <c r="V19" i="8"/>
  <c r="AC19" i="8"/>
  <c r="AE19" i="8"/>
  <c r="AD19" i="8"/>
  <c r="W19" i="8"/>
  <c r="Y19" i="8"/>
  <c r="AA19" i="8"/>
  <c r="AB19" i="8"/>
  <c r="AD22" i="8"/>
  <c r="AC22" i="8"/>
  <c r="W22" i="8"/>
  <c r="Z22" i="8"/>
  <c r="Y22" i="8"/>
  <c r="AA22" i="8"/>
  <c r="AE22" i="8"/>
  <c r="X22" i="8"/>
  <c r="U22" i="8"/>
  <c r="V22" i="8"/>
  <c r="AB22" i="8"/>
  <c r="AC25" i="8" l="1"/>
  <c r="AD25" i="8"/>
  <c r="AA25" i="8"/>
  <c r="X25" i="8"/>
  <c r="W25" i="8"/>
  <c r="AB25" i="8"/>
  <c r="Y25" i="8"/>
  <c r="Z25" i="8"/>
  <c r="V25" i="8"/>
  <c r="AE25" i="8"/>
  <c r="AN14" i="13" l="1"/>
  <c r="AO14" i="13"/>
  <c r="O14" i="13" s="1"/>
  <c r="AL14" i="13"/>
  <c r="M14" i="13" s="1"/>
  <c r="M28" i="13" s="1"/>
  <c r="AK14" i="13"/>
  <c r="N14" i="13" l="1"/>
  <c r="O28" i="13"/>
  <c r="AD6" i="13" l="1"/>
  <c r="AE6" i="13" s="1"/>
  <c r="F33" i="14"/>
  <c r="N28" i="13"/>
  <c r="E33" i="14" l="1"/>
  <c r="AJ14" i="13" l="1"/>
  <c r="AM14" i="13"/>
  <c r="G22" i="6" l="1"/>
  <c r="I22" i="5" l="1"/>
  <c r="AF39" i="5"/>
  <c r="AF44" i="5"/>
  <c r="AF33" i="5"/>
  <c r="AF20" i="5"/>
  <c r="AF19" i="5"/>
  <c r="AF24" i="5"/>
  <c r="AF50" i="5"/>
  <c r="AF43" i="5"/>
  <c r="AF32" i="5"/>
  <c r="AF26" i="5"/>
  <c r="AF45" i="5"/>
  <c r="AF25" i="5"/>
  <c r="AF36" i="5"/>
  <c r="AF37" i="5"/>
  <c r="AF38" i="5"/>
  <c r="AF21" i="5"/>
  <c r="AF16" i="5"/>
  <c r="AF42" i="5"/>
  <c r="AF27" i="5"/>
  <c r="AF28" i="5"/>
  <c r="AF18" i="5"/>
  <c r="AF31" i="5"/>
  <c r="AF29" i="5"/>
  <c r="AF23" i="5"/>
  <c r="AF49" i="5"/>
  <c r="AF48" i="5"/>
  <c r="AF40" i="5"/>
  <c r="AF17" i="5"/>
  <c r="AF34" i="5"/>
  <c r="AF14" i="5"/>
  <c r="AF30" i="5"/>
  <c r="AF46" i="5"/>
  <c r="AF35" i="5"/>
  <c r="AF22" i="5"/>
  <c r="AF41" i="5"/>
  <c r="S14" i="5" l="1"/>
  <c r="G14" i="6" s="1"/>
  <c r="AG14" i="5"/>
  <c r="R14" i="5"/>
  <c r="S16" i="5"/>
  <c r="AG16" i="5"/>
  <c r="S22" i="5"/>
  <c r="AG22" i="5"/>
  <c r="U22" i="5" s="1"/>
  <c r="AN22" i="5" s="1"/>
  <c r="S17" i="5"/>
  <c r="AG17" i="5"/>
  <c r="U17" i="5" s="1"/>
  <c r="AN17" i="5" s="1"/>
  <c r="S33" i="5"/>
  <c r="AG33" i="5"/>
  <c r="U33" i="5" s="1"/>
  <c r="AN33" i="5" s="1"/>
  <c r="S43" i="5"/>
  <c r="AG43" i="5"/>
  <c r="U43" i="5" s="1"/>
  <c r="AN43" i="5" s="1"/>
  <c r="R28" i="5"/>
  <c r="AG24" i="5"/>
  <c r="R48" i="5"/>
  <c r="AG31" i="5"/>
  <c r="AG42" i="5"/>
  <c r="AG37" i="5"/>
  <c r="R46" i="5"/>
  <c r="R36" i="5"/>
  <c r="R27" i="5"/>
  <c r="S37" i="5"/>
  <c r="AG23" i="5"/>
  <c r="S32" i="5"/>
  <c r="AG27" i="5"/>
  <c r="R23" i="5"/>
  <c r="AG38" i="5"/>
  <c r="AG25" i="5"/>
  <c r="AG30" i="5"/>
  <c r="AG19" i="5"/>
  <c r="R21" i="5"/>
  <c r="S18" i="5"/>
  <c r="R41" i="5"/>
  <c r="R50" i="5"/>
  <c r="AG48" i="5"/>
  <c r="R32" i="5"/>
  <c r="AG39" i="5"/>
  <c r="AG46" i="5"/>
  <c r="S30" i="5"/>
  <c r="S19" i="5"/>
  <c r="AG41" i="5"/>
  <c r="R24" i="5"/>
  <c r="R30" i="5"/>
  <c r="AG32" i="5"/>
  <c r="S42" i="5"/>
  <c r="R40" i="5"/>
  <c r="S25" i="5"/>
  <c r="S35" i="5"/>
  <c r="S24" i="5"/>
  <c r="AG40" i="5"/>
  <c r="S36" i="5"/>
  <c r="R44" i="5"/>
  <c r="S34" i="5"/>
  <c r="R35" i="5"/>
  <c r="AG45" i="5"/>
  <c r="S39" i="5"/>
  <c r="AG28" i="5"/>
  <c r="R45" i="5"/>
  <c r="S20" i="5"/>
  <c r="AG26" i="5"/>
  <c r="S21" i="5"/>
  <c r="S38" i="5"/>
  <c r="AG20" i="5"/>
  <c r="R26" i="5"/>
  <c r="R38" i="5"/>
  <c r="S45" i="5"/>
  <c r="R20" i="5"/>
  <c r="R19" i="5"/>
  <c r="R39" i="5"/>
  <c r="S28" i="5"/>
  <c r="R42" i="5"/>
  <c r="S46" i="5"/>
  <c r="R31" i="5"/>
  <c r="AG49" i="5"/>
  <c r="S41" i="5"/>
  <c r="AG50" i="5"/>
  <c r="S27" i="5"/>
  <c r="R37" i="5"/>
  <c r="AG18" i="5"/>
  <c r="S48" i="5"/>
  <c r="S23" i="5"/>
  <c r="AG29" i="5"/>
  <c r="S44" i="5"/>
  <c r="R34" i="5"/>
  <c r="AG35" i="5"/>
  <c r="S49" i="5"/>
  <c r="S50" i="5"/>
  <c r="S31" i="5"/>
  <c r="S40" i="5"/>
  <c r="R29" i="5"/>
  <c r="R25" i="5"/>
  <c r="AG34" i="5"/>
  <c r="S26" i="5"/>
  <c r="AG21" i="5"/>
  <c r="S29" i="5"/>
  <c r="R49" i="5"/>
  <c r="R18" i="5"/>
  <c r="AG44" i="5"/>
  <c r="AG36" i="5"/>
  <c r="G25" i="6" l="1"/>
  <c r="G24" i="6"/>
  <c r="G29" i="6"/>
  <c r="G28" i="6"/>
  <c r="U49" i="5"/>
  <c r="U21" i="5"/>
  <c r="G42" i="6"/>
  <c r="G35" i="6"/>
  <c r="G26" i="6"/>
  <c r="U32" i="5"/>
  <c r="U34" i="5"/>
  <c r="U27" i="5"/>
  <c r="AN27" i="5" s="1"/>
  <c r="G45" i="6"/>
  <c r="U36" i="5"/>
  <c r="U41" i="5"/>
  <c r="AN41" i="5" s="1"/>
  <c r="G46" i="6"/>
  <c r="G40" i="6"/>
  <c r="G19" i="6"/>
  <c r="G32" i="6"/>
  <c r="G31" i="6"/>
  <c r="U20" i="5"/>
  <c r="W20" i="5" s="1"/>
  <c r="X20" i="5" s="1"/>
  <c r="G30" i="6"/>
  <c r="U44" i="5"/>
  <c r="G50" i="6"/>
  <c r="G38" i="6"/>
  <c r="U46" i="5"/>
  <c r="AN46" i="5" s="1"/>
  <c r="U23" i="5"/>
  <c r="AN23" i="5" s="1"/>
  <c r="G49" i="6"/>
  <c r="G21" i="6"/>
  <c r="U39" i="5"/>
  <c r="AN39" i="5" s="1"/>
  <c r="U35" i="5"/>
  <c r="W35" i="5" s="1"/>
  <c r="X35" i="5" s="1"/>
  <c r="U26" i="5"/>
  <c r="W26" i="5" s="1"/>
  <c r="X26" i="5" s="1"/>
  <c r="G37" i="6"/>
  <c r="G20" i="6"/>
  <c r="U48" i="5"/>
  <c r="W48" i="5" s="1"/>
  <c r="X48" i="5" s="1"/>
  <c r="G44" i="6"/>
  <c r="U29" i="5"/>
  <c r="U28" i="5"/>
  <c r="G23" i="6"/>
  <c r="G39" i="6"/>
  <c r="G18" i="6"/>
  <c r="U37" i="5"/>
  <c r="W37" i="5" s="1"/>
  <c r="X37" i="5" s="1"/>
  <c r="G48" i="6"/>
  <c r="U45" i="5"/>
  <c r="AN45" i="5" s="1"/>
  <c r="U42" i="5"/>
  <c r="U18" i="5"/>
  <c r="U19" i="5"/>
  <c r="W19" i="5" s="1"/>
  <c r="X19" i="5" s="1"/>
  <c r="U31" i="5"/>
  <c r="AN31" i="5" s="1"/>
  <c r="G34" i="6"/>
  <c r="U30" i="5"/>
  <c r="G27" i="6"/>
  <c r="U25" i="5"/>
  <c r="W25" i="5" s="1"/>
  <c r="X25" i="5" s="1"/>
  <c r="U24" i="5"/>
  <c r="U50" i="5"/>
  <c r="G36" i="6"/>
  <c r="U38" i="5"/>
  <c r="W38" i="5" s="1"/>
  <c r="X38" i="5" s="1"/>
  <c r="G41" i="6"/>
  <c r="U40" i="5"/>
  <c r="W46" i="5"/>
  <c r="X46" i="5" s="1"/>
  <c r="E40" i="12"/>
  <c r="F40" i="6"/>
  <c r="AN21" i="5"/>
  <c r="W21" i="5"/>
  <c r="X21" i="5" s="1"/>
  <c r="F19" i="6"/>
  <c r="E19" i="12"/>
  <c r="W32" i="5"/>
  <c r="X32" i="5" s="1"/>
  <c r="AN32" i="5"/>
  <c r="E31" i="12"/>
  <c r="F31" i="6"/>
  <c r="AN34" i="5"/>
  <c r="W34" i="5"/>
  <c r="X34" i="5" s="1"/>
  <c r="E20" i="12"/>
  <c r="F20" i="6"/>
  <c r="F30" i="6"/>
  <c r="E30" i="12"/>
  <c r="W27" i="5"/>
  <c r="X27" i="5" s="1"/>
  <c r="E25" i="12"/>
  <c r="F25" i="6"/>
  <c r="E24" i="12"/>
  <c r="F24" i="6"/>
  <c r="W36" i="5"/>
  <c r="X36" i="5" s="1"/>
  <c r="AN36" i="5"/>
  <c r="F29" i="6"/>
  <c r="E29" i="12"/>
  <c r="F38" i="6"/>
  <c r="E38" i="12"/>
  <c r="AC14" i="5"/>
  <c r="E14" i="12"/>
  <c r="F14" i="6"/>
  <c r="F49" i="6"/>
  <c r="E49" i="12"/>
  <c r="E42" i="12"/>
  <c r="F42" i="6"/>
  <c r="W23" i="5"/>
  <c r="X23" i="5" s="1"/>
  <c r="AN49" i="5"/>
  <c r="W49" i="5"/>
  <c r="X49" i="5" s="1"/>
  <c r="F39" i="6"/>
  <c r="E39" i="12"/>
  <c r="W39" i="5"/>
  <c r="X39" i="5" s="1"/>
  <c r="F18" i="6"/>
  <c r="E18" i="12"/>
  <c r="AN35" i="5"/>
  <c r="F32" i="6"/>
  <c r="E32" i="12"/>
  <c r="F34" i="6"/>
  <c r="E34" i="12"/>
  <c r="E27" i="12"/>
  <c r="F27" i="6"/>
  <c r="F45" i="6"/>
  <c r="E45" i="12"/>
  <c r="F50" i="6"/>
  <c r="E50" i="12"/>
  <c r="F36" i="6"/>
  <c r="E36" i="12"/>
  <c r="AN29" i="5"/>
  <c r="W29" i="5"/>
  <c r="X29" i="5" s="1"/>
  <c r="W28" i="5"/>
  <c r="X28" i="5" s="1"/>
  <c r="AN28" i="5"/>
  <c r="E41" i="12"/>
  <c r="F41" i="6"/>
  <c r="F46" i="6"/>
  <c r="E46" i="12"/>
  <c r="F26" i="6"/>
  <c r="E26" i="12"/>
  <c r="W44" i="5"/>
  <c r="X44" i="5" s="1"/>
  <c r="AN44" i="5"/>
  <c r="E21" i="12"/>
  <c r="F21" i="6"/>
  <c r="AN42" i="5"/>
  <c r="W42" i="5"/>
  <c r="X42" i="5" s="1"/>
  <c r="W18" i="5"/>
  <c r="X18" i="5" s="1"/>
  <c r="AN18" i="5"/>
  <c r="E35" i="12"/>
  <c r="F35" i="6"/>
  <c r="AN19" i="5"/>
  <c r="F37" i="6"/>
  <c r="E37" i="12"/>
  <c r="W30" i="5"/>
  <c r="X30" i="5" s="1"/>
  <c r="AN30" i="5"/>
  <c r="E48" i="12"/>
  <c r="F48" i="6"/>
  <c r="F44" i="6"/>
  <c r="E44" i="12"/>
  <c r="W24" i="5"/>
  <c r="X24" i="5" s="1"/>
  <c r="AN24" i="5"/>
  <c r="AN50" i="5"/>
  <c r="W50" i="5"/>
  <c r="X50" i="5" s="1"/>
  <c r="E28" i="12"/>
  <c r="F28" i="6"/>
  <c r="AN40" i="5"/>
  <c r="W40" i="5"/>
  <c r="X40" i="5" s="1"/>
  <c r="E23" i="12"/>
  <c r="F23" i="6"/>
  <c r="AC34" i="5" l="1"/>
  <c r="AC32" i="5"/>
  <c r="AC21" i="5"/>
  <c r="AN25" i="5"/>
  <c r="AC25" i="5" s="1"/>
  <c r="W45" i="5"/>
  <c r="X45" i="5" s="1"/>
  <c r="AC45" i="5" s="1"/>
  <c r="AN26" i="5"/>
  <c r="AC26" i="5" s="1"/>
  <c r="AN38" i="5"/>
  <c r="W31" i="5"/>
  <c r="X31" i="5" s="1"/>
  <c r="AC31" i="6" s="1"/>
  <c r="AN48" i="5"/>
  <c r="AC44" i="5"/>
  <c r="AN37" i="5"/>
  <c r="AC37" i="5" s="1"/>
  <c r="W41" i="5"/>
  <c r="X41" i="5" s="1"/>
  <c r="AC41" i="5" s="1"/>
  <c r="AN20" i="5"/>
  <c r="AC20" i="5" s="1"/>
  <c r="AC48" i="5"/>
  <c r="AC35" i="5"/>
  <c r="AC49" i="5"/>
  <c r="AC18" i="5"/>
  <c r="AC38" i="5"/>
  <c r="AC24" i="5"/>
  <c r="AC46" i="5"/>
  <c r="AC50" i="5"/>
  <c r="AC29" i="5"/>
  <c r="AC28" i="5"/>
  <c r="L40" i="5"/>
  <c r="Z40" i="5"/>
  <c r="AB40" i="6"/>
  <c r="AC40" i="6"/>
  <c r="AM40" i="5"/>
  <c r="I40" i="12"/>
  <c r="Z34" i="5"/>
  <c r="AM34" i="5"/>
  <c r="I34" i="5"/>
  <c r="I35" i="5" s="1"/>
  <c r="I36" i="5" s="1"/>
  <c r="I37" i="5" s="1"/>
  <c r="I38" i="5" s="1"/>
  <c r="I39" i="5" s="1"/>
  <c r="I40" i="5" s="1"/>
  <c r="I34" i="12"/>
  <c r="AB34" i="6"/>
  <c r="L34" i="5"/>
  <c r="AC34" i="6"/>
  <c r="L30" i="5"/>
  <c r="Z30" i="5"/>
  <c r="AM30" i="5"/>
  <c r="I30" i="12"/>
  <c r="AB30" i="6"/>
  <c r="AC30" i="6"/>
  <c r="AC35" i="6"/>
  <c r="I35" i="12"/>
  <c r="Z35" i="5"/>
  <c r="AM35" i="5"/>
  <c r="L35" i="5"/>
  <c r="AB35" i="6"/>
  <c r="L39" i="5"/>
  <c r="AB39" i="6"/>
  <c r="Z39" i="5"/>
  <c r="AM39" i="5"/>
  <c r="I39" i="12"/>
  <c r="AC39" i="6"/>
  <c r="AC37" i="6"/>
  <c r="I37" i="12"/>
  <c r="AM37" i="5"/>
  <c r="AB37" i="6"/>
  <c r="Z37" i="5"/>
  <c r="L37" i="5"/>
  <c r="L27" i="5"/>
  <c r="AM27" i="5"/>
  <c r="I27" i="12"/>
  <c r="AB27" i="6"/>
  <c r="Z27" i="5"/>
  <c r="AC27" i="6"/>
  <c r="Z36" i="5"/>
  <c r="AM36" i="5"/>
  <c r="AC36" i="6"/>
  <c r="AB36" i="6"/>
  <c r="L36" i="5"/>
  <c r="I36" i="12"/>
  <c r="L42" i="5"/>
  <c r="C42" i="6" s="1"/>
  <c r="Z42" i="5"/>
  <c r="AC42" i="6"/>
  <c r="I42" i="12"/>
  <c r="AB42" i="6"/>
  <c r="AM42" i="5"/>
  <c r="AC24" i="6"/>
  <c r="Z24" i="5"/>
  <c r="AB24" i="6"/>
  <c r="AM24" i="5"/>
  <c r="L24" i="5"/>
  <c r="I24" i="12"/>
  <c r="AC28" i="6"/>
  <c r="I28" i="12"/>
  <c r="AM28" i="5"/>
  <c r="Z28" i="5"/>
  <c r="L28" i="5"/>
  <c r="AB28" i="6"/>
  <c r="AB49" i="6"/>
  <c r="AM49" i="5"/>
  <c r="L49" i="5"/>
  <c r="I49" i="12"/>
  <c r="Z49" i="5"/>
  <c r="AC49" i="6"/>
  <c r="AC45" i="6"/>
  <c r="I45" i="12"/>
  <c r="Z45" i="5"/>
  <c r="L45" i="5"/>
  <c r="AM45" i="5"/>
  <c r="AB45" i="6"/>
  <c r="AC42" i="5"/>
  <c r="AC30" i="5"/>
  <c r="L32" i="5"/>
  <c r="C32" i="6" s="1"/>
  <c r="I32" i="12"/>
  <c r="AB32" i="6"/>
  <c r="AM32" i="5"/>
  <c r="Z32" i="5"/>
  <c r="AC32" i="6"/>
  <c r="AC21" i="6"/>
  <c r="Z21" i="5"/>
  <c r="AM21" i="5"/>
  <c r="AB21" i="6"/>
  <c r="I21" i="12"/>
  <c r="L21" i="5"/>
  <c r="AM20" i="5"/>
  <c r="AB20" i="6"/>
  <c r="L20" i="5"/>
  <c r="I20" i="12"/>
  <c r="Z20" i="5"/>
  <c r="AC20" i="6"/>
  <c r="AB18" i="6"/>
  <c r="L18" i="5"/>
  <c r="AM18" i="5"/>
  <c r="AC18" i="6"/>
  <c r="I18" i="12"/>
  <c r="I18" i="5"/>
  <c r="I19" i="5" s="1"/>
  <c r="I20" i="5" s="1"/>
  <c r="I21" i="5" s="1"/>
  <c r="Z18" i="5"/>
  <c r="X17" i="5"/>
  <c r="AM23" i="5"/>
  <c r="L23" i="5"/>
  <c r="Z23" i="5"/>
  <c r="I23" i="5"/>
  <c r="I24" i="5" s="1"/>
  <c r="I25" i="5" s="1"/>
  <c r="I26" i="5" s="1"/>
  <c r="I27" i="5" s="1"/>
  <c r="I28" i="5" s="1"/>
  <c r="I29" i="5" s="1"/>
  <c r="I30" i="5" s="1"/>
  <c r="AC23" i="6"/>
  <c r="I23" i="12"/>
  <c r="AB23" i="6"/>
  <c r="AC40" i="5"/>
  <c r="AC23" i="5"/>
  <c r="AB25" i="6"/>
  <c r="AM25" i="5"/>
  <c r="Z25" i="5"/>
  <c r="I25" i="12"/>
  <c r="L25" i="5"/>
  <c r="AC25" i="6"/>
  <c r="L31" i="5"/>
  <c r="I31" i="12"/>
  <c r="AC36" i="5"/>
  <c r="I38" i="12"/>
  <c r="L38" i="5"/>
  <c r="AC38" i="6"/>
  <c r="Z38" i="5"/>
  <c r="AB38" i="6"/>
  <c r="AM38" i="5"/>
  <c r="Z50" i="5"/>
  <c r="L50" i="5"/>
  <c r="C50" i="6" s="1"/>
  <c r="AM50" i="5"/>
  <c r="AB50" i="6"/>
  <c r="I50" i="12"/>
  <c r="AC50" i="6"/>
  <c r="Z19" i="5"/>
  <c r="AB19" i="6"/>
  <c r="I19" i="12"/>
  <c r="AC19" i="6"/>
  <c r="L19" i="5"/>
  <c r="AM19" i="5"/>
  <c r="Z44" i="5"/>
  <c r="L44" i="5"/>
  <c r="AC44" i="6"/>
  <c r="I44" i="5"/>
  <c r="I45" i="5" s="1"/>
  <c r="I44" i="12"/>
  <c r="AM44" i="5"/>
  <c r="AB44" i="6"/>
  <c r="X43" i="5"/>
  <c r="L29" i="5"/>
  <c r="AC29" i="6"/>
  <c r="AB29" i="6"/>
  <c r="Z29" i="5"/>
  <c r="I29" i="12"/>
  <c r="AM29" i="5"/>
  <c r="AC27" i="5"/>
  <c r="Z48" i="5"/>
  <c r="AM48" i="5"/>
  <c r="I48" i="12"/>
  <c r="AB48" i="6"/>
  <c r="AC48" i="6"/>
  <c r="U31" i="8" s="1"/>
  <c r="L48" i="5"/>
  <c r="I48" i="5"/>
  <c r="I49" i="5" s="1"/>
  <c r="I50" i="5" s="1"/>
  <c r="O50" i="5" s="1"/>
  <c r="X47" i="5"/>
  <c r="AB26" i="6"/>
  <c r="AM26" i="5"/>
  <c r="Z26" i="5"/>
  <c r="I26" i="12"/>
  <c r="L26" i="5"/>
  <c r="AC26" i="6"/>
  <c r="AC39" i="5"/>
  <c r="AB41" i="6"/>
  <c r="AC41" i="6"/>
  <c r="L41" i="5"/>
  <c r="C41" i="6" s="1"/>
  <c r="Z41" i="5"/>
  <c r="AM41" i="5"/>
  <c r="I41" i="12"/>
  <c r="AC19" i="5"/>
  <c r="AM46" i="5"/>
  <c r="Z46" i="5"/>
  <c r="I46" i="5"/>
  <c r="AC46" i="6"/>
  <c r="AB46" i="6"/>
  <c r="L46" i="5"/>
  <c r="C46" i="6" s="1"/>
  <c r="I46" i="12"/>
  <c r="Z31" i="5" l="1"/>
  <c r="AM31" i="5"/>
  <c r="X15" i="5"/>
  <c r="AC31" i="5"/>
  <c r="AB31" i="6"/>
  <c r="X22" i="5"/>
  <c r="I31" i="5"/>
  <c r="I32" i="5" s="1"/>
  <c r="X16" i="5"/>
  <c r="Z16" i="5" s="1"/>
  <c r="I41" i="5"/>
  <c r="X33" i="5"/>
  <c r="U28" i="8"/>
  <c r="O32" i="5"/>
  <c r="D32" i="12" s="1"/>
  <c r="O41" i="5"/>
  <c r="I42" i="5"/>
  <c r="O42" i="5" s="1"/>
  <c r="C26" i="6"/>
  <c r="O26" i="5"/>
  <c r="C29" i="6"/>
  <c r="O29" i="5"/>
  <c r="O18" i="5"/>
  <c r="C18" i="6"/>
  <c r="C49" i="12"/>
  <c r="M49" i="12"/>
  <c r="O49" i="12"/>
  <c r="AO49" i="12"/>
  <c r="C24" i="6"/>
  <c r="O24" i="5"/>
  <c r="AB41" i="5"/>
  <c r="AO26" i="12"/>
  <c r="M26" i="12"/>
  <c r="C26" i="12"/>
  <c r="O26" i="12"/>
  <c r="I47" i="12"/>
  <c r="AC47" i="5"/>
  <c r="L47" i="5"/>
  <c r="AM47" i="5"/>
  <c r="Z47" i="5"/>
  <c r="R29" i="8"/>
  <c r="T31" i="8"/>
  <c r="D31" i="8"/>
  <c r="AB29" i="5"/>
  <c r="I43" i="12"/>
  <c r="AM43" i="5"/>
  <c r="L43" i="5"/>
  <c r="R26" i="8"/>
  <c r="Z43" i="5"/>
  <c r="AC43" i="5"/>
  <c r="C19" i="12"/>
  <c r="O19" i="12"/>
  <c r="M19" i="12"/>
  <c r="AO19" i="12"/>
  <c r="AB38" i="5"/>
  <c r="AM22" i="5"/>
  <c r="R20" i="8"/>
  <c r="I22" i="12"/>
  <c r="Z22" i="5"/>
  <c r="L22" i="5"/>
  <c r="AC22" i="5"/>
  <c r="O14" i="11"/>
  <c r="AC16" i="5"/>
  <c r="AO18" i="12"/>
  <c r="O18" i="12"/>
  <c r="M18" i="12"/>
  <c r="C18" i="12"/>
  <c r="D19" i="8"/>
  <c r="T19" i="8"/>
  <c r="C20" i="12"/>
  <c r="O20" i="12"/>
  <c r="AO20" i="12"/>
  <c r="M20" i="12"/>
  <c r="O21" i="5"/>
  <c r="C21" i="6"/>
  <c r="AB21" i="5"/>
  <c r="AB32" i="5"/>
  <c r="C49" i="6"/>
  <c r="O49" i="5"/>
  <c r="AO28" i="12"/>
  <c r="C28" i="12"/>
  <c r="M28" i="12"/>
  <c r="O28" i="12"/>
  <c r="AO42" i="12"/>
  <c r="M42" i="12"/>
  <c r="O42" i="12"/>
  <c r="C42" i="12"/>
  <c r="Y29" i="10"/>
  <c r="I29" i="10"/>
  <c r="W29" i="10"/>
  <c r="AM15" i="5"/>
  <c r="AC29" i="10"/>
  <c r="AA29" i="10"/>
  <c r="S29" i="10"/>
  <c r="AE29" i="10"/>
  <c r="Q29" i="10"/>
  <c r="U29" i="10"/>
  <c r="K29" i="10"/>
  <c r="Z15" i="5"/>
  <c r="O29" i="10"/>
  <c r="M29" i="10"/>
  <c r="AB39" i="5"/>
  <c r="O35" i="5"/>
  <c r="C35" i="6"/>
  <c r="O30" i="12"/>
  <c r="AO30" i="12"/>
  <c r="M30" i="12"/>
  <c r="C30" i="12"/>
  <c r="L33" i="5"/>
  <c r="AM33" i="5"/>
  <c r="R23" i="8"/>
  <c r="I33" i="12"/>
  <c r="Z33" i="5"/>
  <c r="AC33" i="5"/>
  <c r="M34" i="12"/>
  <c r="AO34" i="12"/>
  <c r="O34" i="12"/>
  <c r="C34" i="12"/>
  <c r="O40" i="12"/>
  <c r="C40" i="12"/>
  <c r="M40" i="12"/>
  <c r="AO40" i="12"/>
  <c r="AB40" i="5"/>
  <c r="AB48" i="5"/>
  <c r="AB44" i="5"/>
  <c r="AB31" i="5"/>
  <c r="AB25" i="5"/>
  <c r="C32" i="12"/>
  <c r="M32" i="12"/>
  <c r="AO32" i="12"/>
  <c r="O32" i="12"/>
  <c r="AO45" i="12"/>
  <c r="C45" i="12"/>
  <c r="O45" i="12"/>
  <c r="M45" i="12"/>
  <c r="AB24" i="5"/>
  <c r="C27" i="12"/>
  <c r="M27" i="12"/>
  <c r="O27" i="12"/>
  <c r="AO27" i="12"/>
  <c r="C30" i="6"/>
  <c r="O30" i="5"/>
  <c r="AO46" i="12"/>
  <c r="C46" i="12"/>
  <c r="M46" i="12"/>
  <c r="O46" i="12"/>
  <c r="O46" i="5"/>
  <c r="AB26" i="5"/>
  <c r="C48" i="12"/>
  <c r="O48" i="12"/>
  <c r="M48" i="12"/>
  <c r="AO48" i="12"/>
  <c r="T28" i="8"/>
  <c r="D28" i="8"/>
  <c r="C19" i="6"/>
  <c r="O19" i="5"/>
  <c r="O50" i="12"/>
  <c r="C50" i="12"/>
  <c r="AO50" i="12"/>
  <c r="M50" i="12"/>
  <c r="AB50" i="5"/>
  <c r="C25" i="6"/>
  <c r="O25" i="5"/>
  <c r="T22" i="8"/>
  <c r="D22" i="8"/>
  <c r="D20" i="8" s="1"/>
  <c r="AB23" i="5"/>
  <c r="R17" i="8"/>
  <c r="L17" i="5"/>
  <c r="AM17" i="5"/>
  <c r="I17" i="12"/>
  <c r="Z17" i="5"/>
  <c r="AC17" i="5"/>
  <c r="U19" i="8"/>
  <c r="C20" i="6"/>
  <c r="O20" i="5"/>
  <c r="C21" i="12"/>
  <c r="AO21" i="12"/>
  <c r="M21" i="12"/>
  <c r="M17" i="12" s="1"/>
  <c r="O21" i="12"/>
  <c r="C45" i="6"/>
  <c r="O45" i="5"/>
  <c r="C28" i="6"/>
  <c r="O28" i="5"/>
  <c r="AC15" i="6"/>
  <c r="R15" i="6" s="1"/>
  <c r="M36" i="12"/>
  <c r="AO36" i="12"/>
  <c r="C36" i="12"/>
  <c r="O36" i="12"/>
  <c r="AB27" i="5"/>
  <c r="C27" i="6"/>
  <c r="O27" i="5"/>
  <c r="AO39" i="12"/>
  <c r="C39" i="12"/>
  <c r="O39" i="12"/>
  <c r="M39" i="12"/>
  <c r="U25" i="8"/>
  <c r="U29" i="8"/>
  <c r="O29" i="12"/>
  <c r="M29" i="12"/>
  <c r="AO29" i="12"/>
  <c r="C29" i="12"/>
  <c r="M44" i="12"/>
  <c r="O44" i="12"/>
  <c r="AO44" i="12"/>
  <c r="C44" i="12"/>
  <c r="D50" i="12"/>
  <c r="E50" i="6"/>
  <c r="C38" i="12"/>
  <c r="AO38" i="12"/>
  <c r="O38" i="12"/>
  <c r="M38" i="12"/>
  <c r="AB15" i="6"/>
  <c r="Q15" i="6" s="1"/>
  <c r="AB37" i="5"/>
  <c r="C35" i="12"/>
  <c r="M35" i="12"/>
  <c r="AO35" i="12"/>
  <c r="O35" i="12"/>
  <c r="T25" i="8"/>
  <c r="D25" i="8"/>
  <c r="AB34" i="5"/>
  <c r="AB46" i="5"/>
  <c r="AO41" i="12"/>
  <c r="M41" i="12"/>
  <c r="C41" i="12"/>
  <c r="O41" i="12"/>
  <c r="C48" i="6"/>
  <c r="O48" i="5"/>
  <c r="O44" i="5"/>
  <c r="C44" i="6"/>
  <c r="AB19" i="5"/>
  <c r="C38" i="6"/>
  <c r="O38" i="5"/>
  <c r="O31" i="12"/>
  <c r="AO31" i="12"/>
  <c r="C31" i="12"/>
  <c r="M31" i="12"/>
  <c r="C31" i="6"/>
  <c r="O31" i="5"/>
  <c r="C25" i="12"/>
  <c r="M25" i="12"/>
  <c r="AO25" i="12"/>
  <c r="O25" i="12"/>
  <c r="AO23" i="12"/>
  <c r="C23" i="12"/>
  <c r="O23" i="12"/>
  <c r="M23" i="12"/>
  <c r="O23" i="5"/>
  <c r="C23" i="6"/>
  <c r="AB18" i="5"/>
  <c r="AB20" i="5"/>
  <c r="AB45" i="5"/>
  <c r="AB49" i="5"/>
  <c r="AB28" i="5"/>
  <c r="AO24" i="12"/>
  <c r="C24" i="12"/>
  <c r="M24" i="12"/>
  <c r="O24" i="12"/>
  <c r="AB42" i="5"/>
  <c r="O36" i="5"/>
  <c r="C36" i="6"/>
  <c r="AB36" i="5"/>
  <c r="O37" i="5"/>
  <c r="C37" i="6"/>
  <c r="M37" i="12"/>
  <c r="C37" i="12"/>
  <c r="AO37" i="12"/>
  <c r="O37" i="12"/>
  <c r="C39" i="6"/>
  <c r="O39" i="5"/>
  <c r="AB35" i="5"/>
  <c r="AB30" i="5"/>
  <c r="C34" i="6"/>
  <c r="O34" i="5"/>
  <c r="C40" i="6"/>
  <c r="O40" i="5"/>
  <c r="L16" i="5" l="1"/>
  <c r="O16" i="5" s="1"/>
  <c r="R14" i="8"/>
  <c r="I16" i="12"/>
  <c r="AM16" i="5"/>
  <c r="N45" i="12"/>
  <c r="Y32" i="12"/>
  <c r="Y20" i="12"/>
  <c r="Y49" i="12"/>
  <c r="X49" i="12" s="1"/>
  <c r="E32" i="6"/>
  <c r="N36" i="12"/>
  <c r="N32" i="12"/>
  <c r="N28" i="12"/>
  <c r="Y24" i="12"/>
  <c r="W24" i="12" s="1"/>
  <c r="N44" i="12"/>
  <c r="N25" i="12"/>
  <c r="N35" i="12"/>
  <c r="N20" i="12"/>
  <c r="N31" i="12"/>
  <c r="Y41" i="12"/>
  <c r="T20" i="8"/>
  <c r="Y35" i="12"/>
  <c r="W35" i="12" s="1"/>
  <c r="Y38" i="12"/>
  <c r="X38" i="12" s="1"/>
  <c r="Y36" i="12"/>
  <c r="X36" i="12" s="1"/>
  <c r="N40" i="12"/>
  <c r="M33" i="12"/>
  <c r="Y42" i="12"/>
  <c r="Y28" i="12"/>
  <c r="W28" i="12" s="1"/>
  <c r="N19" i="12"/>
  <c r="Y37" i="12"/>
  <c r="W37" i="12" s="1"/>
  <c r="Y25" i="12"/>
  <c r="AB33" i="5"/>
  <c r="O28" i="10"/>
  <c r="O27" i="10"/>
  <c r="O26" i="10" s="1"/>
  <c r="Y27" i="10"/>
  <c r="Y26" i="10" s="1"/>
  <c r="Y28" i="10"/>
  <c r="M16" i="12"/>
  <c r="C16" i="6"/>
  <c r="G15" i="8"/>
  <c r="F14" i="8"/>
  <c r="F15" i="8"/>
  <c r="Q33" i="8"/>
  <c r="H33" i="8" s="1"/>
  <c r="G14" i="8"/>
  <c r="I15" i="8" s="1"/>
  <c r="U26" i="8"/>
  <c r="AD26" i="8"/>
  <c r="G27" i="8"/>
  <c r="Z26" i="8"/>
  <c r="AE26" i="8"/>
  <c r="AB26" i="8"/>
  <c r="Y26" i="8"/>
  <c r="G26" i="8"/>
  <c r="I27" i="8" s="1"/>
  <c r="F27" i="8"/>
  <c r="V26" i="8"/>
  <c r="AA26" i="8"/>
  <c r="AC26" i="8"/>
  <c r="X26" i="8"/>
  <c r="W26" i="8"/>
  <c r="F26" i="8"/>
  <c r="X29" i="8"/>
  <c r="Z29" i="8"/>
  <c r="AA29" i="8"/>
  <c r="F30" i="8"/>
  <c r="V29" i="8"/>
  <c r="AE29" i="8"/>
  <c r="AC29" i="8"/>
  <c r="G30" i="8"/>
  <c r="AB29" i="8"/>
  <c r="Y29" i="8"/>
  <c r="G29" i="8"/>
  <c r="I30" i="8" s="1"/>
  <c r="W29" i="8"/>
  <c r="F29" i="8"/>
  <c r="AD29" i="8"/>
  <c r="E24" i="6"/>
  <c r="D24" i="12"/>
  <c r="E29" i="6"/>
  <c r="D29" i="12"/>
  <c r="E40" i="6"/>
  <c r="D40" i="12"/>
  <c r="E39" i="6"/>
  <c r="D39" i="12"/>
  <c r="E38" i="6"/>
  <c r="D38" i="12"/>
  <c r="N41" i="12"/>
  <c r="D23" i="8"/>
  <c r="Y44" i="12"/>
  <c r="AO43" i="12"/>
  <c r="Y29" i="12"/>
  <c r="U23" i="8"/>
  <c r="Y39" i="12"/>
  <c r="D45" i="12"/>
  <c r="E45" i="6"/>
  <c r="Y21" i="12"/>
  <c r="U17" i="8"/>
  <c r="AB22" i="5"/>
  <c r="C20" i="8" s="1"/>
  <c r="Y50" i="12"/>
  <c r="M47" i="12"/>
  <c r="Y27" i="12"/>
  <c r="Y40" i="12"/>
  <c r="Y30" i="12"/>
  <c r="AE27" i="10"/>
  <c r="AE26" i="10" s="1"/>
  <c r="AE28" i="10"/>
  <c r="E49" i="6"/>
  <c r="D49" i="12"/>
  <c r="T17" i="8"/>
  <c r="N18" i="12"/>
  <c r="O17" i="12"/>
  <c r="N17" i="12" s="1"/>
  <c r="C16" i="12"/>
  <c r="J16" i="12"/>
  <c r="C22" i="12"/>
  <c r="J22" i="12"/>
  <c r="C43" i="6"/>
  <c r="O43" i="5"/>
  <c r="J47" i="12"/>
  <c r="C47" i="12"/>
  <c r="Y26" i="12"/>
  <c r="E37" i="6"/>
  <c r="D37" i="12"/>
  <c r="N23" i="12"/>
  <c r="O22" i="12"/>
  <c r="W38" i="12"/>
  <c r="W36" i="12"/>
  <c r="E19" i="6"/>
  <c r="D19" i="12"/>
  <c r="Y48" i="12"/>
  <c r="AO47" i="12"/>
  <c r="W32" i="12"/>
  <c r="X32" i="12"/>
  <c r="T23" i="8"/>
  <c r="AB23" i="8"/>
  <c r="F23" i="8"/>
  <c r="G24" i="8"/>
  <c r="V23" i="8"/>
  <c r="AE23" i="8"/>
  <c r="F24" i="8"/>
  <c r="C23" i="8"/>
  <c r="AA23" i="8"/>
  <c r="AC23" i="8"/>
  <c r="AD23" i="8"/>
  <c r="Z23" i="8"/>
  <c r="G23" i="8"/>
  <c r="I24" i="8" s="1"/>
  <c r="X23" i="8"/>
  <c r="W23" i="8"/>
  <c r="Y23" i="8"/>
  <c r="AC28" i="10"/>
  <c r="AC27" i="10"/>
  <c r="AC26" i="10" s="1"/>
  <c r="E21" i="6"/>
  <c r="D21" i="12"/>
  <c r="AB16" i="5"/>
  <c r="AB43" i="5"/>
  <c r="C26" i="8" s="1"/>
  <c r="D27" i="12"/>
  <c r="E27" i="6"/>
  <c r="C17" i="6"/>
  <c r="O17" i="5"/>
  <c r="D26" i="8"/>
  <c r="N48" i="12"/>
  <c r="O47" i="12"/>
  <c r="D46" i="12"/>
  <c r="E46" i="6"/>
  <c r="Y46" i="12"/>
  <c r="N27" i="12"/>
  <c r="Y45" i="12"/>
  <c r="AB47" i="5"/>
  <c r="C29" i="8" s="1"/>
  <c r="N34" i="12"/>
  <c r="O33" i="12"/>
  <c r="N33" i="12" s="1"/>
  <c r="C33" i="6"/>
  <c r="O33" i="5"/>
  <c r="N30" i="12"/>
  <c r="K27" i="10"/>
  <c r="K26" i="10" s="1"/>
  <c r="K28" i="10"/>
  <c r="S28" i="10"/>
  <c r="S27" i="10"/>
  <c r="S26" i="10" s="1"/>
  <c r="W27" i="10"/>
  <c r="W26" i="10" s="1"/>
  <c r="W28" i="10"/>
  <c r="O16" i="12"/>
  <c r="L16" i="12" s="1"/>
  <c r="N42" i="12"/>
  <c r="X20" i="12"/>
  <c r="W20" i="12"/>
  <c r="D17" i="8"/>
  <c r="Y18" i="12"/>
  <c r="AO17" i="12"/>
  <c r="AO16" i="12"/>
  <c r="AC20" i="8"/>
  <c r="G21" i="8"/>
  <c r="V20" i="8"/>
  <c r="AA20" i="8"/>
  <c r="Y20" i="8"/>
  <c r="AE20" i="8"/>
  <c r="F21" i="8"/>
  <c r="U20" i="8"/>
  <c r="AD20" i="8"/>
  <c r="AB20" i="8"/>
  <c r="W20" i="8"/>
  <c r="F20" i="8"/>
  <c r="G20" i="8"/>
  <c r="I21" i="8" s="1"/>
  <c r="X20" i="8"/>
  <c r="Z20" i="8"/>
  <c r="Y19" i="12"/>
  <c r="D29" i="8"/>
  <c r="N26" i="12"/>
  <c r="D26" i="12"/>
  <c r="E26" i="6"/>
  <c r="E42" i="6"/>
  <c r="D42" i="12"/>
  <c r="E36" i="6"/>
  <c r="D36" i="12"/>
  <c r="AB17" i="5"/>
  <c r="C17" i="8" s="1"/>
  <c r="AB15" i="5"/>
  <c r="W25" i="12"/>
  <c r="X25" i="12"/>
  <c r="X41" i="12"/>
  <c r="W41" i="12"/>
  <c r="J17" i="12"/>
  <c r="C17" i="12"/>
  <c r="L17" i="12"/>
  <c r="E25" i="6"/>
  <c r="D25" i="12"/>
  <c r="E35" i="6"/>
  <c r="D35" i="12"/>
  <c r="Q27" i="10"/>
  <c r="Q26" i="10" s="1"/>
  <c r="Q28" i="10"/>
  <c r="W42" i="12"/>
  <c r="X42" i="12"/>
  <c r="X24" i="12"/>
  <c r="E23" i="6"/>
  <c r="D23" i="12"/>
  <c r="Y23" i="12"/>
  <c r="AO22" i="12"/>
  <c r="D44" i="12"/>
  <c r="E44" i="6"/>
  <c r="D34" i="12"/>
  <c r="E34" i="6"/>
  <c r="N37" i="12"/>
  <c r="N24" i="12"/>
  <c r="M22" i="12"/>
  <c r="D31" i="12"/>
  <c r="E31" i="6"/>
  <c r="Y31" i="12"/>
  <c r="D48" i="12"/>
  <c r="E48" i="6"/>
  <c r="N38" i="12"/>
  <c r="M43" i="12"/>
  <c r="N29" i="12"/>
  <c r="N39" i="12"/>
  <c r="D28" i="12"/>
  <c r="E28" i="6"/>
  <c r="N21" i="12"/>
  <c r="D20" i="12"/>
  <c r="E20" i="6"/>
  <c r="W17" i="8"/>
  <c r="X17" i="8"/>
  <c r="F18" i="8"/>
  <c r="G17" i="8"/>
  <c r="I18" i="8" s="1"/>
  <c r="V17" i="8"/>
  <c r="AA17" i="8"/>
  <c r="AC17" i="8"/>
  <c r="G18" i="8"/>
  <c r="AD17" i="8"/>
  <c r="Y17" i="8"/>
  <c r="AB17" i="8"/>
  <c r="AE17" i="8"/>
  <c r="F17" i="8"/>
  <c r="Z17" i="8"/>
  <c r="T16" i="8"/>
  <c r="T42" i="8" s="1"/>
  <c r="D16" i="8"/>
  <c r="X16" i="8"/>
  <c r="X14" i="8" s="1"/>
  <c r="Y16" i="8"/>
  <c r="Y14" i="8" s="1"/>
  <c r="AC16" i="8"/>
  <c r="AC14" i="8" s="1"/>
  <c r="AE16" i="8"/>
  <c r="AE14" i="8" s="1"/>
  <c r="AD16" i="8"/>
  <c r="AD14" i="8" s="1"/>
  <c r="Z16" i="8"/>
  <c r="Z14" i="8" s="1"/>
  <c r="V16" i="8"/>
  <c r="V14" i="8" s="1"/>
  <c r="U16" i="8"/>
  <c r="U14" i="8" s="1"/>
  <c r="AB16" i="8"/>
  <c r="AB14" i="8" s="1"/>
  <c r="AA16" i="8"/>
  <c r="AA14" i="8" s="1"/>
  <c r="W16" i="8"/>
  <c r="W14" i="8" s="1"/>
  <c r="N50" i="12"/>
  <c r="T26" i="8"/>
  <c r="O43" i="12"/>
  <c r="N46" i="12"/>
  <c r="D30" i="12"/>
  <c r="E30" i="6"/>
  <c r="Y34" i="12"/>
  <c r="AO33" i="12"/>
  <c r="Y33" i="12" s="1"/>
  <c r="L33" i="12"/>
  <c r="C33" i="12"/>
  <c r="J33" i="12"/>
  <c r="M27" i="10"/>
  <c r="M26" i="10" s="1"/>
  <c r="M28" i="10"/>
  <c r="U28" i="10"/>
  <c r="U27" i="10"/>
  <c r="U26" i="10" s="1"/>
  <c r="AA27" i="10"/>
  <c r="AA26" i="10" s="1"/>
  <c r="AA28" i="10"/>
  <c r="I28" i="10"/>
  <c r="AE9" i="10" s="1"/>
  <c r="I27" i="10"/>
  <c r="I26" i="10" s="1"/>
  <c r="Y9" i="10" s="1"/>
  <c r="AC11" i="5"/>
  <c r="O24" i="11"/>
  <c r="W14" i="11"/>
  <c r="C14" i="11"/>
  <c r="L14" i="13"/>
  <c r="C22" i="6"/>
  <c r="O22" i="5"/>
  <c r="J43" i="12"/>
  <c r="L43" i="12"/>
  <c r="C43" i="12"/>
  <c r="T29" i="8"/>
  <c r="C47" i="6"/>
  <c r="O47" i="5"/>
  <c r="N49" i="12"/>
  <c r="D18" i="12"/>
  <c r="E18" i="6"/>
  <c r="E41" i="6"/>
  <c r="D41" i="12"/>
  <c r="X35" i="12" l="1"/>
  <c r="X28" i="12"/>
  <c r="Y22" i="12"/>
  <c r="W22" i="12" s="1"/>
  <c r="Y17" i="12"/>
  <c r="W17" i="12" s="1"/>
  <c r="W49" i="12"/>
  <c r="K43" i="12"/>
  <c r="X37" i="12"/>
  <c r="Y43" i="12"/>
  <c r="W43" i="12" s="1"/>
  <c r="K17" i="12"/>
  <c r="U42" i="8"/>
  <c r="H27" i="9"/>
  <c r="T38" i="8"/>
  <c r="H26" i="9" s="1"/>
  <c r="T37" i="8"/>
  <c r="AD14" i="13"/>
  <c r="S14" i="13" s="1"/>
  <c r="M27" i="13" s="1"/>
  <c r="P14" i="13"/>
  <c r="L28" i="13"/>
  <c r="D14" i="13"/>
  <c r="V14" i="13"/>
  <c r="V15" i="13" s="1"/>
  <c r="V16" i="13" s="1"/>
  <c r="V17" i="13" s="1"/>
  <c r="V18" i="13" s="1"/>
  <c r="V19" i="13" s="1"/>
  <c r="V20" i="13" s="1"/>
  <c r="V21" i="13" s="1"/>
  <c r="V22" i="13" s="1"/>
  <c r="V23" i="13" s="1"/>
  <c r="X33" i="12"/>
  <c r="W33" i="12"/>
  <c r="D14" i="8"/>
  <c r="D41" i="8" a="1"/>
  <c r="D41" i="8" s="1"/>
  <c r="D36" i="8" s="1"/>
  <c r="U42" i="12"/>
  <c r="V42" i="12"/>
  <c r="T42" i="12"/>
  <c r="L47" i="12"/>
  <c r="K47" i="12" s="1"/>
  <c r="N47" i="12"/>
  <c r="W40" i="12"/>
  <c r="X40" i="12"/>
  <c r="W29" i="12"/>
  <c r="X29" i="12"/>
  <c r="H14" i="8"/>
  <c r="D16" i="12"/>
  <c r="E16" i="6"/>
  <c r="T28" i="12"/>
  <c r="U28" i="12"/>
  <c r="V28" i="12"/>
  <c r="H29" i="8"/>
  <c r="D47" i="12"/>
  <c r="E47" i="6"/>
  <c r="W18" i="12"/>
  <c r="X18" i="12"/>
  <c r="H26" i="8"/>
  <c r="E43" i="6"/>
  <c r="D43" i="12"/>
  <c r="X43" i="12"/>
  <c r="D42" i="8"/>
  <c r="X23" i="12"/>
  <c r="W23" i="12"/>
  <c r="U24" i="12"/>
  <c r="V24" i="12"/>
  <c r="T24" i="12"/>
  <c r="V25" i="12"/>
  <c r="T25" i="12"/>
  <c r="U25" i="12"/>
  <c r="H23" i="8"/>
  <c r="D33" i="12"/>
  <c r="E33" i="6"/>
  <c r="T32" i="12"/>
  <c r="V32" i="12"/>
  <c r="U32" i="12"/>
  <c r="U38" i="12"/>
  <c r="T38" i="12"/>
  <c r="V38" i="12"/>
  <c r="L22" i="12"/>
  <c r="K22" i="12" s="1"/>
  <c r="N22" i="12"/>
  <c r="W26" i="12"/>
  <c r="X26" i="12"/>
  <c r="K16" i="12"/>
  <c r="X27" i="12"/>
  <c r="W27" i="12"/>
  <c r="X39" i="12"/>
  <c r="W39" i="12"/>
  <c r="X44" i="12"/>
  <c r="W44" i="12"/>
  <c r="N16" i="12"/>
  <c r="V37" i="12"/>
  <c r="U37" i="12"/>
  <c r="T37" i="12"/>
  <c r="X31" i="12"/>
  <c r="W31" i="12"/>
  <c r="AB14" i="11"/>
  <c r="AG14" i="13"/>
  <c r="U14" i="13" s="1"/>
  <c r="AD4" i="13" s="1"/>
  <c r="X48" i="12"/>
  <c r="W48" i="12"/>
  <c r="T35" i="12"/>
  <c r="V35" i="12"/>
  <c r="U35" i="12"/>
  <c r="W50" i="12"/>
  <c r="X50" i="12"/>
  <c r="X34" i="12"/>
  <c r="W34" i="12"/>
  <c r="T41" i="8" a="1"/>
  <c r="T41" i="8" s="1"/>
  <c r="T14" i="8"/>
  <c r="X46" i="12"/>
  <c r="W46" i="12"/>
  <c r="T36" i="12"/>
  <c r="U36" i="12"/>
  <c r="V36" i="12"/>
  <c r="H20" i="8"/>
  <c r="D22" i="12"/>
  <c r="E22" i="6"/>
  <c r="O25" i="11"/>
  <c r="AA7" i="11"/>
  <c r="K33" i="12"/>
  <c r="N43" i="12"/>
  <c r="V41" i="12"/>
  <c r="U41" i="12"/>
  <c r="T41" i="12"/>
  <c r="U49" i="12"/>
  <c r="T49" i="12"/>
  <c r="V49" i="12"/>
  <c r="W19" i="12"/>
  <c r="X19" i="12"/>
  <c r="Y16" i="12"/>
  <c r="T20" i="12"/>
  <c r="V20" i="12"/>
  <c r="U20" i="12"/>
  <c r="X45" i="12"/>
  <c r="W45" i="12"/>
  <c r="D17" i="12"/>
  <c r="H17" i="8"/>
  <c r="E17" i="6"/>
  <c r="Y47" i="12"/>
  <c r="X30" i="12"/>
  <c r="W30" i="12"/>
  <c r="X21" i="12"/>
  <c r="W21" i="12"/>
  <c r="X17" i="12" l="1"/>
  <c r="X22" i="12"/>
  <c r="AE4" i="13"/>
  <c r="U30" i="12"/>
  <c r="T30" i="12"/>
  <c r="V30" i="12"/>
  <c r="N14" i="11"/>
  <c r="N24" i="11" s="1"/>
  <c r="AB24" i="11"/>
  <c r="AB7" i="11" s="1"/>
  <c r="Z3" i="11" s="1"/>
  <c r="AA3" i="11" s="1"/>
  <c r="T43" i="12"/>
  <c r="U43" i="12"/>
  <c r="V43" i="12"/>
  <c r="V19" i="12"/>
  <c r="U19" i="12"/>
  <c r="T19" i="12"/>
  <c r="T36" i="8"/>
  <c r="U41" i="8" a="1"/>
  <c r="U41" i="8" s="1"/>
  <c r="U50" i="12"/>
  <c r="T50" i="12"/>
  <c r="V50" i="12"/>
  <c r="T48" i="12"/>
  <c r="U48" i="12"/>
  <c r="V48" i="12"/>
  <c r="T31" i="12"/>
  <c r="V31" i="12"/>
  <c r="U31" i="12"/>
  <c r="T39" i="12"/>
  <c r="U39" i="12"/>
  <c r="V39" i="12"/>
  <c r="T23" i="12"/>
  <c r="U23" i="12"/>
  <c r="V23" i="12"/>
  <c r="U33" i="12"/>
  <c r="T33" i="12"/>
  <c r="V33" i="12"/>
  <c r="D33" i="14"/>
  <c r="O24" i="13"/>
  <c r="P24" i="13"/>
  <c r="O29" i="13"/>
  <c r="M24" i="13"/>
  <c r="E34" i="14"/>
  <c r="N24" i="13"/>
  <c r="L24" i="13"/>
  <c r="T33" i="8"/>
  <c r="H24" i="9" s="1"/>
  <c r="H25" i="9"/>
  <c r="T21" i="12"/>
  <c r="U21" i="12"/>
  <c r="V21" i="12"/>
  <c r="W47" i="12"/>
  <c r="X47" i="12"/>
  <c r="V45" i="12"/>
  <c r="U45" i="12"/>
  <c r="T45" i="12"/>
  <c r="V22" i="12"/>
  <c r="T22" i="12"/>
  <c r="U22" i="12"/>
  <c r="V34" i="12"/>
  <c r="T34" i="12"/>
  <c r="U34" i="12"/>
  <c r="V18" i="12"/>
  <c r="T18" i="12"/>
  <c r="U18" i="12"/>
  <c r="U40" i="12"/>
  <c r="V40" i="12"/>
  <c r="T40" i="12"/>
  <c r="U17" i="12"/>
  <c r="V17" i="12"/>
  <c r="T17" i="12"/>
  <c r="W16" i="12"/>
  <c r="X16" i="12"/>
  <c r="T46" i="12"/>
  <c r="V46" i="12"/>
  <c r="U46" i="12"/>
  <c r="T27" i="12"/>
  <c r="V27" i="12"/>
  <c r="U27" i="12"/>
  <c r="U26" i="12"/>
  <c r="V26" i="12"/>
  <c r="T26" i="12"/>
  <c r="O27" i="13"/>
  <c r="V44" i="12"/>
  <c r="T44" i="12"/>
  <c r="U44" i="12"/>
  <c r="D38" i="8"/>
  <c r="D37" i="8"/>
  <c r="D33" i="8" s="1"/>
  <c r="V29" i="12"/>
  <c r="T29" i="12"/>
  <c r="U29" i="12"/>
  <c r="J27" i="9"/>
  <c r="V42" i="8"/>
  <c r="U37" i="8"/>
  <c r="U38" i="8"/>
  <c r="J26" i="9" s="1"/>
  <c r="AA21" i="5" l="1"/>
  <c r="AA39" i="5"/>
  <c r="AA48" i="5"/>
  <c r="AA31" i="5"/>
  <c r="AA24" i="5"/>
  <c r="AA46" i="5"/>
  <c r="AA20" i="5"/>
  <c r="AA30" i="5"/>
  <c r="AA29" i="5"/>
  <c r="AA38" i="5"/>
  <c r="AA26" i="5"/>
  <c r="AA23" i="5"/>
  <c r="AA27" i="5"/>
  <c r="AA18" i="5"/>
  <c r="AA45" i="5"/>
  <c r="AA28" i="5"/>
  <c r="AA32" i="5"/>
  <c r="AA40" i="5"/>
  <c r="AA44" i="5"/>
  <c r="AA25" i="5"/>
  <c r="AA37" i="5"/>
  <c r="AA34" i="5"/>
  <c r="AA19" i="5"/>
  <c r="AA41" i="5"/>
  <c r="AA50" i="5"/>
  <c r="AA49" i="5"/>
  <c r="AA42" i="5"/>
  <c r="AA36" i="5"/>
  <c r="AA35" i="5"/>
  <c r="N27" i="13"/>
  <c r="F32" i="14"/>
  <c r="G10" i="13"/>
  <c r="F34" i="14"/>
  <c r="V41" i="8" a="1"/>
  <c r="V41" i="8" s="1"/>
  <c r="U36" i="8"/>
  <c r="AD23" i="11"/>
  <c r="AD17" i="11"/>
  <c r="AD14" i="11"/>
  <c r="AD22" i="11"/>
  <c r="AD20" i="11"/>
  <c r="AD12" i="11"/>
  <c r="AD18" i="11"/>
  <c r="AD19" i="11"/>
  <c r="AD21" i="11"/>
  <c r="AD15" i="11"/>
  <c r="AD16" i="11"/>
  <c r="J25" i="9"/>
  <c r="U33" i="8"/>
  <c r="J24" i="9" s="1"/>
  <c r="L27" i="9"/>
  <c r="V37" i="8"/>
  <c r="W42" i="8"/>
  <c r="V38" i="8"/>
  <c r="L26" i="9" s="1"/>
  <c r="V16" i="12"/>
  <c r="T16" i="12"/>
  <c r="U16" i="12"/>
  <c r="U47" i="12"/>
  <c r="V47" i="12"/>
  <c r="T47" i="12"/>
  <c r="L27" i="13"/>
  <c r="N25" i="11"/>
  <c r="AA43" i="5" l="1"/>
  <c r="B26" i="8" s="1"/>
  <c r="AA22" i="5"/>
  <c r="B20" i="8" s="1"/>
  <c r="AA47" i="5"/>
  <c r="B29" i="8" s="1"/>
  <c r="AA33" i="5"/>
  <c r="B23" i="8" s="1"/>
  <c r="AA17" i="5"/>
  <c r="B17" i="8" s="1"/>
  <c r="AA16" i="5"/>
  <c r="AA15" i="5"/>
  <c r="AE17" i="11"/>
  <c r="M17" i="11" s="1"/>
  <c r="L17" i="11" s="1"/>
  <c r="AE15" i="11"/>
  <c r="M15" i="11" s="1"/>
  <c r="L15" i="11" s="1"/>
  <c r="AE20" i="11"/>
  <c r="M20" i="11" s="1"/>
  <c r="L20" i="11" s="1"/>
  <c r="AE14" i="11"/>
  <c r="AE16" i="11"/>
  <c r="M16" i="11" s="1"/>
  <c r="L16" i="11" s="1"/>
  <c r="AE12" i="11"/>
  <c r="M12" i="11" s="1"/>
  <c r="L12" i="11" s="1"/>
  <c r="AE19" i="11"/>
  <c r="M19" i="11" s="1"/>
  <c r="L19" i="11" s="1"/>
  <c r="AE22" i="11"/>
  <c r="M22" i="11" s="1"/>
  <c r="L22" i="11" s="1"/>
  <c r="AE23" i="11"/>
  <c r="M23" i="11" s="1"/>
  <c r="L23" i="11" s="1"/>
  <c r="L25" i="9"/>
  <c r="V33" i="8"/>
  <c r="L24" i="9" s="1"/>
  <c r="W41" i="8" a="1"/>
  <c r="W41" i="8" s="1"/>
  <c r="V36" i="8"/>
  <c r="AC27" i="13"/>
  <c r="AD27" i="13"/>
  <c r="D32" i="14"/>
  <c r="N27" i="9"/>
  <c r="W38" i="8"/>
  <c r="N26" i="9" s="1"/>
  <c r="W37" i="8"/>
  <c r="X42" i="8"/>
  <c r="AE18" i="11"/>
  <c r="M18" i="11" s="1"/>
  <c r="L18" i="11" s="1"/>
  <c r="AE21" i="11"/>
  <c r="M21" i="11" s="1"/>
  <c r="L21" i="11" s="1"/>
  <c r="E32" i="14"/>
  <c r="AA14" i="11" l="1"/>
  <c r="AC14" i="13"/>
  <c r="R14" i="13" s="1"/>
  <c r="M26" i="13" s="1"/>
  <c r="AF14" i="13"/>
  <c r="T14" i="13" s="1"/>
  <c r="AD3" i="13" s="1"/>
  <c r="AD2" i="13" s="1"/>
  <c r="D40" i="8" a="1"/>
  <c r="D40" i="8" s="1"/>
  <c r="T40" i="8" a="1"/>
  <c r="T40" i="8" s="1"/>
  <c r="W36" i="8"/>
  <c r="X41" i="8" a="1"/>
  <c r="X41" i="8" s="1"/>
  <c r="X37" i="8"/>
  <c r="Y42" i="8"/>
  <c r="P27" i="9"/>
  <c r="X38" i="8"/>
  <c r="P26" i="9" s="1"/>
  <c r="W33" i="8"/>
  <c r="N24" i="9" s="1"/>
  <c r="N25" i="9"/>
  <c r="M25" i="13" l="1"/>
  <c r="AE3" i="13"/>
  <c r="D35" i="8"/>
  <c r="D39" i="8"/>
  <c r="D34" i="8" s="1"/>
  <c r="Z14" i="11"/>
  <c r="Z24" i="11" s="1"/>
  <c r="AA24" i="11"/>
  <c r="T35" i="8"/>
  <c r="U40" i="8" a="1"/>
  <c r="U40" i="8" s="1"/>
  <c r="T39" i="8"/>
  <c r="T34" i="8" s="1"/>
  <c r="M14" i="11"/>
  <c r="X36" i="8"/>
  <c r="Y41" i="8" a="1"/>
  <c r="Y41" i="8" s="1"/>
  <c r="Y38" i="8"/>
  <c r="R26" i="9" s="1"/>
  <c r="Z42" i="8"/>
  <c r="R27" i="9"/>
  <c r="Y37" i="8"/>
  <c r="X33" i="8"/>
  <c r="P24" i="9" s="1"/>
  <c r="P25" i="9"/>
  <c r="U39" i="8" l="1"/>
  <c r="U34" i="8" s="1"/>
  <c r="U35" i="8"/>
  <c r="V40" i="8" a="1"/>
  <c r="V40" i="8" s="1"/>
  <c r="L14" i="11"/>
  <c r="L24" i="11" s="1"/>
  <c r="M24" i="11"/>
  <c r="AE2" i="13"/>
  <c r="O26" i="13"/>
  <c r="Y33" i="8"/>
  <c r="R24" i="9" s="1"/>
  <c r="R25" i="9"/>
  <c r="Z41" i="8" a="1"/>
  <c r="Z41" i="8" s="1"/>
  <c r="Y36" i="8"/>
  <c r="Z38" i="8"/>
  <c r="T26" i="9" s="1"/>
  <c r="T27" i="9"/>
  <c r="Z37" i="8"/>
  <c r="AA42" i="8"/>
  <c r="L25" i="13" l="1"/>
  <c r="D30" i="14" s="1"/>
  <c r="L25" i="11"/>
  <c r="L10" i="11"/>
  <c r="M10" i="13" s="1"/>
  <c r="V39" i="8"/>
  <c r="V34" i="8" s="1"/>
  <c r="V35" i="8"/>
  <c r="W40" i="8" a="1"/>
  <c r="W40" i="8" s="1"/>
  <c r="N26" i="13"/>
  <c r="E31" i="14" s="1"/>
  <c r="O25" i="13"/>
  <c r="F31" i="14"/>
  <c r="M25" i="11"/>
  <c r="M10" i="11"/>
  <c r="N10" i="13" s="1"/>
  <c r="L26" i="13"/>
  <c r="AA37" i="8"/>
  <c r="AA38" i="8"/>
  <c r="V26" i="9" s="1"/>
  <c r="AB42" i="8"/>
  <c r="V27" i="9"/>
  <c r="Z36" i="8"/>
  <c r="AA41" i="8" a="1"/>
  <c r="AA41" i="8" s="1"/>
  <c r="Z33" i="8"/>
  <c r="T24" i="9" s="1"/>
  <c r="T25" i="9"/>
  <c r="G9" i="11" l="1"/>
  <c r="AC26" i="13"/>
  <c r="AD26" i="13"/>
  <c r="D31" i="14"/>
  <c r="F30" i="14"/>
  <c r="N25" i="13"/>
  <c r="E30" i="14" s="1"/>
  <c r="W39" i="8"/>
  <c r="W34" i="8" s="1"/>
  <c r="W35" i="8"/>
  <c r="X40" i="8" a="1"/>
  <c r="X40" i="8" s="1"/>
  <c r="X27" i="9"/>
  <c r="AB38" i="8"/>
  <c r="X26" i="9" s="1"/>
  <c r="AB37" i="8"/>
  <c r="AC42" i="8"/>
  <c r="AB41" i="8" a="1"/>
  <c r="AB41" i="8" s="1"/>
  <c r="AA36" i="8"/>
  <c r="AA33" i="8"/>
  <c r="V24" i="9" s="1"/>
  <c r="V25" i="9"/>
  <c r="X35" i="8" l="1"/>
  <c r="X39" i="8"/>
  <c r="X34" i="8" s="1"/>
  <c r="Y40" i="8" a="1"/>
  <c r="Y40" i="8" s="1"/>
  <c r="AC41" i="8" a="1"/>
  <c r="AC41" i="8" s="1"/>
  <c r="AB36" i="8"/>
  <c r="AD42" i="8"/>
  <c r="AC37" i="8"/>
  <c r="Z27" i="9"/>
  <c r="AC38" i="8"/>
  <c r="Z26" i="9" s="1"/>
  <c r="AB33" i="8"/>
  <c r="X24" i="9" s="1"/>
  <c r="X25" i="9"/>
  <c r="Y39" i="8" l="1"/>
  <c r="Y34" i="8" s="1"/>
  <c r="Z40" i="8" a="1"/>
  <c r="Z40" i="8" s="1"/>
  <c r="Y35" i="8"/>
  <c r="AC33" i="8"/>
  <c r="Z24" i="9" s="1"/>
  <c r="Z25" i="9"/>
  <c r="AE42" i="8"/>
  <c r="AD38" i="8"/>
  <c r="AB26" i="9" s="1"/>
  <c r="AD37" i="8"/>
  <c r="AB27" i="9"/>
  <c r="AC36" i="8"/>
  <c r="AD41" i="8" a="1"/>
  <c r="AD41" i="8" s="1"/>
  <c r="AA40" i="8" l="1" a="1"/>
  <c r="AA40" i="8" s="1"/>
  <c r="Z35" i="8"/>
  <c r="Z39" i="8"/>
  <c r="Z34" i="8" s="1"/>
  <c r="AE41" i="8" a="1"/>
  <c r="AE41" i="8" s="1"/>
  <c r="AE36" i="8" s="1"/>
  <c r="AD36" i="8"/>
  <c r="AB25" i="9"/>
  <c r="AD33" i="8"/>
  <c r="AB24" i="9" s="1"/>
  <c r="B3" i="9"/>
  <c r="AF42" i="8"/>
  <c r="AE37" i="8"/>
  <c r="AD27" i="9"/>
  <c r="AE38" i="8"/>
  <c r="AD26" i="9" s="1"/>
  <c r="J10" i="8"/>
  <c r="AB40" i="8" l="1" a="1"/>
  <c r="AB40" i="8" s="1"/>
  <c r="AA39" i="8"/>
  <c r="AA34" i="8" s="1"/>
  <c r="AA35" i="8"/>
  <c r="AD25" i="9"/>
  <c r="AE33" i="8"/>
  <c r="AD24" i="9" s="1"/>
  <c r="AC40" i="8" l="1" a="1"/>
  <c r="AC40" i="8" s="1"/>
  <c r="AB39" i="8"/>
  <c r="AB34" i="8" s="1"/>
  <c r="AB35" i="8"/>
  <c r="AD40" i="8" l="1" a="1"/>
  <c r="AD40" i="8" s="1"/>
  <c r="AC35" i="8"/>
  <c r="AC39" i="8"/>
  <c r="AC34" i="8" s="1"/>
  <c r="AD35" i="8" l="1"/>
  <c r="AE40" i="8" a="1"/>
  <c r="AE40" i="8" s="1"/>
  <c r="AD39" i="8"/>
  <c r="AD34" i="8" s="1"/>
  <c r="AE39" i="8" l="1"/>
  <c r="AF40" i="8"/>
  <c r="AE35" i="8"/>
  <c r="AE34" i="8" l="1"/>
  <c r="AF39" i="8"/>
  <c r="AF41"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1" authorId="0" shapeId="0" xr:uid="{00000000-0006-0000-02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5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9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<sst xmlns="http://schemas.openxmlformats.org/spreadsheetml/2006/main" count="1363" uniqueCount="541">
  <si>
    <t>PM</t>
  </si>
  <si>
    <t>Licitado</t>
  </si>
  <si>
    <t>Fundo amarelo: células para preencher</t>
  </si>
  <si>
    <t>Fundo azul: células para seleção de opções</t>
  </si>
  <si>
    <t>BM</t>
  </si>
  <si>
    <t>A. DOCUMENTAÇÃO DA PROPOSTA</t>
  </si>
  <si>
    <t>Sub-Itens de Investimento</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</si>
  <si>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</si>
  <si>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</si>
  <si>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</si>
  <si>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</si>
  <si>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</si>
  <si>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</si>
  <si>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</si>
  <si>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</si>
  <si>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</si>
  <si>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</si>
  <si>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</si>
  <si>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</si>
  <si>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</si>
  <si>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</si>
  <si>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</si>
  <si>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</si>
  <si>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</si>
  <si>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</si>
  <si>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</si>
  <si>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</si>
  <si>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</si>
  <si>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</si>
  <si>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</si>
  <si>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</si>
  <si>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</si>
  <si>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</si>
  <si>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</si>
  <si>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</si>
  <si>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</si>
  <si>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</si>
  <si>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</si>
  <si>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</si>
  <si>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</si>
  <si>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</si>
  <si>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</si>
  <si>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</si>
  <si>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</si>
  <si>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</si>
  <si>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</si>
  <si>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</si>
  <si>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</si>
  <si>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</si>
  <si>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</si>
  <si>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</si>
  <si>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</si>
  <si>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</si>
  <si>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</si>
  <si>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</si>
  <si>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</si>
  <si>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</si>
  <si>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</si>
  <si>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</si>
  <si>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</si>
  <si>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</si>
  <si>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</si>
  <si>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</si>
  <si>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</si>
  <si>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</si>
  <si>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</si>
  <si>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</si>
  <si>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</si>
  <si>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</si>
  <si>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</si>
  <si>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</si>
  <si>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</si>
  <si>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</si>
  <si>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</si>
  <si>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</si>
  <si>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</si>
  <si>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</si>
  <si>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</si>
  <si>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</si>
  <si>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Nº da Operação (0000000-00):</t>
  </si>
  <si>
    <t>Saúde</t>
  </si>
  <si>
    <t>Pavimentação de vias</t>
  </si>
  <si>
    <t>Reservatório de amortecimento de cheias</t>
  </si>
  <si>
    <t>Estação de Tratamento de Água (ETA)</t>
  </si>
  <si>
    <t>Estação Elevatória</t>
  </si>
  <si>
    <t xml:space="preserve">Tratamento local </t>
  </si>
  <si>
    <t>Segurança pública</t>
  </si>
  <si>
    <t>Sinalização</t>
  </si>
  <si>
    <t>Estação de Bombeamento</t>
  </si>
  <si>
    <t>Estação de bombeamento de água tratada</t>
  </si>
  <si>
    <t>Estação de Tratamento de Esgoto (ETE)</t>
  </si>
  <si>
    <t xml:space="preserve">Usinas de reciclagem </t>
  </si>
  <si>
    <t>Linha de recalque</t>
  </si>
  <si>
    <t>Sistema simplificado de tratamento</t>
  </si>
  <si>
    <t>Valor de Contrapartida Contratada (R$):</t>
  </si>
  <si>
    <t>Reservação</t>
  </si>
  <si>
    <t>Unidades sanitárias</t>
  </si>
  <si>
    <t>% mínimo de Contrapartida:</t>
  </si>
  <si>
    <t>Rede de distribuição</t>
  </si>
  <si>
    <t>R$ mínimo de Contrapartida (se houver):</t>
  </si>
  <si>
    <t>% máximo de Contrapartida:</t>
  </si>
  <si>
    <t>Sistema simplificado de abastecimento</t>
  </si>
  <si>
    <t>Dados do Empreendimento e Orçamento</t>
  </si>
  <si>
    <t>Nome/apelido:</t>
  </si>
  <si>
    <t>Descrição do Objeto do Lote / CTEF:</t>
  </si>
  <si>
    <t>Regime previdenciário previsto para a obra:</t>
  </si>
  <si>
    <t>Data base do Orçamento:</t>
  </si>
  <si>
    <t>Responsável pelo Orçamento</t>
  </si>
  <si>
    <t>Nome:</t>
  </si>
  <si>
    <t>CREA/CAU:</t>
  </si>
  <si>
    <t>ART/RRT:</t>
  </si>
  <si>
    <t>Data do preenchimento:</t>
  </si>
  <si>
    <t>Responsável pelo Tomador (Prefeito, no caso de Municípios)</t>
  </si>
  <si>
    <t>Cargo:</t>
  </si>
  <si>
    <t>B. RESULTADO DO PROCESSO LICITATÓRIO</t>
  </si>
  <si>
    <t>Licitação</t>
  </si>
  <si>
    <t>Data de emissão dos documentos de licitação:</t>
  </si>
  <si>
    <t>Nº do CTEF (contrato com empresa):</t>
  </si>
  <si>
    <t>Nome da empresa:</t>
  </si>
  <si>
    <t>CNPJ da empresa:</t>
  </si>
  <si>
    <t>Regime de execução do CTEF:</t>
  </si>
  <si>
    <t>Data base do CTEF:</t>
  </si>
  <si>
    <t>C. ACOMPANHAMENTO DO EMPREENDIMENTO</t>
  </si>
  <si>
    <t>Dados da obra</t>
  </si>
  <si>
    <t>Data do Início da Obra:</t>
  </si>
  <si>
    <t>Data de fechamento do RRE:</t>
  </si>
  <si>
    <t>Responsável pela Fiscalização</t>
  </si>
  <si>
    <t>Profissão:</t>
  </si>
  <si>
    <t>CREA/CAU (para obras/projetos):</t>
  </si>
  <si>
    <t>ART/RRT (para obras/projetos):</t>
  </si>
  <si>
    <t>D. ACOMPANHAMENTO CAIXA</t>
  </si>
  <si>
    <t>Responsável Gerencial</t>
  </si>
  <si>
    <t>Função:</t>
  </si>
  <si>
    <t>Novidades da Versão</t>
  </si>
  <si>
    <t>V3.0.0</t>
  </si>
  <si>
    <t>GERAL</t>
  </si>
  <si>
    <t>Lançamento: Adequação à Portaria 424/2016. Acompanhamento por Eventos.</t>
  </si>
  <si>
    <t>MIN</t>
  </si>
  <si>
    <t>MED</t>
  </si>
  <si>
    <t>MAX</t>
  </si>
  <si>
    <t>Grau de Sigilo</t>
  </si>
  <si>
    <t>Construção e Reforma de Edifícios</t>
  </si>
  <si>
    <t>AC</t>
  </si>
  <si>
    <t>#PUBLICO</t>
  </si>
  <si>
    <t>SG</t>
  </si>
  <si>
    <t>R</t>
  </si>
  <si>
    <t>Nº OPERAÇÃO</t>
  </si>
  <si>
    <t>PROPONENTE / TOMADOR</t>
  </si>
  <si>
    <t>DF</t>
  </si>
  <si>
    <t>L</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</si>
  <si>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</si>
  <si>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</si>
  <si>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</si>
  <si>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</si>
  <si>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Sobre a base de cálculo, definir a respectiva alíquota do ISS (entre 2% e 5%):</t>
  </si>
  <si>
    <t>Construção de Redes de Abastecimento de Água, Coleta de Esgoto</t>
  </si>
  <si>
    <t>BDI 1</t>
  </si>
  <si>
    <t>TIPO DE OBRA</t>
  </si>
  <si>
    <t>Itens</t>
  </si>
  <si>
    <t>Siglas</t>
  </si>
  <si>
    <t>% Adotado</t>
  </si>
  <si>
    <t>Situação</t>
  </si>
  <si>
    <t>1º Quartil</t>
  </si>
  <si>
    <t>Médio</t>
  </si>
  <si>
    <t>3º Quartil</t>
  </si>
  <si>
    <t>Construção e Manutenção de Estações e Redes de Distribuição de Energia Elétrica</t>
  </si>
  <si>
    <t>-</t>
  </si>
  <si>
    <t>Obras Portuárias, Marítimas e Fluviais</t>
  </si>
  <si>
    <t>Tributos (impostos COFINS 3%, e  PIS 0,65%)</t>
  </si>
  <si>
    <t>CP</t>
  </si>
  <si>
    <t>Tributos (ISS, variável de acordo com o município)</t>
  </si>
  <si>
    <t>ISS</t>
  </si>
  <si>
    <t>CPRB</t>
  </si>
  <si>
    <t>BDI SEM desoneração (Fórmula Acórdão TCU)</t>
  </si>
  <si>
    <t>BDI COM desoneração</t>
  </si>
  <si>
    <t>BDI DES</t>
  </si>
  <si>
    <t>Fornecimento de Materiais e Equipamentos (aquisição indireta - em conjunto com licitação de obras)</t>
  </si>
  <si>
    <t>Os valores de BDI foram calculados com o emprego da fórmula:</t>
  </si>
  <si>
    <t>BDI =</t>
  </si>
  <si>
    <t xml:space="preserve"> - 1</t>
  </si>
  <si>
    <t>(1-CP-ISS-CRPB)</t>
  </si>
  <si>
    <t>Fornecimento de Materiais e Equipamentos (aquisição direta)</t>
  </si>
  <si>
    <t>Estudos e Projetos, Planos e Gerenciamento e outros correlatos</t>
  </si>
  <si>
    <t>K1</t>
  </si>
  <si>
    <t>K2</t>
  </si>
  <si>
    <t>K3</t>
  </si>
  <si>
    <t>Observações:</t>
  </si>
  <si>
    <t>Local</t>
  </si>
  <si>
    <t>Data</t>
  </si>
  <si>
    <t>Responsável Técnico</t>
  </si>
  <si>
    <t>BDI 2</t>
  </si>
  <si>
    <t>BDI 3</t>
  </si>
  <si>
    <t>PO - PLANILHA ORÇAMENTÁRIA</t>
  </si>
  <si>
    <t>LOTE</t>
  </si>
  <si>
    <t>Meta</t>
  </si>
  <si>
    <t>Nível 2</t>
  </si>
  <si>
    <t>Nível 3</t>
  </si>
  <si>
    <t>Nível 4</t>
  </si>
  <si>
    <t>Serviço</t>
  </si>
  <si>
    <t>Arredondamento</t>
  </si>
  <si>
    <t>Nmax</t>
  </si>
  <si>
    <t>APELIDO DO EMPREENDIMENTO</t>
  </si>
  <si>
    <t>Quantidade</t>
  </si>
  <si>
    <t>LOCALIDADE SINAPI</t>
  </si>
  <si>
    <t>DATA BASE</t>
  </si>
  <si>
    <t>Custo Unitáro</t>
  </si>
  <si>
    <t>QUANTIDADES: ACOMP. POR BM</t>
  </si>
  <si>
    <t>PREÇO UNITÁRIO LICITADO</t>
  </si>
  <si>
    <t>FILTRO</t>
  </si>
  <si>
    <t>RECURSO</t>
  </si>
  <si>
    <t>SGL RECURSO</t>
  </si>
  <si>
    <t>BDI</t>
  </si>
  <si>
    <t>Preço Unitário</t>
  </si>
  <si>
    <t>ERRO GERAL</t>
  </si>
  <si>
    <t>Preço Total</t>
  </si>
  <si>
    <t>Valores não Arredondados</t>
  </si>
  <si>
    <t>↓</t>
  </si>
  <si>
    <t>Nível E</t>
  </si>
  <si>
    <t>Save Nivel</t>
  </si>
  <si>
    <t>Nível C</t>
  </si>
  <si>
    <t>Altura</t>
  </si>
  <si>
    <t>n1</t>
  </si>
  <si>
    <t>n2</t>
  </si>
  <si>
    <t>n3</t>
  </si>
  <si>
    <t>n4</t>
  </si>
  <si>
    <t>n5</t>
  </si>
  <si>
    <t>Czero</t>
  </si>
  <si>
    <t>Cnível</t>
  </si>
  <si>
    <t>Nível</t>
  </si>
  <si>
    <t>Nível Corrigido</t>
  </si>
  <si>
    <t>Item</t>
  </si>
  <si>
    <t>Fonte</t>
  </si>
  <si>
    <t>Código</t>
  </si>
  <si>
    <t>Descrição</t>
  </si>
  <si>
    <t>Unidade</t>
  </si>
  <si>
    <t>Preço Unitário (com BDI) (R$)</t>
  </si>
  <si>
    <t>Preço Total
(R$)</t>
  </si>
  <si>
    <t>Contrapartida (R$)</t>
  </si>
  <si>
    <t>Outros (R$)</t>
  </si>
  <si>
    <t>Erro de Dados</t>
  </si>
  <si>
    <t>Lista Crono</t>
  </si>
  <si>
    <t>Concatenação Fonte-Código</t>
  </si>
  <si>
    <t>BancoDesloc</t>
  </si>
  <si>
    <t>Preço Total
Licit. (R$)</t>
  </si>
  <si>
    <t>RA</t>
  </si>
  <si>
    <t>F</t>
  </si>
  <si>
    <t>SINAPI</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</si>
  <si>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</si>
  <si>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</si>
  <si>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</si>
  <si>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Preços dos serviços por frente</t>
  </si>
  <si>
    <t>Mês do cronograma</t>
  </si>
  <si>
    <t>Número da Medição</t>
  </si>
  <si>
    <t>Empty</t>
  </si>
  <si>
    <t>.</t>
  </si>
  <si>
    <t>Nº AGRUPADOR DE EVENTOS</t>
  </si>
  <si>
    <t>FRENTES DE OBRA:</t>
  </si>
  <si>
    <t>AUTOEVENTO</t>
  </si>
  <si>
    <t>Memória de Cálculo</t>
  </si>
  <si>
    <t>Nº</t>
  </si>
  <si>
    <t># Evento</t>
  </si>
  <si>
    <t>Agrupador de Eventos</t>
  </si>
  <si>
    <t>TOTAL FINANC. POR FRENTE (R$):</t>
  </si>
  <si>
    <t>1. Selecione abaixo a forma de definição dos agrupadores de eventos:</t>
  </si>
  <si>
    <t>Nº do Evento</t>
  </si>
  <si>
    <t>Título do Evento</t>
  </si>
  <si>
    <t>Valor Total dos Eventos (R$)</t>
  </si>
  <si>
    <t>Administração Local</t>
  </si>
  <si>
    <t>% Período:</t>
  </si>
  <si>
    <t>Níveis a Exibir no Cronograma:</t>
  </si>
  <si>
    <t>PROPONENTE TOMADOR</t>
  </si>
  <si>
    <t>APELIDO EMPREENDIMENTO</t>
  </si>
  <si>
    <t>Falta distribuir:</t>
  </si>
  <si>
    <t>Valor (R$)</t>
  </si>
  <si>
    <t>Parcelas:</t>
  </si>
  <si>
    <t>Item CRONO</t>
  </si>
  <si>
    <t>OU</t>
  </si>
  <si>
    <t>Linha PO
Linha QCI
Total Adm Local</t>
  </si>
  <si>
    <t>Linhas a somar</t>
  </si>
  <si>
    <t>#</t>
  </si>
  <si>
    <t>%:</t>
  </si>
  <si>
    <t>Período:</t>
  </si>
  <si>
    <t>Contrapartida:</t>
  </si>
  <si>
    <t>Outros:</t>
  </si>
  <si>
    <t>Investimento:</t>
  </si>
  <si>
    <t>Acumulado:</t>
  </si>
  <si>
    <t>CRONOGRAMA PREVISTO PLE</t>
  </si>
  <si>
    <t>1. Digite nas células em amarelo o número do período em que os eventos serão concluídos:</t>
  </si>
  <si>
    <t>Filtro</t>
  </si>
  <si>
    <t>Título dos Eventos</t>
  </si>
  <si>
    <t>Informe abaixo o NÚMERO DO PERÍODO em que os eventos serão concluídos</t>
  </si>
  <si>
    <t>PLE - PLANILHA DE LEVANTAMENTO DE EVENTOS</t>
  </si>
  <si>
    <t>Medição:</t>
  </si>
  <si>
    <t>% Realizado Período.:</t>
  </si>
  <si>
    <t>% Realizado Acum.:</t>
  </si>
  <si>
    <t>Informe abaixo o NÚMERO DA MEDIÇÃO em que os eventos foram concluídos</t>
  </si>
  <si>
    <t>Data das Medições</t>
  </si>
  <si>
    <t>Medições</t>
  </si>
  <si>
    <t>%</t>
  </si>
  <si>
    <t>R$</t>
  </si>
  <si>
    <t>Responsável Técnico pela Fiscalização</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</si>
  <si>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</si>
  <si>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</si>
  <si>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</si>
  <si>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</si>
  <si>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</si>
  <si>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</si>
  <si>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</si>
  <si>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</si>
  <si>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</si>
  <si>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</si>
  <si>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</si>
  <si>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</si>
  <si>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</si>
  <si>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</si>
  <si>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</si>
  <si>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</si>
  <si>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</si>
  <si>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</si>
  <si>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</si>
  <si>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</si>
  <si>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</si>
  <si>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</si>
  <si>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</si>
  <si>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</si>
  <si>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</si>
  <si>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</si>
  <si>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</si>
  <si>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</si>
  <si>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Modo CAIXA</t>
  </si>
  <si>
    <t>INÍCIO DE OBRA</t>
  </si>
  <si>
    <t xml:space="preserve">Regime </t>
  </si>
  <si>
    <t>Fórmula CopMed</t>
  </si>
  <si>
    <t>Nº CTEF</t>
  </si>
  <si>
    <t>EMPRESA EXECUTORA</t>
  </si>
  <si>
    <t>CNPJ</t>
  </si>
  <si>
    <t>PERÍODO DA MEDIÇÃO</t>
  </si>
  <si>
    <t>Nº MEDIÇÃO</t>
  </si>
  <si>
    <t>ARREDMED</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</si>
  <si>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</si>
  <si>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</si>
  <si>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</si>
  <si>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</si>
  <si>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</si>
  <si>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</si>
  <si>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</si>
  <si>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</si>
  <si>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</si>
  <si>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</si>
  <si>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</si>
  <si>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</si>
  <si>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</si>
  <si>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</si>
  <si>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</si>
  <si>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t>Acum. Previsto</t>
  </si>
  <si>
    <t>Acum. Chegada</t>
  </si>
  <si>
    <t>Outros</t>
  </si>
  <si>
    <t>Nº RRE</t>
  </si>
  <si>
    <t>Investimento</t>
  </si>
  <si>
    <t>Situação do TC/CR:</t>
  </si>
  <si>
    <t>Percentual previsto em:</t>
  </si>
  <si>
    <t>Lista CTEF</t>
  </si>
  <si>
    <t>PLE</t>
  </si>
  <si>
    <t>Acumulado Período Anterior</t>
  </si>
  <si>
    <t>Acumulado incluindo o Período</t>
  </si>
  <si>
    <t>Linha
PO</t>
  </si>
  <si>
    <t>BM / PLE nº</t>
  </si>
  <si>
    <t>Valor Total (R$)</t>
  </si>
  <si>
    <t>Acum. Período Anterior - CP</t>
  </si>
  <si>
    <t>Acum. Período Anterior - Outros</t>
  </si>
  <si>
    <t>No Período</t>
  </si>
  <si>
    <t>Acum. Incluindo Período - CP</t>
  </si>
  <si>
    <t>Acum. Incluindo Período - Outros</t>
  </si>
  <si>
    <t>Execução Física Acum.</t>
  </si>
  <si>
    <t>(%)</t>
  </si>
  <si>
    <t>Anterior (R$)</t>
  </si>
  <si>
    <t>Acumulado (R$)</t>
  </si>
  <si>
    <t>Max CP/OU Ant.</t>
  </si>
  <si>
    <t>Max CP/OU Acum.</t>
  </si>
  <si>
    <t>Contrapartida</t>
  </si>
  <si>
    <t># PÚBLICO</t>
  </si>
  <si>
    <t>Ofício n°:</t>
  </si>
  <si>
    <t>À</t>
  </si>
  <si>
    <t>CAIXA ECONÔMICA FEDERAL</t>
  </si>
  <si>
    <t>Assunto:</t>
  </si>
  <si>
    <t>REF:</t>
  </si>
  <si>
    <t>Objeto:</t>
  </si>
  <si>
    <t>Proponente / Tomador:</t>
  </si>
  <si>
    <t>Valores Vigentes do TC/CR</t>
  </si>
  <si>
    <t>Valores Medidos Acumulados</t>
  </si>
  <si>
    <t>Contrapartida Financeira:</t>
  </si>
  <si>
    <t>Execução Física:</t>
  </si>
  <si>
    <t>Atenciosamente,</t>
  </si>
  <si>
    <t>DADOS DO CONTRATO</t>
  </si>
  <si>
    <t>NOVIDADES DA VERSÃO</t>
  </si>
  <si>
    <t>LEGENDA:</t>
  </si>
  <si>
    <t>Fundo laranja: execução de macro</t>
  </si>
  <si>
    <r>
      <t xml:space="preserve">Cores das </t>
    </r>
    <r>
      <rPr>
        <b/>
        <sz val="10"/>
        <rFont val="Arial"/>
        <family val="2"/>
      </rPr>
      <t>células</t>
    </r>
    <r>
      <rPr>
        <sz val="10"/>
        <rFont val="Arial"/>
        <family val="2"/>
      </rPr>
      <t>:</t>
    </r>
  </si>
  <si>
    <r>
      <t xml:space="preserve">Cores dos </t>
    </r>
    <r>
      <rPr>
        <b/>
        <sz val="10"/>
        <rFont val="Arial"/>
        <family val="2"/>
      </rPr>
      <t>botões</t>
    </r>
    <r>
      <rPr>
        <sz val="10"/>
        <rFont val="Arial"/>
        <family val="2"/>
      </rPr>
      <t>:</t>
    </r>
  </si>
  <si>
    <t>Proposto</t>
  </si>
  <si>
    <t>(SELECIONAR)</t>
  </si>
  <si>
    <t>GIGOV</t>
  </si>
  <si>
    <t>Lista CTEFs</t>
  </si>
  <si>
    <t>V3.0.1</t>
  </si>
  <si>
    <t>PO</t>
  </si>
  <si>
    <t>Preço Unitário Edital (R$)</t>
  </si>
  <si>
    <t>Ajustes de formatações.</t>
  </si>
  <si>
    <t>Correção da aplicação do BDI não desonerado.</t>
  </si>
  <si>
    <t>Inclusão de coluna exclusiva "Preço Unitário Edital", para o Modo 'Orçamento Licitado'.</t>
  </si>
  <si>
    <t>Custo Unitário Referência (R$)</t>
  </si>
  <si>
    <t>V3.0.2</t>
  </si>
  <si>
    <t>CRONOGRAMA</t>
  </si>
  <si>
    <t>QCI</t>
  </si>
  <si>
    <t>Correção na formulação do total por Repasse, CP e Outros.</t>
  </si>
  <si>
    <t>Correção na formulação do arredondamento no rateio dos valores do QCI.</t>
  </si>
  <si>
    <t>Correção na formulação do total acumulado por Repasse, CP e Outros</t>
  </si>
  <si>
    <t>RRE</t>
  </si>
  <si>
    <t>ORÇAMENTO</t>
  </si>
  <si>
    <t>Ampliada obtenção de dados da Planilha Referência de 20.000 para 65.536 linhas.</t>
  </si>
  <si>
    <t>Correção do Problema de Guias ocultas no BROFFICE.</t>
  </si>
  <si>
    <t>V3.0.3</t>
  </si>
  <si>
    <t>CÁLCULO</t>
  </si>
  <si>
    <t>Corrigida lentidão e travamento ao incluir e excluir frentes.</t>
  </si>
  <si>
    <t>V3.0.4</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</si>
  <si>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</si>
  <si>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</si>
  <si>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</si>
  <si>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</si>
  <si>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</si>
  <si>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Arredondamento das frentes:</t>
  </si>
  <si>
    <t>V3.0.6</t>
  </si>
  <si>
    <t>Nº do TransfereGOV (000000):</t>
  </si>
  <si>
    <t>Nº TransfereGOV</t>
  </si>
  <si>
    <t>Adicionado modo de arredondamento para compatibilidade com o TransfereGOV, altera na aba DADOS</t>
  </si>
  <si>
    <t>A planilha passará a ser disponibilizada com o formato .xlsm. Deve ser usado arquivo referência 1.9 ou superior, também no formato .xlsm</t>
  </si>
  <si>
    <t>Nº TRANSFEREGOV</t>
  </si>
  <si>
    <t>Nº TGOV</t>
  </si>
  <si>
    <t>Tributos (Contribuição Previdenciária sobre a Receita Bruta - Lei 12.546 de 14/12/2011 - Desoneração)</t>
  </si>
  <si>
    <t>V3.0.7</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</si>
  <si>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</si>
  <si>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</si>
  <si>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Ajuste na macro para correção automática do Nº AGRUPADOR DE EVENTOS na aba CÁLCULO, quando se ADCIONAR ou EXCLUIR LINHAS na aba EVENTOS.</t>
  </si>
  <si>
    <t>MENU</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</si>
  <si>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</si>
  <si>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</si>
  <si>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</si>
  <si>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EVENTOS</t>
  </si>
  <si>
    <t>CRONOPLE</t>
  </si>
  <si>
    <t>OFÍCIO</t>
  </si>
  <si>
    <t>Ajuste automático do valor da CPRB em função da data base do orçamento (para atendimento do Art. 9-A da Lei 12.546 de 14/12/2011).</t>
  </si>
  <si>
    <t>Criada macro para exibir apenas as abas pertinentes (exemplo: caso o acompanhamento seja por PLE, a aba BM fica oculta).</t>
  </si>
  <si>
    <t>Fundo azul claro: navegação entre abas</t>
  </si>
  <si>
    <r>
      <t xml:space="preserve">Grau de Sigilo
</t>
    </r>
    <r>
      <rPr>
        <b/>
        <sz val="10"/>
        <rFont val="Arial"/>
        <family val="2"/>
      </rPr>
      <t>#PUBLICO</t>
    </r>
  </si>
  <si>
    <t>Cronograma</t>
  </si>
  <si>
    <t>Parcela</t>
  </si>
  <si>
    <t>Acumulado</t>
  </si>
  <si>
    <r>
      <rPr>
        <sz val="10.5"/>
        <rFont val="Arial Narrow"/>
        <family val="2"/>
      </rPr>
      <t>Grau de Sigilo</t>
    </r>
    <r>
      <rPr>
        <sz val="10"/>
        <rFont val="Arial"/>
        <family val="2"/>
      </rPr>
      <t xml:space="preserve">
</t>
    </r>
    <r>
      <rPr>
        <b/>
        <sz val="10"/>
        <rFont val="Arial"/>
        <family val="2"/>
      </rPr>
      <t>#PUBLICO</t>
    </r>
  </si>
  <si>
    <t>Alterada a posição da aba CÁLCULO para depois da aba EVENTOS. Pois, no caso de acompanhamento por PLE, a lista supensa na coluna "Nº  Agrupador de Eventos" na aba CÁLCULO depende do preenchimento prévio da aba EVENTOS.</t>
  </si>
  <si>
    <t>Exclusão do quadro "Resumo de Valores por CTEF".</t>
  </si>
  <si>
    <t>Acrescentado FILTRO para exibir apenas as linhas preenchidas.</t>
  </si>
  <si>
    <t>Acrescentados os dados de Local, Data e Responsável Técnico.</t>
  </si>
  <si>
    <t>Acrescentado o quadro "Cronograma" com percentual e valor da parcela e percentual e valor acumulado.</t>
  </si>
  <si>
    <t>Acrescentados os dados de identificação do Contrato de Repasse.</t>
  </si>
  <si>
    <t>Acrescentadas as colunas dos totais dos Eventos por Frentes de Obra.</t>
  </si>
  <si>
    <t xml:space="preserve">Acrescentado o botão de seleção "Importar Fórmulas para o Custo Unitário (aba ORÇAMENTO)". </t>
  </si>
  <si>
    <t>Acrescentado o botão "IMPORTAR DE OUTROS MODELOS CAIXA": PO (MO27476); PLE (MO27477); e QCI (MO41211).</t>
  </si>
  <si>
    <t xml:space="preserve"> </t>
  </si>
  <si>
    <t>AGRUPADORES DE EVENTOS</t>
  </si>
  <si>
    <t>v3.07</t>
  </si>
  <si>
    <t>Acrescentados botões de navegação (cor azul claro) em várias abas. Em relação a esses botões, também foram ajustados os links, nomes e formatação.</t>
  </si>
  <si>
    <t>Alterada a posição da aba NOVO para antes da aba MENU.</t>
  </si>
  <si>
    <t>Automática, conforme os agrupadores Nível 2 do Orçamento</t>
  </si>
  <si>
    <t>Correção na fórmula da data, para replicar a “Data de fechamento do RRE” na aba DADOS.</t>
  </si>
  <si>
    <t>Tradicional</t>
  </si>
  <si>
    <t>Atualizada a macro de Importação para incluir a importar da coluna "Nº Agrupador de Eventos" da aba CÁLCULO.</t>
  </si>
  <si>
    <t>Atualizada a macro de Imprimir Documentos (para englobar as abas EVENTOS e CRONOPLE).</t>
  </si>
  <si>
    <t>MUNICIPIO DE BENTO GONÇALVES</t>
  </si>
  <si>
    <t>BENTO GONÇALVES/RS</t>
  </si>
  <si>
    <t>NÃO DESONERADO</t>
  </si>
  <si>
    <t/>
  </si>
  <si>
    <t>EMPREITADA POR PREÇO GLOBAL</t>
  </si>
  <si>
    <t>103689</t>
  </si>
  <si>
    <t>SERVIÇOS INICIAIS</t>
  </si>
  <si>
    <t>15</t>
  </si>
  <si>
    <t>SERVIDOR A DEFINIR</t>
  </si>
  <si>
    <t>NÃO DEFINIDO</t>
  </si>
  <si>
    <t>Composição</t>
  </si>
  <si>
    <t>FRENTE 1</t>
  </si>
  <si>
    <t>99814</t>
  </si>
  <si>
    <t>Eng. Bruna de Oliveira Pelizza</t>
  </si>
  <si>
    <t>RS230174</t>
  </si>
  <si>
    <t>PAVIMENTAÇÃO ASFÁLTICA</t>
  </si>
  <si>
    <t>30</t>
  </si>
  <si>
    <t>31</t>
  </si>
  <si>
    <t>102498</t>
  </si>
  <si>
    <t>01</t>
  </si>
  <si>
    <t>02</t>
  </si>
  <si>
    <t>DRENAGEM</t>
  </si>
  <si>
    <t>90082</t>
  </si>
  <si>
    <t>SICRO</t>
  </si>
  <si>
    <t>2003844</t>
  </si>
  <si>
    <t>95565</t>
  </si>
  <si>
    <t>92210</t>
  </si>
  <si>
    <t>97951</t>
  </si>
  <si>
    <t>33</t>
  </si>
  <si>
    <t>93379</t>
  </si>
  <si>
    <t>35</t>
  </si>
  <si>
    <t>5502970</t>
  </si>
  <si>
    <t>96392</t>
  </si>
  <si>
    <t>95875</t>
  </si>
  <si>
    <t>PASSEIO E ACESSIBILIDADE</t>
  </si>
  <si>
    <t>37</t>
  </si>
  <si>
    <t>94275</t>
  </si>
  <si>
    <t>94994</t>
  </si>
  <si>
    <t>14</t>
  </si>
  <si>
    <t>5213440</t>
  </si>
  <si>
    <t>FRENTE 2</t>
  </si>
  <si>
    <t>4011352</t>
  </si>
  <si>
    <t>RUA MIGUEL A DA ROLT</t>
  </si>
  <si>
    <t>1</t>
  </si>
  <si>
    <t>142</t>
  </si>
  <si>
    <t>=61*1,5*0,7</t>
  </si>
  <si>
    <t>61*1,5*0,3</t>
  </si>
  <si>
    <t>61*0,1</t>
  </si>
  <si>
    <t>61*0,2</t>
  </si>
  <si>
    <t>12,20*5KM</t>
  </si>
  <si>
    <t>ÁREA</t>
  </si>
  <si>
    <t>1536*0,07</t>
  </si>
  <si>
    <t>1536*2</t>
  </si>
  <si>
    <t>De acordo com a Lei Complementar 183/2013, Art. 109, §3º, o valor de mão e obra, para base de cálculo adotada para ISS será de
100%. A empresa poderá adotar um percentual diferente, desde que comprove este percentual nos termos do mesmo Art., e Proceda novo cálculo do BDI adotando este na planilha orçamentária.</t>
  </si>
  <si>
    <t>104658</t>
  </si>
  <si>
    <t>(64,25+5,95+5,95+30m)*0,4 cm do piso podotatil</t>
  </si>
  <si>
    <t>Cotação</t>
  </si>
  <si>
    <t>001</t>
  </si>
  <si>
    <t>61*1,21(TX DE APLICAÇÃO)*1(DENSIDADE)</t>
  </si>
  <si>
    <t>39</t>
  </si>
  <si>
    <t>22</t>
  </si>
  <si>
    <t>sendo 15 horas/mês</t>
  </si>
  <si>
    <t>12+49*1 metro</t>
  </si>
  <si>
    <t>12 metros</t>
  </si>
  <si>
    <t>49 metros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</si>
</sst>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164" formatCode="_-* #,##0.00_-;\-* #,##0.00_-;_-* &quot;-&quot;??_-;_-@_-"/>
    <numFmt numFmtId="165" formatCode="_(&quot;R$ &quot;* #,##0.00_);_(&quot;R$ &quot;* \(#,##0.00\);_(&quot;R$ &quot;* \-??_);_(@_)"/>
    <numFmt numFmtId="166" formatCode="_-* #,##0.00_-;\-* #,##0.00_-;_-* \-??_-;_-@_-"/>
    <numFmt numFmtId="167" formatCode="mm\-yyyy"/>
    <numFmt numFmtId="168" formatCode="General;General"/>
    <numFmt numFmtId="169" formatCode="dddd&quot;, &quot;mmmm\ dd&quot;, &quot;yyyy"/>
    <numFmt numFmtId="170" formatCode="dd&quot; de &quot;mmmm&quot; de &quot;yyyy"/>
    <numFmt numFmtId="171" formatCode="mmm\-yy;@"/>
    <numFmt numFmtId="172" formatCode="_(* #,##0.00_);_(* \(#,##0.00\);_(* \-??_);_(@_)"/>
    <numFmt numFmtId="173" formatCode="0\."/>
    <numFmt numFmtId="174" formatCode="_(\ #,##0.00_);_(&quot; (&quot;#,##0.00\);_(&quot; -&quot;??_);_(@_)"/>
    <numFmt numFmtId="175" formatCode="mm/yy"/>
    <numFmt numFmtId="176" formatCode="General;;"/>
    <numFmt numFmtId="177" formatCode="&quot;Medição &quot;0"/>
    <numFmt numFmtId="178" formatCode="_(#,##0.00_);_(* \(#,##0.00\);_(* \-??_);_(@_)"/>
    <numFmt numFmtId="179" formatCode="_-#,##0.00_-;\-#,##0.00_-;_-&quot; -&quot;??_-;_-@_-"/>
    <numFmt numFmtId="180" formatCode="##\."/>
    <numFmt numFmtId="181" formatCode="_-&quot;R$ &quot;* #,##0.00_-;&quot;-R$ &quot;* #,##0.00_-;_-&quot;R$ &quot;* \-??_-;_-@_-"/>
    <numFmt numFmtId="182" formatCode="&quot;( &quot;0.00%&quot; )&quot;"/>
    <numFmt numFmtId="183" formatCode="dd/mm/yy;@"/>
    <numFmt numFmtId="184" formatCode="&quot;Medição &quot;##"/>
    <numFmt numFmtId="185" formatCode="#,##0.00_ ;\-#,##0.00\ "/>
    <numFmt numFmtId="186" formatCode="_(* #,##0.00_);_(* \(#,##0.00\);;_(@_)"/>
    <numFmt numFmtId="187" formatCode="[$-F800]dddd\,\ mmmm\ dd\,\ yyyy"/>
    <numFmt numFmtId="188" formatCode="&quot;Mês &quot;00"/>
    <numFmt numFmtId="189" formatCode="_-#,##0.00_-;\-#,##0.00_-;_-&quot;-&quot;??_-;_-@_-"/>
  </numFmts>
  <fonts count="70"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sz val="10"/>
      <color indexed="9"/>
      <name val="Arial"/>
      <family val="2"/>
    </font>
    <font>
      <b/>
      <sz val="12"/>
      <color indexed="10"/>
      <name val="Arial"/>
      <family val="2"/>
    </font>
    <font>
      <b/>
      <sz val="8"/>
      <color indexed="10"/>
      <name val="Calibri"/>
      <family val="2"/>
    </font>
    <font>
      <b/>
      <sz val="11"/>
      <color indexed="10"/>
      <name val="Calibri"/>
      <family val="2"/>
    </font>
    <font>
      <sz val="10"/>
      <color indexed="44"/>
      <name val="Arial"/>
      <family val="2"/>
    </font>
    <font>
      <u/>
      <sz val="10"/>
      <color theme="10"/>
      <name val="Arial"/>
      <family val="2"/>
    </font>
    <font>
      <sz val="8"/>
      <color rgb="FF000000"/>
      <name val="Segoe UI"/>
      <family val="2"/>
    </font>
    <font>
      <sz val="10"/>
      <color theme="0"/>
      <name val="Arial"/>
      <family val="2"/>
    </font>
    <font>
      <sz val="11"/>
      <name val="Arial Narrow"/>
      <family val="2"/>
    </font>
    <font>
      <sz val="10.5"/>
      <name val="Arial Narrow"/>
      <family val="2"/>
    </font>
    <font>
      <b/>
      <sz val="10.5"/>
      <name val="Arial Narrow"/>
      <family val="2"/>
    </font>
  </fonts>
  <fills count="27">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s>
  <borders count="1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style="thin">
        <color indexed="8"/>
      </left>
      <right style="hair">
        <color indexed="8"/>
      </right>
      <top style="thin">
        <color indexed="8"/>
      </top>
      <bottom style="hair">
        <color indexed="55"/>
      </bottom>
      <diagonal/>
    </border>
    <border>
      <left style="hair">
        <color indexed="8"/>
      </left>
      <right style="thin">
        <color indexed="8"/>
      </right>
      <top style="thin">
        <color indexed="8"/>
      </top>
      <bottom style="hair">
        <color indexed="55"/>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8"/>
      </right>
      <top style="hair">
        <color indexed="55"/>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right style="thin">
        <color indexed="8"/>
      </right>
      <top style="thin">
        <color indexed="64"/>
      </top>
      <bottom/>
      <diagonal/>
    </border>
    <border>
      <left style="hair">
        <color indexed="8"/>
      </left>
      <right style="hair">
        <color indexed="8"/>
      </right>
      <top style="hair">
        <color indexed="55"/>
      </top>
      <bottom/>
      <diagonal/>
    </border>
    <border>
      <left style="thin">
        <color indexed="8"/>
      </left>
      <right style="hair">
        <color indexed="8"/>
      </right>
      <top style="hair">
        <color indexed="55"/>
      </top>
      <bottom/>
      <diagonal/>
    </border>
    <border>
      <left style="hair">
        <color indexed="8"/>
      </left>
      <right style="thin">
        <color indexed="8"/>
      </right>
      <top style="hair">
        <color indexed="55"/>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64"/>
      </left>
      <right style="thin">
        <color indexed="64"/>
      </right>
      <top style="thin">
        <color indexed="64"/>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s>
  <cellStyleXfs count="50">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4" fillId="0" borderId="0" applyNumberFormat="0" applyFill="0" applyBorder="0" applyAlignment="0" applyProtection="0"/>
    <xf numFmtId="181" fontId="56" fillId="0" borderId="0" applyFill="0" applyBorder="0" applyAlignment="0" applyProtection="0"/>
    <xf numFmtId="165"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2" fontId="56" fillId="0" borderId="0" applyFill="0" applyBorder="0" applyAlignment="0" applyProtection="0"/>
    <xf numFmtId="166" fontId="56" fillId="0" borderId="0" applyFill="0" applyBorder="0" applyAlignment="0" applyProtection="0"/>
  </cellStyleXfs>
  <cellXfs count="776">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0" fillId="0" borderId="13" xfId="0" applyBorder="1"/>
    <xf numFmtId="0" fontId="24" fillId="0" borderId="0" xfId="0" applyFont="1"/>
    <xf numFmtId="0" fontId="24" fillId="0" borderId="14" xfId="0" applyFont="1" applyBorder="1" applyAlignment="1">
      <alignment horizontal="left"/>
    </xf>
    <xf numFmtId="0" fontId="24" fillId="0" borderId="14" xfId="0" applyFont="1" applyBorder="1" applyAlignment="1">
      <alignment horizontal="center"/>
    </xf>
    <xf numFmtId="0" fontId="0" fillId="0" borderId="0" xfId="0" applyAlignment="1">
      <alignment horizontal="left"/>
    </xf>
    <xf numFmtId="0" fontId="0" fillId="0" borderId="15" xfId="0" applyBorder="1" applyAlignment="1">
      <alignment vertical="center"/>
    </xf>
    <xf numFmtId="0" fontId="0" fillId="16" borderId="16" xfId="0" applyFill="1" applyBorder="1" applyAlignment="1" applyProtection="1">
      <alignment vertical="center"/>
      <protection locked="0"/>
    </xf>
    <xf numFmtId="0" fontId="0" fillId="0" borderId="17" xfId="0" applyBorder="1" applyAlignment="1">
      <alignment vertical="center"/>
    </xf>
    <xf numFmtId="49" fontId="0" fillId="6" borderId="18" xfId="0" applyNumberFormat="1" applyFill="1" applyBorder="1" applyAlignment="1" applyProtection="1">
      <alignment vertical="center"/>
      <protection locked="0"/>
    </xf>
    <xf numFmtId="0" fontId="0" fillId="0" borderId="19" xfId="0" applyBorder="1" applyAlignment="1">
      <alignment vertical="center"/>
    </xf>
    <xf numFmtId="49" fontId="0" fillId="6" borderId="20" xfId="0" applyNumberFormat="1" applyFill="1" applyBorder="1" applyAlignment="1" applyProtection="1">
      <alignment vertical="center"/>
      <protection locked="0"/>
    </xf>
    <xf numFmtId="4" fontId="0" fillId="6" borderId="20" xfId="0" applyNumberFormat="1" applyFill="1" applyBorder="1" applyAlignment="1" applyProtection="1">
      <alignment horizontal="left" vertical="center"/>
      <protection locked="0"/>
    </xf>
    <xf numFmtId="10" fontId="0" fillId="6" borderId="20" xfId="0" applyNumberFormat="1" applyFill="1" applyBorder="1" applyAlignment="1" applyProtection="1">
      <alignment horizontal="left" vertical="center"/>
      <protection locked="0"/>
    </xf>
    <xf numFmtId="0" fontId="0" fillId="0" borderId="21" xfId="0" applyBorder="1" applyAlignment="1">
      <alignment vertical="center"/>
    </xf>
    <xf numFmtId="10" fontId="0" fillId="6" borderId="22"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3" xfId="0" applyBorder="1" applyAlignment="1">
      <alignment vertical="center"/>
    </xf>
    <xf numFmtId="49" fontId="0" fillId="6" borderId="24" xfId="0" applyNumberFormat="1" applyFill="1" applyBorder="1" applyAlignment="1" applyProtection="1">
      <alignment vertical="center" wrapText="1"/>
      <protection locked="0"/>
    </xf>
    <xf numFmtId="49" fontId="0" fillId="6" borderId="25" xfId="0" applyNumberFormat="1" applyFill="1" applyBorder="1" applyAlignment="1" applyProtection="1">
      <alignment vertical="center" wrapText="1"/>
      <protection locked="0"/>
    </xf>
    <xf numFmtId="0" fontId="0" fillId="16" borderId="25" xfId="0" applyFill="1" applyBorder="1" applyAlignment="1" applyProtection="1">
      <alignment vertical="center"/>
      <protection locked="0"/>
    </xf>
    <xf numFmtId="0" fontId="0" fillId="0" borderId="26" xfId="0" applyBorder="1" applyAlignment="1">
      <alignment vertical="center"/>
    </xf>
    <xf numFmtId="167" fontId="0" fillId="6" borderId="22"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8" xfId="0" applyFill="1" applyBorder="1" applyAlignment="1" applyProtection="1">
      <alignment vertical="center"/>
      <protection locked="0"/>
    </xf>
    <xf numFmtId="14" fontId="0" fillId="6" borderId="22" xfId="0" applyNumberFormat="1" applyFill="1" applyBorder="1" applyAlignment="1" applyProtection="1">
      <alignment horizontal="left" vertical="center"/>
      <protection locked="0"/>
    </xf>
    <xf numFmtId="0" fontId="0" fillId="6" borderId="16" xfId="0" applyFill="1" applyBorder="1" applyAlignment="1" applyProtection="1">
      <alignment vertical="center"/>
      <protection locked="0"/>
    </xf>
    <xf numFmtId="0" fontId="0" fillId="6" borderId="22" xfId="0" applyFill="1" applyBorder="1" applyAlignment="1" applyProtection="1">
      <alignment vertical="center"/>
      <protection locked="0"/>
    </xf>
    <xf numFmtId="14" fontId="0" fillId="6" borderId="16" xfId="0" applyNumberFormat="1" applyFill="1" applyBorder="1" applyAlignment="1" applyProtection="1">
      <alignment horizontal="left" vertical="center"/>
      <protection locked="0"/>
    </xf>
    <xf numFmtId="167" fontId="0" fillId="6" borderId="27" xfId="0" applyNumberFormat="1" applyFill="1" applyBorder="1" applyAlignment="1" applyProtection="1">
      <alignment horizontal="left" vertical="center"/>
      <protection locked="0"/>
    </xf>
    <xf numFmtId="14" fontId="0" fillId="6" borderId="28" xfId="0" applyNumberFormat="1" applyFill="1" applyBorder="1" applyAlignment="1" applyProtection="1">
      <alignment horizontal="left" vertical="center"/>
      <protection locked="0"/>
    </xf>
    <xf numFmtId="49" fontId="0" fillId="6" borderId="16" xfId="0" applyNumberFormat="1" applyFill="1" applyBorder="1" applyAlignment="1" applyProtection="1">
      <alignment vertical="center"/>
      <protection locked="0"/>
    </xf>
    <xf numFmtId="49" fontId="0" fillId="6" borderId="28" xfId="0" applyNumberFormat="1" applyFill="1" applyBorder="1" applyAlignment="1" applyProtection="1">
      <alignment vertical="center"/>
      <protection locked="0"/>
    </xf>
    <xf numFmtId="49" fontId="0" fillId="6" borderId="22"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9" xfId="0" applyBorder="1"/>
    <xf numFmtId="0" fontId="27" fillId="0" borderId="30" xfId="0" applyFont="1" applyBorder="1" applyAlignment="1">
      <alignment horizontal="left" indent="1"/>
    </xf>
    <xf numFmtId="0" fontId="0" fillId="0" borderId="30"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1" xfId="0" applyBorder="1" applyAlignment="1">
      <alignment horizontal="center"/>
    </xf>
    <xf numFmtId="0" fontId="24" fillId="0" borderId="32" xfId="33" applyFont="1" applyBorder="1" applyAlignment="1">
      <alignment horizontal="center"/>
    </xf>
    <xf numFmtId="10" fontId="29" fillId="0" borderId="32" xfId="33" applyNumberFormat="1" applyFont="1" applyBorder="1" applyAlignment="1">
      <alignment horizontal="center"/>
    </xf>
    <xf numFmtId="0" fontId="24" fillId="0" borderId="31" xfId="35" applyFont="1" applyBorder="1" applyAlignment="1">
      <alignment horizontal="left" vertical="top"/>
    </xf>
    <xf numFmtId="0" fontId="0" fillId="0" borderId="14" xfId="33" applyFont="1" applyBorder="1" applyAlignment="1">
      <alignment horizontal="left" vertical="top" wrapText="1"/>
    </xf>
    <xf numFmtId="0" fontId="24" fillId="0" borderId="0" xfId="33" applyFont="1"/>
    <xf numFmtId="0" fontId="24" fillId="0" borderId="32" xfId="33" applyFont="1" applyBorder="1" applyAlignment="1">
      <alignment horizontal="center" vertical="center" wrapText="1"/>
    </xf>
    <xf numFmtId="0" fontId="8" fillId="0" borderId="0" xfId="33" applyFont="1" applyAlignment="1">
      <alignment horizontal="left"/>
    </xf>
    <xf numFmtId="0" fontId="30" fillId="0" borderId="32" xfId="33" applyFont="1" applyBorder="1" applyAlignment="1">
      <alignment horizontal="center" vertical="center"/>
    </xf>
    <xf numFmtId="10" fontId="30" fillId="6" borderId="32" xfId="33" applyNumberFormat="1" applyFont="1" applyFill="1" applyBorder="1" applyAlignment="1" applyProtection="1">
      <alignment horizontal="center" vertical="center"/>
      <protection locked="0"/>
    </xf>
    <xf numFmtId="10" fontId="30" fillId="0" borderId="32" xfId="33" applyNumberFormat="1" applyFont="1" applyBorder="1" applyAlignment="1">
      <alignment horizontal="center" vertical="center"/>
    </xf>
    <xf numFmtId="10" fontId="30" fillId="0" borderId="32" xfId="33" applyNumberFormat="1" applyFont="1" applyBorder="1" applyAlignment="1">
      <alignment horizontal="center" vertical="center" wrapText="1"/>
    </xf>
    <xf numFmtId="0" fontId="30" fillId="0" borderId="32" xfId="33" applyFont="1" applyBorder="1" applyAlignment="1">
      <alignment horizontal="center" vertical="center" wrapText="1"/>
    </xf>
    <xf numFmtId="0" fontId="30" fillId="8" borderId="32" xfId="33" applyFont="1" applyFill="1" applyBorder="1" applyAlignment="1">
      <alignment horizontal="center" vertical="center" wrapText="1"/>
    </xf>
    <xf numFmtId="10" fontId="17" fillId="8" borderId="32"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70"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8" fontId="0" fillId="0" borderId="0" xfId="33" applyNumberFormat="1" applyFont="1"/>
    <xf numFmtId="168"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10" fontId="0" fillId="0" borderId="0" xfId="0" applyNumberFormat="1"/>
    <xf numFmtId="0" fontId="24" fillId="0" borderId="31" xfId="35" applyFont="1" applyBorder="1" applyAlignment="1">
      <alignment vertical="top"/>
    </xf>
    <xf numFmtId="0" fontId="0" fillId="0" borderId="32" xfId="0" applyBorder="1"/>
    <xf numFmtId="0" fontId="0" fillId="0" borderId="32" xfId="0" applyBorder="1" applyProtection="1">
      <protection locked="0"/>
    </xf>
    <xf numFmtId="0" fontId="0" fillId="0" borderId="14" xfId="33" applyFont="1" applyBorder="1" applyAlignment="1">
      <alignment vertical="top" wrapText="1"/>
    </xf>
    <xf numFmtId="0" fontId="0" fillId="0" borderId="29"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3" xfId="35" applyFont="1" applyBorder="1" applyAlignment="1">
      <alignment horizontal="left" vertical="top"/>
    </xf>
    <xf numFmtId="0" fontId="24" fillId="0" borderId="0" xfId="35" applyFont="1" applyAlignment="1">
      <alignment horizontal="center" vertical="top"/>
    </xf>
    <xf numFmtId="0" fontId="24" fillId="0" borderId="31" xfId="35" applyFont="1" applyBorder="1" applyAlignment="1">
      <alignment horizontal="center" vertical="top"/>
    </xf>
    <xf numFmtId="171" fontId="0" fillId="0" borderId="14" xfId="33" applyNumberFormat="1" applyFont="1" applyBorder="1" applyAlignment="1">
      <alignment vertical="top" shrinkToFit="1"/>
    </xf>
    <xf numFmtId="0" fontId="0" fillId="0" borderId="30" xfId="33" applyFont="1" applyBorder="1" applyAlignment="1">
      <alignment horizontal="center" vertical="top" wrapText="1"/>
    </xf>
    <xf numFmtId="0" fontId="0" fillId="0" borderId="14" xfId="33" applyFont="1" applyBorder="1" applyAlignment="1">
      <alignment horizontal="center" vertical="top" wrapText="1"/>
    </xf>
    <xf numFmtId="10" fontId="0" fillId="0" borderId="0" xfId="0" applyNumberFormat="1" applyAlignment="1">
      <alignment vertical="center" wrapText="1"/>
    </xf>
    <xf numFmtId="0" fontId="42" fillId="0" borderId="34" xfId="0" applyFont="1" applyBorder="1" applyAlignment="1">
      <alignment horizontal="center" vertical="center" wrapText="1"/>
    </xf>
    <xf numFmtId="0" fontId="43" fillId="0" borderId="0" xfId="0" applyFont="1"/>
    <xf numFmtId="0" fontId="22" fillId="0" borderId="14" xfId="0" applyFont="1" applyBorder="1" applyAlignment="1">
      <alignment horizontal="center"/>
    </xf>
    <xf numFmtId="1" fontId="44" fillId="0" borderId="0" xfId="0" applyNumberFormat="1" applyFont="1" applyAlignment="1">
      <alignment horizontal="center" vertical="center"/>
    </xf>
    <xf numFmtId="0" fontId="24" fillId="0" borderId="32" xfId="0" applyFont="1" applyBorder="1" applyAlignment="1">
      <alignment horizontal="center" vertical="center" wrapText="1"/>
    </xf>
    <xf numFmtId="0" fontId="45" fillId="0" borderId="32" xfId="0" applyFont="1" applyBorder="1" applyAlignment="1">
      <alignment horizontal="center" vertical="center" wrapText="1"/>
    </xf>
    <xf numFmtId="0" fontId="24" fillId="0" borderId="32" xfId="0" applyFont="1" applyBorder="1" applyAlignment="1">
      <alignment horizontal="center" vertical="center"/>
    </xf>
    <xf numFmtId="0" fontId="24" fillId="0" borderId="35" xfId="0" applyFont="1" applyBorder="1" applyAlignment="1">
      <alignment horizontal="center" vertical="center" wrapText="1"/>
    </xf>
    <xf numFmtId="0" fontId="24" fillId="0" borderId="36" xfId="0" applyFont="1" applyBorder="1" applyAlignment="1">
      <alignment horizontal="center" vertical="center" wrapText="1"/>
    </xf>
    <xf numFmtId="0" fontId="24" fillId="0" borderId="0" xfId="0" applyFont="1" applyAlignment="1">
      <alignment horizontal="center" vertical="center" wrapText="1"/>
    </xf>
    <xf numFmtId="0" fontId="24" fillId="0" borderId="37" xfId="0" applyFont="1" applyBorder="1" applyAlignment="1">
      <alignment horizontal="center" vertical="center" wrapText="1"/>
    </xf>
    <xf numFmtId="0" fontId="39" fillId="0" borderId="0" xfId="0" applyFont="1" applyAlignment="1">
      <alignment horizontal="center"/>
    </xf>
    <xf numFmtId="0" fontId="8" fillId="16" borderId="38" xfId="0" applyFont="1" applyFill="1" applyBorder="1" applyAlignment="1" applyProtection="1">
      <alignment horizontal="center" vertical="center" wrapText="1"/>
      <protection locked="0"/>
    </xf>
    <xf numFmtId="0" fontId="8" fillId="0" borderId="38" xfId="0" applyFont="1" applyBorder="1" applyAlignment="1">
      <alignment horizontal="center" vertical="center" wrapText="1"/>
    </xf>
    <xf numFmtId="0" fontId="0" fillId="0" borderId="39" xfId="0" applyBorder="1" applyAlignment="1">
      <alignment vertical="center" wrapText="1" shrinkToFit="1"/>
    </xf>
    <xf numFmtId="49" fontId="0" fillId="16" borderId="40" xfId="0" applyNumberFormat="1" applyFill="1" applyBorder="1" applyAlignment="1" applyProtection="1">
      <alignment horizontal="center" vertical="center" wrapText="1"/>
      <protection locked="0"/>
    </xf>
    <xf numFmtId="49" fontId="0" fillId="6" borderId="40" xfId="0" applyNumberFormat="1" applyFill="1" applyBorder="1" applyAlignment="1" applyProtection="1">
      <alignment horizontal="center" vertical="center" wrapText="1"/>
      <protection locked="0"/>
    </xf>
    <xf numFmtId="0" fontId="0" fillId="6" borderId="40" xfId="0" applyFill="1" applyBorder="1" applyAlignment="1" applyProtection="1">
      <alignment horizontal="left" vertical="center" wrapText="1"/>
      <protection locked="0"/>
    </xf>
    <xf numFmtId="0" fontId="0" fillId="6" borderId="40" xfId="0" applyFill="1" applyBorder="1" applyAlignment="1" applyProtection="1">
      <alignment horizontal="center" vertical="center" wrapText="1"/>
      <protection locked="0"/>
    </xf>
    <xf numFmtId="172" fontId="0" fillId="0" borderId="40" xfId="48" applyFont="1" applyFill="1" applyBorder="1" applyAlignment="1" applyProtection="1">
      <alignment vertical="center" shrinkToFit="1"/>
    </xf>
    <xf numFmtId="172" fontId="0" fillId="6" borderId="40" xfId="48" applyFont="1" applyFill="1" applyBorder="1" applyAlignment="1" applyProtection="1">
      <alignment vertical="center" wrapText="1"/>
      <protection locked="0"/>
    </xf>
    <xf numFmtId="10" fontId="0" fillId="16" borderId="40" xfId="37" applyNumberFormat="1" applyFont="1" applyFill="1" applyBorder="1" applyAlignment="1" applyProtection="1">
      <alignment horizontal="center" vertical="center" wrapText="1"/>
      <protection locked="0"/>
    </xf>
    <xf numFmtId="172" fontId="0" fillId="0" borderId="41" xfId="48" applyFont="1" applyFill="1" applyBorder="1" applyAlignment="1" applyProtection="1">
      <alignment horizontal="center" vertical="center" shrinkToFit="1"/>
    </xf>
    <xf numFmtId="10" fontId="39" fillId="16" borderId="42" xfId="37" applyNumberFormat="1" applyFont="1" applyFill="1" applyBorder="1" applyAlignment="1" applyProtection="1">
      <alignment horizontal="center" vertical="center"/>
      <protection locked="0"/>
    </xf>
    <xf numFmtId="0" fontId="0" fillId="0" borderId="43" xfId="0" applyBorder="1"/>
    <xf numFmtId="0" fontId="0" fillId="0" borderId="44" xfId="0" applyBorder="1"/>
    <xf numFmtId="0" fontId="22" fillId="0" borderId="0" xfId="0" applyFont="1"/>
    <xf numFmtId="0" fontId="24" fillId="17" borderId="32" xfId="0" applyFont="1" applyFill="1" applyBorder="1" applyAlignment="1">
      <alignment horizontal="center" vertical="center"/>
    </xf>
    <xf numFmtId="49" fontId="24" fillId="17" borderId="45" xfId="0" applyNumberFormat="1" applyFont="1" applyFill="1" applyBorder="1" applyAlignment="1">
      <alignment horizontal="center" vertical="center"/>
    </xf>
    <xf numFmtId="172" fontId="24" fillId="17" borderId="45" xfId="48" applyFont="1" applyFill="1" applyBorder="1" applyAlignment="1" applyProtection="1">
      <alignment horizontal="center" vertical="center"/>
    </xf>
    <xf numFmtId="10" fontId="24" fillId="17" borderId="45" xfId="37" applyNumberFormat="1" applyFont="1" applyFill="1" applyBorder="1" applyAlignment="1" applyProtection="1">
      <alignment horizontal="center" vertical="center"/>
    </xf>
    <xf numFmtId="172" fontId="24" fillId="17" borderId="46" xfId="48" applyFont="1" applyFill="1" applyBorder="1" applyAlignment="1" applyProtection="1">
      <alignment horizontal="center" vertical="center" shrinkToFit="1"/>
    </xf>
    <xf numFmtId="172" fontId="21" fillId="17" borderId="46" xfId="48" applyFont="1" applyFill="1" applyBorder="1" applyAlignment="1" applyProtection="1">
      <alignment horizontal="center" vertical="center" shrinkToFit="1"/>
    </xf>
    <xf numFmtId="0" fontId="0" fillId="4" borderId="13" xfId="0" applyFill="1" applyBorder="1"/>
    <xf numFmtId="0" fontId="0" fillId="4" borderId="46" xfId="0" applyFill="1" applyBorder="1"/>
    <xf numFmtId="0" fontId="30" fillId="0" borderId="0" xfId="0" applyFont="1"/>
    <xf numFmtId="0" fontId="30" fillId="0" borderId="33"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8" fontId="0" fillId="0" borderId="30" xfId="0" applyNumberFormat="1" applyBorder="1" applyAlignment="1">
      <alignment horizontal="left"/>
    </xf>
    <xf numFmtId="0" fontId="17" fillId="0" borderId="30"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3"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7" xfId="33" applyFont="1" applyBorder="1" applyAlignment="1">
      <alignment vertical="top"/>
    </xf>
    <xf numFmtId="0" fontId="0" fillId="0" borderId="30" xfId="33" applyFont="1" applyBorder="1" applyAlignment="1">
      <alignment vertical="top" wrapText="1"/>
    </xf>
    <xf numFmtId="0" fontId="32" fillId="0" borderId="0" xfId="0" applyFont="1" applyAlignment="1">
      <alignment horizontal="center"/>
    </xf>
    <xf numFmtId="0" fontId="22" fillId="0" borderId="30" xfId="0" applyFont="1" applyBorder="1" applyAlignment="1">
      <alignment vertical="center" wrapText="1"/>
    </xf>
    <xf numFmtId="0" fontId="22" fillId="0" borderId="30" xfId="0" applyFont="1" applyBorder="1" applyAlignment="1">
      <alignment horizontal="right" vertical="center" wrapText="1"/>
    </xf>
    <xf numFmtId="0" fontId="47" fillId="0" borderId="0" xfId="0" applyFont="1"/>
    <xf numFmtId="1" fontId="44" fillId="0" borderId="0" xfId="0" applyNumberFormat="1" applyFont="1" applyAlignment="1">
      <alignment horizontal="left" textRotation="90" wrapText="1"/>
    </xf>
    <xf numFmtId="0" fontId="22" fillId="0" borderId="30" xfId="0" applyFont="1" applyBorder="1" applyAlignment="1">
      <alignment horizontal="center" vertical="center" wrapText="1"/>
    </xf>
    <xf numFmtId="0" fontId="0" fillId="6" borderId="48" xfId="0" applyFill="1" applyBorder="1" applyAlignment="1" applyProtection="1">
      <alignment horizontal="center" textRotation="90" wrapText="1"/>
      <protection locked="0"/>
    </xf>
    <xf numFmtId="0" fontId="0" fillId="6" borderId="49" xfId="0" applyFill="1" applyBorder="1" applyAlignment="1" applyProtection="1">
      <alignment horizontal="center" textRotation="90" wrapText="1"/>
      <protection locked="0"/>
    </xf>
    <xf numFmtId="0" fontId="0" fillId="0" borderId="37" xfId="0" applyBorder="1" applyAlignment="1">
      <alignment horizontal="center" textRotation="90" wrapText="1"/>
    </xf>
    <xf numFmtId="0" fontId="0" fillId="0" borderId="48" xfId="0" applyBorder="1" applyAlignment="1">
      <alignment horizontal="center" textRotation="90" wrapText="1"/>
    </xf>
    <xf numFmtId="0" fontId="0" fillId="0" borderId="49" xfId="0" applyBorder="1" applyAlignment="1">
      <alignment horizontal="center" textRotation="90" wrapText="1"/>
    </xf>
    <xf numFmtId="0" fontId="24" fillId="0" borderId="50" xfId="0" applyFont="1" applyBorder="1" applyAlignment="1">
      <alignment horizontal="center" vertical="center" wrapText="1"/>
    </xf>
    <xf numFmtId="0" fontId="24" fillId="0" borderId="51" xfId="0" applyFont="1" applyBorder="1" applyAlignment="1">
      <alignment horizontal="center" vertical="center" wrapText="1"/>
    </xf>
    <xf numFmtId="0" fontId="24" fillId="0" borderId="52"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0" fillId="0" borderId="40" xfId="0" applyBorder="1" applyAlignment="1">
      <alignment horizontal="left" vertical="center" wrapText="1"/>
    </xf>
    <xf numFmtId="0" fontId="0" fillId="0" borderId="40" xfId="0" applyBorder="1" applyAlignment="1">
      <alignment horizontal="center" vertical="center" wrapText="1"/>
    </xf>
    <xf numFmtId="0" fontId="0" fillId="16" borderId="42" xfId="48" applyNumberFormat="1" applyFont="1" applyFill="1" applyBorder="1" applyAlignment="1" applyProtection="1">
      <alignment horizontal="left" vertical="center"/>
      <protection locked="0"/>
    </xf>
    <xf numFmtId="0" fontId="47" fillId="0" borderId="0" xfId="0" applyFont="1" applyAlignment="1">
      <alignment horizontal="center"/>
    </xf>
    <xf numFmtId="0" fontId="21" fillId="0" borderId="36" xfId="48" applyNumberFormat="1" applyFont="1" applyFill="1" applyBorder="1" applyAlignment="1" applyProtection="1">
      <alignment horizontal="center" vertical="center" wrapText="1" shrinkToFit="1"/>
    </xf>
    <xf numFmtId="0" fontId="21" fillId="0" borderId="42" xfId="48" applyNumberFormat="1" applyFont="1" applyFill="1" applyBorder="1" applyAlignment="1" applyProtection="1">
      <alignment vertical="center" wrapText="1" shrinkToFit="1"/>
    </xf>
    <xf numFmtId="172" fontId="0" fillId="6" borderId="39" xfId="48" applyFont="1" applyFill="1" applyBorder="1" applyAlignment="1" applyProtection="1">
      <alignment vertical="center" shrinkToFit="1"/>
      <protection locked="0"/>
    </xf>
    <xf numFmtId="172" fontId="0" fillId="6" borderId="40" xfId="48" applyFont="1" applyFill="1" applyBorder="1" applyAlignment="1" applyProtection="1">
      <alignment vertical="center" shrinkToFit="1"/>
      <protection locked="0"/>
    </xf>
    <xf numFmtId="172" fontId="0" fillId="6" borderId="41" xfId="48" applyFont="1" applyFill="1" applyBorder="1" applyAlignment="1" applyProtection="1">
      <alignment vertical="center" shrinkToFit="1"/>
      <protection locked="0"/>
    </xf>
    <xf numFmtId="1" fontId="0" fillId="0" borderId="53" xfId="48" applyNumberFormat="1" applyFont="1" applyFill="1" applyBorder="1" applyAlignment="1" applyProtection="1">
      <alignment horizontal="center" vertical="center" shrinkToFit="1"/>
    </xf>
    <xf numFmtId="1" fontId="0" fillId="0" borderId="54" xfId="48" applyNumberFormat="1" applyFont="1" applyFill="1" applyBorder="1" applyAlignment="1" applyProtection="1">
      <alignment horizontal="center" vertical="center" shrinkToFit="1"/>
    </xf>
    <xf numFmtId="0" fontId="24" fillId="17" borderId="32" xfId="0" applyFont="1" applyFill="1" applyBorder="1" applyAlignment="1">
      <alignment horizontal="left" vertical="center"/>
    </xf>
    <xf numFmtId="0" fontId="24" fillId="14" borderId="32" xfId="0" applyFont="1" applyFill="1" applyBorder="1" applyAlignment="1">
      <alignment horizontal="center" vertical="center"/>
    </xf>
    <xf numFmtId="0" fontId="24" fillId="17" borderId="32" xfId="0" applyFont="1" applyFill="1" applyBorder="1" applyAlignment="1">
      <alignment horizontal="right" vertical="center"/>
    </xf>
    <xf numFmtId="4" fontId="24" fillId="17" borderId="55" xfId="0" applyNumberFormat="1" applyFont="1" applyFill="1" applyBorder="1" applyAlignment="1">
      <alignment horizontal="right" vertical="center" shrinkToFit="1"/>
    </xf>
    <xf numFmtId="4" fontId="24" fillId="17" borderId="56" xfId="0" applyNumberFormat="1" applyFont="1" applyFill="1" applyBorder="1" applyAlignment="1">
      <alignment horizontal="right" vertical="center" shrinkToFit="1"/>
    </xf>
    <xf numFmtId="4" fontId="24" fillId="17" borderId="57" xfId="0" applyNumberFormat="1" applyFont="1" applyFill="1" applyBorder="1" applyAlignment="1">
      <alignment horizontal="right" vertical="center" shrinkToFit="1"/>
    </xf>
    <xf numFmtId="4" fontId="24" fillId="17" borderId="37" xfId="0" applyNumberFormat="1" applyFont="1" applyFill="1" applyBorder="1" applyAlignment="1">
      <alignment horizontal="right" vertical="center" shrinkToFit="1"/>
    </xf>
    <xf numFmtId="0" fontId="24" fillId="17" borderId="37" xfId="0" applyFont="1" applyFill="1" applyBorder="1" applyAlignment="1">
      <alignment horizontal="right" vertical="center" shrinkToFit="1"/>
    </xf>
    <xf numFmtId="0" fontId="0" fillId="18" borderId="13" xfId="0" applyFill="1" applyBorder="1"/>
    <xf numFmtId="0" fontId="0" fillId="4" borderId="45" xfId="0" applyFill="1" applyBorder="1"/>
    <xf numFmtId="168" fontId="0" fillId="0" borderId="30" xfId="0" applyNumberFormat="1" applyBorder="1"/>
    <xf numFmtId="0" fontId="0" fillId="0" borderId="30" xfId="0" applyBorder="1"/>
    <xf numFmtId="0" fontId="0" fillId="0" borderId="0" xfId="33" applyFont="1" applyAlignment="1">
      <alignment vertical="center"/>
    </xf>
    <xf numFmtId="0" fontId="12" fillId="0" borderId="32" xfId="0" applyFont="1" applyBorder="1" applyAlignment="1">
      <alignment horizontal="center"/>
    </xf>
    <xf numFmtId="0" fontId="46" fillId="0" borderId="32" xfId="0" applyFont="1" applyBorder="1" applyAlignment="1">
      <alignment horizontal="center" vertical="center"/>
    </xf>
    <xf numFmtId="172" fontId="56" fillId="0" borderId="32" xfId="48" applyFill="1" applyBorder="1" applyAlignment="1" applyProtection="1"/>
    <xf numFmtId="0" fontId="46" fillId="18" borderId="32" xfId="0" applyFont="1" applyFill="1" applyBorder="1" applyAlignment="1">
      <alignment horizontal="center" vertical="center"/>
    </xf>
    <xf numFmtId="172" fontId="56" fillId="18" borderId="32" xfId="48" applyFill="1" applyBorder="1" applyAlignment="1" applyProtection="1"/>
    <xf numFmtId="0" fontId="0" fillId="18" borderId="45" xfId="0" applyFill="1" applyBorder="1"/>
    <xf numFmtId="0" fontId="0" fillId="18" borderId="46" xfId="0" applyFill="1" applyBorder="1"/>
    <xf numFmtId="0" fontId="46" fillId="0" borderId="0" xfId="34" applyFont="1" applyAlignment="1">
      <alignment horizontal="center"/>
    </xf>
    <xf numFmtId="0" fontId="46" fillId="0" borderId="0" xfId="34" applyFont="1"/>
    <xf numFmtId="166" fontId="0" fillId="0" borderId="0" xfId="49" applyFont="1" applyFill="1" applyBorder="1" applyAlignment="1" applyProtection="1">
      <alignment horizontal="center"/>
    </xf>
    <xf numFmtId="10" fontId="47" fillId="0" borderId="58" xfId="38" applyNumberFormat="1" applyFont="1" applyFill="1" applyBorder="1" applyAlignment="1" applyProtection="1">
      <alignment horizontal="center"/>
    </xf>
    <xf numFmtId="10" fontId="46" fillId="0" borderId="34" xfId="34" applyNumberFormat="1" applyFont="1" applyBorder="1" applyAlignment="1">
      <alignment horizontal="center"/>
    </xf>
    <xf numFmtId="173" fontId="46" fillId="0" borderId="59" xfId="34" applyNumberFormat="1" applyFont="1" applyBorder="1" applyAlignment="1">
      <alignment horizontal="left"/>
    </xf>
    <xf numFmtId="10" fontId="46" fillId="0" borderId="60" xfId="34" applyNumberFormat="1" applyFont="1" applyBorder="1" applyAlignment="1">
      <alignment horizontal="left"/>
    </xf>
    <xf numFmtId="1" fontId="46" fillId="0" borderId="60" xfId="34" applyNumberFormat="1" applyFont="1" applyBorder="1" applyAlignment="1">
      <alignment horizontal="center"/>
    </xf>
    <xf numFmtId="0" fontId="46" fillId="0" borderId="60" xfId="34" applyFont="1" applyBorder="1" applyAlignment="1">
      <alignment horizontal="center"/>
    </xf>
    <xf numFmtId="174" fontId="56" fillId="0" borderId="61" xfId="48" applyNumberFormat="1" applyFill="1" applyBorder="1" applyAlignment="1" applyProtection="1">
      <alignment horizontal="right" shrinkToFit="1"/>
    </xf>
    <xf numFmtId="174" fontId="0" fillId="0" borderId="34" xfId="48" applyNumberFormat="1" applyFont="1" applyFill="1" applyBorder="1" applyAlignment="1" applyProtection="1">
      <alignment horizontal="center" vertical="center"/>
    </xf>
    <xf numFmtId="10" fontId="47" fillId="0" borderId="62" xfId="38" applyNumberFormat="1" applyFont="1" applyFill="1" applyBorder="1" applyAlignment="1" applyProtection="1">
      <alignment horizontal="center"/>
    </xf>
    <xf numFmtId="10" fontId="47" fillId="0" borderId="63" xfId="38" applyNumberFormat="1" applyFont="1" applyFill="1" applyBorder="1" applyAlignment="1" applyProtection="1">
      <alignment horizontal="center"/>
    </xf>
    <xf numFmtId="0" fontId="46" fillId="0" borderId="31" xfId="34" applyFont="1" applyBorder="1" applyAlignment="1">
      <alignment horizontal="center"/>
    </xf>
    <xf numFmtId="0" fontId="46" fillId="0" borderId="64" xfId="34" applyFont="1" applyBorder="1"/>
    <xf numFmtId="0" fontId="32" fillId="0" borderId="64" xfId="34" applyFont="1" applyBorder="1"/>
    <xf numFmtId="0" fontId="46" fillId="0" borderId="64" xfId="34" applyFont="1" applyBorder="1" applyAlignment="1">
      <alignment horizontal="center"/>
    </xf>
    <xf numFmtId="166" fontId="0" fillId="0" borderId="64" xfId="49" applyFont="1" applyFill="1" applyBorder="1" applyAlignment="1" applyProtection="1">
      <alignment horizontal="right" shrinkToFit="1"/>
    </xf>
    <xf numFmtId="174" fontId="0" fillId="0" borderId="31" xfId="48" applyNumberFormat="1" applyFont="1" applyFill="1" applyBorder="1" applyAlignment="1" applyProtection="1">
      <alignment horizontal="center" vertical="center"/>
    </xf>
    <xf numFmtId="166" fontId="48" fillId="0" borderId="65" xfId="49" applyFont="1" applyFill="1" applyBorder="1" applyAlignment="1" applyProtection="1">
      <alignment horizontal="center"/>
    </xf>
    <xf numFmtId="0" fontId="46" fillId="0" borderId="14" xfId="34" applyFont="1" applyBorder="1" applyAlignment="1">
      <alignment horizontal="center"/>
    </xf>
    <xf numFmtId="166" fontId="48" fillId="0" borderId="0" xfId="49" applyFont="1" applyFill="1" applyBorder="1" applyAlignment="1" applyProtection="1">
      <alignment horizontal="center"/>
    </xf>
    <xf numFmtId="166" fontId="0" fillId="0" borderId="14" xfId="49" applyFont="1" applyFill="1" applyBorder="1" applyAlignment="1" applyProtection="1">
      <alignment horizontal="center"/>
    </xf>
    <xf numFmtId="166" fontId="48" fillId="0" borderId="56" xfId="49" applyFont="1" applyFill="1" applyBorder="1" applyAlignment="1" applyProtection="1">
      <alignment horizontal="center"/>
    </xf>
    <xf numFmtId="166" fontId="48" fillId="0" borderId="57" xfId="49" applyFont="1" applyFill="1" applyBorder="1" applyAlignment="1" applyProtection="1">
      <alignment horizontal="center"/>
    </xf>
    <xf numFmtId="166"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3" xfId="34" applyFont="1" applyBorder="1"/>
    <xf numFmtId="0" fontId="46" fillId="0" borderId="12" xfId="34" applyFont="1" applyBorder="1"/>
    <xf numFmtId="0" fontId="24" fillId="0" borderId="33" xfId="49" applyNumberFormat="1" applyFont="1" applyFill="1" applyBorder="1" applyAlignment="1" applyProtection="1">
      <alignment horizontal="left"/>
    </xf>
    <xf numFmtId="166" fontId="24" fillId="0" borderId="33" xfId="49" applyFont="1" applyFill="1" applyBorder="1" applyAlignment="1" applyProtection="1">
      <alignment horizontal="left"/>
    </xf>
    <xf numFmtId="166" fontId="0" fillId="0" borderId="12" xfId="49" applyFont="1" applyFill="1" applyBorder="1" applyAlignment="1" applyProtection="1">
      <alignment horizontal="center"/>
    </xf>
    <xf numFmtId="0" fontId="49" fillId="0" borderId="31" xfId="34" applyFont="1" applyBorder="1" applyAlignment="1">
      <alignment horizontal="center"/>
    </xf>
    <xf numFmtId="0" fontId="46" fillId="0" borderId="47" xfId="34" applyFont="1" applyBorder="1"/>
    <xf numFmtId="0" fontId="46" fillId="16" borderId="32" xfId="34" applyFont="1" applyFill="1" applyBorder="1" applyAlignment="1" applyProtection="1">
      <alignment horizontal="center"/>
      <protection locked="0"/>
    </xf>
    <xf numFmtId="0" fontId="46" fillId="0" borderId="30" xfId="34" applyFont="1" applyBorder="1"/>
    <xf numFmtId="0" fontId="49" fillId="0" borderId="50"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51" xfId="34" applyFont="1" applyBorder="1" applyAlignment="1" applyProtection="1">
      <alignment horizontal="center"/>
      <protection locked="0"/>
    </xf>
    <xf numFmtId="0" fontId="49" fillId="0" borderId="52" xfId="34" applyFont="1" applyBorder="1" applyAlignment="1">
      <alignment horizontal="center"/>
    </xf>
    <xf numFmtId="0" fontId="46" fillId="0" borderId="0" xfId="34" applyFont="1" applyAlignment="1">
      <alignment horizontal="center" wrapText="1"/>
    </xf>
    <xf numFmtId="175" fontId="49" fillId="0" borderId="55" xfId="34" applyNumberFormat="1" applyFont="1" applyBorder="1" applyAlignment="1">
      <alignment horizontal="center"/>
    </xf>
    <xf numFmtId="0" fontId="49" fillId="0" borderId="30" xfId="34" applyFont="1" applyBorder="1" applyAlignment="1">
      <alignment horizontal="left" vertical="center" wrapText="1"/>
    </xf>
    <xf numFmtId="0" fontId="46" fillId="0" borderId="30" xfId="34" applyFont="1" applyBorder="1" applyAlignment="1">
      <alignment horizontal="center" vertical="center"/>
    </xf>
    <xf numFmtId="0" fontId="46" fillId="0" borderId="30" xfId="34" applyFont="1" applyBorder="1" applyAlignment="1">
      <alignment horizontal="center" vertical="center" wrapText="1"/>
    </xf>
    <xf numFmtId="175" fontId="49" fillId="0" borderId="56" xfId="34" applyNumberFormat="1" applyFont="1" applyBorder="1" applyAlignment="1" applyProtection="1">
      <alignment horizontal="center"/>
      <protection locked="0"/>
    </xf>
    <xf numFmtId="175" fontId="49" fillId="0" borderId="57" xfId="34" applyNumberFormat="1" applyFont="1" applyBorder="1" applyAlignment="1">
      <alignment horizontal="center"/>
    </xf>
    <xf numFmtId="10" fontId="0" fillId="0" borderId="54" xfId="38" applyNumberFormat="1" applyFont="1" applyFill="1" applyBorder="1" applyAlignment="1" applyProtection="1"/>
    <xf numFmtId="0" fontId="46" fillId="8" borderId="34" xfId="34" applyFont="1" applyFill="1" applyBorder="1"/>
    <xf numFmtId="166" fontId="24" fillId="0" borderId="0" xfId="49" applyFont="1" applyFill="1" applyBorder="1" applyAlignment="1" applyProtection="1">
      <alignment horizontal="center" shrinkToFit="1"/>
    </xf>
    <xf numFmtId="166" fontId="0" fillId="8" borderId="66" xfId="49" applyFont="1" applyFill="1" applyBorder="1" applyAlignment="1" applyProtection="1">
      <alignment horizontal="center"/>
    </xf>
    <xf numFmtId="166" fontId="0" fillId="8" borderId="67" xfId="49" applyFont="1" applyFill="1" applyBorder="1" applyAlignment="1" applyProtection="1">
      <alignment horizontal="right"/>
    </xf>
    <xf numFmtId="10" fontId="0" fillId="8" borderId="53" xfId="38" applyNumberFormat="1" applyFont="1" applyFill="1" applyBorder="1" applyAlignment="1" applyProtection="1"/>
    <xf numFmtId="10" fontId="0" fillId="8" borderId="54" xfId="38" applyNumberFormat="1" applyFont="1" applyFill="1" applyBorder="1" applyAlignment="1" applyProtection="1"/>
    <xf numFmtId="10" fontId="0" fillId="8" borderId="68" xfId="38" applyNumberFormat="1" applyFont="1" applyFill="1" applyBorder="1" applyAlignment="1" applyProtection="1"/>
    <xf numFmtId="172" fontId="56" fillId="0" borderId="40" xfId="48" applyFill="1" applyBorder="1" applyAlignment="1" applyProtection="1">
      <alignment shrinkToFit="1"/>
    </xf>
    <xf numFmtId="0" fontId="46" fillId="8" borderId="31" xfId="34" applyFont="1" applyFill="1" applyBorder="1"/>
    <xf numFmtId="166" fontId="0" fillId="0" borderId="38" xfId="49" applyFont="1" applyFill="1" applyBorder="1" applyAlignment="1" applyProtection="1">
      <alignment horizontal="center"/>
    </xf>
    <xf numFmtId="166" fontId="0" fillId="0" borderId="69" xfId="49" applyFont="1" applyFill="1" applyBorder="1" applyAlignment="1" applyProtection="1">
      <alignment horizontal="right"/>
    </xf>
    <xf numFmtId="172" fontId="56" fillId="0" borderId="39" xfId="48" applyFill="1" applyBorder="1" applyAlignment="1" applyProtection="1">
      <alignment shrinkToFit="1"/>
    </xf>
    <xf numFmtId="172" fontId="56" fillId="0" borderId="41" xfId="48" applyFill="1" applyBorder="1" applyAlignment="1" applyProtection="1">
      <alignment shrinkToFit="1"/>
    </xf>
    <xf numFmtId="0" fontId="49" fillId="0" borderId="0" xfId="34" applyFont="1" applyAlignment="1">
      <alignment horizontal="left"/>
    </xf>
    <xf numFmtId="0" fontId="46" fillId="8" borderId="31" xfId="34" applyFont="1" applyFill="1" applyBorder="1" applyAlignment="1">
      <alignment horizontal="center"/>
    </xf>
    <xf numFmtId="166" fontId="0" fillId="8" borderId="38" xfId="49" applyFont="1" applyFill="1" applyBorder="1" applyAlignment="1" applyProtection="1">
      <alignment horizontal="center"/>
    </xf>
    <xf numFmtId="166" fontId="0" fillId="8" borderId="69" xfId="49" applyFont="1" applyFill="1" applyBorder="1" applyAlignment="1" applyProtection="1">
      <alignment horizontal="right"/>
    </xf>
    <xf numFmtId="172" fontId="56" fillId="8" borderId="39" xfId="48" applyFill="1" applyBorder="1" applyAlignment="1" applyProtection="1">
      <alignment shrinkToFit="1"/>
    </xf>
    <xf numFmtId="172" fontId="56" fillId="8" borderId="40" xfId="48" applyFill="1" applyBorder="1" applyAlignment="1" applyProtection="1">
      <alignment shrinkToFit="1"/>
    </xf>
    <xf numFmtId="172" fontId="56" fillId="8" borderId="41" xfId="48" applyFill="1" applyBorder="1" applyAlignment="1" applyProtection="1">
      <alignment shrinkToFit="1"/>
    </xf>
    <xf numFmtId="172" fontId="56" fillId="0" borderId="43" xfId="48" applyFill="1" applyBorder="1" applyAlignment="1" applyProtection="1">
      <alignment shrinkToFit="1"/>
    </xf>
    <xf numFmtId="166" fontId="0" fillId="0" borderId="59" xfId="49" applyFont="1" applyFill="1" applyBorder="1" applyAlignment="1" applyProtection="1">
      <alignment horizontal="center"/>
    </xf>
    <xf numFmtId="166" fontId="0" fillId="0" borderId="61" xfId="49" applyFont="1" applyFill="1" applyBorder="1" applyAlignment="1" applyProtection="1">
      <alignment horizontal="right"/>
    </xf>
    <xf numFmtId="172" fontId="56" fillId="0" borderId="70" xfId="48" applyFill="1" applyBorder="1" applyAlignment="1" applyProtection="1">
      <alignment shrinkToFit="1"/>
    </xf>
    <xf numFmtId="172" fontId="56" fillId="0" borderId="44" xfId="48" applyFill="1" applyBorder="1" applyAlignment="1" applyProtection="1">
      <alignment shrinkToFit="1"/>
    </xf>
    <xf numFmtId="166" fontId="24" fillId="0" borderId="71" xfId="49" applyFont="1" applyFill="1" applyBorder="1" applyAlignment="1" applyProtection="1">
      <alignment shrinkToFit="1"/>
    </xf>
    <xf numFmtId="0" fontId="46" fillId="8" borderId="14" xfId="34" applyFont="1" applyFill="1" applyBorder="1"/>
    <xf numFmtId="166" fontId="24" fillId="8" borderId="72" xfId="49" applyFont="1" applyFill="1" applyBorder="1" applyAlignment="1" applyProtection="1">
      <alignment horizontal="center"/>
    </xf>
    <xf numFmtId="166" fontId="24" fillId="8" borderId="73" xfId="49" applyFont="1" applyFill="1" applyBorder="1" applyAlignment="1" applyProtection="1">
      <alignment horizontal="right"/>
    </xf>
    <xf numFmtId="166" fontId="24" fillId="8" borderId="74" xfId="49" applyFont="1" applyFill="1" applyBorder="1" applyAlignment="1" applyProtection="1">
      <alignment shrinkToFit="1"/>
    </xf>
    <xf numFmtId="166" fontId="24" fillId="8" borderId="71" xfId="49" applyFont="1" applyFill="1" applyBorder="1" applyAlignment="1" applyProtection="1">
      <alignment shrinkToFit="1"/>
    </xf>
    <xf numFmtId="166" fontId="24" fillId="8" borderId="75" xfId="49" applyFont="1" applyFill="1" applyBorder="1" applyAlignment="1" applyProtection="1">
      <alignment shrinkToFit="1"/>
    </xf>
    <xf numFmtId="0" fontId="46" fillId="0" borderId="30" xfId="34" applyFont="1" applyBorder="1" applyAlignment="1">
      <alignment horizontal="center"/>
    </xf>
    <xf numFmtId="166" fontId="0" fillId="0" borderId="30" xfId="49" applyFont="1" applyFill="1" applyBorder="1" applyAlignment="1" applyProtection="1">
      <alignment horizontal="center"/>
    </xf>
    <xf numFmtId="0" fontId="0" fillId="0" borderId="40" xfId="0" applyBorder="1" applyAlignment="1">
      <alignment horizontal="center"/>
    </xf>
    <xf numFmtId="0" fontId="0" fillId="0" borderId="40" xfId="0" applyBorder="1" applyAlignment="1">
      <alignment horizontal="left"/>
    </xf>
    <xf numFmtId="1" fontId="0" fillId="6" borderId="40"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6"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6" xfId="0" applyFont="1" applyFill="1" applyBorder="1"/>
    <xf numFmtId="0" fontId="24" fillId="8" borderId="77" xfId="0" applyFont="1" applyFill="1" applyBorder="1"/>
    <xf numFmtId="0" fontId="24" fillId="8" borderId="78" xfId="0" applyFont="1" applyFill="1" applyBorder="1"/>
    <xf numFmtId="0" fontId="0" fillId="18" borderId="40" xfId="0" applyFill="1" applyBorder="1" applyAlignment="1">
      <alignment horizontal="center"/>
    </xf>
    <xf numFmtId="0" fontId="0" fillId="18" borderId="40" xfId="0" applyFill="1" applyBorder="1"/>
    <xf numFmtId="0" fontId="0" fillId="8" borderId="79" xfId="0" applyFill="1" applyBorder="1"/>
    <xf numFmtId="0" fontId="0" fillId="8" borderId="80" xfId="0" applyFill="1" applyBorder="1"/>
    <xf numFmtId="0" fontId="0" fillId="8" borderId="81" xfId="0" applyFill="1" applyBorder="1"/>
    <xf numFmtId="0" fontId="46" fillId="19" borderId="32"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3" xfId="0" applyBorder="1"/>
    <xf numFmtId="0" fontId="52" fillId="0" borderId="0" xfId="0" applyFont="1"/>
    <xf numFmtId="0" fontId="24" fillId="0" borderId="0" xfId="0" applyFont="1" applyAlignment="1">
      <alignment horizontal="right"/>
    </xf>
    <xf numFmtId="0" fontId="23" fillId="0" borderId="33" xfId="0" applyFont="1" applyBorder="1"/>
    <xf numFmtId="0" fontId="24" fillId="8" borderId="32" xfId="0" applyFont="1" applyFill="1" applyBorder="1" applyAlignment="1">
      <alignment horizontal="center"/>
    </xf>
    <xf numFmtId="0" fontId="24" fillId="0" borderId="34"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2" xfId="0" applyNumberFormat="1" applyBorder="1" applyAlignment="1">
      <alignment horizontal="center" vertical="center" wrapText="1"/>
    </xf>
    <xf numFmtId="0" fontId="24" fillId="0" borderId="31" xfId="0" applyFont="1" applyBorder="1"/>
    <xf numFmtId="0" fontId="0" fillId="0" borderId="14" xfId="0" applyBorder="1"/>
    <xf numFmtId="4" fontId="0" fillId="0" borderId="14" xfId="33" applyNumberFormat="1" applyFont="1" applyBorder="1" applyAlignment="1">
      <alignment vertical="top" wrapText="1"/>
    </xf>
    <xf numFmtId="0" fontId="0" fillId="0" borderId="0" xfId="33" applyFont="1" applyAlignment="1">
      <alignment vertical="top" wrapText="1"/>
    </xf>
    <xf numFmtId="0" fontId="21" fillId="0" borderId="34" xfId="0" applyFont="1" applyBorder="1" applyAlignment="1">
      <alignment horizontal="center"/>
    </xf>
    <xf numFmtId="179" fontId="0" fillId="0" borderId="47" xfId="0" applyNumberFormat="1" applyBorder="1" applyAlignment="1">
      <alignment horizontal="center" vertical="center"/>
    </xf>
    <xf numFmtId="179" fontId="0" fillId="0" borderId="14" xfId="0" applyNumberFormat="1" applyBorder="1" applyAlignment="1">
      <alignment horizontal="center" vertical="center"/>
    </xf>
    <xf numFmtId="180" fontId="24" fillId="0" borderId="39" xfId="0" applyNumberFormat="1" applyFont="1" applyBorder="1" applyAlignment="1">
      <alignment horizontal="center" vertical="center"/>
    </xf>
    <xf numFmtId="0" fontId="0" fillId="0" borderId="40" xfId="0" applyBorder="1" applyAlignment="1">
      <alignment horizontal="center" vertical="center"/>
    </xf>
    <xf numFmtId="179" fontId="0" fillId="0" borderId="38" xfId="0" applyNumberFormat="1" applyBorder="1" applyAlignment="1">
      <alignment horizontal="center" vertical="center"/>
    </xf>
    <xf numFmtId="179" fontId="0" fillId="0" borderId="79" xfId="0" applyNumberFormat="1" applyBorder="1" applyAlignment="1">
      <alignment horizontal="center" vertical="center"/>
    </xf>
    <xf numFmtId="179" fontId="0" fillId="0" borderId="69" xfId="0" applyNumberFormat="1" applyBorder="1" applyAlignment="1">
      <alignment horizontal="center" vertical="center"/>
    </xf>
    <xf numFmtId="179" fontId="0" fillId="0" borderId="42" xfId="0" applyNumberFormat="1" applyBorder="1" applyAlignment="1">
      <alignment horizontal="center" vertical="center"/>
    </xf>
    <xf numFmtId="179" fontId="0" fillId="6" borderId="70" xfId="0" applyNumberFormat="1" applyFill="1" applyBorder="1" applyAlignment="1" applyProtection="1">
      <alignment horizontal="center" vertical="center"/>
      <protection locked="0"/>
    </xf>
    <xf numFmtId="179" fontId="0" fillId="6" borderId="43" xfId="0" applyNumberFormat="1" applyFill="1" applyBorder="1" applyAlignment="1" applyProtection="1">
      <alignment horizontal="center" vertical="center"/>
      <protection locked="0"/>
    </xf>
    <xf numFmtId="179" fontId="0" fillId="6" borderId="44"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13" xfId="0" applyFont="1" applyBorder="1" applyAlignment="1">
      <alignment horizontal="center" vertical="center" wrapText="1"/>
    </xf>
    <xf numFmtId="0" fontId="24" fillId="0" borderId="45"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82" xfId="0" applyFill="1" applyBorder="1"/>
    <xf numFmtId="0" fontId="0" fillId="8" borderId="10" xfId="0" applyFill="1" applyBorder="1"/>
    <xf numFmtId="179" fontId="17" fillId="8" borderId="82" xfId="0" applyNumberFormat="1" applyFont="1" applyFill="1" applyBorder="1" applyAlignment="1">
      <alignment horizontal="center" vertical="center"/>
    </xf>
    <xf numFmtId="179" fontId="17" fillId="8" borderId="10" xfId="0" applyNumberFormat="1" applyFont="1" applyFill="1" applyBorder="1" applyAlignment="1">
      <alignment horizontal="center" vertical="center"/>
    </xf>
    <xf numFmtId="179" fontId="17" fillId="8" borderId="11" xfId="0" applyNumberFormat="1" applyFont="1" applyFill="1" applyBorder="1" applyAlignment="1">
      <alignment horizontal="center" vertical="center"/>
    </xf>
    <xf numFmtId="179" fontId="17" fillId="8" borderId="34" xfId="0" applyNumberFormat="1" applyFont="1" applyFill="1" applyBorder="1" applyAlignment="1">
      <alignment horizontal="center" vertical="center"/>
    </xf>
    <xf numFmtId="0" fontId="0" fillId="18" borderId="34" xfId="0" applyFill="1" applyBorder="1"/>
    <xf numFmtId="0" fontId="0" fillId="18" borderId="34" xfId="0" applyFill="1" applyBorder="1" applyAlignment="1">
      <alignment horizontal="center"/>
    </xf>
    <xf numFmtId="0" fontId="0" fillId="18" borderId="82"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7" xfId="0" applyFill="1" applyBorder="1"/>
    <xf numFmtId="0" fontId="0" fillId="8" borderId="30" xfId="0" applyFill="1" applyBorder="1"/>
    <xf numFmtId="182" fontId="8" fillId="8" borderId="47" xfId="0" applyNumberFormat="1" applyFont="1" applyFill="1" applyBorder="1" applyAlignment="1">
      <alignment horizontal="center"/>
    </xf>
    <xf numFmtId="182" fontId="8" fillId="8" borderId="30" xfId="0" applyNumberFormat="1" applyFont="1" applyFill="1" applyBorder="1" applyAlignment="1">
      <alignment horizontal="center"/>
    </xf>
    <xf numFmtId="182" fontId="8" fillId="8" borderId="29" xfId="0" applyNumberFormat="1" applyFont="1" applyFill="1" applyBorder="1" applyAlignment="1">
      <alignment horizontal="center"/>
    </xf>
    <xf numFmtId="182" fontId="8" fillId="8" borderId="14" xfId="0" applyNumberFormat="1" applyFont="1" applyFill="1" applyBorder="1" applyAlignment="1">
      <alignment horizontal="center"/>
    </xf>
    <xf numFmtId="0" fontId="0" fillId="18" borderId="14" xfId="0" applyFill="1" applyBorder="1"/>
    <xf numFmtId="0" fontId="0" fillId="18" borderId="14" xfId="0" applyFill="1" applyBorder="1" applyAlignment="1">
      <alignment horizontal="center"/>
    </xf>
    <xf numFmtId="0" fontId="0" fillId="18" borderId="47" xfId="0" applyFill="1" applyBorder="1"/>
    <xf numFmtId="0" fontId="0" fillId="18" borderId="30" xfId="0" applyFill="1" applyBorder="1" applyAlignment="1">
      <alignment horizontal="center"/>
    </xf>
    <xf numFmtId="0" fontId="0" fillId="18" borderId="30" xfId="0" applyFill="1" applyBorder="1"/>
    <xf numFmtId="0" fontId="0" fillId="18" borderId="29"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82" xfId="0" applyBorder="1"/>
    <xf numFmtId="0" fontId="37" fillId="0" borderId="0" xfId="0" applyFont="1" applyAlignment="1">
      <alignment horizontal="left" vertical="center" indent="12"/>
    </xf>
    <xf numFmtId="0" fontId="0" fillId="0" borderId="47" xfId="33" applyFont="1" applyBorder="1" applyAlignment="1">
      <alignment vertical="top" wrapText="1"/>
    </xf>
    <xf numFmtId="183" fontId="0" fillId="0" borderId="29" xfId="33" applyNumberFormat="1" applyFont="1" applyBorder="1" applyAlignment="1">
      <alignment horizontal="left" vertical="top" wrapText="1"/>
    </xf>
    <xf numFmtId="0" fontId="0" fillId="0" borderId="34" xfId="0" applyBorder="1"/>
    <xf numFmtId="0" fontId="0" fillId="0" borderId="31" xfId="0" applyBorder="1"/>
    <xf numFmtId="49" fontId="0" fillId="0" borderId="14" xfId="33" applyNumberFormat="1" applyFont="1" applyBorder="1" applyAlignment="1">
      <alignment vertical="top" wrapText="1"/>
    </xf>
    <xf numFmtId="0" fontId="23" fillId="0" borderId="47" xfId="0" applyFont="1" applyBorder="1"/>
    <xf numFmtId="14" fontId="24" fillId="6" borderId="37" xfId="0" applyNumberFormat="1" applyFont="1" applyFill="1" applyBorder="1" applyAlignment="1" applyProtection="1">
      <alignment horizontal="center" vertical="center" wrapText="1"/>
      <protection locked="0"/>
    </xf>
    <xf numFmtId="14" fontId="24" fillId="6" borderId="48" xfId="0" applyNumberFormat="1" applyFont="1" applyFill="1" applyBorder="1" applyAlignment="1" applyProtection="1">
      <alignment horizontal="center" vertical="center" wrapText="1"/>
      <protection locked="0"/>
    </xf>
    <xf numFmtId="14" fontId="24" fillId="6" borderId="49" xfId="0" applyNumberFormat="1" applyFont="1" applyFill="1" applyBorder="1" applyAlignment="1" applyProtection="1">
      <alignment horizontal="center" vertical="center" wrapText="1"/>
      <protection locked="0"/>
    </xf>
    <xf numFmtId="0" fontId="24" fillId="0" borderId="34" xfId="0" applyFont="1" applyBorder="1" applyAlignment="1">
      <alignment horizontal="center" vertical="center"/>
    </xf>
    <xf numFmtId="184" fontId="24" fillId="8" borderId="34" xfId="0" applyNumberFormat="1" applyFont="1" applyFill="1" applyBorder="1" applyAlignment="1">
      <alignment horizontal="center" vertical="center" wrapText="1"/>
    </xf>
    <xf numFmtId="172" fontId="0" fillId="0" borderId="38" xfId="48" applyFont="1" applyFill="1" applyBorder="1" applyAlignment="1" applyProtection="1">
      <alignment vertical="center" shrinkToFit="1"/>
    </xf>
    <xf numFmtId="172" fontId="0" fillId="0" borderId="69" xfId="48" applyFont="1" applyFill="1" applyBorder="1" applyAlignment="1" applyProtection="1">
      <alignment vertical="center" shrinkToFit="1"/>
    </xf>
    <xf numFmtId="172" fontId="0" fillId="0" borderId="39" xfId="48" applyFont="1" applyFill="1" applyBorder="1" applyAlignment="1" applyProtection="1">
      <alignment horizontal="center" vertical="center" shrinkToFit="1"/>
    </xf>
    <xf numFmtId="172" fontId="0" fillId="0" borderId="40" xfId="48" applyFont="1" applyFill="1" applyBorder="1" applyAlignment="1" applyProtection="1">
      <alignment horizontal="center" vertical="center" shrinkToFit="1"/>
    </xf>
    <xf numFmtId="172" fontId="0" fillId="6" borderId="39" xfId="48" applyFont="1" applyFill="1" applyBorder="1" applyAlignment="1" applyProtection="1">
      <protection locked="0"/>
    </xf>
    <xf numFmtId="172" fontId="0" fillId="6" borderId="41" xfId="48" applyFont="1" applyFill="1" applyBorder="1" applyAlignment="1" applyProtection="1">
      <protection locked="0"/>
    </xf>
    <xf numFmtId="166" fontId="0" fillId="0" borderId="40" xfId="0" applyNumberFormat="1" applyBorder="1"/>
    <xf numFmtId="172" fontId="24" fillId="17" borderId="14" xfId="48" applyFont="1" applyFill="1" applyBorder="1" applyAlignment="1" applyProtection="1">
      <alignment horizontal="center" vertical="center"/>
    </xf>
    <xf numFmtId="172" fontId="24" fillId="17" borderId="14" xfId="48" applyFont="1" applyFill="1" applyBorder="1" applyAlignment="1" applyProtection="1">
      <alignment horizontal="center" vertical="center" shrinkToFit="1"/>
    </xf>
    <xf numFmtId="0" fontId="0" fillId="17" borderId="42" xfId="0" applyFill="1" applyBorder="1"/>
    <xf numFmtId="0" fontId="0" fillId="17" borderId="35" xfId="0" applyFill="1" applyBorder="1"/>
    <xf numFmtId="0" fontId="0" fillId="17" borderId="64" xfId="0" applyFill="1" applyBorder="1"/>
    <xf numFmtId="0" fontId="0" fillId="17" borderId="83" xfId="0" applyFill="1" applyBorder="1"/>
    <xf numFmtId="0" fontId="23" fillId="0" borderId="0" xfId="0" applyFont="1" applyAlignment="1">
      <alignment horizontal="left" vertical="center" indent="15"/>
    </xf>
    <xf numFmtId="0" fontId="0" fillId="0" borderId="13" xfId="0" applyBorder="1" applyAlignment="1">
      <alignment horizontal="center" wrapText="1"/>
    </xf>
    <xf numFmtId="0" fontId="0" fillId="0" borderId="46" xfId="0" applyBorder="1" applyAlignment="1">
      <alignment horizontal="center" wrapText="1"/>
    </xf>
    <xf numFmtId="0" fontId="24" fillId="0" borderId="32" xfId="0" applyFont="1" applyBorder="1" applyAlignment="1">
      <alignment horizontal="right" vertical="center" wrapText="1"/>
    </xf>
    <xf numFmtId="185" fontId="24" fillId="0" borderId="32" xfId="31" applyNumberFormat="1" applyFont="1" applyFill="1" applyBorder="1" applyAlignment="1" applyProtection="1">
      <alignment horizontal="right" vertical="center" shrinkToFit="1"/>
    </xf>
    <xf numFmtId="0" fontId="24" fillId="0" borderId="12" xfId="35" applyFont="1" applyBorder="1"/>
    <xf numFmtId="0" fontId="0" fillId="0" borderId="29" xfId="0" applyBorder="1" applyAlignment="1">
      <alignment shrinkToFit="1"/>
    </xf>
    <xf numFmtId="0" fontId="0" fillId="0" borderId="31" xfId="33" applyFont="1" applyBorder="1" applyAlignment="1">
      <alignment vertical="top" wrapText="1"/>
    </xf>
    <xf numFmtId="4" fontId="0" fillId="0" borderId="14" xfId="33" applyNumberFormat="1" applyFont="1" applyBorder="1" applyAlignment="1">
      <alignment horizontal="left" vertical="top" wrapText="1"/>
    </xf>
    <xf numFmtId="4" fontId="0" fillId="0" borderId="47"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1" fontId="24" fillId="0" borderId="47" xfId="0" applyNumberFormat="1" applyFont="1" applyBorder="1" applyAlignment="1">
      <alignment horizontal="center"/>
    </xf>
    <xf numFmtId="10" fontId="24" fillId="0" borderId="29" xfId="0" applyNumberFormat="1" applyFont="1" applyBorder="1" applyAlignment="1">
      <alignment horizontal="center" shrinkToFit="1"/>
    </xf>
    <xf numFmtId="179" fontId="0" fillId="0" borderId="30" xfId="0" applyNumberFormat="1" applyBorder="1" applyAlignment="1">
      <alignment horizontal="center" vertical="center"/>
    </xf>
    <xf numFmtId="0" fontId="0" fillId="0" borderId="10" xfId="0" applyBorder="1" applyAlignment="1">
      <alignment wrapText="1"/>
    </xf>
    <xf numFmtId="0" fontId="0" fillId="0" borderId="40" xfId="0" applyBorder="1" applyAlignment="1">
      <alignment horizontal="left" vertical="top"/>
    </xf>
    <xf numFmtId="49" fontId="0" fillId="0" borderId="40" xfId="0" applyNumberFormat="1" applyBorder="1" applyAlignment="1">
      <alignment horizontal="center" vertical="center" wrapText="1"/>
    </xf>
    <xf numFmtId="0" fontId="0" fillId="0" borderId="41" xfId="0" applyBorder="1" applyAlignment="1">
      <alignment horizontal="center" vertical="center"/>
    </xf>
    <xf numFmtId="0" fontId="0" fillId="0" borderId="79" xfId="0" applyBorder="1" applyAlignment="1">
      <alignment horizontal="center" vertical="center"/>
    </xf>
    <xf numFmtId="179" fontId="0" fillId="0" borderId="0" xfId="0" applyNumberFormat="1" applyAlignment="1">
      <alignment horizontal="center" vertical="center"/>
    </xf>
    <xf numFmtId="10" fontId="0" fillId="0" borderId="69" xfId="0" applyNumberFormat="1" applyBorder="1" applyAlignment="1">
      <alignment horizontal="center" vertical="center"/>
    </xf>
    <xf numFmtId="0" fontId="0" fillId="0" borderId="33" xfId="0" applyBorder="1" applyAlignment="1">
      <alignment horizontal="center" vertical="center" wrapText="1"/>
    </xf>
    <xf numFmtId="182" fontId="8" fillId="8" borderId="84" xfId="0" applyNumberFormat="1" applyFont="1" applyFill="1" applyBorder="1" applyAlignment="1">
      <alignment horizontal="center"/>
    </xf>
    <xf numFmtId="182" fontId="8" fillId="8" borderId="85" xfId="0" applyNumberFormat="1" applyFont="1" applyFill="1" applyBorder="1" applyAlignment="1">
      <alignment horizontal="center"/>
    </xf>
    <xf numFmtId="182" fontId="8" fillId="8" borderId="66" xfId="0" applyNumberFormat="1" applyFont="1" applyFill="1" applyBorder="1" applyAlignment="1">
      <alignment horizontal="center"/>
    </xf>
    <xf numFmtId="182" fontId="8" fillId="8" borderId="67" xfId="0" applyNumberFormat="1" applyFont="1" applyFill="1" applyBorder="1" applyAlignment="1">
      <alignment horizontal="center"/>
    </xf>
    <xf numFmtId="0" fontId="0" fillId="18" borderId="33"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9" fontId="0" fillId="8" borderId="42" xfId="0" applyNumberFormat="1" applyFill="1" applyBorder="1" applyAlignment="1">
      <alignment horizontal="center" vertical="center"/>
    </xf>
    <xf numFmtId="179" fontId="0" fillId="8" borderId="38" xfId="0" applyNumberFormat="1" applyFill="1" applyBorder="1" applyAlignment="1">
      <alignment horizontal="center" vertical="center"/>
    </xf>
    <xf numFmtId="179" fontId="0" fillId="8" borderId="79" xfId="0" applyNumberFormat="1" applyFill="1" applyBorder="1" applyAlignment="1">
      <alignment horizontal="center" vertical="center"/>
    </xf>
    <xf numFmtId="179" fontId="0" fillId="8" borderId="69" xfId="0" applyNumberFormat="1" applyFill="1" applyBorder="1" applyAlignment="1">
      <alignment horizontal="center" vertical="center"/>
    </xf>
    <xf numFmtId="0" fontId="0" fillId="18" borderId="84" xfId="0" applyFill="1" applyBorder="1" applyAlignment="1">
      <alignment horizontal="right"/>
    </xf>
    <xf numFmtId="179" fontId="55" fillId="0" borderId="40" xfId="0" applyNumberFormat="1" applyFont="1" applyBorder="1"/>
    <xf numFmtId="179" fontId="0" fillId="0" borderId="86" xfId="0" applyNumberFormat="1" applyBorder="1" applyAlignment="1">
      <alignment horizontal="center" vertical="center"/>
    </xf>
    <xf numFmtId="179" fontId="0" fillId="0" borderId="59" xfId="0" applyNumberFormat="1" applyBorder="1" applyAlignment="1">
      <alignment horizontal="center" vertical="center"/>
    </xf>
    <xf numFmtId="179" fontId="0" fillId="0" borderId="60" xfId="0" applyNumberFormat="1" applyBorder="1" applyAlignment="1">
      <alignment horizontal="center" vertical="center"/>
    </xf>
    <xf numFmtId="179" fontId="0" fillId="0" borderId="61" xfId="0" applyNumberFormat="1" applyBorder="1" applyAlignment="1">
      <alignment horizontal="center" vertical="center"/>
    </xf>
    <xf numFmtId="0" fontId="0" fillId="18" borderId="87" xfId="0" applyFill="1" applyBorder="1" applyAlignment="1">
      <alignment horizontal="right"/>
    </xf>
    <xf numFmtId="179" fontId="17" fillId="8" borderId="32" xfId="0" applyNumberFormat="1" applyFont="1" applyFill="1" applyBorder="1" applyAlignment="1">
      <alignment horizontal="center" vertical="center"/>
    </xf>
    <xf numFmtId="179" fontId="17" fillId="8" borderId="13" xfId="0" applyNumberFormat="1" applyFont="1" applyFill="1" applyBorder="1" applyAlignment="1">
      <alignment horizontal="center" vertical="center"/>
    </xf>
    <xf numFmtId="179" fontId="17" fillId="8" borderId="45" xfId="0" applyNumberFormat="1" applyFont="1" applyFill="1" applyBorder="1" applyAlignment="1">
      <alignment horizontal="center" vertical="center"/>
    </xf>
    <xf numFmtId="179" fontId="17" fillId="8" borderId="46" xfId="0" applyNumberFormat="1" applyFont="1" applyFill="1" applyBorder="1" applyAlignment="1">
      <alignment horizontal="center" vertical="center"/>
    </xf>
    <xf numFmtId="179"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9" fontId="0" fillId="0" borderId="0" xfId="33" applyNumberFormat="1" applyFont="1" applyAlignment="1">
      <alignment horizontal="left"/>
    </xf>
    <xf numFmtId="172"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1" fontId="24" fillId="0" borderId="40" xfId="48" applyNumberFormat="1" applyFont="1" applyFill="1" applyBorder="1" applyAlignment="1" applyProtection="1">
      <alignment vertical="top" shrinkToFit="1"/>
    </xf>
    <xf numFmtId="181" fontId="24" fillId="0" borderId="71" xfId="48" applyNumberFormat="1" applyFont="1" applyFill="1" applyBorder="1" applyAlignment="1" applyProtection="1">
      <alignment horizontal="right" vertical="top" shrinkToFit="1"/>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30" xfId="33" applyFont="1" applyBorder="1"/>
    <xf numFmtId="0" fontId="59" fillId="0" borderId="0" xfId="0" applyFont="1" applyAlignment="1">
      <alignment horizontal="center"/>
    </xf>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59" fillId="0" borderId="0" xfId="0" applyFont="1" applyAlignment="1" applyProtection="1">
      <alignment horizontal="center" vertical="center"/>
      <protection locked="0"/>
    </xf>
    <xf numFmtId="0" fontId="0" fillId="3" borderId="0" xfId="0" applyFill="1" applyAlignment="1">
      <alignment vertical="center"/>
    </xf>
    <xf numFmtId="0" fontId="0" fillId="0" borderId="89" xfId="0" applyBorder="1"/>
    <xf numFmtId="0" fontId="0" fillId="0" borderId="90" xfId="0" applyBorder="1"/>
    <xf numFmtId="0" fontId="0" fillId="0" borderId="91" xfId="0" applyBorder="1"/>
    <xf numFmtId="0" fontId="0" fillId="0" borderId="92" xfId="0" applyBorder="1"/>
    <xf numFmtId="0" fontId="24" fillId="0" borderId="0" xfId="0" applyFont="1" applyAlignment="1">
      <alignment vertical="center"/>
    </xf>
    <xf numFmtId="0" fontId="0" fillId="0" borderId="93" xfId="0" applyBorder="1"/>
    <xf numFmtId="0" fontId="0" fillId="0" borderId="93" xfId="0" applyBorder="1" applyAlignment="1">
      <alignment vertical="center"/>
    </xf>
    <xf numFmtId="0" fontId="0" fillId="0" borderId="94" xfId="0" applyBorder="1"/>
    <xf numFmtId="0" fontId="0" fillId="0" borderId="95" xfId="0" applyBorder="1"/>
    <xf numFmtId="0" fontId="0" fillId="0" borderId="96" xfId="0" applyBorder="1"/>
    <xf numFmtId="0" fontId="59" fillId="0" borderId="0" xfId="0" applyFont="1"/>
    <xf numFmtId="0" fontId="0" fillId="0" borderId="45" xfId="0" applyBorder="1"/>
    <xf numFmtId="0" fontId="47" fillId="21" borderId="13" xfId="0" applyFont="1" applyFill="1" applyBorder="1"/>
    <xf numFmtId="0" fontId="0" fillId="21" borderId="13" xfId="0" applyFill="1" applyBorder="1"/>
    <xf numFmtId="0" fontId="0" fillId="21" borderId="45" xfId="0" applyFill="1" applyBorder="1"/>
    <xf numFmtId="0" fontId="0" fillId="21" borderId="46" xfId="0" applyFill="1" applyBorder="1"/>
    <xf numFmtId="0" fontId="0" fillId="21" borderId="32" xfId="0" applyFill="1" applyBorder="1"/>
    <xf numFmtId="0" fontId="0" fillId="21" borderId="32" xfId="0" applyFill="1" applyBorder="1" applyAlignment="1">
      <alignment horizontal="left"/>
    </xf>
    <xf numFmtId="0" fontId="0" fillId="21" borderId="32" xfId="0" applyFill="1" applyBorder="1" applyAlignment="1">
      <alignment horizontal="center"/>
    </xf>
    <xf numFmtId="0" fontId="24" fillId="6" borderId="14" xfId="0" applyFont="1" applyFill="1" applyBorder="1" applyAlignment="1" applyProtection="1">
      <alignment horizontal="center" vertical="center" wrapText="1"/>
      <protection locked="0"/>
    </xf>
    <xf numFmtId="0" fontId="24" fillId="6" borderId="29" xfId="0" applyFont="1" applyFill="1" applyBorder="1" applyAlignment="1" applyProtection="1">
      <alignment horizontal="center" vertical="center" wrapText="1"/>
      <protection locked="0"/>
    </xf>
    <xf numFmtId="0" fontId="0" fillId="22" borderId="13" xfId="0" applyFill="1" applyBorder="1"/>
    <xf numFmtId="0" fontId="0" fillId="22" borderId="46" xfId="0" applyFill="1" applyBorder="1"/>
    <xf numFmtId="0" fontId="0" fillId="22" borderId="45" xfId="0" applyFill="1" applyBorder="1"/>
    <xf numFmtId="0" fontId="0" fillId="23" borderId="32" xfId="0" applyFill="1" applyBorder="1"/>
    <xf numFmtId="172" fontId="21" fillId="17" borderId="32" xfId="48" applyFont="1" applyFill="1" applyBorder="1" applyAlignment="1" applyProtection="1">
      <alignment horizontal="center" vertical="center" shrinkToFit="1"/>
    </xf>
    <xf numFmtId="0" fontId="42" fillId="0" borderId="52" xfId="0" applyFont="1" applyBorder="1" applyAlignment="1">
      <alignment horizontal="center" vertical="center" wrapText="1"/>
    </xf>
    <xf numFmtId="172" fontId="0" fillId="0" borderId="39" xfId="48" applyFont="1" applyFill="1" applyBorder="1" applyAlignment="1" applyProtection="1">
      <alignment vertical="center" shrinkToFit="1"/>
    </xf>
    <xf numFmtId="10" fontId="0" fillId="0" borderId="41" xfId="48" applyNumberFormat="1" applyFont="1" applyFill="1" applyBorder="1" applyAlignment="1" applyProtection="1">
      <alignment vertical="center" shrinkToFit="1"/>
    </xf>
    <xf numFmtId="10" fontId="24" fillId="17" borderId="14" xfId="48" applyNumberFormat="1" applyFont="1" applyFill="1" applyBorder="1" applyAlignment="1" applyProtection="1">
      <alignment horizontal="center" vertical="center"/>
    </xf>
    <xf numFmtId="172" fontId="0" fillId="6" borderId="42" xfId="48" applyFont="1" applyFill="1" applyBorder="1" applyAlignment="1" applyProtection="1">
      <alignment vertical="center" wrapText="1"/>
      <protection locked="0"/>
    </xf>
    <xf numFmtId="0" fontId="46" fillId="23" borderId="45" xfId="34" applyFont="1" applyFill="1" applyBorder="1"/>
    <xf numFmtId="0" fontId="46" fillId="21" borderId="0" xfId="34" applyFont="1" applyFill="1"/>
    <xf numFmtId="0" fontId="46" fillId="22" borderId="32" xfId="34" applyFont="1" applyFill="1" applyBorder="1" applyAlignment="1">
      <alignment horizontal="center"/>
    </xf>
    <xf numFmtId="0" fontId="46" fillId="22" borderId="13" xfId="34" applyFont="1" applyFill="1" applyBorder="1"/>
    <xf numFmtId="0" fontId="46" fillId="22" borderId="45" xfId="34" applyFont="1" applyFill="1" applyBorder="1"/>
    <xf numFmtId="0" fontId="46" fillId="24" borderId="45" xfId="34" applyFont="1" applyFill="1" applyBorder="1" applyAlignment="1">
      <alignment horizontal="center"/>
    </xf>
    <xf numFmtId="166" fontId="0" fillId="22" borderId="45" xfId="49" applyFont="1" applyFill="1" applyBorder="1" applyAlignment="1" applyProtection="1">
      <alignment horizontal="center"/>
    </xf>
    <xf numFmtId="0" fontId="46" fillId="22" borderId="46" xfId="34" applyFont="1" applyFill="1" applyBorder="1"/>
    <xf numFmtId="0" fontId="46" fillId="21" borderId="13" xfId="34" applyFont="1" applyFill="1" applyBorder="1" applyAlignment="1">
      <alignment horizontal="center"/>
    </xf>
    <xf numFmtId="0" fontId="46" fillId="21" borderId="46" xfId="34" applyFont="1" applyFill="1" applyBorder="1" applyAlignment="1">
      <alignment horizontal="center"/>
    </xf>
    <xf numFmtId="0" fontId="46" fillId="21" borderId="45" xfId="34" applyFont="1" applyFill="1" applyBorder="1" applyAlignment="1">
      <alignment horizontal="center"/>
    </xf>
    <xf numFmtId="0" fontId="0" fillId="21" borderId="37" xfId="0" applyFill="1" applyBorder="1"/>
    <xf numFmtId="0" fontId="0" fillId="21" borderId="48" xfId="0" applyFill="1" applyBorder="1"/>
    <xf numFmtId="0" fontId="0" fillId="21" borderId="49" xfId="0" applyFill="1" applyBorder="1"/>
    <xf numFmtId="172" fontId="0" fillId="6" borderId="40" xfId="48" applyFont="1" applyFill="1" applyBorder="1" applyAlignment="1" applyProtection="1">
      <protection locked="0"/>
    </xf>
    <xf numFmtId="1" fontId="0" fillId="6" borderId="0" xfId="0" applyNumberFormat="1" applyFill="1" applyAlignment="1" applyProtection="1">
      <alignment horizontal="center"/>
      <protection locked="0"/>
    </xf>
    <xf numFmtId="172" fontId="0" fillId="6" borderId="39" xfId="48" applyFont="1" applyFill="1" applyBorder="1" applyAlignment="1" applyProtection="1">
      <alignment vertical="center" wrapText="1"/>
      <protection locked="0"/>
    </xf>
    <xf numFmtId="10" fontId="24" fillId="17" borderId="74" xfId="48" applyNumberFormat="1" applyFont="1" applyFill="1" applyBorder="1" applyAlignment="1" applyProtection="1">
      <alignment horizontal="center" vertical="center"/>
    </xf>
    <xf numFmtId="172" fontId="24" fillId="17" borderId="74" xfId="48" applyFont="1" applyFill="1" applyBorder="1" applyAlignment="1" applyProtection="1">
      <alignment horizontal="center" vertical="center"/>
    </xf>
    <xf numFmtId="10" fontId="24" fillId="17" borderId="75" xfId="48" applyNumberFormat="1" applyFont="1" applyFill="1" applyBorder="1" applyAlignment="1" applyProtection="1">
      <alignment horizontal="center" vertical="center"/>
    </xf>
    <xf numFmtId="0" fontId="0" fillId="0" borderId="47" xfId="0" applyBorder="1" applyProtection="1">
      <protection locked="0"/>
    </xf>
    <xf numFmtId="185" fontId="0" fillId="0" borderId="0" xfId="0" applyNumberFormat="1"/>
    <xf numFmtId="10" fontId="47" fillId="0" borderId="97" xfId="38" applyNumberFormat="1" applyFont="1" applyFill="1" applyBorder="1" applyAlignment="1" applyProtection="1">
      <alignment horizontal="center"/>
      <protection locked="0"/>
    </xf>
    <xf numFmtId="0" fontId="30" fillId="0" borderId="0" xfId="0" applyFont="1" applyAlignment="1">
      <alignment horizontal="left" wrapText="1"/>
    </xf>
    <xf numFmtId="4" fontId="0" fillId="6" borderId="53" xfId="0" applyNumberFormat="1" applyFill="1" applyBorder="1" applyProtection="1">
      <protection locked="0"/>
    </xf>
    <xf numFmtId="4" fontId="0" fillId="6" borderId="68" xfId="0" applyNumberFormat="1" applyFill="1" applyBorder="1" applyProtection="1">
      <protection locked="0"/>
    </xf>
    <xf numFmtId="4" fontId="0" fillId="6" borderId="74" xfId="0" applyNumberFormat="1" applyFill="1" applyBorder="1" applyProtection="1">
      <protection locked="0"/>
    </xf>
    <xf numFmtId="4" fontId="0" fillId="6" borderId="75" xfId="0" applyNumberFormat="1" applyFill="1" applyBorder="1" applyProtection="1">
      <protection locked="0"/>
    </xf>
    <xf numFmtId="0" fontId="0" fillId="0" borderId="98" xfId="0" applyBorder="1" applyAlignment="1">
      <alignment horizontal="center"/>
    </xf>
    <xf numFmtId="0" fontId="0" fillId="0" borderId="99" xfId="0" applyBorder="1" applyAlignment="1">
      <alignment horizontal="center"/>
    </xf>
    <xf numFmtId="0" fontId="0" fillId="0" borderId="100" xfId="0" applyBorder="1" applyAlignment="1">
      <alignment horizontal="center"/>
    </xf>
    <xf numFmtId="0" fontId="24" fillId="0" borderId="64" xfId="0" applyFont="1" applyBorder="1"/>
    <xf numFmtId="0" fontId="0" fillId="6" borderId="37" xfId="0" applyFill="1" applyBorder="1" applyAlignment="1" applyProtection="1">
      <alignment horizontal="center" textRotation="90" wrapText="1"/>
      <protection locked="0"/>
    </xf>
    <xf numFmtId="172" fontId="0" fillId="0" borderId="37" xfId="48" applyFont="1" applyFill="1" applyBorder="1" applyAlignment="1" applyProtection="1">
      <alignment vertical="center" shrinkToFit="1"/>
    </xf>
    <xf numFmtId="172" fontId="0" fillId="0" borderId="48" xfId="48" applyFont="1" applyFill="1" applyBorder="1" applyAlignment="1" applyProtection="1">
      <alignment vertical="center" shrinkToFit="1"/>
    </xf>
    <xf numFmtId="172" fontId="0" fillId="0" borderId="49" xfId="48" applyFont="1" applyFill="1" applyBorder="1" applyAlignment="1" applyProtection="1">
      <alignment vertical="center" shrinkToFit="1"/>
    </xf>
    <xf numFmtId="186" fontId="0" fillId="0" borderId="40" xfId="48" applyNumberFormat="1" applyFont="1" applyFill="1" applyBorder="1" applyAlignment="1" applyProtection="1">
      <alignment vertical="center" shrinkToFit="1"/>
    </xf>
    <xf numFmtId="49" fontId="24" fillId="17" borderId="30" xfId="0" applyNumberFormat="1" applyFont="1" applyFill="1" applyBorder="1" applyAlignment="1">
      <alignment horizontal="center" vertical="center"/>
    </xf>
    <xf numFmtId="172" fontId="24" fillId="17" borderId="30" xfId="48" applyFont="1" applyFill="1" applyBorder="1" applyAlignment="1" applyProtection="1">
      <alignment horizontal="center" vertical="center"/>
    </xf>
    <xf numFmtId="172" fontId="24" fillId="17" borderId="29" xfId="48" applyFont="1" applyFill="1" applyBorder="1" applyAlignment="1" applyProtection="1">
      <alignment horizontal="center" vertical="center" shrinkToFit="1"/>
    </xf>
    <xf numFmtId="1" fontId="61" fillId="0" borderId="0" xfId="0" applyNumberFormat="1" applyFont="1" applyAlignment="1">
      <alignment horizontal="center" vertical="center"/>
    </xf>
    <xf numFmtId="187" fontId="0" fillId="0" borderId="30" xfId="0" applyNumberFormat="1" applyBorder="1" applyAlignment="1">
      <alignment horizontal="left"/>
    </xf>
    <xf numFmtId="0" fontId="17" fillId="0" borderId="95" xfId="33" applyFont="1" applyBorder="1" applyAlignment="1">
      <alignment vertical="center"/>
    </xf>
    <xf numFmtId="0" fontId="0" fillId="0" borderId="95" xfId="0" applyBorder="1" applyAlignment="1">
      <alignment horizontal="center"/>
    </xf>
    <xf numFmtId="0" fontId="46" fillId="0" borderId="95" xfId="34" applyFont="1" applyBorder="1" applyAlignment="1">
      <alignment horizontal="center"/>
    </xf>
    <xf numFmtId="0" fontId="0" fillId="0" borderId="41" xfId="0" applyBorder="1" applyAlignment="1">
      <alignment horizontal="center" vertical="center" wrapText="1"/>
    </xf>
    <xf numFmtId="166" fontId="0" fillId="6" borderId="40" xfId="0" applyNumberFormat="1" applyFill="1" applyBorder="1" applyAlignment="1" applyProtection="1">
      <alignment horizontal="center" vertical="center"/>
      <protection locked="0"/>
    </xf>
    <xf numFmtId="0" fontId="0" fillId="6" borderId="86" xfId="0" applyFill="1" applyBorder="1" applyAlignment="1" applyProtection="1">
      <alignment horizontal="left" vertical="center" wrapText="1"/>
      <protection locked="0"/>
    </xf>
    <xf numFmtId="49" fontId="0" fillId="6" borderId="70" xfId="0" applyNumberFormat="1" applyFill="1" applyBorder="1" applyAlignment="1" applyProtection="1">
      <alignment horizontal="center" vertical="center" wrapText="1"/>
      <protection locked="0"/>
    </xf>
    <xf numFmtId="49" fontId="0" fillId="16" borderId="101" xfId="0" applyNumberFormat="1" applyFill="1" applyBorder="1" applyAlignment="1" applyProtection="1">
      <alignment horizontal="center" vertical="center"/>
      <protection locked="0"/>
    </xf>
    <xf numFmtId="49" fontId="0" fillId="6" borderId="41" xfId="48" applyNumberFormat="1" applyFont="1" applyFill="1" applyBorder="1" applyAlignment="1" applyProtection="1">
      <alignment horizontal="left" vertical="center" wrapText="1" shrinkToFit="1"/>
      <protection locked="0"/>
    </xf>
    <xf numFmtId="49" fontId="24" fillId="17" borderId="32" xfId="0" applyNumberFormat="1" applyFont="1" applyFill="1" applyBorder="1" applyAlignment="1">
      <alignment horizontal="left" vertical="center"/>
    </xf>
    <xf numFmtId="0" fontId="28" fillId="0" borderId="102" xfId="0" applyFont="1" applyBorder="1"/>
    <xf numFmtId="0" fontId="27" fillId="0" borderId="90" xfId="0" applyFont="1" applyBorder="1" applyAlignment="1">
      <alignment horizontal="left" indent="1"/>
    </xf>
    <xf numFmtId="172" fontId="0" fillId="0" borderId="41" xfId="48" applyFont="1" applyFill="1" applyBorder="1" applyAlignment="1" applyProtection="1">
      <alignment vertical="center" shrinkToFit="1"/>
    </xf>
    <xf numFmtId="172" fontId="24" fillId="17" borderId="71" xfId="48" applyFont="1" applyFill="1" applyBorder="1" applyAlignment="1" applyProtection="1">
      <alignment horizontal="center" vertical="center" shrinkToFit="1"/>
    </xf>
    <xf numFmtId="172" fontId="24" fillId="17" borderId="75" xfId="48" applyFont="1" applyFill="1" applyBorder="1" applyAlignment="1" applyProtection="1">
      <alignment horizontal="center" vertical="center"/>
    </xf>
    <xf numFmtId="10" fontId="63" fillId="0" borderId="103" xfId="38" applyNumberFormat="1" applyFont="1" applyFill="1" applyBorder="1" applyAlignment="1" applyProtection="1">
      <alignment horizontal="center"/>
      <protection locked="0"/>
    </xf>
    <xf numFmtId="10" fontId="63" fillId="0" borderId="104" xfId="38" applyNumberFormat="1" applyFont="1" applyFill="1" applyBorder="1" applyAlignment="1" applyProtection="1">
      <alignment horizontal="center"/>
      <protection locked="0"/>
    </xf>
    <xf numFmtId="10" fontId="63" fillId="0" borderId="105" xfId="38" applyNumberFormat="1" applyFont="1" applyFill="1" applyBorder="1" applyAlignment="1" applyProtection="1">
      <alignment horizontal="center"/>
      <protection locked="0"/>
    </xf>
    <xf numFmtId="0" fontId="0" fillId="16" borderId="41" xfId="0" applyFill="1" applyBorder="1" applyAlignment="1" applyProtection="1">
      <alignment shrinkToFit="1"/>
      <protection locked="0"/>
    </xf>
    <xf numFmtId="0" fontId="0" fillId="0" borderId="106" xfId="0" applyBorder="1" applyAlignment="1">
      <alignment vertical="center"/>
    </xf>
    <xf numFmtId="0" fontId="0" fillId="16" borderId="107" xfId="0" applyFill="1" applyBorder="1" applyAlignment="1" applyProtection="1">
      <alignment vertical="center"/>
      <protection locked="0"/>
    </xf>
    <xf numFmtId="164" fontId="0" fillId="0" borderId="0" xfId="0" applyNumberFormat="1"/>
    <xf numFmtId="0" fontId="12" fillId="0" borderId="95" xfId="0" applyFont="1" applyBorder="1" applyAlignment="1">
      <alignment horizontal="left" indent="1"/>
    </xf>
    <xf numFmtId="0" fontId="28" fillId="0" borderId="91" xfId="0" applyFont="1" applyBorder="1"/>
    <xf numFmtId="0" fontId="57" fillId="25" borderId="88" xfId="30" applyFont="1" applyFill="1" applyBorder="1" applyAlignment="1">
      <alignment horizontal="center" vertical="center"/>
    </xf>
    <xf numFmtId="0" fontId="17" fillId="25" borderId="88" xfId="30" applyFont="1" applyFill="1" applyBorder="1" applyAlignment="1">
      <alignment horizontal="center" vertical="center"/>
    </xf>
    <xf numFmtId="0" fontId="23" fillId="25" borderId="88" xfId="30" applyFont="1" applyFill="1" applyBorder="1" applyAlignment="1">
      <alignment horizontal="center" vertical="center"/>
    </xf>
    <xf numFmtId="0" fontId="0" fillId="26" borderId="0" xfId="0" applyFill="1"/>
    <xf numFmtId="0" fontId="24" fillId="25" borderId="88"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93" xfId="0" applyFont="1" applyBorder="1" applyAlignment="1">
      <alignment horizontal="center" wrapText="1"/>
    </xf>
    <xf numFmtId="0" fontId="12" fillId="20" borderId="112" xfId="0" applyFont="1" applyFill="1" applyBorder="1" applyAlignment="1">
      <alignment horizontal="center" vertical="center"/>
    </xf>
    <xf numFmtId="0" fontId="49" fillId="0" borderId="114" xfId="0" applyFont="1" applyBorder="1" applyAlignment="1">
      <alignment horizontal="center"/>
    </xf>
    <xf numFmtId="168" fontId="0" fillId="0" borderId="0" xfId="0" applyNumberFormat="1" applyAlignment="1">
      <alignment horizontal="left"/>
    </xf>
    <xf numFmtId="187" fontId="67" fillId="0" borderId="0" xfId="0" applyNumberFormat="1" applyFon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6" fillId="0" borderId="0" xfId="0" applyFont="1"/>
    <xf numFmtId="0" fontId="0" fillId="0" borderId="100" xfId="0" applyBorder="1" applyAlignment="1">
      <alignment horizontal="center" wrapText="1"/>
    </xf>
    <xf numFmtId="168" fontId="0" fillId="0" borderId="95" xfId="0" applyNumberFormat="1" applyBorder="1"/>
    <xf numFmtId="187" fontId="0" fillId="0" borderId="95" xfId="0" applyNumberFormat="1" applyBorder="1" applyAlignment="1">
      <alignment horizontal="left"/>
    </xf>
    <xf numFmtId="0" fontId="0" fillId="18" borderId="111" xfId="0" applyFill="1" applyBorder="1" applyAlignment="1">
      <alignment horizontal="center"/>
    </xf>
    <xf numFmtId="0" fontId="12" fillId="0" borderId="100" xfId="0" applyFont="1" applyBorder="1" applyAlignment="1">
      <alignment horizontal="center"/>
    </xf>
    <xf numFmtId="0" fontId="46" fillId="6" borderId="32" xfId="0" applyFont="1" applyFill="1" applyBorder="1" applyAlignment="1" applyProtection="1">
      <alignment horizontal="left" vertical="center"/>
      <protection locked="0"/>
    </xf>
    <xf numFmtId="0" fontId="46" fillId="18" borderId="32" xfId="0" applyFont="1" applyFill="1" applyBorder="1" applyAlignment="1">
      <alignment horizontal="left" vertical="center"/>
    </xf>
    <xf numFmtId="0" fontId="31" fillId="0" borderId="0" xfId="0" applyFont="1" applyAlignment="1">
      <alignment horizontal="left" vertical="top" wrapText="1"/>
    </xf>
    <xf numFmtId="0" fontId="12" fillId="0" borderId="32" xfId="0" applyFont="1" applyBorder="1"/>
    <xf numFmtId="0" fontId="0" fillId="0" borderId="0" xfId="0" applyAlignment="1">
      <alignment vertical="center" wrapText="1"/>
    </xf>
    <xf numFmtId="0" fontId="0" fillId="0" borderId="90" xfId="0" applyBorder="1"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5" xfId="0" applyFont="1" applyBorder="1" applyAlignment="1">
      <alignment horizontal="left" wrapText="1"/>
    </xf>
    <xf numFmtId="0" fontId="0" fillId="0" borderId="111" xfId="0" applyBorder="1" applyAlignment="1">
      <alignment horizontal="center" wrapText="1"/>
    </xf>
    <xf numFmtId="0" fontId="0" fillId="0" borderId="30" xfId="33" applyFont="1" applyBorder="1" applyAlignment="1">
      <alignment horizontal="left" vertical="top" wrapText="1"/>
    </xf>
    <xf numFmtId="172" fontId="56" fillId="18" borderId="111" xfId="48" applyFill="1" applyBorder="1" applyAlignment="1" applyProtection="1">
      <alignment horizontal="left" vertical="center" shrinkToFit="1"/>
    </xf>
    <xf numFmtId="172" fontId="56" fillId="0" borderId="111" xfId="48" applyBorder="1" applyAlignment="1" applyProtection="1">
      <alignment shrinkToFit="1"/>
    </xf>
    <xf numFmtId="0" fontId="69" fillId="0" borderId="31" xfId="35" applyFont="1" applyBorder="1" applyAlignment="1">
      <alignment horizontal="left" vertical="top"/>
    </xf>
    <xf numFmtId="0" fontId="0" fillId="0" borderId="47"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8" xfId="30" applyFont="1" applyFill="1" applyBorder="1" applyAlignment="1">
      <alignment horizontal="center" vertical="center"/>
    </xf>
    <xf numFmtId="0" fontId="66"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70" xfId="0" applyNumberFormat="1" applyFill="1" applyBorder="1" applyAlignment="1" applyProtection="1">
      <alignment horizontal="center" vertical="center"/>
      <protection locked="0"/>
    </xf>
    <xf numFmtId="0" fontId="18" fillId="0" borderId="32" xfId="0" applyFont="1" applyBorder="1" applyAlignment="1">
      <alignment horizontal="center" vertical="center"/>
    </xf>
    <xf numFmtId="0" fontId="19" fillId="20" borderId="0" xfId="0" applyFont="1" applyFill="1" applyAlignment="1">
      <alignment horizontal="center" vertical="center"/>
    </xf>
    <xf numFmtId="0" fontId="12" fillId="0" borderId="108" xfId="0" applyFont="1" applyBorder="1" applyAlignment="1">
      <alignment horizontal="center" vertical="center"/>
    </xf>
    <xf numFmtId="0" fontId="24" fillId="0" borderId="46" xfId="0" applyFont="1" applyBorder="1" applyAlignment="1">
      <alignment horizontal="center"/>
    </xf>
    <xf numFmtId="0" fontId="0" fillId="0" borderId="10" xfId="33" applyFont="1" applyBorder="1" applyAlignment="1">
      <alignment horizontal="left" vertical="center"/>
    </xf>
    <xf numFmtId="0" fontId="8" fillId="0" borderId="32" xfId="33" applyFont="1" applyBorder="1" applyAlignment="1">
      <alignment horizontal="left" vertical="center" wrapText="1"/>
    </xf>
    <xf numFmtId="49" fontId="0" fillId="6" borderId="32" xfId="33" applyNumberFormat="1" applyFont="1" applyFill="1" applyBorder="1" applyAlignment="1" applyProtection="1">
      <alignment horizontal="left" vertical="top" wrapText="1"/>
      <protection locked="0"/>
    </xf>
    <xf numFmtId="168" fontId="0" fillId="0" borderId="30" xfId="33" applyNumberFormat="1" applyFont="1" applyBorder="1" applyAlignment="1">
      <alignment horizontal="left"/>
    </xf>
    <xf numFmtId="187" fontId="0" fillId="0" borderId="30"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2" xfId="33" applyFont="1" applyBorder="1" applyAlignment="1">
      <alignment horizontal="center" vertical="center" wrapText="1"/>
    </xf>
    <xf numFmtId="4" fontId="17" fillId="0" borderId="32" xfId="33" applyNumberFormat="1" applyFont="1" applyBorder="1" applyAlignment="1">
      <alignment horizontal="center" vertical="center"/>
    </xf>
    <xf numFmtId="4" fontId="17" fillId="0" borderId="32" xfId="33" applyNumberFormat="1" applyFont="1" applyBorder="1" applyAlignment="1">
      <alignment horizontal="center" vertical="center" wrapText="1"/>
    </xf>
    <xf numFmtId="0" fontId="30" fillId="8" borderId="32"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2" xfId="33" applyFont="1" applyBorder="1" applyAlignment="1">
      <alignment horizontal="center" vertical="center"/>
    </xf>
    <xf numFmtId="0" fontId="17" fillId="0" borderId="32" xfId="33" applyFont="1" applyBorder="1" applyAlignment="1">
      <alignment horizontal="center" vertical="center"/>
    </xf>
    <xf numFmtId="0" fontId="24" fillId="0" borderId="31" xfId="35" applyFont="1" applyBorder="1" applyAlignment="1">
      <alignment horizontal="left" vertical="top"/>
    </xf>
    <xf numFmtId="165" fontId="8" fillId="16" borderId="14" xfId="32" applyFont="1" applyFill="1" applyBorder="1" applyAlignment="1" applyProtection="1">
      <alignment horizontal="left"/>
      <protection locked="0"/>
    </xf>
    <xf numFmtId="0" fontId="23" fillId="0" borderId="32" xfId="33" applyFont="1" applyBorder="1" applyAlignment="1">
      <alignment horizontal="center"/>
    </xf>
    <xf numFmtId="0" fontId="0" fillId="0" borderId="14" xfId="33" applyFont="1" applyBorder="1" applyAlignment="1">
      <alignment horizontal="left" vertical="top" wrapText="1"/>
    </xf>
    <xf numFmtId="0" fontId="0" fillId="0" borderId="31" xfId="0" applyBorder="1" applyAlignment="1">
      <alignment horizontal="center"/>
    </xf>
    <xf numFmtId="0" fontId="24" fillId="0" borderId="14" xfId="0" applyFont="1" applyBorder="1" applyAlignment="1">
      <alignment horizontal="center"/>
    </xf>
    <xf numFmtId="0" fontId="8" fillId="0" borderId="32" xfId="33" applyFont="1" applyBorder="1" applyAlignment="1">
      <alignment horizontal="left"/>
    </xf>
    <xf numFmtId="10" fontId="8" fillId="6" borderId="32" xfId="33" applyNumberFormat="1" applyFont="1" applyFill="1" applyBorder="1" applyAlignment="1" applyProtection="1">
      <alignment horizontal="center"/>
      <protection locked="0"/>
    </xf>
    <xf numFmtId="0" fontId="8" fillId="0" borderId="14" xfId="32" applyNumberFormat="1" applyFont="1" applyFill="1" applyBorder="1" applyAlignment="1" applyProtection="1">
      <alignment horizontal="left" wrapText="1"/>
    </xf>
    <xf numFmtId="0" fontId="8" fillId="0" borderId="32" xfId="33" applyFont="1" applyBorder="1" applyAlignment="1">
      <alignment horizontal="left" wrapText="1"/>
    </xf>
    <xf numFmtId="0" fontId="0" fillId="0" borderId="32" xfId="0" applyBorder="1" applyAlignment="1">
      <alignment horizontal="center"/>
    </xf>
    <xf numFmtId="0" fontId="24" fillId="0" borderId="33" xfId="35" applyFont="1" applyBorder="1" applyAlignment="1">
      <alignment horizontal="left" vertical="top"/>
    </xf>
    <xf numFmtId="0" fontId="62"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7" xfId="33" applyFont="1" applyBorder="1" applyAlignment="1">
      <alignment horizontal="left" vertical="top" wrapText="1"/>
    </xf>
    <xf numFmtId="187" fontId="0" fillId="0" borderId="0" xfId="0" applyNumberFormat="1" applyAlignment="1">
      <alignment horizontal="left"/>
    </xf>
    <xf numFmtId="0" fontId="24" fillId="17" borderId="13" xfId="0" applyFont="1" applyFill="1" applyBorder="1" applyAlignment="1">
      <alignment horizontal="left" vertical="center" wrapText="1"/>
    </xf>
    <xf numFmtId="0" fontId="30" fillId="0" borderId="32" xfId="0" applyFont="1" applyBorder="1" applyAlignment="1" applyProtection="1">
      <alignment horizontal="left" vertical="center"/>
      <protection locked="0"/>
    </xf>
    <xf numFmtId="0" fontId="30" fillId="6" borderId="14" xfId="0" applyFont="1" applyFill="1" applyBorder="1" applyAlignment="1" applyProtection="1">
      <alignment horizontal="left" vertical="top" wrapText="1"/>
      <protection locked="0"/>
    </xf>
    <xf numFmtId="0" fontId="17" fillId="0" borderId="32" xfId="0" applyFont="1" applyBorder="1" applyAlignment="1">
      <alignment horizontal="left" wrapText="1"/>
    </xf>
    <xf numFmtId="168" fontId="0" fillId="0" borderId="30" xfId="0" applyNumberFormat="1" applyBorder="1" applyAlignment="1">
      <alignment horizontal="left"/>
    </xf>
    <xf numFmtId="0" fontId="0" fillId="0" borderId="32" xfId="0" applyBorder="1" applyAlignment="1">
      <alignment horizontal="left" wrapText="1"/>
    </xf>
    <xf numFmtId="0" fontId="46" fillId="0" borderId="110" xfId="34" applyFont="1" applyBorder="1" applyAlignment="1">
      <alignment horizontal="left"/>
    </xf>
    <xf numFmtId="0" fontId="46" fillId="0" borderId="95" xfId="34" applyFont="1" applyBorder="1" applyAlignment="1">
      <alignment horizontal="left"/>
    </xf>
    <xf numFmtId="0" fontId="46" fillId="0" borderId="119" xfId="34" applyFont="1" applyBorder="1" applyAlignment="1">
      <alignment horizontal="left"/>
    </xf>
    <xf numFmtId="0" fontId="1" fillId="0" borderId="89" xfId="0" applyFont="1" applyBorder="1" applyAlignment="1">
      <alignment horizontal="center" vertical="center" wrapText="1"/>
    </xf>
    <xf numFmtId="0" fontId="1" fillId="0" borderId="92" xfId="0" applyFont="1" applyBorder="1" applyAlignment="1">
      <alignment horizontal="center" vertical="center" wrapText="1"/>
    </xf>
    <xf numFmtId="0" fontId="1" fillId="0" borderId="94" xfId="0" applyFont="1" applyBorder="1" applyAlignment="1">
      <alignment horizontal="center" vertical="center" wrapText="1"/>
    </xf>
    <xf numFmtId="0" fontId="0" fillId="16" borderId="117" xfId="0" applyFill="1" applyBorder="1" applyAlignment="1" applyProtection="1">
      <alignment horizontal="left" vertical="center"/>
      <protection locked="0"/>
    </xf>
    <xf numFmtId="0" fontId="0" fillId="16" borderId="118" xfId="0" applyFill="1" applyBorder="1" applyAlignment="1" applyProtection="1">
      <alignment horizontal="left" vertical="center"/>
      <protection locked="0"/>
    </xf>
    <xf numFmtId="0" fontId="31" fillId="0" borderId="0" xfId="0" applyFont="1" applyAlignment="1">
      <alignment horizontal="center" vertical="top" wrapText="1"/>
    </xf>
    <xf numFmtId="0" fontId="31" fillId="0" borderId="93" xfId="0" applyFont="1" applyBorder="1" applyAlignment="1">
      <alignment horizontal="center" vertical="top" wrapText="1"/>
    </xf>
    <xf numFmtId="0" fontId="24" fillId="17" borderId="32" xfId="0" applyFont="1" applyFill="1" applyBorder="1" applyAlignment="1">
      <alignment horizontal="left" vertical="center" wrapText="1"/>
    </xf>
    <xf numFmtId="0" fontId="23" fillId="0" borderId="0" xfId="0" applyFont="1" applyAlignment="1">
      <alignment horizontal="left" vertical="center" indent="10"/>
    </xf>
    <xf numFmtId="0" fontId="37" fillId="0" borderId="0" xfId="0" applyFont="1" applyAlignment="1">
      <alignment horizontal="left" vertical="center" indent="10"/>
    </xf>
    <xf numFmtId="187" fontId="67" fillId="0" borderId="30" xfId="0" applyNumberFormat="1" applyFont="1" applyBorder="1" applyAlignment="1">
      <alignment horizontal="left"/>
    </xf>
    <xf numFmtId="189" fontId="46" fillId="0" borderId="114" xfId="48" applyNumberFormat="1" applyFont="1" applyBorder="1" applyAlignment="1" applyProtection="1">
      <alignment horizontal="center" shrinkToFit="1"/>
    </xf>
    <xf numFmtId="189" fontId="46" fillId="0" borderId="116" xfId="48" applyNumberFormat="1" applyFont="1" applyBorder="1" applyAlignment="1" applyProtection="1">
      <alignment horizontal="center" shrinkToFit="1"/>
    </xf>
    <xf numFmtId="0" fontId="12" fillId="0" borderId="113" xfId="0" applyFont="1" applyBorder="1" applyAlignment="1">
      <alignment horizontal="right" vertical="center"/>
    </xf>
    <xf numFmtId="0" fontId="12" fillId="0" borderId="115" xfId="0" applyFont="1" applyBorder="1" applyAlignment="1">
      <alignment horizontal="right" vertical="center"/>
    </xf>
    <xf numFmtId="10" fontId="46" fillId="0" borderId="111" xfId="37" applyNumberFormat="1" applyFont="1" applyBorder="1" applyAlignment="1" applyProtection="1">
      <alignment horizontal="center"/>
    </xf>
    <xf numFmtId="10" fontId="46" fillId="0" borderId="114" xfId="37" applyNumberFormat="1" applyFont="1" applyBorder="1" applyAlignment="1" applyProtection="1">
      <alignment horizontal="center"/>
    </xf>
    <xf numFmtId="10" fontId="46" fillId="0" borderId="116" xfId="37" applyNumberFormat="1" applyFont="1" applyBorder="1" applyAlignment="1" applyProtection="1">
      <alignment horizontal="center"/>
    </xf>
    <xf numFmtId="189" fontId="46" fillId="0" borderId="111" xfId="48" applyNumberFormat="1" applyFont="1" applyBorder="1" applyAlignment="1" applyProtection="1">
      <alignment horizontal="center" shrinkToFit="1"/>
    </xf>
    <xf numFmtId="188" fontId="49" fillId="20" borderId="111"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0" fillId="0" borderId="94" xfId="0" applyBorder="1" applyAlignment="1">
      <alignment horizontal="center" wrapText="1"/>
    </xf>
    <xf numFmtId="0" fontId="0" fillId="0" borderId="95" xfId="0" applyBorder="1" applyAlignment="1">
      <alignment horizontal="center" wrapText="1"/>
    </xf>
    <xf numFmtId="0" fontId="0" fillId="0" borderId="96" xfId="0" applyBorder="1" applyAlignment="1">
      <alignment horizontal="center" wrapText="1"/>
    </xf>
    <xf numFmtId="0" fontId="46" fillId="0" borderId="96" xfId="34" applyFont="1" applyBorder="1" applyAlignment="1">
      <alignment horizontal="left"/>
    </xf>
    <xf numFmtId="187" fontId="0" fillId="0" borderId="30" xfId="0" applyNumberFormat="1" applyBorder="1" applyAlignment="1">
      <alignment horizontal="left"/>
    </xf>
    <xf numFmtId="0" fontId="46" fillId="0" borderId="47" xfId="34" applyFont="1" applyBorder="1" applyAlignment="1">
      <alignment horizontal="left"/>
    </xf>
    <xf numFmtId="166" fontId="24" fillId="0" borderId="46" xfId="49" applyFont="1" applyFill="1" applyBorder="1" applyAlignment="1" applyProtection="1">
      <alignment horizontal="center" vertical="center" wrapText="1"/>
    </xf>
    <xf numFmtId="174" fontId="24" fillId="0" borderId="32" xfId="48" applyNumberFormat="1" applyFont="1" applyFill="1" applyBorder="1" applyAlignment="1" applyProtection="1">
      <alignment horizontal="center" vertical="center"/>
    </xf>
    <xf numFmtId="166" fontId="0" fillId="0" borderId="14" xfId="49" applyFont="1" applyFill="1" applyBorder="1" applyAlignment="1" applyProtection="1">
      <alignment horizontal="left"/>
    </xf>
    <xf numFmtId="0" fontId="46" fillId="0" borderId="14" xfId="34" applyFont="1" applyBorder="1" applyAlignment="1">
      <alignment horizontal="left"/>
    </xf>
    <xf numFmtId="0" fontId="22" fillId="0" borderId="30" xfId="34" applyFont="1" applyBorder="1" applyAlignment="1">
      <alignment horizontal="center" vertical="center" wrapText="1"/>
    </xf>
    <xf numFmtId="0" fontId="46" fillId="0" borderId="0" xfId="34" applyFont="1" applyAlignment="1">
      <alignment horizontal="center" wrapText="1"/>
    </xf>
    <xf numFmtId="0" fontId="50" fillId="0" borderId="11" xfId="34" applyFont="1" applyBorder="1" applyAlignment="1">
      <alignment horizontal="left" vertical="top"/>
    </xf>
    <xf numFmtId="0" fontId="46" fillId="0" borderId="32" xfId="34" applyFont="1" applyBorder="1" applyAlignment="1">
      <alignment horizontal="center" wrapText="1"/>
    </xf>
    <xf numFmtId="0" fontId="49" fillId="0" borderId="13" xfId="34" applyFont="1" applyBorder="1" applyAlignment="1">
      <alignment horizontal="center" vertical="center" wrapText="1"/>
    </xf>
    <xf numFmtId="0" fontId="49" fillId="0" borderId="45" xfId="34" applyFont="1" applyBorder="1" applyAlignment="1">
      <alignment horizontal="left" vertical="center" wrapText="1"/>
    </xf>
    <xf numFmtId="0" fontId="24" fillId="0" borderId="0" xfId="0" applyFont="1" applyAlignment="1">
      <alignment horizontal="center" wrapText="1"/>
    </xf>
    <xf numFmtId="0" fontId="0" fillId="0" borderId="0" xfId="0" applyAlignment="1">
      <alignment horizontal="center" wrapText="1"/>
    </xf>
    <xf numFmtId="0" fontId="24" fillId="8" borderId="46" xfId="0" applyFont="1" applyFill="1" applyBorder="1" applyAlignment="1">
      <alignment horizontal="center" vertical="center"/>
    </xf>
    <xf numFmtId="0" fontId="53" fillId="0" borderId="13" xfId="0" applyFont="1" applyBorder="1" applyAlignment="1">
      <alignment horizontal="center" vertical="center" wrapText="1"/>
    </xf>
    <xf numFmtId="0" fontId="22" fillId="0" borderId="0" xfId="0" applyFont="1" applyAlignment="1">
      <alignment horizontal="center" vertical="center" wrapText="1"/>
    </xf>
    <xf numFmtId="4" fontId="24" fillId="0" borderId="33" xfId="0" applyNumberFormat="1" applyFont="1" applyBorder="1" applyAlignment="1">
      <alignment horizontal="left"/>
    </xf>
    <xf numFmtId="0" fontId="24" fillId="0" borderId="31" xfId="35" applyFont="1" applyBorder="1" applyAlignment="1">
      <alignment horizontal="center"/>
    </xf>
    <xf numFmtId="49" fontId="0" fillId="0" borderId="47" xfId="0" applyNumberFormat="1" applyBorder="1" applyAlignment="1">
      <alignment horizontal="left"/>
    </xf>
    <xf numFmtId="177" fontId="24" fillId="8" borderId="32" xfId="0" applyNumberFormat="1" applyFont="1" applyFill="1" applyBorder="1" applyAlignment="1">
      <alignment horizontal="center" shrinkToFit="1"/>
    </xf>
    <xf numFmtId="10" fontId="56" fillId="0" borderId="82" xfId="37" applyNumberFormat="1" applyFill="1" applyBorder="1" applyAlignment="1" applyProtection="1">
      <alignment horizontal="center"/>
    </xf>
    <xf numFmtId="10" fontId="56" fillId="0" borderId="10" xfId="37" applyNumberFormat="1" applyFill="1" applyBorder="1" applyAlignment="1" applyProtection="1">
      <alignment horizontal="center"/>
    </xf>
    <xf numFmtId="10" fontId="56" fillId="0" borderId="34" xfId="37" applyNumberFormat="1" applyFill="1" applyBorder="1" applyAlignment="1" applyProtection="1">
      <alignment horizontal="center"/>
    </xf>
    <xf numFmtId="178" fontId="56" fillId="0" borderId="14" xfId="48" applyNumberFormat="1" applyFill="1" applyBorder="1" applyAlignment="1" applyProtection="1">
      <alignment horizontal="center" shrinkToFit="1"/>
    </xf>
    <xf numFmtId="14" fontId="0" fillId="6" borderId="48" xfId="0" applyNumberFormat="1" applyFill="1" applyBorder="1" applyAlignment="1" applyProtection="1">
      <alignment horizontal="center"/>
      <protection locked="0"/>
    </xf>
    <xf numFmtId="0" fontId="0" fillId="0" borderId="40" xfId="0" applyBorder="1" applyAlignment="1">
      <alignment horizontal="left"/>
    </xf>
    <xf numFmtId="178" fontId="56" fillId="0" borderId="30" xfId="48" applyNumberFormat="1" applyFill="1" applyBorder="1" applyAlignment="1" applyProtection="1">
      <alignment horizontal="center" shrinkToFit="1"/>
    </xf>
    <xf numFmtId="14" fontId="0" fillId="6" borderId="37" xfId="0" applyNumberFormat="1" applyFill="1" applyBorder="1" applyAlignment="1" applyProtection="1">
      <alignment horizontal="center"/>
      <protection locked="0"/>
    </xf>
    <xf numFmtId="10" fontId="56" fillId="0" borderId="31" xfId="37" applyNumberFormat="1" applyFill="1" applyBorder="1" applyAlignment="1" applyProtection="1">
      <alignment horizontal="center"/>
    </xf>
    <xf numFmtId="10" fontId="56" fillId="0" borderId="0" xfId="37" applyNumberFormat="1" applyFill="1" applyBorder="1" applyAlignment="1" applyProtection="1">
      <alignment horizontal="center"/>
    </xf>
    <xf numFmtId="0" fontId="24" fillId="0" borderId="32" xfId="0" applyFont="1" applyBorder="1" applyAlignment="1">
      <alignment horizontal="right" vertical="center"/>
    </xf>
    <xf numFmtId="178" fontId="56" fillId="0" borderId="47" xfId="48" applyNumberFormat="1" applyFill="1" applyBorder="1" applyAlignment="1" applyProtection="1">
      <alignment horizontal="center" shrinkToFit="1"/>
    </xf>
    <xf numFmtId="10" fontId="56" fillId="0" borderId="33" xfId="37" applyNumberFormat="1" applyFill="1" applyBorder="1" applyAlignment="1" applyProtection="1">
      <alignment horizontal="center"/>
    </xf>
    <xf numFmtId="0" fontId="49" fillId="0" borderId="31" xfId="34" applyFont="1" applyBorder="1" applyAlignment="1">
      <alignment horizontal="center"/>
    </xf>
    <xf numFmtId="0" fontId="46" fillId="0" borderId="14" xfId="34" applyFont="1" applyBorder="1" applyAlignment="1">
      <alignment horizontal="center"/>
    </xf>
    <xf numFmtId="10" fontId="23" fillId="0" borderId="14" xfId="37" applyNumberFormat="1" applyFont="1" applyFill="1" applyBorder="1" applyAlignment="1" applyProtection="1">
      <alignment horizontal="center"/>
    </xf>
    <xf numFmtId="0" fontId="60" fillId="0" borderId="109" xfId="0" applyFont="1" applyBorder="1" applyAlignment="1">
      <alignment horizontal="center" vertical="top" wrapText="1"/>
    </xf>
    <xf numFmtId="0" fontId="23" fillId="6" borderId="14" xfId="0" applyFont="1" applyFill="1" applyBorder="1" applyAlignment="1" applyProtection="1">
      <alignment horizontal="center"/>
      <protection locked="0"/>
    </xf>
    <xf numFmtId="0" fontId="23" fillId="0" borderId="14" xfId="0" applyFont="1" applyBorder="1" applyAlignment="1">
      <alignment horizontal="center"/>
    </xf>
    <xf numFmtId="0" fontId="0" fillId="18" borderId="40" xfId="0" applyFill="1" applyBorder="1"/>
    <xf numFmtId="14" fontId="0" fillId="6" borderId="49" xfId="0" applyNumberFormat="1" applyFill="1" applyBorder="1" applyAlignment="1" applyProtection="1">
      <alignment horizontal="center"/>
      <protection locked="0"/>
    </xf>
    <xf numFmtId="0" fontId="24" fillId="8" borderId="32" xfId="0" applyFont="1" applyFill="1" applyBorder="1" applyAlignment="1">
      <alignment horizontal="center"/>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30" xfId="33" applyFont="1" applyBorder="1" applyAlignment="1">
      <alignment horizontal="center" vertical="center"/>
    </xf>
    <xf numFmtId="0" fontId="0" fillId="0" borderId="0" xfId="0" applyAlignment="1">
      <alignment horizontal="left" wrapText="1"/>
    </xf>
    <xf numFmtId="172" fontId="24" fillId="8" borderId="14" xfId="48" applyFont="1" applyFill="1" applyBorder="1" applyAlignment="1" applyProtection="1">
      <alignment horizontal="center" vertical="center" shrinkToFit="1"/>
    </xf>
    <xf numFmtId="0" fontId="30" fillId="0" borderId="31" xfId="0" applyFont="1" applyBorder="1" applyAlignment="1">
      <alignment horizontal="left" vertical="center"/>
    </xf>
    <xf numFmtId="0" fontId="0" fillId="0" borderId="31" xfId="0" applyBorder="1" applyAlignment="1">
      <alignment horizontal="left"/>
    </xf>
    <xf numFmtId="0" fontId="0" fillId="6" borderId="14" xfId="0" applyFill="1" applyBorder="1" applyAlignment="1" applyProtection="1">
      <alignment horizontal="left" vertical="top"/>
      <protection locked="0"/>
    </xf>
    <xf numFmtId="0" fontId="24" fillId="17" borderId="47" xfId="0" applyFont="1" applyFill="1" applyBorder="1" applyAlignment="1">
      <alignment horizontal="left" vertical="center" wrapText="1"/>
    </xf>
    <xf numFmtId="0" fontId="23" fillId="6" borderId="33" xfId="0" applyFont="1" applyFill="1" applyBorder="1" applyAlignment="1">
      <alignment horizontal="left"/>
    </xf>
    <xf numFmtId="0" fontId="31" fillId="0" borderId="0" xfId="0" applyFont="1" applyAlignment="1">
      <alignment horizontal="right" vertical="center" wrapText="1"/>
    </xf>
    <xf numFmtId="166" fontId="23" fillId="0" borderId="0" xfId="0" applyNumberFormat="1" applyFont="1" applyAlignment="1">
      <alignment horizontal="right" vertical="top"/>
    </xf>
    <xf numFmtId="0" fontId="0" fillId="0" borderId="14" xfId="0" applyBorder="1" applyAlignment="1">
      <alignment horizontal="center"/>
    </xf>
    <xf numFmtId="0" fontId="24" fillId="0" borderId="33"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3"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7" xfId="0" applyFont="1" applyFill="1" applyBorder="1" applyAlignment="1" applyProtection="1">
      <alignment horizontal="left" vertical="top" wrapText="1"/>
      <protection locked="0"/>
    </xf>
    <xf numFmtId="0" fontId="30" fillId="6" borderId="30"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0" fillId="8" borderId="84" xfId="0" applyFill="1" applyBorder="1" applyAlignment="1">
      <alignment horizontal="center" vertical="center"/>
    </xf>
    <xf numFmtId="0" fontId="0" fillId="8" borderId="67" xfId="0" applyFill="1" applyBorder="1" applyAlignment="1">
      <alignment horizontal="center" vertical="center"/>
    </xf>
    <xf numFmtId="10" fontId="24" fillId="8" borderId="32" xfId="0" applyNumberFormat="1" applyFont="1" applyFill="1" applyBorder="1" applyAlignment="1">
      <alignment horizontal="center" vertical="center"/>
    </xf>
    <xf numFmtId="0" fontId="0" fillId="0" borderId="42" xfId="0" applyBorder="1" applyAlignment="1">
      <alignment horizontal="center" vertical="center"/>
    </xf>
    <xf numFmtId="0" fontId="0" fillId="0" borderId="69" xfId="0" applyBorder="1" applyAlignment="1">
      <alignment horizontal="center" vertical="center"/>
    </xf>
    <xf numFmtId="0" fontId="0" fillId="8" borderId="42" xfId="0" applyFill="1" applyBorder="1" applyAlignment="1">
      <alignment horizontal="center" vertical="center"/>
    </xf>
    <xf numFmtId="0" fontId="0" fillId="8" borderId="69" xfId="0" applyFill="1" applyBorder="1" applyAlignment="1">
      <alignment horizontal="center" vertical="center"/>
    </xf>
    <xf numFmtId="0" fontId="0" fillId="0" borderId="87" xfId="0" applyBorder="1" applyAlignment="1">
      <alignment horizontal="center" vertical="center"/>
    </xf>
    <xf numFmtId="0" fontId="0" fillId="0" borderId="73" xfId="0" applyBorder="1" applyAlignment="1">
      <alignment horizontal="center" vertical="center"/>
    </xf>
    <xf numFmtId="0" fontId="17" fillId="8" borderId="32" xfId="0" applyFont="1" applyFill="1" applyBorder="1" applyAlignment="1">
      <alignment horizontal="center" vertical="center"/>
    </xf>
    <xf numFmtId="0" fontId="17" fillId="8" borderId="46" xfId="0" applyFont="1" applyFill="1" applyBorder="1" applyAlignment="1">
      <alignment horizontal="center" vertical="center"/>
    </xf>
    <xf numFmtId="0" fontId="8" fillId="0" borderId="10" xfId="0" applyFont="1" applyBorder="1" applyAlignment="1">
      <alignment horizontal="right"/>
    </xf>
    <xf numFmtId="0" fontId="24" fillId="0" borderId="32" xfId="0" applyFont="1" applyBorder="1" applyAlignment="1">
      <alignment horizontal="center"/>
    </xf>
    <xf numFmtId="0" fontId="24" fillId="0" borderId="64" xfId="0" applyFont="1" applyBorder="1" applyAlignment="1">
      <alignment horizontal="center"/>
    </xf>
    <xf numFmtId="0" fontId="24" fillId="0" borderId="32" xfId="0" applyFont="1" applyBorder="1" applyAlignment="1">
      <alignment horizontal="center" vertical="center"/>
    </xf>
    <xf numFmtId="49" fontId="0" fillId="0" borderId="14" xfId="0" applyNumberFormat="1" applyBorder="1" applyAlignment="1">
      <alignment horizontal="left"/>
    </xf>
    <xf numFmtId="0" fontId="24" fillId="0" borderId="34" xfId="0" applyFont="1" applyBorder="1" applyAlignment="1">
      <alignment horizontal="center"/>
    </xf>
    <xf numFmtId="0" fontId="53" fillId="0" borderId="32" xfId="0" applyFont="1" applyBorder="1" applyAlignment="1">
      <alignment horizontal="center" vertical="center" wrapText="1"/>
    </xf>
    <xf numFmtId="4" fontId="24" fillId="0" borderId="31"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9" xfId="33" applyFont="1" applyBorder="1" applyAlignment="1">
      <alignment horizontal="right"/>
    </xf>
    <xf numFmtId="181" fontId="24" fillId="0" borderId="41" xfId="48" applyNumberFormat="1" applyFont="1" applyFill="1" applyBorder="1" applyAlignment="1" applyProtection="1">
      <alignment vertical="top" shrinkToFit="1"/>
    </xf>
    <xf numFmtId="0" fontId="0" fillId="0" borderId="74" xfId="33" applyFont="1" applyBorder="1" applyAlignment="1">
      <alignment horizontal="right"/>
    </xf>
    <xf numFmtId="10" fontId="24" fillId="0" borderId="75"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3"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4" xfId="33" applyFont="1" applyBorder="1" applyAlignment="1">
      <alignment horizontal="center" vertical="center" wrapText="1"/>
    </xf>
    <xf numFmtId="0" fontId="0" fillId="0" borderId="68"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9" fontId="0" fillId="0" borderId="0" xfId="33" applyNumberFormat="1" applyFont="1" applyAlignment="1">
      <alignment horizontal="right"/>
    </xf>
    <xf numFmtId="0" fontId="0" fillId="0" borderId="0" xfId="33" applyFont="1" applyAlignment="1">
      <alignment horizontal="center"/>
    </xf>
  </cellXfs>
  <cellStyles count="5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23" builtinId="29" customBuiltin="1"/>
    <cellStyle name="Accent2" xfId="24" builtinId="33" customBuiltin="1"/>
    <cellStyle name="Accent3" xfId="25" builtinId="37" customBuiltin="1"/>
    <cellStyle name="Accent4" xfId="26" builtinId="41" customBuiltin="1"/>
    <cellStyle name="Accent5" xfId="27" builtinId="45" customBuiltin="1"/>
    <cellStyle name="Accent6" xfId="28" builtinId="49" customBuiltin="1"/>
    <cellStyle name="Calculation" xfId="20" builtinId="22" customBuiltin="1"/>
    <cellStyle name="Check Cell" xfId="21" builtinId="23" customBuiltin="1"/>
    <cellStyle name="Comma" xfId="48" builtinId="3"/>
    <cellStyle name="Currency" xfId="31" builtinId="4"/>
    <cellStyle name="Explanatory Text" xfId="41" builtinId="53" customBuiltin="1"/>
    <cellStyle name="Good" xfId="19" builtinId="26" customBuiltin="1"/>
    <cellStyle name="Heading 1" xfId="42" builtinId="16" customBuiltin="1"/>
    <cellStyle name="Heading 2" xfId="43" builtinId="17" customBuiltin="1"/>
    <cellStyle name="Heading 3" xfId="44" builtinId="18" customBuiltin="1"/>
    <cellStyle name="Heading 4" xfId="45" builtinId="19" customBuiltin="1"/>
    <cellStyle name="Hyperlink" xfId="30" builtinId="8"/>
    <cellStyle name="Input" xfId="29" builtinId="20" customBuiltin="1"/>
    <cellStyle name="Linked Cell" xfId="22" builtinId="24" customBuiltin="1"/>
    <cellStyle name="Moeda_Composicao BDI v2.1" xfId="32" xr:uid="{00000000-0005-0000-0000-00001F000000}"/>
    <cellStyle name="Normal" xfId="0" builtinId="0"/>
    <cellStyle name="Normal 2" xfId="33" xr:uid="{00000000-0005-0000-0000-000021000000}"/>
    <cellStyle name="Normal 3" xfId="34" xr:uid="{00000000-0005-0000-0000-000022000000}"/>
    <cellStyle name="Normal_FICHA DE VERIFICAÇÃO PRELIMINAR - Plano R" xfId="35" xr:uid="{00000000-0005-0000-0000-000023000000}"/>
    <cellStyle name="Note" xfId="36" builtinId="10" customBuiltin="1"/>
    <cellStyle name="Output" xfId="39" builtinId="21" customBuiltin="1"/>
    <cellStyle name="Percent" xfId="37" builtinId="5"/>
    <cellStyle name="Porcentagem 2" xfId="38" xr:uid="{00000000-0005-0000-0000-000026000000}"/>
    <cellStyle name="Título 5" xfId="46" xr:uid="{00000000-0005-0000-0000-00002E000000}"/>
    <cellStyle name="Total" xfId="47" builtinId="25" customBuiltin="1"/>
    <cellStyle name="Vírgula 2" xfId="49" xr:uid="{00000000-0005-0000-0000-000031000000}"/>
    <cellStyle name="Warning Text" xfId="40" builtinId="11" customBuiltin="1"/>
  </cellStyles>
  <dxfs count="603">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theme="0"/>
      </font>
      <border>
        <left/>
        <right/>
      </border>
    </dxf>
    <dxf>
      <font>
        <b val="0"/>
        <condense val="0"/>
        <extend val="0"/>
        <color indexed="8"/>
      </font>
      <fill>
        <patternFill patternType="solid">
          <fgColor indexed="46"/>
          <bgColor indexed="24"/>
        </patternFill>
      </fill>
    </dxf>
    <dxf>
      <font>
        <b val="0"/>
        <condense val="0"/>
        <extend val="0"/>
        <color indexed="9"/>
      </font>
      <border>
        <left/>
      </border>
    </dxf>
    <dxf>
      <font>
        <b val="0"/>
        <condense val="0"/>
        <extend val="0"/>
        <color indexed="44"/>
      </font>
    </dxf>
    <dxf>
      <font>
        <b val="0"/>
        <condense val="0"/>
        <extend val="0"/>
        <color indexed="9"/>
      </font>
    </dxf>
    <dxf>
      <font>
        <b val="0"/>
        <condense val="0"/>
        <extend val="0"/>
        <color indexed="44"/>
      </font>
    </dxf>
    <dxf>
      <font>
        <b val="0"/>
        <condense val="0"/>
        <extend val="0"/>
        <color indexed="9"/>
      </font>
    </dxf>
    <dxf>
      <font>
        <b val="0"/>
        <condense val="0"/>
        <extend val="0"/>
        <color indexed="9"/>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color theme="0"/>
      </font>
    </dxf>
    <dxf>
      <font>
        <color theme="0"/>
      </font>
    </dxf>
    <dxf>
      <font>
        <color theme="0"/>
      </font>
    </dxf>
    <dxf>
      <font>
        <color theme="0"/>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bgColor theme="0"/>
        </patternFill>
      </fill>
      <border>
        <right/>
        <top/>
        <bottom/>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2"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79120" y="971550"/>
              <a:ext cx="1257300" cy="483870"/>
              <a:chOff x="523876" y="971528"/>
              <a:chExt cx="1257300" cy="485775"/>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28"/>
                <a:ext cx="1257300"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6"/>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35480" y="971550"/>
              <a:ext cx="1230630" cy="483870"/>
              <a:chOff x="1790676" y="971522"/>
              <a:chExt cx="1304925" cy="485775"/>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676" y="971522"/>
                <a:ext cx="1304925"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66676</xdr:colOff>
      <xdr:row>2</xdr:row>
      <xdr:rowOff>0</xdr:rowOff>
    </xdr:from>
    <xdr:to>
      <xdr:col>11</xdr:col>
      <xdr:colOff>104777</xdr:colOff>
      <xdr:row>5</xdr:row>
      <xdr:rowOff>66675</xdr:rowOff>
    </xdr:to>
    <xdr:sp macro="[0]!Importar_PM3"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6" y="476250"/>
          <a:ext cx="1504951"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 (A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57150</xdr:rowOff>
        </xdr:from>
        <xdr:to>
          <xdr:col>13</xdr:col>
          <xdr:colOff>2381250</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13</xdr:col>
      <xdr:colOff>0</xdr:colOff>
      <xdr:row>2</xdr:row>
      <xdr:rowOff>28575</xdr:rowOff>
    </xdr:from>
    <xdr:to>
      <xdr:col>13</xdr:col>
      <xdr:colOff>1696508</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801475" y="504825"/>
          <a:ext cx="1696508"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OUTROS </a:t>
          </a:r>
          <a:r>
            <a:rPr lang="pt-BR" sz="1100" b="1" i="0" u="none" strike="noStrike" baseline="0">
              <a:solidFill>
                <a:srgbClr val="000000"/>
              </a:solidFill>
              <a:latin typeface="Arial Black" panose="020B0A04020102020204" pitchFamily="34" charset="0"/>
            </a:rPr>
            <a:t>MODELOS CAIXA</a:t>
          </a:r>
          <a:r>
            <a:rPr lang="pt-BR" sz="1100" b="1" i="0" u="none" strike="noStrike" baseline="0">
              <a:solidFill>
                <a:srgbClr val="000000"/>
              </a:solidFill>
              <a:latin typeface="Calibri"/>
            </a:rPr>
            <a:t>         </a:t>
          </a:r>
          <a:r>
            <a:rPr lang="pt-BR" sz="1000" b="1" i="1" u="none" strike="noStrike" baseline="0">
              <a:solidFill>
                <a:srgbClr val="000000"/>
              </a:solidFill>
              <a:latin typeface="Calibri"/>
            </a:rPr>
            <a:t>(PO / PLE / QCI)</a:t>
          </a:r>
          <a:endParaRPr lang="pt-BR" sz="1100" b="1" i="1" u="none" strike="noStrike" baseline="0">
            <a:solidFill>
              <a:srgbClr val="000000"/>
            </a:solidFill>
            <a:latin typeface="Calibri"/>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200025</xdr:colOff>
      <xdr:row>0</xdr:row>
      <xdr:rowOff>38100</xdr:rowOff>
    </xdr:from>
    <xdr:to>
      <xdr:col>3</xdr:col>
      <xdr:colOff>161925</xdr:colOff>
      <xdr:row>1</xdr:row>
      <xdr:rowOff>142875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200025" y="38100"/>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2809875</xdr:colOff>
      <xdr:row>0</xdr:row>
      <xdr:rowOff>14817</xdr:rowOff>
    </xdr:from>
    <xdr:to>
      <xdr:col>5</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5</xdr:col>
      <xdr:colOff>1738117</xdr:colOff>
      <xdr:row>32</xdr:row>
      <xdr:rowOff>0</xdr:rowOff>
    </xdr:from>
    <xdr:to>
      <xdr:col>5</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5</xdr:col>
      <xdr:colOff>2324099</xdr:colOff>
      <xdr:row>43</xdr:row>
      <xdr:rowOff>0</xdr:rowOff>
    </xdr:from>
    <xdr:to>
      <xdr:col>5</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287020</xdr:colOff>
      <xdr:row>1</xdr:row>
      <xdr:rowOff>30903</xdr:rowOff>
    </xdr:from>
    <xdr:to>
      <xdr:col>8</xdr:col>
      <xdr:colOff>138854</xdr:colOff>
      <xdr:row>3</xdr:row>
      <xdr:rowOff>8555</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5096067" y="224366"/>
          <a:ext cx="5715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287019</xdr:colOff>
      <xdr:row>3</xdr:row>
      <xdr:rowOff>57150</xdr:rowOff>
    </xdr:from>
    <xdr:to>
      <xdr:col>8</xdr:col>
      <xdr:colOff>138853</xdr:colOff>
      <xdr:row>5</xdr:row>
      <xdr:rowOff>42333</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279399" y="575733"/>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152400</xdr:rowOff>
    </xdr:from>
    <xdr:to>
      <xdr:col>23</xdr:col>
      <xdr:colOff>1051560</xdr:colOff>
      <xdr:row>11</xdr:row>
      <xdr:rowOff>36243</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15811500" y="1438275"/>
          <a:ext cx="4686300" cy="361950"/>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457200</xdr:colOff>
          <xdr:row>9</xdr:row>
          <xdr:rowOff>123825</xdr:rowOff>
        </xdr:from>
        <xdr:to>
          <xdr:col>19</xdr:col>
          <xdr:colOff>895350</xdr:colOff>
          <xdr:row>11</xdr:row>
          <xdr:rowOff>38100</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447675</xdr:colOff>
          <xdr:row>9</xdr:row>
          <xdr:rowOff>123825</xdr:rowOff>
        </xdr:from>
        <xdr:to>
          <xdr:col>20</xdr:col>
          <xdr:colOff>876300</xdr:colOff>
          <xdr:row>11</xdr:row>
          <xdr:rowOff>38100</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285750</xdr:colOff>
          <xdr:row>9</xdr:row>
          <xdr:rowOff>123825</xdr:rowOff>
        </xdr:from>
        <xdr:to>
          <xdr:col>21</xdr:col>
          <xdr:colOff>704850</xdr:colOff>
          <xdr:row>11</xdr:row>
          <xdr:rowOff>38100</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361950</xdr:colOff>
          <xdr:row>9</xdr:row>
          <xdr:rowOff>123825</xdr:rowOff>
        </xdr:from>
        <xdr:to>
          <xdr:col>22</xdr:col>
          <xdr:colOff>790575</xdr:colOff>
          <xdr:row>11</xdr:row>
          <xdr:rowOff>38100</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447675</xdr:colOff>
          <xdr:row>9</xdr:row>
          <xdr:rowOff>104775</xdr:rowOff>
        </xdr:from>
        <xdr:to>
          <xdr:col>23</xdr:col>
          <xdr:colOff>876300</xdr:colOff>
          <xdr:row>11</xdr:row>
          <xdr:rowOff>28575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28575</xdr:colOff>
      <xdr:row>9</xdr:row>
      <xdr:rowOff>0</xdr:rowOff>
    </xdr:from>
    <xdr:to>
      <xdr:col>15</xdr:col>
      <xdr:colOff>624896</xdr:colOff>
      <xdr:row>11</xdr:row>
      <xdr:rowOff>1310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36158" y="1428750"/>
          <a:ext cx="1442988" cy="31881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17</xdr:col>
      <xdr:colOff>93345</xdr:colOff>
      <xdr:row>9</xdr:row>
      <xdr:rowOff>0</xdr:rowOff>
    </xdr:from>
    <xdr:to>
      <xdr:col>17</xdr:col>
      <xdr:colOff>1560297</xdr:colOff>
      <xdr:row>10</xdr:row>
      <xdr:rowOff>160060</xdr:rowOff>
    </xdr:to>
    <xdr:sp macro="[0]!Descrição.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10801350" y="1447800"/>
          <a:ext cx="14287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691515</xdr:colOff>
      <xdr:row>9</xdr:row>
      <xdr:rowOff>0</xdr:rowOff>
    </xdr:from>
    <xdr:to>
      <xdr:col>17</xdr:col>
      <xdr:colOff>9547</xdr:colOff>
      <xdr:row>10</xdr:row>
      <xdr:rowOff>160060</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9296400" y="1447800"/>
          <a:ext cx="14287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1644015</xdr:colOff>
      <xdr:row>9</xdr:row>
      <xdr:rowOff>0</xdr:rowOff>
    </xdr:from>
    <xdr:to>
      <xdr:col>17</xdr:col>
      <xdr:colOff>3339378</xdr:colOff>
      <xdr:row>10</xdr:row>
      <xdr:rowOff>160060</xdr:rowOff>
    </xdr:to>
    <xdr:sp macro="[0]!Descrição.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12306300" y="1447800"/>
          <a:ext cx="16573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3404023</xdr:colOff>
      <xdr:row>9</xdr:row>
      <xdr:rowOff>1</xdr:rowOff>
    </xdr:from>
    <xdr:to>
      <xdr:col>18</xdr:col>
      <xdr:colOff>272154</xdr:colOff>
      <xdr:row>10</xdr:row>
      <xdr:rowOff>160061</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7662333" y="1428751"/>
          <a:ext cx="13335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3</xdr:row>
      <xdr:rowOff>21166</xdr:rowOff>
    </xdr:from>
    <xdr:to>
      <xdr:col>2</xdr:col>
      <xdr:colOff>1282277</xdr:colOff>
      <xdr:row>4</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6</xdr:col>
      <xdr:colOff>142875</xdr:colOff>
      <xdr:row>3</xdr:row>
      <xdr:rowOff>85725</xdr:rowOff>
    </xdr:from>
    <xdr:to>
      <xdr:col>6</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19</xdr:col>
      <xdr:colOff>66676</xdr:colOff>
      <xdr:row>8</xdr:row>
      <xdr:rowOff>93345</xdr:rowOff>
    </xdr:from>
    <xdr:to>
      <xdr:col>21</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7</xdr:col>
      <xdr:colOff>14548</xdr:colOff>
      <xdr:row>8</xdr:row>
      <xdr:rowOff>93345</xdr:rowOff>
    </xdr:from>
    <xdr:to>
      <xdr:col>9</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24</xdr:col>
      <xdr:colOff>223307</xdr:colOff>
      <xdr:row>8</xdr:row>
      <xdr:rowOff>93345</xdr:rowOff>
    </xdr:from>
    <xdr:to>
      <xdr:col>26</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26</xdr:col>
      <xdr:colOff>604308</xdr:colOff>
      <xdr:row>8</xdr:row>
      <xdr:rowOff>93345</xdr:rowOff>
    </xdr:from>
    <xdr:to>
      <xdr:col>28</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7</xdr:col>
      <xdr:colOff>0</xdr:colOff>
      <xdr:row>3</xdr:row>
      <xdr:rowOff>21166</xdr:rowOff>
    </xdr:from>
    <xdr:to>
      <xdr:col>9</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22</xdr:col>
      <xdr:colOff>714375</xdr:colOff>
      <xdr:row>8</xdr:row>
      <xdr:rowOff>93345</xdr:rowOff>
    </xdr:from>
    <xdr:to>
      <xdr:col>23</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22</xdr:col>
      <xdr:colOff>47625</xdr:colOff>
      <xdr:row>8</xdr:row>
      <xdr:rowOff>93345</xdr:rowOff>
    </xdr:from>
    <xdr:to>
      <xdr:col>22</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209550</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dimension ref="A3:E87"/>
  <sheetViews>
    <sheetView showGridLines="0" zoomScaleNormal="100" workbookViewId="0">
      <pane ySplit="3" topLeftCell="A66" activePane="bottomLeft" state="frozen"/>
      <selection pane="bottomLeft" activeCell="A54" sqref="A54"/>
    </sheetView>
  </sheetViews>
  <sheetFormatPr defaultRowHeight="12.75" x14ac:dyDescent="0.2"/>
  <cols>
    <col min="1" max="1" width="8.7109375" customWidth="1"/>
    <col min="2" max="2" width="5.7109375" customWidth="1"/>
    <col min="3" max="3" width="3.7109375" customWidth="1"/>
    <col min="4" max="4" width="130.7109375" customWidth="1"/>
  </cols>
  <sheetData>
    <row r="3" spans="1:4" ht="36.75" customHeight="1" x14ac:dyDescent="0.35">
      <c r="B3" s="42" t="s">
        <v>133</v>
      </c>
    </row>
    <row r="5" spans="1:4" ht="18.75" x14ac:dyDescent="0.3">
      <c r="A5" s="43"/>
      <c r="B5" s="44"/>
      <c r="C5" s="44"/>
      <c r="D5" s="45"/>
    </row>
    <row r="6" spans="1:4" ht="18.75" x14ac:dyDescent="0.3">
      <c r="A6" s="46" t="s">
        <v>134</v>
      </c>
      <c r="B6" s="47"/>
      <c r="C6" s="47"/>
      <c r="D6" s="3"/>
    </row>
    <row r="7" spans="1:4" ht="15" x14ac:dyDescent="0.25">
      <c r="A7" s="4"/>
      <c r="B7" s="48" t="s">
        <v>135</v>
      </c>
      <c r="C7" s="48"/>
      <c r="D7" s="3"/>
    </row>
    <row r="8" spans="1:4" ht="15" x14ac:dyDescent="0.25">
      <c r="A8" s="4"/>
      <c r="B8" s="48"/>
      <c r="C8" s="49" t="str">
        <f>IF(D8&lt;&gt;"","▪","")</f>
        <v>▪</v>
      </c>
      <c r="D8" s="579" t="s">
        <v>136</v>
      </c>
    </row>
    <row r="9" spans="1:4" ht="15" x14ac:dyDescent="0.25">
      <c r="A9" s="4"/>
      <c r="B9" s="48"/>
      <c r="C9" s="49" t="str">
        <f>IF(D9&lt;&gt;"","▪","")</f>
        <v/>
      </c>
      <c r="D9" s="579"/>
    </row>
    <row r="10" spans="1:4" ht="18.75" x14ac:dyDescent="0.3">
      <c r="A10" s="541" t="s">
        <v>403</v>
      </c>
      <c r="B10" s="542"/>
      <c r="C10" s="542"/>
      <c r="D10" s="580"/>
    </row>
    <row r="11" spans="1:4" ht="15" x14ac:dyDescent="0.25">
      <c r="A11" s="4"/>
      <c r="B11" s="48" t="s">
        <v>135</v>
      </c>
      <c r="C11" s="48"/>
      <c r="D11" s="579"/>
    </row>
    <row r="12" spans="1:4" ht="15" x14ac:dyDescent="0.25">
      <c r="A12" s="4"/>
      <c r="B12" s="48"/>
      <c r="C12" s="49" t="str">
        <f>IF(D12&lt;&gt;"","▪","")</f>
        <v>▪</v>
      </c>
      <c r="D12" s="579" t="s">
        <v>406</v>
      </c>
    </row>
    <row r="13" spans="1:4" ht="15" x14ac:dyDescent="0.25">
      <c r="A13" s="4"/>
      <c r="B13" s="48" t="s">
        <v>404</v>
      </c>
      <c r="C13" s="48"/>
      <c r="D13" s="579"/>
    </row>
    <row r="14" spans="1:4" ht="15" x14ac:dyDescent="0.25">
      <c r="A14" s="463"/>
      <c r="B14" s="48"/>
      <c r="C14" s="49" t="str">
        <f>IF(D14&lt;&gt;"","▪","")</f>
        <v>▪</v>
      </c>
      <c r="D14" s="579" t="s">
        <v>407</v>
      </c>
    </row>
    <row r="15" spans="1:4" ht="15" x14ac:dyDescent="0.2">
      <c r="A15" s="463"/>
      <c r="C15" s="49" t="str">
        <f>IF(D15&lt;&gt;"","▪","")</f>
        <v>▪</v>
      </c>
      <c r="D15" s="579" t="s">
        <v>408</v>
      </c>
    </row>
    <row r="16" spans="1:4" x14ac:dyDescent="0.2">
      <c r="A16" s="467"/>
      <c r="D16" s="87"/>
    </row>
    <row r="17" spans="1:4" ht="18.75" x14ac:dyDescent="0.3">
      <c r="A17" s="541" t="s">
        <v>410</v>
      </c>
      <c r="B17" s="542"/>
      <c r="C17" s="542"/>
      <c r="D17" s="580"/>
    </row>
    <row r="18" spans="1:4" ht="15" x14ac:dyDescent="0.25">
      <c r="A18" s="4"/>
      <c r="B18" s="48" t="s">
        <v>135</v>
      </c>
      <c r="C18" s="48"/>
      <c r="D18" s="579"/>
    </row>
    <row r="19" spans="1:4" ht="15" x14ac:dyDescent="0.25">
      <c r="A19" s="4"/>
      <c r="B19" s="48"/>
      <c r="C19" s="49" t="str">
        <f>IF(D19&lt;&gt;"","▪","")</f>
        <v>▪</v>
      </c>
      <c r="D19" s="579" t="s">
        <v>406</v>
      </c>
    </row>
    <row r="20" spans="1:4" ht="15" x14ac:dyDescent="0.25">
      <c r="A20" s="4"/>
      <c r="B20" s="48"/>
      <c r="C20" s="49" t="str">
        <f>IF(D20&lt;&gt;"","▪","")</f>
        <v>▪</v>
      </c>
      <c r="D20" s="579" t="s">
        <v>419</v>
      </c>
    </row>
    <row r="21" spans="1:4" ht="15" x14ac:dyDescent="0.25">
      <c r="A21" s="463"/>
      <c r="B21" s="48" t="s">
        <v>417</v>
      </c>
      <c r="C21" s="48"/>
      <c r="D21" s="579"/>
    </row>
    <row r="22" spans="1:4" ht="15" x14ac:dyDescent="0.25">
      <c r="A22" s="463"/>
      <c r="B22" s="48"/>
      <c r="C22" s="49" t="str">
        <f>IF(D22&lt;&gt;"","▪","")</f>
        <v>▪</v>
      </c>
      <c r="D22" s="579" t="s">
        <v>418</v>
      </c>
    </row>
    <row r="23" spans="1:4" ht="15" x14ac:dyDescent="0.25">
      <c r="A23" s="463"/>
      <c r="B23" s="48" t="s">
        <v>411</v>
      </c>
      <c r="C23" s="48"/>
      <c r="D23" s="579"/>
    </row>
    <row r="24" spans="1:4" ht="15" x14ac:dyDescent="0.25">
      <c r="A24" s="463"/>
      <c r="B24" s="48"/>
      <c r="C24" s="49" t="str">
        <f>IF(D24&lt;&gt;"","▪","")</f>
        <v>▪</v>
      </c>
      <c r="D24" s="579" t="s">
        <v>415</v>
      </c>
    </row>
    <row r="25" spans="1:4" ht="15" x14ac:dyDescent="0.25">
      <c r="A25" s="463"/>
      <c r="B25" s="48" t="s">
        <v>412</v>
      </c>
      <c r="C25" s="48"/>
      <c r="D25" s="579"/>
    </row>
    <row r="26" spans="1:4" ht="15" x14ac:dyDescent="0.25">
      <c r="A26" s="463"/>
      <c r="B26" s="48"/>
      <c r="C26" s="49" t="str">
        <f>IF(D26&lt;&gt;"","▪","")</f>
        <v>▪</v>
      </c>
      <c r="D26" s="579" t="s">
        <v>414</v>
      </c>
    </row>
    <row r="27" spans="1:4" ht="15" x14ac:dyDescent="0.25">
      <c r="A27" s="463"/>
      <c r="B27" s="48" t="s">
        <v>416</v>
      </c>
      <c r="C27" s="48"/>
      <c r="D27" s="579"/>
    </row>
    <row r="28" spans="1:4" ht="15" x14ac:dyDescent="0.25">
      <c r="A28" s="463"/>
      <c r="B28" s="48"/>
      <c r="C28" s="49" t="str">
        <f>IF(D28&lt;&gt;"","▪","")</f>
        <v>▪</v>
      </c>
      <c r="D28" s="579" t="s">
        <v>413</v>
      </c>
    </row>
    <row r="29" spans="1:4" x14ac:dyDescent="0.2">
      <c r="A29" s="467"/>
      <c r="D29" s="87"/>
    </row>
    <row r="30" spans="1:4" ht="18.75" x14ac:dyDescent="0.3">
      <c r="A30" s="541" t="s">
        <v>420</v>
      </c>
      <c r="B30" s="542"/>
      <c r="C30" s="542"/>
      <c r="D30" s="580"/>
    </row>
    <row r="31" spans="1:4" ht="15" x14ac:dyDescent="0.25">
      <c r="A31" s="4"/>
      <c r="B31" s="48" t="s">
        <v>135</v>
      </c>
      <c r="C31" s="48"/>
      <c r="D31" s="579"/>
    </row>
    <row r="32" spans="1:4" ht="15" x14ac:dyDescent="0.25">
      <c r="A32" s="4"/>
      <c r="B32" s="48"/>
      <c r="C32" s="49" t="str">
        <f>IF(D32&lt;&gt;"","▪","")</f>
        <v>▪</v>
      </c>
      <c r="D32" s="579" t="s">
        <v>419</v>
      </c>
    </row>
    <row r="33" spans="1:5" ht="15" x14ac:dyDescent="0.25">
      <c r="A33" s="4"/>
      <c r="B33" s="48" t="s">
        <v>421</v>
      </c>
      <c r="C33" s="49"/>
      <c r="D33" s="579"/>
    </row>
    <row r="34" spans="1:5" ht="15" x14ac:dyDescent="0.25">
      <c r="A34" s="4"/>
      <c r="B34" s="48"/>
      <c r="C34" s="49" t="str">
        <f>IF(D34&lt;&gt;"","▪","")</f>
        <v>▪</v>
      </c>
      <c r="D34" s="579" t="s">
        <v>422</v>
      </c>
    </row>
    <row r="35" spans="1:5" ht="15" x14ac:dyDescent="0.25">
      <c r="A35" s="4"/>
      <c r="B35" s="48"/>
      <c r="C35" s="48"/>
      <c r="D35" s="581"/>
      <c r="E35" s="48"/>
    </row>
    <row r="36" spans="1:5" x14ac:dyDescent="0.2">
      <c r="A36" s="467"/>
      <c r="D36" s="87"/>
    </row>
    <row r="37" spans="1:5" ht="18.75" x14ac:dyDescent="0.3">
      <c r="A37" s="541" t="s">
        <v>423</v>
      </c>
      <c r="B37" s="542"/>
      <c r="C37" s="542"/>
      <c r="D37" s="580"/>
    </row>
    <row r="38" spans="1:5" ht="15" x14ac:dyDescent="0.25">
      <c r="A38" s="4"/>
      <c r="B38" s="48" t="s">
        <v>211</v>
      </c>
      <c r="C38" s="48"/>
      <c r="D38" s="579"/>
    </row>
    <row r="39" spans="1:5" ht="15" x14ac:dyDescent="0.25">
      <c r="A39" s="4"/>
      <c r="B39" s="48"/>
      <c r="C39" s="49" t="str">
        <f>IF(D39&lt;&gt;"","▪","")</f>
        <v>▪</v>
      </c>
      <c r="D39" s="579" t="s">
        <v>424</v>
      </c>
    </row>
    <row r="40" spans="1:5" ht="15" x14ac:dyDescent="0.25">
      <c r="A40" s="4"/>
      <c r="B40" s="48" t="s">
        <v>411</v>
      </c>
      <c r="C40" s="48"/>
      <c r="D40" s="579"/>
    </row>
    <row r="41" spans="1:5" ht="15" x14ac:dyDescent="0.25">
      <c r="A41" s="4"/>
      <c r="B41" s="48"/>
      <c r="C41" s="49" t="str">
        <f>IF(D41&lt;&gt;"","▪","")</f>
        <v>▪</v>
      </c>
      <c r="D41" s="579" t="s">
        <v>425</v>
      </c>
    </row>
    <row r="42" spans="1:5" ht="15" x14ac:dyDescent="0.25">
      <c r="A42" s="4"/>
      <c r="B42" s="48" t="s">
        <v>412</v>
      </c>
      <c r="C42" s="48"/>
      <c r="D42" s="579"/>
      <c r="E42" s="48"/>
    </row>
    <row r="43" spans="1:5" ht="15" x14ac:dyDescent="0.25">
      <c r="A43" s="4"/>
      <c r="B43" s="48"/>
      <c r="C43" s="49" t="str">
        <f>IF(D43&lt;&gt;"","▪","")</f>
        <v>▪</v>
      </c>
      <c r="D43" s="579" t="s">
        <v>426</v>
      </c>
    </row>
    <row r="44" spans="1:5" ht="15" x14ac:dyDescent="0.25">
      <c r="A44" s="4"/>
      <c r="B44" s="48"/>
      <c r="C44" s="48"/>
      <c r="D44" s="581"/>
    </row>
    <row r="45" spans="1:5" ht="18.75" x14ac:dyDescent="0.3">
      <c r="A45" s="541" t="s">
        <v>427</v>
      </c>
      <c r="B45" s="542"/>
      <c r="C45" s="542"/>
      <c r="D45" s="580"/>
    </row>
    <row r="46" spans="1:5" ht="15" x14ac:dyDescent="0.25">
      <c r="A46" s="4"/>
      <c r="B46" s="48" t="s">
        <v>135</v>
      </c>
      <c r="C46" s="48"/>
      <c r="D46" s="579"/>
    </row>
    <row r="47" spans="1:5" ht="15" x14ac:dyDescent="0.25">
      <c r="A47" s="4"/>
      <c r="B47" s="48"/>
      <c r="C47" s="49" t="str">
        <f>IF(D47&lt;&gt;"","▪","")</f>
        <v>▪</v>
      </c>
      <c r="D47" s="579" t="s">
        <v>428</v>
      </c>
    </row>
    <row r="48" spans="1:5" ht="15" x14ac:dyDescent="0.25">
      <c r="A48" s="4"/>
      <c r="B48" s="48"/>
      <c r="C48" s="48"/>
      <c r="D48" s="581"/>
    </row>
    <row r="49" spans="1:4" ht="18.75" x14ac:dyDescent="0.3">
      <c r="A49" s="541" t="s">
        <v>430</v>
      </c>
      <c r="B49" s="542"/>
      <c r="C49" s="542"/>
      <c r="D49" s="580"/>
    </row>
    <row r="50" spans="1:4" ht="15" x14ac:dyDescent="0.25">
      <c r="A50" s="4"/>
      <c r="B50" s="48" t="s">
        <v>135</v>
      </c>
      <c r="C50" s="48"/>
      <c r="D50" s="579"/>
    </row>
    <row r="51" spans="1:4" ht="15" x14ac:dyDescent="0.25">
      <c r="A51" s="4"/>
      <c r="B51" s="48"/>
      <c r="C51" s="49" t="str">
        <f>IF(D51&lt;&gt;"","▪","")</f>
        <v>▪</v>
      </c>
      <c r="D51" s="579" t="s">
        <v>433</v>
      </c>
    </row>
    <row r="52" spans="1:4" ht="15" x14ac:dyDescent="0.25">
      <c r="A52" s="4"/>
      <c r="B52" s="48"/>
      <c r="C52" s="49" t="str">
        <f>IF(D52&lt;&gt;"","▪","")</f>
        <v>▪</v>
      </c>
      <c r="D52" s="579" t="s">
        <v>434</v>
      </c>
    </row>
    <row r="53" spans="1:4" ht="15" x14ac:dyDescent="0.25">
      <c r="A53" s="4"/>
      <c r="B53" s="48"/>
      <c r="C53" s="48"/>
      <c r="D53" s="581"/>
    </row>
    <row r="54" spans="1:4" ht="18.75" x14ac:dyDescent="0.3">
      <c r="A54" s="554" t="s">
        <v>438</v>
      </c>
      <c r="B54" s="542"/>
      <c r="C54" s="542"/>
      <c r="D54" s="580"/>
    </row>
    <row r="55" spans="1:4" ht="15" x14ac:dyDescent="0.25">
      <c r="A55" s="463"/>
      <c r="B55" s="48" t="s">
        <v>135</v>
      </c>
      <c r="C55" s="48"/>
      <c r="D55" s="579"/>
    </row>
    <row r="56" spans="1:4" ht="15" x14ac:dyDescent="0.25">
      <c r="A56" s="463"/>
      <c r="B56" s="48"/>
      <c r="C56" s="49" t="str">
        <f t="shared" ref="C56" si="0">IF(D56&lt;&gt;"","▪","")</f>
        <v>▪</v>
      </c>
      <c r="D56" s="579" t="s">
        <v>470</v>
      </c>
    </row>
    <row r="57" spans="1:4" ht="30" customHeight="1" x14ac:dyDescent="0.25">
      <c r="A57" s="463"/>
      <c r="B57" s="48"/>
      <c r="C57" s="49" t="str">
        <f t="shared" ref="C57:C62" si="1">IF(D57&lt;&gt;"","▪","")</f>
        <v>▪</v>
      </c>
      <c r="D57" s="579" t="s">
        <v>457</v>
      </c>
    </row>
    <row r="58" spans="1:4" ht="30" customHeight="1" x14ac:dyDescent="0.25">
      <c r="A58" s="463"/>
      <c r="B58" s="48"/>
      <c r="C58" s="49" t="str">
        <f t="shared" si="1"/>
        <v>▪</v>
      </c>
      <c r="D58" s="579" t="s">
        <v>439</v>
      </c>
    </row>
    <row r="59" spans="1:4" ht="30" customHeight="1" x14ac:dyDescent="0.25">
      <c r="A59" s="463"/>
      <c r="B59" s="48"/>
      <c r="C59" s="49" t="str">
        <f t="shared" si="1"/>
        <v>▪</v>
      </c>
      <c r="D59" s="579" t="s">
        <v>440</v>
      </c>
    </row>
    <row r="60" spans="1:4" ht="25.5" x14ac:dyDescent="0.25">
      <c r="A60" s="463"/>
      <c r="B60" s="48"/>
      <c r="C60" s="49" t="str">
        <f t="shared" si="1"/>
        <v>▪</v>
      </c>
      <c r="D60" s="579" t="s">
        <v>469</v>
      </c>
    </row>
    <row r="61" spans="1:4" ht="15" x14ac:dyDescent="0.25">
      <c r="A61" s="463"/>
      <c r="B61" s="48"/>
      <c r="C61" s="49" t="str">
        <f t="shared" si="1"/>
        <v>▪</v>
      </c>
      <c r="D61" s="579" t="s">
        <v>450</v>
      </c>
    </row>
    <row r="62" spans="1:4" ht="30" customHeight="1" x14ac:dyDescent="0.25">
      <c r="A62" s="463"/>
      <c r="B62" s="48"/>
      <c r="C62" s="49" t="str">
        <f t="shared" si="1"/>
        <v>▪</v>
      </c>
      <c r="D62" s="579" t="s">
        <v>441</v>
      </c>
    </row>
    <row r="63" spans="1:4" ht="15" x14ac:dyDescent="0.25">
      <c r="A63" s="463"/>
      <c r="B63" s="48" t="s">
        <v>442</v>
      </c>
      <c r="C63" s="48"/>
      <c r="D63" s="579"/>
    </row>
    <row r="64" spans="1:4" ht="15" x14ac:dyDescent="0.25">
      <c r="A64" s="463"/>
      <c r="B64" s="48"/>
      <c r="C64" s="49" t="str">
        <f>IF(D64&lt;&gt;"","▪","")</f>
        <v>▪</v>
      </c>
      <c r="D64" s="579" t="s">
        <v>465</v>
      </c>
    </row>
    <row r="65" spans="1:4" ht="15" x14ac:dyDescent="0.25">
      <c r="A65" s="463"/>
      <c r="B65" s="48"/>
      <c r="C65" s="49" t="str">
        <f>IF(D65&lt;&gt;"","▪","")</f>
        <v>▪</v>
      </c>
      <c r="D65" s="579" t="s">
        <v>464</v>
      </c>
    </row>
    <row r="66" spans="1:4" ht="15" x14ac:dyDescent="0.25">
      <c r="A66" s="463"/>
      <c r="B66" s="48"/>
      <c r="C66" s="49"/>
      <c r="D66" s="582" t="s">
        <v>443</v>
      </c>
    </row>
    <row r="67" spans="1:4" ht="15" x14ac:dyDescent="0.25">
      <c r="A67" s="463"/>
      <c r="B67" s="48"/>
      <c r="C67" s="49" t="str">
        <f>IF(D67&lt;&gt;"","▪","")</f>
        <v>▪</v>
      </c>
      <c r="D67" s="579" t="s">
        <v>444</v>
      </c>
    </row>
    <row r="68" spans="1:4" ht="15" x14ac:dyDescent="0.25">
      <c r="A68" s="463"/>
      <c r="B68" s="48"/>
      <c r="C68" s="49"/>
      <c r="D68" s="582" t="s">
        <v>445</v>
      </c>
    </row>
    <row r="69" spans="1:4" ht="15" x14ac:dyDescent="0.25">
      <c r="A69" s="463"/>
      <c r="B69" s="48"/>
      <c r="C69" s="49" t="str">
        <f>IF(D69&lt;&gt;"","▪","")</f>
        <v>▪</v>
      </c>
      <c r="D69" s="579" t="s">
        <v>474</v>
      </c>
    </row>
    <row r="70" spans="1:4" ht="15" x14ac:dyDescent="0.25">
      <c r="A70" s="463"/>
      <c r="B70" s="48"/>
      <c r="C70" s="49" t="str">
        <f>IF(D70&lt;&gt;"","▪","")</f>
        <v>▪</v>
      </c>
      <c r="D70" s="579" t="s">
        <v>475</v>
      </c>
    </row>
    <row r="71" spans="1:4" ht="15" x14ac:dyDescent="0.25">
      <c r="A71" s="463"/>
      <c r="B71" s="48" t="s">
        <v>211</v>
      </c>
      <c r="C71" s="48"/>
      <c r="D71" s="579"/>
    </row>
    <row r="72" spans="1:4" ht="15" x14ac:dyDescent="0.25">
      <c r="A72" s="463"/>
      <c r="B72" s="48"/>
      <c r="C72" s="49" t="str">
        <f>IF(D72&lt;&gt;"","▪","")</f>
        <v>▪</v>
      </c>
      <c r="D72" s="579" t="s">
        <v>449</v>
      </c>
    </row>
    <row r="73" spans="1:4" ht="15" x14ac:dyDescent="0.25">
      <c r="A73" s="463"/>
      <c r="B73" s="48" t="s">
        <v>446</v>
      </c>
      <c r="C73" s="48"/>
      <c r="D73" s="579"/>
    </row>
    <row r="74" spans="1:4" ht="15" x14ac:dyDescent="0.25">
      <c r="A74" s="463"/>
      <c r="B74" s="48"/>
      <c r="C74" s="49" t="str">
        <f>IF(D74&lt;&gt;"","▪","")</f>
        <v>▪</v>
      </c>
      <c r="D74" s="579" t="s">
        <v>462</v>
      </c>
    </row>
    <row r="75" spans="1:4" ht="15" x14ac:dyDescent="0.25">
      <c r="A75" s="463"/>
      <c r="B75" s="48"/>
      <c r="C75" s="49" t="str">
        <f>IF(D75&lt;&gt;"","▪","")</f>
        <v>▪</v>
      </c>
      <c r="D75" s="579" t="s">
        <v>463</v>
      </c>
    </row>
    <row r="76" spans="1:4" ht="15" x14ac:dyDescent="0.25">
      <c r="A76" s="463"/>
      <c r="B76" s="48"/>
      <c r="C76" s="49" t="str">
        <f>IF(D76&lt;&gt;"","▪","")</f>
        <v>▪</v>
      </c>
      <c r="D76" s="579" t="s">
        <v>460</v>
      </c>
    </row>
    <row r="77" spans="1:4" ht="15" x14ac:dyDescent="0.25">
      <c r="A77" s="463"/>
      <c r="B77" s="48"/>
      <c r="C77" s="49" t="str">
        <f>IF(D77&lt;&gt;"","▪","")</f>
        <v>▪</v>
      </c>
      <c r="D77" s="579" t="s">
        <v>459</v>
      </c>
    </row>
    <row r="78" spans="1:4" ht="15" x14ac:dyDescent="0.25">
      <c r="A78" s="463"/>
      <c r="B78" s="48" t="s">
        <v>447</v>
      </c>
      <c r="C78" s="48"/>
      <c r="D78" s="579"/>
    </row>
    <row r="79" spans="1:4" ht="15" x14ac:dyDescent="0.25">
      <c r="A79" s="463"/>
      <c r="B79" s="48"/>
      <c r="C79" s="49" t="str">
        <f>IF(D79&lt;&gt;"","▪","")</f>
        <v>▪</v>
      </c>
      <c r="D79" s="579" t="s">
        <v>462</v>
      </c>
    </row>
    <row r="80" spans="1:4" ht="15" x14ac:dyDescent="0.25">
      <c r="A80" s="463"/>
      <c r="B80" s="48"/>
      <c r="C80" s="49" t="str">
        <f>IF(D80&lt;&gt;"","▪","")</f>
        <v>▪</v>
      </c>
      <c r="D80" s="579" t="s">
        <v>461</v>
      </c>
    </row>
    <row r="81" spans="1:4" ht="15" x14ac:dyDescent="0.25">
      <c r="A81" s="463"/>
      <c r="B81" s="48"/>
      <c r="C81" s="49" t="str">
        <f>IF(D81&lt;&gt;"","▪","")</f>
        <v>▪</v>
      </c>
      <c r="D81" s="579" t="s">
        <v>460</v>
      </c>
    </row>
    <row r="82" spans="1:4" ht="15" x14ac:dyDescent="0.25">
      <c r="A82" s="463"/>
      <c r="B82" s="48"/>
      <c r="C82" s="49" t="str">
        <f>IF(D82&lt;&gt;"","▪","")</f>
        <v>▪</v>
      </c>
      <c r="D82" s="579" t="s">
        <v>459</v>
      </c>
    </row>
    <row r="83" spans="1:4" ht="15" x14ac:dyDescent="0.25">
      <c r="A83" s="463"/>
      <c r="B83" s="48" t="s">
        <v>416</v>
      </c>
      <c r="C83" s="48"/>
      <c r="D83" s="579"/>
    </row>
    <row r="84" spans="1:4" ht="20.100000000000001" customHeight="1" x14ac:dyDescent="0.25">
      <c r="A84" s="463"/>
      <c r="B84" s="48"/>
      <c r="C84" s="49" t="str">
        <f>IF(D84&lt;&gt;"","▪","")</f>
        <v>▪</v>
      </c>
      <c r="D84" s="579" t="s">
        <v>472</v>
      </c>
    </row>
    <row r="85" spans="1:4" ht="15" x14ac:dyDescent="0.25">
      <c r="A85" s="463"/>
      <c r="B85" s="48" t="s">
        <v>448</v>
      </c>
      <c r="C85" s="48"/>
      <c r="D85" s="579"/>
    </row>
    <row r="86" spans="1:4" ht="20.100000000000001" customHeight="1" x14ac:dyDescent="0.25">
      <c r="A86" s="463"/>
      <c r="B86" s="48"/>
      <c r="C86" s="49" t="str">
        <f>IF(D86&lt;&gt;"","▪","")</f>
        <v>▪</v>
      </c>
      <c r="D86" s="579" t="s">
        <v>458</v>
      </c>
    </row>
    <row r="87" spans="1:4" ht="15" x14ac:dyDescent="0.25">
      <c r="A87" s="467"/>
      <c r="B87" s="553"/>
      <c r="C87" s="553"/>
      <c r="D87" s="583"/>
    </row>
  </sheetData>
  <sheetProtection algorithmName="SHA-512" hashValue="n6mwt3SB5WXEAyh5g7KDCQwb9+JDsmcbgH/lEyv34MtrnVIjIuiIwtjeL/wyTHFnYLJJVulfLa+fhC6jaqq8Ww==" saltValue="Bt2YcOGjqLBqo7LspoEa0w==" spinCount="100000" sheet="1" objects="1" scenarios="1" autoFilter="0"/>
  <phoneticPr fontId="38" type="noConversion"/>
  <pageMargins left="0.78740157480314998" right="0.78740157480314998" top="0.78740157480314998" bottom="0.78740157480314998" header="5.7086614173228396" footer="0.59055118110236204"/>
  <pageSetup paperSize="9" firstPageNumber="0" orientation="portrait" horizontalDpi="300" verticalDpi="300" r:id="rId1"/>
  <headerFooter alignWithMargins="0">
    <oddHeader>&amp;L_</oddHeader>
    <oddFooter>&amp;LPMv3.07&amp;R&amp;P /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5"/>
  <dimension ref="A1:O25"/>
  <sheetViews>
    <sheetView showGridLines="0" tabSelected="1" zoomScaleNormal="100" zoomScaleSheetLayoutView="85" workbookViewId="0">
      <selection activeCell="L25" sqref="L25"/>
    </sheetView>
  </sheetViews>
  <sheetFormatPr defaultRowHeight="12.75" x14ac:dyDescent="0.2"/>
  <cols>
    <col min="1" max="1" width="2.85546875" customWidth="1"/>
    <col min="2" max="2" width="5.7109375" customWidth="1"/>
    <col min="3" max="3" width="38.5703125" customWidth="1"/>
    <col min="4" max="4" width="5.7109375" customWidth="1"/>
    <col min="5" max="5" width="38.5703125" customWidth="1"/>
    <col min="6" max="6" width="5.7109375" customWidth="1"/>
    <col min="7" max="7" width="38.5703125" customWidth="1"/>
    <col min="8" max="8" width="5.710937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51"/>
      <c r="B1" s="451"/>
      <c r="C1" s="451"/>
      <c r="D1" s="451"/>
      <c r="E1" s="451"/>
      <c r="F1" s="451"/>
      <c r="G1" s="451"/>
      <c r="H1" s="451"/>
      <c r="I1" s="451"/>
      <c r="J1" s="569" t="s">
        <v>0</v>
      </c>
      <c r="K1" s="594" t="b">
        <v>1</v>
      </c>
    </row>
    <row r="2" spans="1:15" ht="22.5" customHeight="1" x14ac:dyDescent="0.2">
      <c r="A2" s="451"/>
      <c r="B2" s="453"/>
      <c r="C2" s="453"/>
      <c r="D2" s="453"/>
      <c r="E2" s="599" t="str">
        <f>CHOOSE(MATCH(Objeto,{"PM","PO"}),"PLANILHA MÚLTIPLA ","PLANILHA ORÇAMENTÁRIA ")&amp; Versao</f>
        <v>PLANILHA MÚLTIPLA v3.07</v>
      </c>
      <c r="F2" s="599"/>
      <c r="G2" s="599"/>
      <c r="H2" s="455"/>
      <c r="I2" s="453"/>
      <c r="J2" s="569" t="s">
        <v>468</v>
      </c>
      <c r="K2" s="594" t="b">
        <v>1</v>
      </c>
    </row>
    <row r="3" spans="1:15" ht="22.5" customHeight="1" x14ac:dyDescent="0.2">
      <c r="A3" s="451"/>
      <c r="B3" s="453"/>
      <c r="C3" s="453"/>
      <c r="D3" s="453"/>
      <c r="E3" s="599"/>
      <c r="F3" s="599"/>
      <c r="G3" s="599"/>
      <c r="H3" s="455"/>
      <c r="I3" s="453"/>
      <c r="O3" s="456">
        <v>2</v>
      </c>
    </row>
    <row r="4" spans="1:15" ht="17.100000000000001" customHeight="1" x14ac:dyDescent="0.2">
      <c r="A4" s="451"/>
      <c r="B4" s="453"/>
      <c r="C4" s="453"/>
      <c r="D4" s="453"/>
      <c r="E4" s="453"/>
      <c r="F4" s="454"/>
      <c r="G4" s="455"/>
      <c r="H4" s="455"/>
      <c r="I4" s="453"/>
      <c r="O4" s="456">
        <v>1</v>
      </c>
    </row>
    <row r="5" spans="1:15" ht="17.100000000000001" customHeight="1" thickBot="1" x14ac:dyDescent="0.25">
      <c r="A5" s="451"/>
      <c r="B5" s="453"/>
      <c r="C5" s="453"/>
      <c r="D5" s="453"/>
      <c r="E5" s="453"/>
      <c r="F5" s="454"/>
      <c r="G5" s="455"/>
      <c r="H5" s="455"/>
      <c r="I5" s="453"/>
      <c r="J5" s="468" t="s">
        <v>399</v>
      </c>
    </row>
    <row r="6" spans="1:15" ht="21" customHeight="1" thickBot="1" x14ac:dyDescent="0.25">
      <c r="A6" s="451"/>
      <c r="B6" s="451"/>
      <c r="C6" s="451"/>
      <c r="D6" s="451"/>
      <c r="E6" s="593" t="s">
        <v>393</v>
      </c>
      <c r="F6" s="452"/>
      <c r="G6" s="593" t="s">
        <v>394</v>
      </c>
      <c r="H6" s="451"/>
      <c r="I6" s="451"/>
      <c r="J6" s="468" t="s">
        <v>1</v>
      </c>
    </row>
    <row r="7" spans="1:15" x14ac:dyDescent="0.2">
      <c r="A7" s="451"/>
      <c r="B7" s="451"/>
      <c r="C7" s="451"/>
      <c r="D7" s="451"/>
      <c r="E7" s="451"/>
      <c r="F7" s="451"/>
      <c r="G7" s="451"/>
      <c r="H7" s="451"/>
      <c r="I7" s="451"/>
      <c r="J7" s="468" t="s">
        <v>362</v>
      </c>
      <c r="K7" s="458"/>
      <c r="L7" s="459"/>
      <c r="M7" s="459"/>
      <c r="N7" s="460"/>
    </row>
    <row r="8" spans="1:15" ht="21" customHeight="1" x14ac:dyDescent="0.2">
      <c r="A8" s="453"/>
      <c r="B8" s="598" t="str">
        <f>IF($O$3&lt;&gt;2,"DOCUMENTAÇÃO DA PROPOSTA","PROPOSTA: Para visualizar/preencher esta seção, altere o TIPO DE ORÇAMENTO para 'Proposto'")</f>
        <v>PROPOSTA: Para visualizar/preencher esta seção, altere o TIPO DE ORÇAMENTO para 'Proposto'</v>
      </c>
      <c r="C8" s="598"/>
      <c r="D8" s="598"/>
      <c r="E8" s="598"/>
      <c r="F8" s="598"/>
      <c r="G8" s="598"/>
      <c r="H8" s="598"/>
      <c r="I8" s="451"/>
      <c r="J8" s="468" t="s">
        <v>4</v>
      </c>
      <c r="K8" s="461"/>
      <c r="L8" s="462" t="s">
        <v>395</v>
      </c>
      <c r="M8" s="462"/>
      <c r="N8" s="463"/>
    </row>
    <row r="9" spans="1:15" ht="13.5" thickBot="1" x14ac:dyDescent="0.25">
      <c r="A9" s="451"/>
      <c r="B9" s="451"/>
      <c r="C9" s="451"/>
      <c r="D9" s="451"/>
      <c r="E9" s="451"/>
      <c r="F9" s="451"/>
      <c r="G9" s="451"/>
      <c r="H9" s="451"/>
      <c r="I9" s="451"/>
      <c r="K9" s="461"/>
      <c r="L9" t="s">
        <v>397</v>
      </c>
      <c r="N9" s="463"/>
    </row>
    <row r="10" spans="1:15" ht="21" customHeight="1" thickBot="1" x14ac:dyDescent="0.25">
      <c r="A10" s="451"/>
      <c r="B10" s="451"/>
      <c r="C10" s="555" t="str">
        <f>IF(TIPOORCAMENTO&lt;&gt;"Proposto","","                    BDI                    ")</f>
        <v/>
      </c>
      <c r="D10" s="452"/>
      <c r="E10" s="555" t="str">
        <f>IF(TIPOORCAMENTO&lt;&gt;"Proposto","","             ORÇAMENTO             ")</f>
        <v/>
      </c>
      <c r="F10" s="452"/>
      <c r="G10" s="557" t="str">
        <f>IF(TIPOORCAMENTO&lt;&gt;"Proposto","","MEMÓRIA DE CÁLCULO / PLQ")</f>
        <v/>
      </c>
      <c r="H10" s="451"/>
      <c r="I10" s="451"/>
      <c r="K10" s="461"/>
      <c r="L10" s="5"/>
      <c r="M10" s="3"/>
      <c r="N10" s="464" t="s">
        <v>2</v>
      </c>
    </row>
    <row r="11" spans="1:15" ht="13.5" thickBot="1" x14ac:dyDescent="0.25">
      <c r="A11" s="451"/>
      <c r="B11" s="451"/>
      <c r="C11" s="452"/>
      <c r="D11" s="452"/>
      <c r="E11" s="452"/>
      <c r="F11" s="452"/>
      <c r="G11" s="452"/>
      <c r="H11" s="451"/>
      <c r="I11" s="451"/>
      <c r="K11" s="461"/>
      <c r="N11" s="463"/>
    </row>
    <row r="12" spans="1:15" ht="21" customHeight="1" thickBot="1" x14ac:dyDescent="0.25">
      <c r="A12" s="451"/>
      <c r="B12" s="451"/>
      <c r="C12" s="555" t="str">
        <f>IF(TIPOORCAMENTO&lt;&gt;"Proposto","","                    QCI                    ")</f>
        <v/>
      </c>
      <c r="D12" s="452"/>
      <c r="E12" s="556" t="str">
        <f>IF(TIPOORCAMENTO&lt;&gt;"Proposto","","CRONOGRAMA FÍSICO-FINANCEIRO")</f>
        <v/>
      </c>
      <c r="F12" s="452"/>
      <c r="G12" s="452"/>
      <c r="H12" s="451"/>
      <c r="I12" s="451"/>
      <c r="K12" s="461"/>
      <c r="L12" s="6"/>
      <c r="M12" s="3"/>
      <c r="N12" s="464" t="s">
        <v>3</v>
      </c>
    </row>
    <row r="13" spans="1:15" x14ac:dyDescent="0.2">
      <c r="A13" s="451"/>
      <c r="B13" s="451"/>
      <c r="C13" s="451"/>
      <c r="D13" s="451"/>
      <c r="E13" s="451"/>
      <c r="F13" s="451"/>
      <c r="G13" s="451"/>
      <c r="H13" s="451"/>
      <c r="I13" s="451"/>
      <c r="K13" s="461"/>
      <c r="N13" s="463"/>
    </row>
    <row r="14" spans="1:15" x14ac:dyDescent="0.2">
      <c r="A14" s="451"/>
      <c r="B14" s="451"/>
      <c r="C14" s="451" t="str">
        <f>IF(TIPOORCAMENTO&lt;&gt;"Proposto","","Obs: Composições e Cotações devem ser preenchidas diretamente no arquivo Referência "&amp;IF(ISBLANK(Import.DataBase),"mm-aaaa",TEXT(Import.DataBase,"mm-aaaa"))&amp;".xlsm.")</f>
        <v/>
      </c>
      <c r="D14" s="451"/>
      <c r="E14" s="451"/>
      <c r="F14" s="451"/>
      <c r="G14" s="451"/>
      <c r="H14" s="451"/>
      <c r="I14" s="451"/>
      <c r="K14" s="461"/>
      <c r="N14" s="463"/>
    </row>
    <row r="15" spans="1:15" x14ac:dyDescent="0.2">
      <c r="A15" s="451"/>
      <c r="B15" s="451"/>
      <c r="C15" s="451"/>
      <c r="D15" s="451"/>
      <c r="E15" s="451"/>
      <c r="F15" s="451"/>
      <c r="G15" s="451"/>
      <c r="H15" s="451"/>
      <c r="I15" s="451"/>
      <c r="K15" s="461"/>
      <c r="L15" t="s">
        <v>398</v>
      </c>
      <c r="N15" s="463"/>
    </row>
    <row r="16" spans="1:15" ht="21" customHeight="1" x14ac:dyDescent="0.2">
      <c r="A16" s="451"/>
      <c r="B16" s="598" t="str">
        <f>IF($O$3&lt;&gt;2,"PÓS-LICITADO: Para visualizar/preencher esta seção, altere o TIPO DE ORÇAMENTO para 'Licitado'","RESULTADO DO PROCESSO LICITATÓRIO")</f>
        <v>RESULTADO DO PROCESSO LICITATÓRIO</v>
      </c>
      <c r="C16" s="598"/>
      <c r="D16" s="598"/>
      <c r="E16" s="598"/>
      <c r="F16" s="598"/>
      <c r="G16" s="598"/>
      <c r="H16" s="598"/>
      <c r="I16" s="451"/>
      <c r="K16" s="461"/>
      <c r="L16" s="558"/>
      <c r="M16" s="3"/>
      <c r="N16" s="464" t="s">
        <v>451</v>
      </c>
    </row>
    <row r="17" spans="1:14" ht="13.5" thickBot="1" x14ac:dyDescent="0.25">
      <c r="A17" s="451"/>
      <c r="B17" s="451"/>
      <c r="C17" s="451"/>
      <c r="D17" s="451"/>
      <c r="E17" s="451"/>
      <c r="F17" s="451"/>
      <c r="G17" s="451"/>
      <c r="H17" s="451"/>
      <c r="I17" s="451"/>
      <c r="K17" s="461"/>
      <c r="N17" s="463"/>
    </row>
    <row r="18" spans="1:14" ht="21" customHeight="1" thickBot="1" x14ac:dyDescent="0.25">
      <c r="A18" s="451"/>
      <c r="B18" s="451"/>
      <c r="C18" s="555" t="str">
        <f>IF(TIPOORCAMENTO&lt;&gt;"Licitado","","             ORÇAMENTO             ")</f>
        <v xml:space="preserve">             ORÇAMENTO             </v>
      </c>
      <c r="D18" s="452"/>
      <c r="E18" s="555" t="str">
        <f>IF(TIPOORCAMENTO&lt;&gt;"Licitado","","                    QCI                    ")</f>
        <v xml:space="preserve">                    QCI                    </v>
      </c>
      <c r="F18" s="452"/>
      <c r="G18" s="556" t="str">
        <f>IF(TIPOORCAMENTO&lt;&gt;"Licitado","","CRONOGRAMA FÍSICO-FINANCEIRO")</f>
        <v>CRONOGRAMA FÍSICO-FINANCEIRO</v>
      </c>
      <c r="H18" s="451"/>
      <c r="I18" s="451"/>
      <c r="K18" s="461"/>
      <c r="L18" s="457"/>
      <c r="M18" s="3"/>
      <c r="N18" s="464" t="s">
        <v>396</v>
      </c>
    </row>
    <row r="19" spans="1:14" x14ac:dyDescent="0.2">
      <c r="A19" s="451"/>
      <c r="B19" s="451"/>
      <c r="C19" s="451"/>
      <c r="D19" s="451"/>
      <c r="E19" s="451"/>
      <c r="F19" s="451"/>
      <c r="G19" s="451"/>
      <c r="H19" s="451"/>
      <c r="I19" s="451"/>
      <c r="K19" s="465"/>
      <c r="L19" s="466"/>
      <c r="M19" s="466"/>
      <c r="N19" s="467"/>
    </row>
    <row r="20" spans="1:14" ht="21" customHeight="1" x14ac:dyDescent="0.2">
      <c r="A20" s="453"/>
      <c r="B20" s="598" t="str">
        <f>IF($O$3&lt;&gt;2,"ACOMPANHAMENTO: Para visualizar/preencher esta seção, altere o TIPO DE ORÇAMENTO para 'Licitado'","ACOMPANHAMENTO DO EMPREENDIMENTO")</f>
        <v>ACOMPANHAMENTO DO EMPREENDIMENTO</v>
      </c>
      <c r="C20" s="598"/>
      <c r="D20" s="598"/>
      <c r="E20" s="598"/>
      <c r="F20" s="598"/>
      <c r="G20" s="598"/>
      <c r="H20" s="598"/>
      <c r="I20" s="451"/>
    </row>
    <row r="21" spans="1:14" ht="13.5" thickBot="1" x14ac:dyDescent="0.25">
      <c r="A21" s="451"/>
      <c r="B21" s="451"/>
      <c r="C21" s="451"/>
      <c r="D21" s="451"/>
      <c r="E21" s="451"/>
      <c r="F21" s="451"/>
      <c r="G21" s="451"/>
      <c r="H21" s="451"/>
      <c r="I21" s="451"/>
    </row>
    <row r="22" spans="1:14" ht="21" customHeight="1" thickBot="1" x14ac:dyDescent="0.25">
      <c r="A22" s="451"/>
      <c r="B22" s="451"/>
      <c r="C22" s="559" t="str">
        <f>IF(OR(TIPOORCAMENTO&lt;&gt;"Licitado",ACOMPANHAMENTO&lt;&gt;"PLE"),"","PLAN. DE LEVANT. DE EVENTOS - PLE")</f>
        <v>PLAN. DE LEVANT. DE EVENTOS - PLE</v>
      </c>
      <c r="D22" s="452"/>
      <c r="E22" s="555" t="str">
        <f>IF(TIPOORCAMENTO&lt;&gt;"Licitado","","                    RRE                    ")</f>
        <v xml:space="preserve">                    RRE                    </v>
      </c>
      <c r="F22" s="452"/>
      <c r="G22" s="557" t="str">
        <f>IF(OR(TIPOORCAMENTO&lt;&gt;"Licitado",ACOMPANHAMENTO&lt;&gt;"BM"),"","  BOLETIM DE MEDIÇÃO - BM  ")</f>
        <v/>
      </c>
      <c r="H22" s="451"/>
      <c r="I22" s="451"/>
    </row>
    <row r="23" spans="1:14" ht="13.5" thickBot="1" x14ac:dyDescent="0.25">
      <c r="A23" s="451"/>
      <c r="B23" s="451"/>
      <c r="C23" s="452"/>
      <c r="D23" s="452"/>
      <c r="E23" s="452"/>
      <c r="F23" s="452"/>
      <c r="G23" s="452"/>
      <c r="H23" s="451"/>
      <c r="I23" s="451"/>
    </row>
    <row r="24" spans="1:14" ht="21" customHeight="1" thickBot="1" x14ac:dyDescent="0.25">
      <c r="A24" s="451"/>
      <c r="B24" s="451"/>
      <c r="C24" s="452"/>
      <c r="D24" s="452"/>
      <c r="E24" s="559" t="str">
        <f>IF(TIPOORCAMENTO&lt;&gt;"Licitado","","OF. DE SOLICITAÇÃO DE DESBLOQUEIO")</f>
        <v>OF. DE SOLICITAÇÃO DE DESBLOQUEIO</v>
      </c>
      <c r="F24" s="452"/>
      <c r="G24" s="452"/>
      <c r="H24" s="451"/>
      <c r="I24" s="451"/>
    </row>
    <row r="25" spans="1:14" x14ac:dyDescent="0.2">
      <c r="A25" s="451"/>
      <c r="B25" s="451"/>
      <c r="C25" s="451"/>
      <c r="D25" s="451"/>
      <c r="E25" s="451"/>
      <c r="F25" s="451"/>
      <c r="G25" s="451"/>
      <c r="H25" s="451"/>
      <c r="I25" s="451"/>
    </row>
  </sheetData>
  <sheetProtection algorithmName="SHA-512" hashValue="93PGkioNJ5Vd63qW0GBr1ime2r0hXrmBKBvBKG7IJj57Hp2/fWPMxM3b0X+eXrrLJrTflRJ3cB/OUI6xK8eQtg==" saltValue="Wb1u0JOtCHMCbxAjl6FSnQ==" spinCount="100000" sheet="1" objects="1" scenarios="1" autoFilter="0"/>
  <mergeCells count="4">
    <mergeCell ref="B20:H20"/>
    <mergeCell ref="B8:H8"/>
    <mergeCell ref="E2:G3"/>
    <mergeCell ref="B16:H16"/>
  </mergeCells>
  <phoneticPr fontId="38" type="noConversion"/>
  <conditionalFormatting sqref="C10:G14">
    <cfRule type="expression" dxfId="602" priority="70" stopIfTrue="1">
      <formula>TIPOORCAMENTO="Licitado"</formula>
    </cfRule>
  </conditionalFormatting>
  <conditionalFormatting sqref="C18:G18 E22:E24">
    <cfRule type="expression" dxfId="601" priority="71" stopIfTrue="1">
      <formula>TIPOORCAMENTO&lt;&gt;"Licitado"</formula>
    </cfRule>
  </conditionalFormatting>
  <conditionalFormatting sqref="C22">
    <cfRule type="expression" dxfId="600" priority="73" stopIfTrue="1">
      <formula>OR(TIPOORCAMENTO&lt;&gt;"Licitado",ACOMPANHAMENTO&lt;&gt;"PLE")</formula>
    </cfRule>
  </conditionalFormatting>
  <conditionalFormatting sqref="G22">
    <cfRule type="expression" dxfId="599" priority="74" stopIfTrue="1">
      <formula>OR(TIPOORCAMENTO&lt;&gt;"Licitado",ACOMPANHAMENTO&lt;&gt;"BM")</formula>
    </cfRule>
  </conditionalFormatting>
  <conditionalFormatting sqref="B16:H16 B20:H20">
    <cfRule type="expression" dxfId="598" priority="599" stopIfTrue="1">
      <formula>$O$3&lt;&gt;2</formula>
    </cfRule>
  </conditionalFormatting>
  <conditionalFormatting sqref="B8:H8">
    <cfRule type="expression" dxfId="597" priority="601" stopIfTrue="1">
      <formula>$O$3&lt;&gt;1</formula>
    </cfRule>
  </conditionalFormatting>
  <hyperlinks>
    <hyperlink ref="E6" location="DADOS!E3" display="DADOS DO CONTRATO" xr:uid="{00000000-0004-0000-0100-000000000000}"/>
    <hyperlink ref="G6" location="Novo!A1" display="NOVIDADES DA VERSÃO" xr:uid="{00000000-0004-0000-0100-000001000000}"/>
    <hyperlink ref="C10" location="BDI!Q11" display="BDI!Q11" xr:uid="{00000000-0004-0000-0100-000002000000}"/>
    <hyperlink ref="E10" location="ORÇAMENTO!M13" display="ORÇAMENTO" xr:uid="{00000000-0004-0000-0100-000003000000}"/>
    <hyperlink ref="G10" location="CÁLCULO!D13" display="MEMÓRIA DE CÁLCULO / PLQ" xr:uid="{00000000-0004-0000-0100-000004000000}"/>
    <hyperlink ref="E12" location="CRONO!G12" display="CRONOGRAMA FÍSICO-FINANCEIRO" xr:uid="{00000000-0004-0000-0100-000005000000}"/>
    <hyperlink ref="C18" location="ORÇAMENTO!AM15" display="             ORÇAMENTO             " xr:uid="{00000000-0004-0000-0100-000006000000}"/>
    <hyperlink ref="E18" location="QCI!D13" display="                    QCI                    " xr:uid="{00000000-0004-0000-0100-000007000000}"/>
    <hyperlink ref="G18" location="CRONO!G12" display="CRONOGRAMA FÍSICO-FINANCEIRO" xr:uid="{00000000-0004-0000-0100-000008000000}"/>
    <hyperlink ref="E22" location="RRE!E13" display="                    RRE                    " xr:uid="{00000000-0004-0000-0100-000009000000}"/>
    <hyperlink ref="G22" location="BM!D13" display="BM!D13" xr:uid="{00000000-0004-0000-0100-00000A000000}"/>
    <hyperlink ref="E24" location="Ofício!C6" display="OF. DE SOLICITAÇÃO DE DESBLOQUEIO" xr:uid="{00000000-0004-0000-0100-00000B000000}"/>
    <hyperlink ref="C12" location="QCI!D13" display="QCI!D13" xr:uid="{00000000-0004-0000-0100-00000C000000}"/>
    <hyperlink ref="C22" location="PLE!J8" display="PLAN. DE LEVANT. DE EVENTOS - PLE" xr:uid="{00000000-0004-0000-0100-00000D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&amp;LPMv3.07&amp;R&amp;P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57150</xdr:rowOff>
                  </from>
                  <to>
                    <xdr:col>13</xdr:col>
                    <xdr:colOff>2381250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2">
    <pageSetUpPr fitToPage="1"/>
  </sheetPr>
  <dimension ref="E1:AS61"/>
  <sheetViews>
    <sheetView showGridLines="0" zoomScaleNormal="100" workbookViewId="0">
      <pane ySplit="2" topLeftCell="A3" activePane="bottomLeft" state="frozen"/>
      <selection pane="bottomLeft" activeCell="F22" sqref="F22"/>
    </sheetView>
  </sheetViews>
  <sheetFormatPr defaultRowHeight="12.75" x14ac:dyDescent="0.2"/>
  <cols>
    <col min="5" max="5" width="42.7109375" style="3" customWidth="1"/>
    <col min="6" max="6" width="53.28515625" style="3" customWidth="1"/>
    <col min="10" max="10" width="14.28515625" hidden="1" customWidth="1"/>
    <col min="11" max="13" width="9.140625" hidden="1" customWidth="1"/>
    <col min="14" max="14" width="9.140625" style="7" hidden="1" customWidth="1"/>
    <col min="15" max="45" width="9.140625" hidden="1" customWidth="1"/>
  </cols>
  <sheetData>
    <row r="1" spans="5:44" ht="15.75" customHeight="1" x14ac:dyDescent="0.2">
      <c r="E1" s="8" t="s">
        <v>5</v>
      </c>
      <c r="K1" s="9"/>
      <c r="L1" s="601" t="s">
        <v>6</v>
      </c>
      <c r="M1" s="601"/>
      <c r="N1" s="601"/>
      <c r="O1" s="601"/>
      <c r="P1" s="601"/>
      <c r="Q1" s="601"/>
      <c r="R1" s="601"/>
      <c r="S1" s="601"/>
      <c r="T1" s="601"/>
      <c r="U1" s="601"/>
      <c r="V1" s="601"/>
      <c r="W1" s="601"/>
      <c r="X1" s="601"/>
      <c r="Y1" s="601"/>
      <c r="Z1" s="601"/>
      <c r="AA1" s="601"/>
      <c r="AB1" s="601"/>
      <c r="AC1" s="601"/>
      <c r="AD1" s="601"/>
      <c r="AE1" s="601"/>
      <c r="AF1" s="601"/>
      <c r="AG1" s="601"/>
      <c r="AH1" s="601"/>
      <c r="AI1" s="601"/>
      <c r="AJ1" s="601"/>
      <c r="AK1" s="601"/>
      <c r="AL1" s="601"/>
      <c r="AM1" s="601"/>
      <c r="AN1" s="601"/>
      <c r="AO1" s="601"/>
      <c r="AP1" s="601"/>
      <c r="AQ1" s="601"/>
      <c r="AR1" s="601"/>
    </row>
    <row r="2" spans="5:44" ht="12.75" customHeight="1" thickBot="1" x14ac:dyDescent="0.25">
      <c r="E2" s="8"/>
      <c r="J2" s="10" t="s">
        <v>7</v>
      </c>
      <c r="K2" s="11" t="s">
        <v>8</v>
      </c>
      <c r="L2" s="12">
        <f>COUNTA(K:K)-1</f>
        <v>3</v>
      </c>
      <c r="M2" s="11" t="s">
        <v>9</v>
      </c>
      <c r="N2" s="12">
        <f>COUNTA(M:M)-1</f>
        <v>6</v>
      </c>
      <c r="O2" s="11" t="s">
        <v>10</v>
      </c>
      <c r="P2" s="12">
        <f>COUNTA(O:O)-1</f>
        <v>6</v>
      </c>
      <c r="Q2" s="11" t="s">
        <v>11</v>
      </c>
      <c r="R2" s="12">
        <f>COUNTA(Q:Q)-1</f>
        <v>6</v>
      </c>
      <c r="S2" s="11" t="s">
        <v>12</v>
      </c>
      <c r="T2" s="12">
        <f>COUNTA(S:S)-1</f>
        <v>11</v>
      </c>
      <c r="U2" s="11" t="s">
        <v>13</v>
      </c>
      <c r="V2" s="12">
        <f>COUNTA(U:U)-1</f>
        <v>8</v>
      </c>
      <c r="W2" s="11" t="s">
        <v>14</v>
      </c>
      <c r="X2" s="12">
        <f>COUNTA(W:W)-1</f>
        <v>4</v>
      </c>
      <c r="Y2" s="11" t="s">
        <v>15</v>
      </c>
      <c r="Z2" s="12">
        <f>COUNTA(Y:Y)-1</f>
        <v>6</v>
      </c>
      <c r="AA2" s="11" t="s">
        <v>16</v>
      </c>
      <c r="AB2" s="12">
        <f>COUNTA(AA:AA)-1</f>
        <v>2</v>
      </c>
      <c r="AC2" s="11" t="s">
        <v>17</v>
      </c>
      <c r="AD2" s="12">
        <f>COUNTA(AC:AC)-1</f>
        <v>2</v>
      </c>
      <c r="AE2" s="11" t="s">
        <v>18</v>
      </c>
      <c r="AF2" s="12">
        <f>COUNTA(AE:AE)-1</f>
        <v>2</v>
      </c>
      <c r="AG2" s="11" t="s">
        <v>19</v>
      </c>
      <c r="AH2" s="12">
        <f>COUNTA(AG:AG)-1</f>
        <v>1</v>
      </c>
      <c r="AI2" s="11" t="s">
        <v>20</v>
      </c>
      <c r="AJ2" s="12">
        <f>COUNTA(AI:AI)-1</f>
        <v>1</v>
      </c>
      <c r="AK2" s="11" t="s">
        <v>21</v>
      </c>
      <c r="AL2" s="12">
        <f>COUNTA(AK:AK)-1</f>
        <v>1</v>
      </c>
      <c r="AM2" s="11" t="s">
        <v>22</v>
      </c>
      <c r="AN2" s="12">
        <f>COUNTA(AM:AM)-1</f>
        <v>3</v>
      </c>
      <c r="AO2" s="11" t="s">
        <v>23</v>
      </c>
      <c r="AP2" s="12">
        <f>COUNTA(AO:AO)-1</f>
        <v>1</v>
      </c>
      <c r="AQ2" s="11" t="s">
        <v>24</v>
      </c>
      <c r="AR2" s="12">
        <f>COUNTA(AQ:AQ)-1</f>
        <v>4</v>
      </c>
    </row>
    <row r="3" spans="5:44" ht="15.75" thickBot="1" x14ac:dyDescent="0.25">
      <c r="E3" s="600" t="s">
        <v>25</v>
      </c>
      <c r="F3" s="600"/>
      <c r="J3" s="13" t="s">
        <v>8</v>
      </c>
      <c r="K3" t="s">
        <v>26</v>
      </c>
      <c r="L3" s="7" t="s">
        <v>27</v>
      </c>
      <c r="M3" s="13" t="s">
        <v>28</v>
      </c>
      <c r="N3" s="7" t="s">
        <v>29</v>
      </c>
      <c r="O3" t="s">
        <v>30</v>
      </c>
      <c r="P3" s="7" t="s">
        <v>29</v>
      </c>
      <c r="Q3" t="s">
        <v>31</v>
      </c>
      <c r="R3" s="7" t="s">
        <v>32</v>
      </c>
      <c r="S3" t="s">
        <v>33</v>
      </c>
      <c r="T3" s="7" t="s">
        <v>34</v>
      </c>
      <c r="U3" t="s">
        <v>35</v>
      </c>
      <c r="V3" s="7" t="s">
        <v>27</v>
      </c>
      <c r="W3" t="s">
        <v>36</v>
      </c>
      <c r="X3" s="7" t="s">
        <v>27</v>
      </c>
      <c r="Y3" t="s">
        <v>37</v>
      </c>
      <c r="Z3" s="7" t="s">
        <v>27</v>
      </c>
      <c r="AA3" t="s">
        <v>38</v>
      </c>
      <c r="AB3" s="7" t="s">
        <v>29</v>
      </c>
      <c r="AC3" t="s">
        <v>39</v>
      </c>
      <c r="AD3" s="7" t="s">
        <v>29</v>
      </c>
      <c r="AE3" t="s">
        <v>18</v>
      </c>
      <c r="AF3" s="7" t="s">
        <v>29</v>
      </c>
      <c r="AG3" t="s">
        <v>19</v>
      </c>
      <c r="AH3" s="7" t="s">
        <v>27</v>
      </c>
      <c r="AI3" t="s">
        <v>20</v>
      </c>
      <c r="AJ3" s="7" t="s">
        <v>27</v>
      </c>
      <c r="AK3" t="s">
        <v>21</v>
      </c>
      <c r="AL3" s="7" t="s">
        <v>27</v>
      </c>
      <c r="AM3" t="s">
        <v>40</v>
      </c>
      <c r="AN3" s="7" t="s">
        <v>27</v>
      </c>
      <c r="AO3" t="s">
        <v>23</v>
      </c>
      <c r="AP3" s="7" t="s">
        <v>41</v>
      </c>
      <c r="AQ3" t="s">
        <v>42</v>
      </c>
      <c r="AR3" s="7" t="s">
        <v>43</v>
      </c>
    </row>
    <row r="4" spans="5:44" x14ac:dyDescent="0.2">
      <c r="E4" s="14" t="s">
        <v>44</v>
      </c>
      <c r="F4" s="15" t="s">
        <v>400</v>
      </c>
      <c r="J4" s="13" t="s">
        <v>9</v>
      </c>
      <c r="K4" t="s">
        <v>45</v>
      </c>
      <c r="L4" s="7" t="s">
        <v>27</v>
      </c>
      <c r="M4" t="s">
        <v>46</v>
      </c>
      <c r="N4" s="7" t="s">
        <v>29</v>
      </c>
      <c r="O4" t="s">
        <v>47</v>
      </c>
      <c r="P4" s="7" t="s">
        <v>29</v>
      </c>
      <c r="Q4" t="s">
        <v>48</v>
      </c>
      <c r="R4" s="7" t="s">
        <v>32</v>
      </c>
      <c r="S4" t="s">
        <v>49</v>
      </c>
      <c r="T4" s="7" t="s">
        <v>34</v>
      </c>
      <c r="U4" t="s">
        <v>50</v>
      </c>
      <c r="V4" s="7" t="s">
        <v>32</v>
      </c>
      <c r="W4" t="s">
        <v>51</v>
      </c>
      <c r="X4" s="7" t="s">
        <v>27</v>
      </c>
      <c r="Y4" t="s">
        <v>52</v>
      </c>
      <c r="Z4" s="7" t="s">
        <v>53</v>
      </c>
      <c r="AA4" t="s">
        <v>54</v>
      </c>
      <c r="AB4" s="7" t="s">
        <v>29</v>
      </c>
      <c r="AC4" t="s">
        <v>55</v>
      </c>
      <c r="AD4" s="7" t="s">
        <v>29</v>
      </c>
      <c r="AE4" t="s">
        <v>56</v>
      </c>
      <c r="AF4" s="7" t="s">
        <v>29</v>
      </c>
      <c r="AH4" s="7"/>
      <c r="AJ4" s="7"/>
      <c r="AL4" s="7"/>
      <c r="AM4" t="s">
        <v>57</v>
      </c>
      <c r="AN4" s="7" t="s">
        <v>27</v>
      </c>
      <c r="AQ4" t="s">
        <v>58</v>
      </c>
      <c r="AR4" s="7" t="s">
        <v>43</v>
      </c>
    </row>
    <row r="5" spans="5:44" x14ac:dyDescent="0.2">
      <c r="E5" s="16" t="s">
        <v>59</v>
      </c>
      <c r="F5" s="17" t="s">
        <v>476</v>
      </c>
      <c r="J5" s="13" t="s">
        <v>10</v>
      </c>
      <c r="K5" t="s">
        <v>60</v>
      </c>
      <c r="L5" s="7" t="s">
        <v>27</v>
      </c>
      <c r="M5" t="s">
        <v>61</v>
      </c>
      <c r="N5" s="7" t="s">
        <v>29</v>
      </c>
      <c r="O5" t="s">
        <v>62</v>
      </c>
      <c r="P5" s="7" t="s">
        <v>32</v>
      </c>
      <c r="Q5" t="s">
        <v>63</v>
      </c>
      <c r="R5" s="7" t="s">
        <v>32</v>
      </c>
      <c r="S5" t="s">
        <v>64</v>
      </c>
      <c r="T5" s="7" t="s">
        <v>34</v>
      </c>
      <c r="U5" t="s">
        <v>65</v>
      </c>
      <c r="V5" s="7" t="s">
        <v>32</v>
      </c>
      <c r="W5" t="s">
        <v>66</v>
      </c>
      <c r="X5" s="7" t="s">
        <v>32</v>
      </c>
      <c r="Y5" t="s">
        <v>67</v>
      </c>
      <c r="Z5" s="7" t="s">
        <v>53</v>
      </c>
      <c r="AB5" s="7"/>
      <c r="AD5" s="7"/>
      <c r="AF5" s="7"/>
      <c r="AH5" s="7"/>
      <c r="AJ5" s="7"/>
      <c r="AL5" s="7"/>
      <c r="AM5" t="s">
        <v>68</v>
      </c>
      <c r="AN5" s="7" t="s">
        <v>27</v>
      </c>
      <c r="AQ5" t="s">
        <v>69</v>
      </c>
      <c r="AR5" s="7" t="s">
        <v>43</v>
      </c>
    </row>
    <row r="6" spans="5:44" x14ac:dyDescent="0.2">
      <c r="E6" s="16" t="s">
        <v>70</v>
      </c>
      <c r="F6" s="17" t="s">
        <v>477</v>
      </c>
      <c r="J6" s="13" t="s">
        <v>11</v>
      </c>
      <c r="M6" t="s">
        <v>71</v>
      </c>
      <c r="N6" s="7" t="s">
        <v>29</v>
      </c>
      <c r="O6" t="s">
        <v>72</v>
      </c>
      <c r="P6" s="7" t="s">
        <v>29</v>
      </c>
      <c r="Q6" t="s">
        <v>73</v>
      </c>
      <c r="R6" s="7" t="s">
        <v>29</v>
      </c>
      <c r="S6" t="s">
        <v>74</v>
      </c>
      <c r="T6" s="7" t="s">
        <v>32</v>
      </c>
      <c r="U6" t="s">
        <v>75</v>
      </c>
      <c r="V6" s="7" t="s">
        <v>32</v>
      </c>
      <c r="W6" t="s">
        <v>76</v>
      </c>
      <c r="X6" s="7" t="s">
        <v>32</v>
      </c>
      <c r="Y6" t="s">
        <v>77</v>
      </c>
      <c r="Z6" s="7" t="s">
        <v>27</v>
      </c>
      <c r="AQ6" t="s">
        <v>78</v>
      </c>
      <c r="AR6" s="7" t="s">
        <v>43</v>
      </c>
    </row>
    <row r="7" spans="5:44" x14ac:dyDescent="0.2">
      <c r="E7" s="18" t="s">
        <v>79</v>
      </c>
      <c r="F7" s="19"/>
      <c r="J7" s="13" t="s">
        <v>12</v>
      </c>
      <c r="M7" t="s">
        <v>80</v>
      </c>
      <c r="N7" s="7" t="s">
        <v>29</v>
      </c>
      <c r="O7" t="s">
        <v>81</v>
      </c>
      <c r="P7" s="7" t="s">
        <v>29</v>
      </c>
      <c r="Q7" t="s">
        <v>82</v>
      </c>
      <c r="R7" s="7" t="s">
        <v>53</v>
      </c>
      <c r="S7" t="s">
        <v>83</v>
      </c>
      <c r="T7" s="7" t="s">
        <v>34</v>
      </c>
      <c r="U7" t="s">
        <v>84</v>
      </c>
      <c r="V7" s="7" t="s">
        <v>34</v>
      </c>
      <c r="Y7" t="s">
        <v>85</v>
      </c>
      <c r="Z7" s="7" t="s">
        <v>27</v>
      </c>
    </row>
    <row r="8" spans="5:44" x14ac:dyDescent="0.2">
      <c r="E8" s="18" t="s">
        <v>431</v>
      </c>
      <c r="F8" s="19"/>
      <c r="J8" s="13" t="s">
        <v>13</v>
      </c>
      <c r="M8" t="s">
        <v>86</v>
      </c>
      <c r="N8" s="7" t="s">
        <v>29</v>
      </c>
      <c r="O8" t="s">
        <v>87</v>
      </c>
      <c r="P8" s="7" t="s">
        <v>29</v>
      </c>
      <c r="Q8" t="s">
        <v>88</v>
      </c>
      <c r="R8" s="7" t="s">
        <v>34</v>
      </c>
      <c r="S8" t="s">
        <v>89</v>
      </c>
      <c r="T8" s="7" t="s">
        <v>34</v>
      </c>
      <c r="U8" t="s">
        <v>90</v>
      </c>
      <c r="V8" s="7" t="s">
        <v>34</v>
      </c>
      <c r="Y8" t="s">
        <v>91</v>
      </c>
      <c r="Z8" s="7" t="s">
        <v>29</v>
      </c>
    </row>
    <row r="9" spans="5:44" x14ac:dyDescent="0.2">
      <c r="E9" s="18" t="str">
        <f>IF(F4="FGTS","Valor de Financiamento Contratado (R$):","Valor do Repasse Contratado (R$):")</f>
        <v>Valor do Repasse Contratado (R$):</v>
      </c>
      <c r="F9" s="20"/>
      <c r="J9" s="13" t="s">
        <v>14</v>
      </c>
      <c r="S9" t="s">
        <v>92</v>
      </c>
      <c r="T9" s="7" t="s">
        <v>32</v>
      </c>
      <c r="U9" t="s">
        <v>93</v>
      </c>
      <c r="V9" s="7" t="s">
        <v>34</v>
      </c>
    </row>
    <row r="10" spans="5:44" x14ac:dyDescent="0.2">
      <c r="E10" s="18" t="s">
        <v>94</v>
      </c>
      <c r="F10" s="20"/>
      <c r="J10" s="13" t="s">
        <v>15</v>
      </c>
      <c r="S10" t="s">
        <v>95</v>
      </c>
      <c r="T10" s="7" t="s">
        <v>53</v>
      </c>
      <c r="U10" t="s">
        <v>96</v>
      </c>
      <c r="V10" s="7" t="s">
        <v>27</v>
      </c>
    </row>
    <row r="11" spans="5:44" x14ac:dyDescent="0.2">
      <c r="E11" s="18" t="s">
        <v>97</v>
      </c>
      <c r="F11" s="21"/>
      <c r="J11" s="13" t="s">
        <v>16</v>
      </c>
      <c r="S11" t="s">
        <v>98</v>
      </c>
      <c r="T11" s="7" t="s">
        <v>32</v>
      </c>
    </row>
    <row r="12" spans="5:44" x14ac:dyDescent="0.2">
      <c r="E12" s="18" t="s">
        <v>99</v>
      </c>
      <c r="F12" s="20"/>
      <c r="J12" s="13" t="s">
        <v>17</v>
      </c>
      <c r="S12" t="s">
        <v>35</v>
      </c>
      <c r="T12" s="7" t="s">
        <v>27</v>
      </c>
    </row>
    <row r="13" spans="5:44" ht="13.5" thickBot="1" x14ac:dyDescent="0.25">
      <c r="E13" s="22" t="s">
        <v>100</v>
      </c>
      <c r="F13" s="23"/>
      <c r="J13" s="13" t="s">
        <v>18</v>
      </c>
      <c r="S13" t="s">
        <v>101</v>
      </c>
      <c r="T13" s="7" t="s">
        <v>32</v>
      </c>
    </row>
    <row r="14" spans="5:44" ht="13.5" thickBot="1" x14ac:dyDescent="0.25">
      <c r="F14" s="24"/>
      <c r="J14" s="13" t="s">
        <v>19</v>
      </c>
    </row>
    <row r="15" spans="5:44" ht="15.75" thickBot="1" x14ac:dyDescent="0.25">
      <c r="E15" s="600" t="s">
        <v>102</v>
      </c>
      <c r="F15" s="600"/>
      <c r="J15" s="13" t="s">
        <v>20</v>
      </c>
    </row>
    <row r="16" spans="5:44" x14ac:dyDescent="0.2">
      <c r="E16" s="25" t="s">
        <v>103</v>
      </c>
      <c r="F16" s="26" t="s">
        <v>518</v>
      </c>
      <c r="J16" s="13" t="s">
        <v>21</v>
      </c>
    </row>
    <row r="17" spans="5:10" x14ac:dyDescent="0.2">
      <c r="E17" s="18" t="s">
        <v>104</v>
      </c>
      <c r="F17" s="27" t="s">
        <v>491</v>
      </c>
      <c r="J17" s="13" t="s">
        <v>22</v>
      </c>
    </row>
    <row r="18" spans="5:10" x14ac:dyDescent="0.2">
      <c r="E18" s="18" t="s">
        <v>105</v>
      </c>
      <c r="F18" s="28" t="s">
        <v>478</v>
      </c>
      <c r="J18" s="13" t="s">
        <v>23</v>
      </c>
    </row>
    <row r="19" spans="5:10" ht="13.5" thickBot="1" x14ac:dyDescent="0.25">
      <c r="E19" s="29" t="s">
        <v>106</v>
      </c>
      <c r="F19" s="30">
        <v>46143</v>
      </c>
      <c r="J19" s="13" t="s">
        <v>24</v>
      </c>
    </row>
    <row r="20" spans="5:10" ht="13.5" thickBot="1" x14ac:dyDescent="0.25">
      <c r="F20" s="31"/>
      <c r="J20" s="13"/>
    </row>
    <row r="21" spans="5:10" ht="15.75" thickBot="1" x14ac:dyDescent="0.25">
      <c r="E21" s="600" t="s">
        <v>107</v>
      </c>
      <c r="F21" s="600"/>
      <c r="J21" s="13"/>
    </row>
    <row r="22" spans="5:10" x14ac:dyDescent="0.2">
      <c r="E22" s="16" t="s">
        <v>108</v>
      </c>
      <c r="F22" s="32" t="s">
        <v>489</v>
      </c>
    </row>
    <row r="23" spans="5:10" x14ac:dyDescent="0.2">
      <c r="E23" s="18" t="s">
        <v>109</v>
      </c>
      <c r="F23" s="19" t="s">
        <v>490</v>
      </c>
    </row>
    <row r="24" spans="5:10" x14ac:dyDescent="0.2">
      <c r="E24" s="18" t="s">
        <v>110</v>
      </c>
      <c r="F24" s="19" t="s">
        <v>479</v>
      </c>
    </row>
    <row r="25" spans="5:10" ht="13.5" thickBot="1" x14ac:dyDescent="0.25">
      <c r="E25" s="22" t="s">
        <v>111</v>
      </c>
      <c r="F25" s="33">
        <v>46199</v>
      </c>
    </row>
    <row r="26" spans="5:10" ht="13.5" thickBot="1" x14ac:dyDescent="0.25"/>
    <row r="27" spans="5:10" ht="15.75" thickBot="1" x14ac:dyDescent="0.25">
      <c r="E27" s="600" t="s">
        <v>112</v>
      </c>
      <c r="F27" s="600"/>
    </row>
    <row r="28" spans="5:10" x14ac:dyDescent="0.2">
      <c r="E28" s="14" t="s">
        <v>108</v>
      </c>
      <c r="F28" s="34"/>
    </row>
    <row r="29" spans="5:10" ht="13.5" thickBot="1" x14ac:dyDescent="0.25">
      <c r="E29" s="22" t="s">
        <v>113</v>
      </c>
      <c r="F29" s="35"/>
    </row>
    <row r="30" spans="5:10" ht="16.5" thickBot="1" x14ac:dyDescent="0.25">
      <c r="E30" s="8"/>
    </row>
    <row r="31" spans="5:10" ht="13.5" thickBot="1" x14ac:dyDescent="0.25">
      <c r="E31" s="550" t="s">
        <v>429</v>
      </c>
      <c r="F31" s="551" t="s">
        <v>473</v>
      </c>
    </row>
    <row r="32" spans="5:10" ht="12.75" customHeight="1" x14ac:dyDescent="0.2">
      <c r="E32" s="8"/>
    </row>
    <row r="33" spans="5:6" ht="12.75" customHeight="1" x14ac:dyDescent="0.2">
      <c r="E33" s="8" t="s">
        <v>114</v>
      </c>
    </row>
    <row r="34" spans="5:6" ht="16.5" thickBot="1" x14ac:dyDescent="0.25">
      <c r="E34" s="8"/>
    </row>
    <row r="35" spans="5:6" ht="12.75" customHeight="1" thickBot="1" x14ac:dyDescent="0.25">
      <c r="E35" s="600" t="s">
        <v>115</v>
      </c>
      <c r="F35" s="600"/>
    </row>
    <row r="36" spans="5:6" x14ac:dyDescent="0.2">
      <c r="E36" s="14" t="s">
        <v>116</v>
      </c>
      <c r="F36" s="36"/>
    </row>
    <row r="37" spans="5:6" x14ac:dyDescent="0.2">
      <c r="E37" s="16" t="s">
        <v>117</v>
      </c>
      <c r="F37" s="17"/>
    </row>
    <row r="38" spans="5:6" x14ac:dyDescent="0.2">
      <c r="E38" s="18" t="s">
        <v>118</v>
      </c>
      <c r="F38" s="19"/>
    </row>
    <row r="39" spans="5:6" x14ac:dyDescent="0.2">
      <c r="E39" s="18" t="s">
        <v>119</v>
      </c>
      <c r="F39" s="19"/>
    </row>
    <row r="40" spans="5:6" x14ac:dyDescent="0.2">
      <c r="E40" s="18" t="s">
        <v>120</v>
      </c>
      <c r="F40" s="28" t="s">
        <v>480</v>
      </c>
    </row>
    <row r="41" spans="5:6" ht="13.5" thickBot="1" x14ac:dyDescent="0.25">
      <c r="E41" s="29" t="s">
        <v>121</v>
      </c>
      <c r="F41" s="37"/>
    </row>
    <row r="42" spans="5:6" ht="15.75" x14ac:dyDescent="0.2">
      <c r="E42" s="8"/>
    </row>
    <row r="43" spans="5:6" ht="12.75" customHeight="1" x14ac:dyDescent="0.2">
      <c r="E43" s="8"/>
    </row>
    <row r="44" spans="5:6" ht="12.75" customHeight="1" x14ac:dyDescent="0.2">
      <c r="E44" s="8" t="s">
        <v>122</v>
      </c>
    </row>
    <row r="45" spans="5:6" ht="16.5" thickBot="1" x14ac:dyDescent="0.25">
      <c r="E45" s="8"/>
    </row>
    <row r="46" spans="5:6" ht="12.75" customHeight="1" thickBot="1" x14ac:dyDescent="0.25">
      <c r="E46" s="600" t="s">
        <v>123</v>
      </c>
      <c r="F46" s="600"/>
    </row>
    <row r="47" spans="5:6" x14ac:dyDescent="0.2">
      <c r="E47" s="14" t="s">
        <v>124</v>
      </c>
      <c r="F47" s="36"/>
    </row>
    <row r="48" spans="5:6" ht="13.5" thickBot="1" x14ac:dyDescent="0.25">
      <c r="E48" s="29" t="s">
        <v>125</v>
      </c>
      <c r="F48" s="38">
        <v>45719</v>
      </c>
    </row>
    <row r="49" spans="5:6" ht="16.5" thickBot="1" x14ac:dyDescent="0.25">
      <c r="E49" s="8"/>
    </row>
    <row r="50" spans="5:6" ht="12.75" customHeight="1" thickBot="1" x14ac:dyDescent="0.25">
      <c r="E50" s="600" t="s">
        <v>126</v>
      </c>
      <c r="F50" s="600"/>
    </row>
    <row r="51" spans="5:6" x14ac:dyDescent="0.2">
      <c r="E51" s="14" t="s">
        <v>108</v>
      </c>
      <c r="F51" s="39" t="s">
        <v>484</v>
      </c>
    </row>
    <row r="52" spans="5:6" x14ac:dyDescent="0.2">
      <c r="E52" s="18" t="s">
        <v>127</v>
      </c>
      <c r="F52" s="19" t="s">
        <v>485</v>
      </c>
    </row>
    <row r="53" spans="5:6" x14ac:dyDescent="0.2">
      <c r="E53" s="18" t="s">
        <v>128</v>
      </c>
      <c r="F53" s="19"/>
    </row>
    <row r="54" spans="5:6" ht="13.5" thickBot="1" x14ac:dyDescent="0.25">
      <c r="E54" s="22" t="s">
        <v>129</v>
      </c>
      <c r="F54" s="40"/>
    </row>
    <row r="55" spans="5:6" x14ac:dyDescent="0.2">
      <c r="F55" s="31"/>
    </row>
    <row r="57" spans="5:6" ht="15.75" x14ac:dyDescent="0.2">
      <c r="E57" s="8" t="s">
        <v>130</v>
      </c>
    </row>
    <row r="58" spans="5:6" ht="16.5" thickBot="1" x14ac:dyDescent="0.25">
      <c r="E58" s="8"/>
    </row>
    <row r="59" spans="5:6" ht="15.75" thickBot="1" x14ac:dyDescent="0.25">
      <c r="E59" s="600" t="s">
        <v>131</v>
      </c>
      <c r="F59" s="600"/>
    </row>
    <row r="60" spans="5:6" x14ac:dyDescent="0.2">
      <c r="E60" s="14" t="s">
        <v>108</v>
      </c>
      <c r="F60" s="39"/>
    </row>
    <row r="61" spans="5:6" ht="13.5" thickBot="1" x14ac:dyDescent="0.25">
      <c r="E61" s="29" t="s">
        <v>132</v>
      </c>
      <c r="F61" s="41"/>
    </row>
  </sheetData>
  <sheetProtection algorithmName="SHA-512" hashValue="pE5+lbOt9PY8LUZdjH9wrkODF7e0YpoT+yvMi37mhZKjcIm6w/vaHa7+hywyYDeraKwAUTlBoE6ZHnu+npQC/Q==" saltValue="eVuJ0Ef350nel5xXp7U/eA==" spinCount="100000" sheet="1" objects="1" scenarios="1" autoFilter="0"/>
  <mergeCells count="9">
    <mergeCell ref="E50:F50"/>
    <mergeCell ref="E59:F59"/>
    <mergeCell ref="L1:AR1"/>
    <mergeCell ref="E3:F3"/>
    <mergeCell ref="E15:F15"/>
    <mergeCell ref="E21:F21"/>
    <mergeCell ref="E27:F27"/>
    <mergeCell ref="E35:F35"/>
    <mergeCell ref="E46:F46"/>
  </mergeCells>
  <phoneticPr fontId="38" type="noConversion"/>
  <conditionalFormatting sqref="E57:F58">
    <cfRule type="expression" dxfId="596" priority="2" stopIfTrue="1">
      <formula>CAIXA.Modo=FALSE</formula>
    </cfRule>
  </conditionalFormatting>
  <conditionalFormatting sqref="E59:F61">
    <cfRule type="expression" dxfId="595" priority="3" stopIfTrue="1">
      <formula>CAIXA.Modo=FALSE</formula>
    </cfRule>
  </conditionalFormatting>
  <dataValidations count="7">
    <dataValidation type="date" allowBlank="1" showErrorMessage="1" errorTitle="Dados inválidos" error="Digite somente datas válidas no formato mm/aaaa." sqref="F19 F25 F36 F41 F47:F48" xr:uid="{00000000-0002-0000-0200-000000000000}">
      <formula1>36526</formula1>
      <formula2>72686</formula2>
    </dataValidation>
    <dataValidation type="list" allowBlank="1" showErrorMessage="1" sqref="F18" xr:uid="{00000000-0002-0000-0200-000001000000}">
      <formula1>"(SELECIONAR),NÃO SE APLICA,DESONERADO,NÃO DESONERADO"</formula1>
      <formula2>0</formula2>
    </dataValidation>
    <dataValidation type="decimal" allowBlank="1" showErrorMessage="1" error="Digite um valor em percentual._x000a__x000a_Ou seja um valor de 0% (zero) até 100% (cem). " sqref="F11 F13:F14" xr:uid="{00000000-0002-0000-0200-000002000000}">
      <formula1>0</formula1>
      <formula2>1</formula2>
    </dataValidation>
    <dataValidation type="list" allowBlank="1" showErrorMessage="1" sqref="F4" xr:uid="{00000000-0002-0000-0200-000003000000}">
      <formula1>"(SELECIONAR),OGU,FGTS"</formula1>
      <formula2>0</formula2>
    </dataValidation>
    <dataValidation type="decimal" operator="greaterThan" allowBlank="1" showErrorMessage="1" error="Digite um valor maior do que 0." sqref="F12" xr:uid="{00000000-0002-0000-0200-000004000000}">
      <formula1>0</formula1>
      <formula2>0</formula2>
    </dataValidation>
    <dataValidation type="list" allowBlank="1" showErrorMessage="1" sqref="F40" xr:uid="{00000000-0002-0000-0200-000005000000}">
      <formula1>"(SELECIONAR),INDEFINIDO / NÃO SE APLICA,EMPREITADA POR PREÇO GLOBAL,EMPREITADA POR PREÇO UNITÁRIO,EMPREITADA INTEGRAL,TAREFA,CONTRATAÇÃO INTEGRADA,ADM. DIRETA"</formula1>
      <formula2>0</formula2>
    </dataValidation>
    <dataValidation type="list" allowBlank="1" showErrorMessage="1" sqref="F31" xr:uid="{00000000-0002-0000-0200-000006000000}">
      <formula1>"Tradicional,TransfereGOV"</formula1>
    </dataValidation>
  </dataValidations>
  <pageMargins left="0.78740157480314998" right="0.78740157480314998" top="0.78740157480314998" bottom="0.78740157480314998" header="5.7086614173228396" footer="0.59055118110236204"/>
  <pageSetup paperSize="9" scale="65" firstPageNumber="0" fitToHeight="0" orientation="portrait" horizontalDpi="300" verticalDpi="300" r:id="rId1"/>
  <headerFooter alignWithMargins="0">
    <oddHeader>&amp;L_</oddHeader>
    <oddFooter>&amp;LPMv3.07&amp;R&amp;P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18" activePane="bottomLeft" state="frozen"/>
      <selection activeCell="E1" sqref="E1"/>
      <selection pane="bottomLeft" activeCell="S23" sqref="S23"/>
    </sheetView>
  </sheetViews>
  <sheetFormatPr defaultRowHeight="12.75" x14ac:dyDescent="0.2"/>
  <cols>
    <col min="1" max="4" width="5.7109375" style="50" hidden="1" customWidth="1"/>
    <col min="5" max="5" width="11.28515625" style="50" hidden="1" customWidth="1"/>
    <col min="6" max="6" width="11.42578125" style="50" hidden="1" customWidth="1"/>
    <col min="7" max="7" width="11.85546875" style="50" hidden="1" customWidth="1"/>
    <col min="8" max="8" width="10.7109375" customWidth="1"/>
    <col min="9" max="9" width="3.7109375" customWidth="1"/>
    <col min="10" max="15" width="10.7109375" style="50" customWidth="1"/>
    <col min="16" max="16" width="12.85546875" style="50" customWidth="1"/>
    <col min="17" max="19" width="10.7109375" style="50" customWidth="1"/>
  </cols>
  <sheetData>
    <row r="1" spans="1:19" ht="15.75" x14ac:dyDescent="0.25">
      <c r="E1" s="51" t="s">
        <v>137</v>
      </c>
      <c r="F1" s="51" t="s">
        <v>138</v>
      </c>
      <c r="G1" s="51" t="s">
        <v>139</v>
      </c>
      <c r="O1" s="52" t="str">
        <f>"Quadro de Composição do BDI"</f>
        <v>Quadro de Composição do BDI</v>
      </c>
      <c r="R1" s="626" t="s">
        <v>140</v>
      </c>
      <c r="S1" s="626"/>
    </row>
    <row r="2" spans="1:19" x14ac:dyDescent="0.2">
      <c r="A2" s="50" t="s">
        <v>141</v>
      </c>
      <c r="B2" s="54" t="s">
        <v>142</v>
      </c>
      <c r="C2" s="50" t="str">
        <f t="shared" ref="C2:C49" si="0">CONCATENATE(A2,"-",B2)</f>
        <v>Construção e Reforma de Edifícios-AC</v>
      </c>
      <c r="E2" s="55">
        <v>0.03</v>
      </c>
      <c r="F2" s="55">
        <v>0.04</v>
      </c>
      <c r="G2" s="55">
        <v>5.5E-2</v>
      </c>
      <c r="R2" s="627" t="s">
        <v>143</v>
      </c>
      <c r="S2" s="627"/>
    </row>
    <row r="3" spans="1:19" x14ac:dyDescent="0.2">
      <c r="A3" s="50" t="str">
        <f>A2</f>
        <v>Construção e Reforma de Edifícios</v>
      </c>
      <c r="B3" s="54" t="s">
        <v>144</v>
      </c>
      <c r="C3" s="50" t="str">
        <f t="shared" si="0"/>
        <v>Construção e Reforma de Edifícios-SG</v>
      </c>
      <c r="E3" s="55">
        <v>8.0000000000000002E-3</v>
      </c>
      <c r="F3" s="55">
        <v>8.0000000000000002E-3</v>
      </c>
      <c r="G3" s="55">
        <v>0.01</v>
      </c>
    </row>
    <row r="4" spans="1:19" x14ac:dyDescent="0.2">
      <c r="A4" s="50" t="str">
        <f>A3</f>
        <v>Construção e Reforma de Edifícios</v>
      </c>
      <c r="B4" s="54" t="s">
        <v>145</v>
      </c>
      <c r="C4" s="50" t="str">
        <f t="shared" si="0"/>
        <v>Construção e Reforma de Edifícios-R</v>
      </c>
      <c r="E4" s="55">
        <v>9.7000000000000003E-3</v>
      </c>
      <c r="F4" s="55">
        <v>1.2699999999999999E-2</v>
      </c>
      <c r="G4" s="55">
        <v>1.2699999999999999E-2</v>
      </c>
      <c r="J4" s="622" t="s">
        <v>146</v>
      </c>
      <c r="K4" s="622"/>
      <c r="L4" s="622" t="s">
        <v>435</v>
      </c>
      <c r="M4" s="622"/>
      <c r="N4" s="622" t="s">
        <v>147</v>
      </c>
      <c r="O4" s="622"/>
      <c r="P4" s="622"/>
      <c r="Q4" s="622"/>
      <c r="R4" s="622"/>
      <c r="S4" s="622"/>
    </row>
    <row r="5" spans="1:19" ht="12.75" customHeight="1" x14ac:dyDescent="0.2">
      <c r="A5" s="50" t="str">
        <f>A4</f>
        <v>Construção e Reforma de Edifícios</v>
      </c>
      <c r="B5" s="54" t="s">
        <v>148</v>
      </c>
      <c r="C5" s="50" t="str">
        <f t="shared" si="0"/>
        <v>Construção e Reforma de Edifícios-DF</v>
      </c>
      <c r="E5" s="55">
        <v>5.8999999999999999E-3</v>
      </c>
      <c r="F5" s="55">
        <v>1.23E-2</v>
      </c>
      <c r="G5" s="55">
        <v>1.3899999999999999E-2</v>
      </c>
      <c r="J5" s="625">
        <f>Import.CR</f>
        <v>0</v>
      </c>
      <c r="K5" s="625"/>
      <c r="L5" s="625">
        <f>Import.TransfereGOV</f>
        <v>0</v>
      </c>
      <c r="M5" s="625"/>
      <c r="N5" s="625" t="str">
        <f>Import.Proponente</f>
        <v>MUNICIPIO DE BENTO GONÇALVES</v>
      </c>
      <c r="O5" s="625"/>
      <c r="P5" s="625"/>
      <c r="Q5" s="625"/>
      <c r="R5" s="625"/>
      <c r="S5" s="625"/>
    </row>
    <row r="6" spans="1:19" x14ac:dyDescent="0.2">
      <c r="A6" s="50" t="str">
        <f>A5</f>
        <v>Construção e Reforma de Edifícios</v>
      </c>
      <c r="B6" s="54" t="s">
        <v>149</v>
      </c>
      <c r="C6" s="50" t="str">
        <f t="shared" si="0"/>
        <v>Construção e Reforma de Edifícios-L</v>
      </c>
      <c r="E6" s="55">
        <v>6.1600000000000002E-2</v>
      </c>
      <c r="F6" s="55">
        <v>7.400000000000001E-2</v>
      </c>
      <c r="G6" s="55">
        <v>8.9600000000000013E-2</v>
      </c>
      <c r="I6" s="615" t="s">
        <v>208</v>
      </c>
      <c r="J6" s="58"/>
      <c r="K6" s="58"/>
      <c r="L6" s="58"/>
      <c r="M6" s="58"/>
      <c r="N6" s="58"/>
      <c r="O6" s="58"/>
      <c r="P6" s="58"/>
      <c r="Q6" s="58"/>
      <c r="R6" s="58"/>
      <c r="S6" s="58"/>
    </row>
    <row r="7" spans="1:19" ht="25.5" x14ac:dyDescent="0.2">
      <c r="A7" s="50" t="str">
        <f>A6</f>
        <v>Construção e Reforma de Edifícios</v>
      </c>
      <c r="B7" s="59" t="s">
        <v>150</v>
      </c>
      <c r="C7" s="50" t="str">
        <f t="shared" si="0"/>
        <v>Construção e Reforma de Edifícios-BDI PAD</v>
      </c>
      <c r="E7" s="55">
        <v>0.2034</v>
      </c>
      <c r="F7" s="55">
        <v>0.22120000000000001</v>
      </c>
      <c r="G7" s="55">
        <v>0.25</v>
      </c>
      <c r="I7" s="615"/>
      <c r="J7" s="622" t="s">
        <v>151</v>
      </c>
      <c r="K7" s="622"/>
      <c r="L7" s="622"/>
      <c r="M7" s="622"/>
      <c r="N7" s="622"/>
      <c r="O7" s="622"/>
      <c r="P7" s="622"/>
      <c r="Q7" s="622"/>
      <c r="R7" s="622"/>
      <c r="S7" s="622"/>
    </row>
    <row r="8" spans="1:19" x14ac:dyDescent="0.2">
      <c r="A8" s="50" t="s">
        <v>152</v>
      </c>
      <c r="B8" s="54" t="s">
        <v>142</v>
      </c>
      <c r="C8" s="50" t="str">
        <f t="shared" si="0"/>
        <v>Construção de Praças Urbanas, Rodovias, Ferrovias e recapeamento e pavimentação de vias urbanas-AC</v>
      </c>
      <c r="E8" s="55">
        <v>3.7999999999999999E-2</v>
      </c>
      <c r="F8" s="55">
        <v>4.0099999999999997E-2</v>
      </c>
      <c r="G8" s="55">
        <v>4.6699999999999998E-2</v>
      </c>
      <c r="I8" s="615"/>
      <c r="J8" s="630" t="str">
        <f>Import.Apelido&amp;" / "&amp;Import.DescLote</f>
        <v>RUA MIGUEL A DA ROLT / PAVIMENTAÇÃO ASFÁLTICA</v>
      </c>
      <c r="K8" s="630"/>
      <c r="L8" s="630"/>
      <c r="M8" s="630"/>
      <c r="N8" s="630"/>
      <c r="O8" s="630"/>
      <c r="P8" s="630"/>
      <c r="Q8" s="630"/>
      <c r="R8" s="630"/>
      <c r="S8" s="630"/>
    </row>
    <row r="9" spans="1:19" x14ac:dyDescent="0.2">
      <c r="A9" s="50" t="s">
        <v>152</v>
      </c>
      <c r="B9" s="54" t="s">
        <v>144</v>
      </c>
      <c r="C9" s="50" t="str">
        <f t="shared" si="0"/>
        <v>Construção de Praças Urbanas, Rodovias, Ferrovias e recapeamento e pavimentação de vias urbanas-SG</v>
      </c>
      <c r="E9" s="55">
        <v>3.2000000000000002E-3</v>
      </c>
      <c r="F9" s="55">
        <v>4.0000000000000001E-3</v>
      </c>
      <c r="G9" s="55">
        <v>7.4000000000000003E-3</v>
      </c>
      <c r="I9" s="615"/>
      <c r="J9" s="58"/>
      <c r="K9" s="58"/>
      <c r="L9" s="58"/>
      <c r="M9" s="58"/>
      <c r="N9" s="58"/>
      <c r="O9" s="58"/>
      <c r="P9" s="58"/>
      <c r="Q9" s="58"/>
      <c r="R9" s="58"/>
      <c r="S9" s="58"/>
    </row>
    <row r="10" spans="1:19" ht="12.75" customHeight="1" x14ac:dyDescent="0.2">
      <c r="A10" s="50" t="s">
        <v>152</v>
      </c>
      <c r="B10" s="54" t="s">
        <v>145</v>
      </c>
      <c r="C10" s="50" t="str">
        <f t="shared" si="0"/>
        <v>Construção de Praças Urbanas, Rodovias, Ferrovias e recapeamento e pavimentação de vias urbanas-R</v>
      </c>
      <c r="E10" s="55">
        <v>5.0000000000000001E-3</v>
      </c>
      <c r="F10" s="55">
        <v>5.6000000000000008E-3</v>
      </c>
      <c r="G10" s="55">
        <v>9.7000000000000003E-3</v>
      </c>
      <c r="I10" s="615"/>
      <c r="J10" s="631" t="s">
        <v>153</v>
      </c>
      <c r="K10" s="631"/>
      <c r="L10" s="631"/>
      <c r="M10" s="631"/>
      <c r="N10" s="631"/>
      <c r="O10" s="631"/>
      <c r="P10" s="631"/>
      <c r="Q10" s="631"/>
      <c r="R10" s="629">
        <v>1</v>
      </c>
      <c r="S10" s="629"/>
    </row>
    <row r="11" spans="1:19" ht="12.75" customHeight="1" x14ac:dyDescent="0.2">
      <c r="A11" s="50" t="s">
        <v>152</v>
      </c>
      <c r="B11" s="54" t="s">
        <v>148</v>
      </c>
      <c r="C11" s="50" t="str">
        <f t="shared" si="0"/>
        <v>Construção de Praças Urbanas, Rodovias, Ferrovias e recapeamento e pavimentação de vias urbanas-DF</v>
      </c>
      <c r="E11" s="55">
        <v>1.0200000000000001E-2</v>
      </c>
      <c r="F11" s="55">
        <v>1.11E-2</v>
      </c>
      <c r="G11" s="55">
        <v>1.21E-2</v>
      </c>
      <c r="I11" s="108" t="s">
        <v>216</v>
      </c>
      <c r="J11" s="628" t="s">
        <v>154</v>
      </c>
      <c r="K11" s="628"/>
      <c r="L11" s="628"/>
      <c r="M11" s="628"/>
      <c r="N11" s="628"/>
      <c r="O11" s="628"/>
      <c r="P11" s="628"/>
      <c r="Q11" s="628"/>
      <c r="R11" s="629">
        <v>0.03</v>
      </c>
      <c r="S11" s="629"/>
    </row>
    <row r="12" spans="1:19" x14ac:dyDescent="0.2">
      <c r="A12" s="50" t="s">
        <v>152</v>
      </c>
      <c r="B12" s="54" t="s">
        <v>149</v>
      </c>
      <c r="C12" s="50" t="str">
        <f t="shared" si="0"/>
        <v>Construção de Praças Urbanas, Rodovias, Ferrovias e recapeamento e pavimentação de vias urbanas-L</v>
      </c>
      <c r="E12" s="55">
        <v>6.6400000000000001E-2</v>
      </c>
      <c r="F12" s="55">
        <v>7.2999999999999995E-2</v>
      </c>
      <c r="G12" s="55">
        <v>8.6899999999999991E-2</v>
      </c>
      <c r="I12" t="s">
        <v>245</v>
      </c>
      <c r="J12" s="60"/>
      <c r="K12" s="60"/>
      <c r="L12" s="60"/>
      <c r="M12" s="60"/>
      <c r="N12" s="60"/>
      <c r="O12" s="60"/>
      <c r="P12" s="60"/>
      <c r="Q12" s="60"/>
      <c r="R12" s="60"/>
      <c r="S12" s="60"/>
    </row>
    <row r="13" spans="1:19" ht="15" customHeight="1" x14ac:dyDescent="0.2">
      <c r="A13" s="50" t="s">
        <v>152</v>
      </c>
      <c r="B13" s="59" t="s">
        <v>150</v>
      </c>
      <c r="C13" s="50" t="str">
        <f t="shared" si="0"/>
        <v>Construção de Praças Urbanas, Rodovias, Ferrovias e recapeamento e pavimentação de vias urbanas-BDI PAD</v>
      </c>
      <c r="E13" s="55">
        <v>0.19600000000000001</v>
      </c>
      <c r="F13" s="55">
        <v>0.2097</v>
      </c>
      <c r="G13" s="55">
        <v>0.24230000000000002</v>
      </c>
      <c r="I13" t="s">
        <v>245</v>
      </c>
    </row>
    <row r="14" spans="1:19" ht="15.75" x14ac:dyDescent="0.25">
      <c r="A14" s="50" t="s">
        <v>155</v>
      </c>
      <c r="B14" s="54" t="s">
        <v>142</v>
      </c>
      <c r="C14" s="50" t="str">
        <f t="shared" si="0"/>
        <v>Construção de Redes de Abastecimento de Água, Coleta de Esgoto-AC</v>
      </c>
      <c r="E14" s="55">
        <v>3.4300000000000004E-2</v>
      </c>
      <c r="F14" s="55">
        <v>4.9299999999999997E-2</v>
      </c>
      <c r="G14" s="55">
        <v>6.7099999999999993E-2</v>
      </c>
      <c r="I14" t="s">
        <v>245</v>
      </c>
      <c r="J14" s="624" t="s">
        <v>156</v>
      </c>
      <c r="K14" s="624"/>
      <c r="L14" s="624"/>
      <c r="M14" s="624"/>
      <c r="N14" s="624"/>
      <c r="O14" s="624"/>
      <c r="P14" s="624"/>
      <c r="Q14" s="624"/>
      <c r="R14" s="624"/>
      <c r="S14" s="624"/>
    </row>
    <row r="15" spans="1:19" x14ac:dyDescent="0.2">
      <c r="A15" s="50" t="str">
        <f>A14</f>
        <v>Construção de Redes de Abastecimento de Água, Coleta de Esgoto</v>
      </c>
      <c r="B15" s="54" t="s">
        <v>144</v>
      </c>
      <c r="C15" s="50" t="str">
        <f t="shared" si="0"/>
        <v>Construção de Redes de Abastecimento de Água, Coleta de Esgoto-SG</v>
      </c>
      <c r="E15" s="55">
        <v>2.8000000000000004E-3</v>
      </c>
      <c r="F15" s="55">
        <v>4.8999999999999998E-3</v>
      </c>
      <c r="G15" s="55">
        <v>7.4999999999999997E-3</v>
      </c>
      <c r="I15" t="s">
        <v>245</v>
      </c>
    </row>
    <row r="16" spans="1:19" x14ac:dyDescent="0.2">
      <c r="A16" s="50" t="str">
        <f>A15</f>
        <v>Construção de Redes de Abastecimento de Água, Coleta de Esgoto</v>
      </c>
      <c r="B16" s="54" t="s">
        <v>145</v>
      </c>
      <c r="C16" s="50" t="str">
        <f t="shared" si="0"/>
        <v>Construção de Redes de Abastecimento de Água, Coleta de Esgoto-R</v>
      </c>
      <c r="E16" s="55">
        <v>0.01</v>
      </c>
      <c r="F16" s="55">
        <v>1.3899999999999999E-2</v>
      </c>
      <c r="G16" s="55">
        <v>1.7399999999999999E-2</v>
      </c>
      <c r="I16" t="s">
        <v>245</v>
      </c>
      <c r="J16" s="622" t="s">
        <v>157</v>
      </c>
      <c r="K16" s="622"/>
      <c r="L16" s="622"/>
      <c r="M16" s="622"/>
      <c r="N16" s="622"/>
      <c r="O16" s="622"/>
      <c r="P16" s="622"/>
      <c r="Q16" s="622"/>
      <c r="R16" s="622"/>
      <c r="S16" s="622"/>
    </row>
    <row r="17" spans="1:26" x14ac:dyDescent="0.2">
      <c r="A17" s="50" t="str">
        <f>A16</f>
        <v>Construção de Redes de Abastecimento de Água, Coleta de Esgoto</v>
      </c>
      <c r="B17" s="54" t="s">
        <v>148</v>
      </c>
      <c r="C17" s="50" t="str">
        <f t="shared" si="0"/>
        <v>Construção de Redes de Abastecimento de Água, Coleta de Esgoto-DF</v>
      </c>
      <c r="E17" s="55">
        <v>9.3999999999999986E-3</v>
      </c>
      <c r="F17" s="55">
        <v>9.8999999999999991E-3</v>
      </c>
      <c r="G17" s="55">
        <v>1.1699999999999999E-2</v>
      </c>
      <c r="I17" t="s">
        <v>245</v>
      </c>
      <c r="J17" s="623" t="s">
        <v>152</v>
      </c>
      <c r="K17" s="623"/>
      <c r="L17" s="623"/>
      <c r="M17" s="623"/>
      <c r="N17" s="623"/>
      <c r="O17" s="623"/>
      <c r="P17" s="623"/>
      <c r="Q17" s="623"/>
      <c r="R17" s="623"/>
      <c r="S17" s="623"/>
    </row>
    <row r="18" spans="1:26" x14ac:dyDescent="0.2">
      <c r="A18" s="50" t="str">
        <f>A17</f>
        <v>Construção de Redes de Abastecimento de Água, Coleta de Esgoto</v>
      </c>
      <c r="B18" s="54" t="s">
        <v>149</v>
      </c>
      <c r="C18" s="50" t="str">
        <f t="shared" si="0"/>
        <v>Construção de Redes de Abastecimento de Água, Coleta de Esgoto-L</v>
      </c>
      <c r="E18" s="55">
        <v>6.7400000000000002E-2</v>
      </c>
      <c r="F18" s="55">
        <v>8.0399999999999985E-2</v>
      </c>
      <c r="G18" s="55">
        <v>9.4E-2</v>
      </c>
      <c r="I18" t="s">
        <v>245</v>
      </c>
    </row>
    <row r="19" spans="1:26" ht="12.75" customHeight="1" x14ac:dyDescent="0.2">
      <c r="A19" s="50" t="str">
        <f>A18</f>
        <v>Construção de Redes de Abastecimento de Água, Coleta de Esgoto</v>
      </c>
      <c r="B19" s="59" t="s">
        <v>150</v>
      </c>
      <c r="C19" s="50" t="str">
        <f t="shared" si="0"/>
        <v>Construção de Redes de Abastecimento de Água, Coleta de Esgoto-BDI PAD</v>
      </c>
      <c r="E19" s="55">
        <v>0.20760000000000001</v>
      </c>
      <c r="F19" s="55">
        <v>0.24179999999999999</v>
      </c>
      <c r="G19" s="55">
        <v>0.26440000000000002</v>
      </c>
      <c r="I19" t="s">
        <v>245</v>
      </c>
      <c r="J19" s="621" t="s">
        <v>158</v>
      </c>
      <c r="K19" s="621"/>
      <c r="L19" s="621"/>
      <c r="M19" s="621"/>
      <c r="N19" s="621"/>
      <c r="O19" s="621"/>
      <c r="P19" s="621"/>
      <c r="Q19" s="621"/>
      <c r="R19" s="621" t="s">
        <v>159</v>
      </c>
      <c r="S19" s="612" t="s">
        <v>160</v>
      </c>
      <c r="U19" s="612" t="s">
        <v>161</v>
      </c>
      <c r="V19" s="612"/>
      <c r="W19" s="612"/>
      <c r="X19" s="620" t="s">
        <v>162</v>
      </c>
      <c r="Y19" s="620" t="s">
        <v>163</v>
      </c>
      <c r="Z19" s="620" t="s">
        <v>164</v>
      </c>
    </row>
    <row r="20" spans="1:26" ht="12.75" customHeight="1" x14ac:dyDescent="0.2">
      <c r="A20" s="50" t="s">
        <v>165</v>
      </c>
      <c r="B20" s="54" t="s">
        <v>142</v>
      </c>
      <c r="C20" s="50" t="str">
        <f t="shared" si="0"/>
        <v>Construção e Manutenção de Estações e Redes de Distribuição de Energia Elétrica-AC</v>
      </c>
      <c r="E20" s="55">
        <v>5.2900000000000003E-2</v>
      </c>
      <c r="F20" s="55">
        <v>5.9200000000000003E-2</v>
      </c>
      <c r="G20" s="55">
        <v>7.9299999999999995E-2</v>
      </c>
      <c r="I20" t="s">
        <v>245</v>
      </c>
      <c r="J20" s="621"/>
      <c r="K20" s="621"/>
      <c r="L20" s="621"/>
      <c r="M20" s="621"/>
      <c r="N20" s="621"/>
      <c r="O20" s="621"/>
      <c r="P20" s="621"/>
      <c r="Q20" s="621"/>
      <c r="R20" s="621"/>
      <c r="S20" s="612"/>
      <c r="U20" s="612"/>
      <c r="V20" s="612"/>
      <c r="W20" s="612"/>
      <c r="X20" s="620"/>
      <c r="Y20" s="620"/>
      <c r="Z20" s="620"/>
    </row>
    <row r="21" spans="1:26" ht="15" customHeight="1" x14ac:dyDescent="0.2">
      <c r="A21" s="50" t="str">
        <f>A20</f>
        <v>Construção e Manutenção de Estações e Redes de Distribuição de Energia Elétrica</v>
      </c>
      <c r="B21" s="54" t="s">
        <v>144</v>
      </c>
      <c r="C21" s="50" t="str">
        <f t="shared" si="0"/>
        <v>Construção e Manutenção de Estações e Redes de Distribuição de Energia Elétrica-SG</v>
      </c>
      <c r="E21" s="55">
        <v>2.5000000000000001E-3</v>
      </c>
      <c r="F21" s="55">
        <v>5.1000000000000004E-3</v>
      </c>
      <c r="G21" s="55">
        <v>5.6000000000000008E-3</v>
      </c>
      <c r="I21" t="s">
        <v>245</v>
      </c>
      <c r="J21" s="610" t="str">
        <f>IF($J$17=$A$146,"Encargos Sociais incidentes sobre a mão de obra","Administração Central")</f>
        <v>Administração Central</v>
      </c>
      <c r="K21" s="610"/>
      <c r="L21" s="610"/>
      <c r="M21" s="610"/>
      <c r="N21" s="610"/>
      <c r="O21" s="610"/>
      <c r="P21" s="610"/>
      <c r="Q21" s="610"/>
      <c r="R21" s="61" t="str">
        <f>IF($J17=$A$146,"K1","AC")</f>
        <v>AC</v>
      </c>
      <c r="S21" s="62">
        <v>4.3999999999999997E-2</v>
      </c>
      <c r="U21" s="611" t="s">
        <v>166</v>
      </c>
      <c r="V21" s="611"/>
      <c r="W21" s="611"/>
      <c r="X21" s="63">
        <f>VLOOKUP(CONCATENATE(J17,"-",R21),$C$2:$G$136,3,FALSE)</f>
        <v>3.7999999999999999E-2</v>
      </c>
      <c r="Y21" s="63">
        <f>VLOOKUP(CONCATENATE(J17,"-",R21),$C$2:$G$136,4,FALSE)</f>
        <v>4.0099999999999997E-2</v>
      </c>
      <c r="Z21" s="63">
        <f>VLOOKUP(CONCATENATE(J17,"-",R21),$C$2:$G$136,5,FALSE)</f>
        <v>4.6699999999999998E-2</v>
      </c>
    </row>
    <row r="22" spans="1:26" ht="15" customHeight="1" x14ac:dyDescent="0.2">
      <c r="A22" s="50" t="str">
        <f>A21</f>
        <v>Construção e Manutenção de Estações e Redes de Distribuição de Energia Elétrica</v>
      </c>
      <c r="B22" s="54" t="s">
        <v>145</v>
      </c>
      <c r="C22" s="50" t="str">
        <f t="shared" si="0"/>
        <v>Construção e Manutenção de Estações e Redes de Distribuição de Energia Elétrica-R</v>
      </c>
      <c r="E22" s="55">
        <v>0.01</v>
      </c>
      <c r="F22" s="55">
        <v>1.4800000000000001E-2</v>
      </c>
      <c r="G22" s="55">
        <v>1.9699999999999999E-2</v>
      </c>
      <c r="I22" t="s">
        <v>245</v>
      </c>
      <c r="J22" s="610" t="str">
        <f>IF($J$17=$A$146,"Administração Central da empresa ou consultoria - overhead","Seguro e Garantia")</f>
        <v>Seguro e Garantia</v>
      </c>
      <c r="K22" s="610"/>
      <c r="L22" s="610"/>
      <c r="M22" s="610"/>
      <c r="N22" s="610"/>
      <c r="O22" s="610"/>
      <c r="P22" s="610"/>
      <c r="Q22" s="610"/>
      <c r="R22" s="61" t="str">
        <f>IF($J17=$A$146,"K2","SG")</f>
        <v>SG</v>
      </c>
      <c r="S22" s="62">
        <v>6.6E-3</v>
      </c>
      <c r="U22" s="611" t="s">
        <v>166</v>
      </c>
      <c r="V22" s="611"/>
      <c r="W22" s="611"/>
      <c r="X22" s="63">
        <f>VLOOKUP(CONCATENATE(J17,"-",R22),$C$2:$G$136,3,FALSE)</f>
        <v>3.2000000000000002E-3</v>
      </c>
      <c r="Y22" s="63">
        <f>VLOOKUP(CONCATENATE(J17,"-",R22),$C$2:$G$136,4,FALSE)</f>
        <v>4.0000000000000001E-3</v>
      </c>
      <c r="Z22" s="63">
        <f>VLOOKUP(CONCATENATE(J17,"-",R22),$C$2:$G$136,5,FALSE)</f>
        <v>7.4000000000000003E-3</v>
      </c>
    </row>
    <row r="23" spans="1:26" ht="15" customHeight="1" x14ac:dyDescent="0.2">
      <c r="A23" s="50" t="str">
        <f>A22</f>
        <v>Construção e Manutenção de Estações e Redes de Distribuição de Energia Elétrica</v>
      </c>
      <c r="B23" s="54" t="s">
        <v>148</v>
      </c>
      <c r="C23" s="50" t="str">
        <f t="shared" si="0"/>
        <v>Construção e Manutenção de Estações e Redes de Distribuição de Energia Elétrica-DF</v>
      </c>
      <c r="E23" s="55">
        <v>1.01E-2</v>
      </c>
      <c r="F23" s="55">
        <v>1.0700000000000001E-2</v>
      </c>
      <c r="G23" s="55">
        <v>1.11E-2</v>
      </c>
      <c r="I23" t="s">
        <v>245</v>
      </c>
      <c r="J23" s="610" t="str">
        <f>IF($J$17=$A$146,"","Risco")</f>
        <v>Risco</v>
      </c>
      <c r="K23" s="610"/>
      <c r="L23" s="610"/>
      <c r="M23" s="610"/>
      <c r="N23" s="610"/>
      <c r="O23" s="610"/>
      <c r="P23" s="610"/>
      <c r="Q23" s="610"/>
      <c r="R23" s="61" t="str">
        <f>IF($J17=$A$146,"","R")</f>
        <v>R</v>
      </c>
      <c r="S23" s="62">
        <v>1.0999999999999999E-2</v>
      </c>
      <c r="U23" s="611" t="s">
        <v>166</v>
      </c>
      <c r="V23" s="611"/>
      <c r="W23" s="611"/>
      <c r="X23" s="63">
        <f>VLOOKUP(CONCATENATE(J17,"-",R23),$C$2:$G$136,3,FALSE)</f>
        <v>5.0000000000000001E-3</v>
      </c>
      <c r="Y23" s="63">
        <f>VLOOKUP(CONCATENATE(J17,"-",R23),$C$2:$G$136,4,FALSE)</f>
        <v>5.6000000000000008E-3</v>
      </c>
      <c r="Z23" s="63">
        <f>VLOOKUP(CONCATENATE(J17,"-",R23),$C$2:$G$136,5,FALSE)</f>
        <v>9.7000000000000003E-3</v>
      </c>
    </row>
    <row r="24" spans="1:26" ht="15" customHeight="1" x14ac:dyDescent="0.2">
      <c r="A24" s="50" t="str">
        <f>A23</f>
        <v>Construção e Manutenção de Estações e Redes de Distribuição de Energia Elétrica</v>
      </c>
      <c r="B24" s="54" t="s">
        <v>149</v>
      </c>
      <c r="C24" s="50" t="str">
        <f t="shared" si="0"/>
        <v>Construção e Manutenção de Estações e Redes de Distribuição de Energia Elétrica-L</v>
      </c>
      <c r="E24" s="55">
        <v>0.08</v>
      </c>
      <c r="F24" s="55">
        <v>8.3100000000000007E-2</v>
      </c>
      <c r="G24" s="55">
        <v>9.5100000000000004E-2</v>
      </c>
      <c r="I24" t="s">
        <v>245</v>
      </c>
      <c r="J24" s="610" t="str">
        <f>IF($J$17=$A$146,"","Despesas Financeiras")</f>
        <v>Despesas Financeiras</v>
      </c>
      <c r="K24" s="610"/>
      <c r="L24" s="610"/>
      <c r="M24" s="610"/>
      <c r="N24" s="610"/>
      <c r="O24" s="610"/>
      <c r="P24" s="610"/>
      <c r="Q24" s="610"/>
      <c r="R24" s="61" t="str">
        <f>IF($J17=$A$146,"","DF")</f>
        <v>DF</v>
      </c>
      <c r="S24" s="62">
        <v>1.11E-2</v>
      </c>
      <c r="U24" s="611" t="s">
        <v>166</v>
      </c>
      <c r="V24" s="611"/>
      <c r="W24" s="611"/>
      <c r="X24" s="63">
        <f>VLOOKUP(CONCATENATE(J17,"-",R24),$C$2:$G$136,3,FALSE)</f>
        <v>1.0200000000000001E-2</v>
      </c>
      <c r="Y24" s="63">
        <f>VLOOKUP(CONCATENATE(J17,"-",R24),$C$2:$G$136,4,FALSE)</f>
        <v>1.11E-2</v>
      </c>
      <c r="Z24" s="63">
        <f>VLOOKUP(CONCATENATE(J17,"-",R24),$C$2:$G$136,5,FALSE)</f>
        <v>1.21E-2</v>
      </c>
    </row>
    <row r="25" spans="1:26" ht="15" customHeight="1" x14ac:dyDescent="0.2">
      <c r="A25" s="50" t="str">
        <f>A24</f>
        <v>Construção e Manutenção de Estações e Redes de Distribuição de Energia Elétrica</v>
      </c>
      <c r="B25" s="59" t="s">
        <v>150</v>
      </c>
      <c r="C25" s="50" t="str">
        <f t="shared" si="0"/>
        <v>Construção e Manutenção de Estações e Redes de Distribuição de Energia Elétrica-BDI PAD</v>
      </c>
      <c r="E25" s="55">
        <v>0.24</v>
      </c>
      <c r="F25" s="55">
        <v>0.25840000000000002</v>
      </c>
      <c r="G25" s="55">
        <v>0.27860000000000001</v>
      </c>
      <c r="I25" t="s">
        <v>245</v>
      </c>
      <c r="J25" s="610" t="str">
        <f>IF($J$17=$A$146,"Margem bruta da empresa de consultoria","Lucro")</f>
        <v>Lucro</v>
      </c>
      <c r="K25" s="610"/>
      <c r="L25" s="610"/>
      <c r="M25" s="610"/>
      <c r="N25" s="610"/>
      <c r="O25" s="610"/>
      <c r="P25" s="610"/>
      <c r="Q25" s="610"/>
      <c r="R25" s="61" t="str">
        <f>IF($J17=$A$146,"K3","L")</f>
        <v>L</v>
      </c>
      <c r="S25" s="62">
        <v>7.6300000000000007E-2</v>
      </c>
      <c r="U25" s="611" t="s">
        <v>166</v>
      </c>
      <c r="V25" s="611"/>
      <c r="W25" s="611"/>
      <c r="X25" s="63">
        <f>VLOOKUP(CONCATENATE(J17,"-",R25),$C$2:$G$136,3,FALSE)</f>
        <v>6.6400000000000001E-2</v>
      </c>
      <c r="Y25" s="63">
        <f>VLOOKUP(CONCATENATE(J17,"-",R25),$C$2:$G$136,4,FALSE)</f>
        <v>7.2999999999999995E-2</v>
      </c>
      <c r="Z25" s="63">
        <f>VLOOKUP(CONCATENATE(J17,"-",R25),$C$2:$G$136,5,FALSE)</f>
        <v>8.6899999999999991E-2</v>
      </c>
    </row>
    <row r="26" spans="1:26" ht="15" customHeight="1" x14ac:dyDescent="0.2">
      <c r="A26" s="50" t="s">
        <v>167</v>
      </c>
      <c r="B26" s="54" t="s">
        <v>142</v>
      </c>
      <c r="C26" s="50" t="str">
        <f t="shared" si="0"/>
        <v>Obras Portuárias, Marítimas e Fluviais-AC</v>
      </c>
      <c r="E26" s="55">
        <v>0.04</v>
      </c>
      <c r="F26" s="55">
        <v>5.5199999999999999E-2</v>
      </c>
      <c r="G26" s="55">
        <v>7.85E-2</v>
      </c>
      <c r="I26" t="s">
        <v>245</v>
      </c>
      <c r="J26" s="610" t="s">
        <v>168</v>
      </c>
      <c r="K26" s="610"/>
      <c r="L26" s="610"/>
      <c r="M26" s="610"/>
      <c r="N26" s="610"/>
      <c r="O26" s="610"/>
      <c r="P26" s="610"/>
      <c r="Q26" s="610"/>
      <c r="R26" s="61" t="s">
        <v>169</v>
      </c>
      <c r="S26" s="62">
        <v>3.6499999999999998E-2</v>
      </c>
      <c r="U26" s="611" t="s">
        <v>166</v>
      </c>
      <c r="V26" s="611"/>
      <c r="W26" s="611"/>
      <c r="X26" s="63">
        <v>3.6499999999999998E-2</v>
      </c>
      <c r="Y26" s="63">
        <v>3.6499999999999998E-2</v>
      </c>
      <c r="Z26" s="63">
        <v>3.6499999999999998E-2</v>
      </c>
    </row>
    <row r="27" spans="1:26" ht="15" customHeight="1" x14ac:dyDescent="0.2">
      <c r="A27" s="50" t="str">
        <f>A26</f>
        <v>Obras Portuárias, Marítimas e Fluviais</v>
      </c>
      <c r="B27" s="54" t="s">
        <v>144</v>
      </c>
      <c r="C27" s="50" t="str">
        <f t="shared" si="0"/>
        <v>Obras Portuárias, Marítimas e Fluviais-SG</v>
      </c>
      <c r="E27" s="55">
        <v>8.1000000000000013E-3</v>
      </c>
      <c r="F27" s="55">
        <v>1.2199999999999999E-2</v>
      </c>
      <c r="G27" s="55">
        <v>1.9900000000000001E-2</v>
      </c>
      <c r="I27" t="s">
        <v>245</v>
      </c>
      <c r="J27" s="610" t="s">
        <v>170</v>
      </c>
      <c r="K27" s="610"/>
      <c r="L27" s="610"/>
      <c r="M27" s="610"/>
      <c r="N27" s="610"/>
      <c r="O27" s="610"/>
      <c r="P27" s="610"/>
      <c r="Q27" s="610"/>
      <c r="R27" s="61" t="s">
        <v>171</v>
      </c>
      <c r="S27" s="63">
        <f ca="1">IF(AND($J17&lt;&gt;$A$145,COUNTA(OFFSET(S20,1,0,6))&gt;0),$R$11*$R$10,0)</f>
        <v>0.03</v>
      </c>
      <c r="U27" s="611" t="s">
        <v>166</v>
      </c>
      <c r="V27" s="611"/>
      <c r="W27" s="611"/>
      <c r="X27" s="63">
        <v>0</v>
      </c>
      <c r="Y27" s="63">
        <v>2.5000000000000001E-2</v>
      </c>
      <c r="Z27" s="63">
        <v>0.05</v>
      </c>
    </row>
    <row r="28" spans="1:26" ht="15" customHeight="1" x14ac:dyDescent="0.2">
      <c r="A28" s="50" t="str">
        <f>A27</f>
        <v>Obras Portuárias, Marítimas e Fluviais</v>
      </c>
      <c r="B28" s="54" t="s">
        <v>145</v>
      </c>
      <c r="C28" s="50" t="str">
        <f t="shared" si="0"/>
        <v>Obras Portuárias, Marítimas e Fluviais-R</v>
      </c>
      <c r="E28" s="55">
        <v>1.46E-2</v>
      </c>
      <c r="F28" s="55">
        <v>2.3199999999999998E-2</v>
      </c>
      <c r="G28" s="55">
        <v>3.1600000000000003E-2</v>
      </c>
      <c r="I28" t="s">
        <v>245</v>
      </c>
      <c r="J28" s="610" t="s">
        <v>437</v>
      </c>
      <c r="K28" s="610"/>
      <c r="L28" s="610"/>
      <c r="M28" s="610"/>
      <c r="N28" s="610"/>
      <c r="O28" s="610"/>
      <c r="P28" s="610"/>
      <c r="Q28" s="610"/>
      <c r="R28" s="61" t="s">
        <v>172</v>
      </c>
      <c r="S28" s="63" cm="1">
        <f t="array" aca="1" ref="S28" ca="1">IF(BDI.Opcao&lt;&gt;"Desonerado",0,IF(AND($J17&lt;&gt;$A$145,COUNTA(OFFSET(S20,1,0,6))&gt;0),IF(YEAR(Import.DataBase)&lt;2025,4.5%,IF(YEAR(Import.DataBase)=2025,3.6%,IF(YEAR(Import.DataBase)=2026,2.7%,IF(YEAR(Import.DataBase)=2027,1.8%,0%)))),0%))</f>
        <v>0</v>
      </c>
      <c r="U28" s="611" t="s">
        <v>166</v>
      </c>
      <c r="V28" s="611"/>
      <c r="W28" s="611"/>
      <c r="X28" s="64">
        <f ca="1">$S28</f>
        <v>0</v>
      </c>
      <c r="Y28" s="64">
        <f ca="1">$S28</f>
        <v>0</v>
      </c>
      <c r="Z28" s="64">
        <f ca="1">$S28</f>
        <v>0</v>
      </c>
    </row>
    <row r="29" spans="1:26" ht="15" customHeight="1" x14ac:dyDescent="0.2">
      <c r="A29" s="50" t="str">
        <f>A28</f>
        <v>Obras Portuárias, Marítimas e Fluviais</v>
      </c>
      <c r="B29" s="54" t="s">
        <v>148</v>
      </c>
      <c r="C29" s="50" t="str">
        <f t="shared" si="0"/>
        <v>Obras Portuárias, Marítimas e Fluviais-DF</v>
      </c>
      <c r="E29" s="55">
        <v>9.3999999999999986E-3</v>
      </c>
      <c r="F29" s="55">
        <v>1.0200000000000001E-2</v>
      </c>
      <c r="G29" s="55">
        <v>1.3300000000000001E-2</v>
      </c>
      <c r="I29" t="s">
        <v>245</v>
      </c>
      <c r="J29" s="610" t="s">
        <v>173</v>
      </c>
      <c r="K29" s="610"/>
      <c r="L29" s="610"/>
      <c r="M29" s="610"/>
      <c r="N29" s="610"/>
      <c r="O29" s="610"/>
      <c r="P29" s="610"/>
      <c r="Q29" s="610"/>
      <c r="R29" s="65" t="s">
        <v>150</v>
      </c>
      <c r="S29" s="63">
        <f ca="1">IF($J17=$A$145,0,ROUND((((1+S21+S22+S23)*(1+S24)*(1+S25)/(1-(S26+S27)))-1),4))</f>
        <v>0.23760000000000001</v>
      </c>
      <c r="U29" s="612" t="str">
        <f ca="1">IF(OR($J$17=$A$146,$J$17=$A$145,AND(S29&gt;=X29,S29&lt;=Z29)),"OK","FORA DO INTERVALO")</f>
        <v>OK</v>
      </c>
      <c r="V29" s="612"/>
      <c r="W29" s="612"/>
      <c r="X29" s="63">
        <f>IF($J17=$A$145,0,VLOOKUP(CONCATENATE($J17,"-",$R29),$C$2:$G$136,3,FALSE))</f>
        <v>0.19600000000000001</v>
      </c>
      <c r="Y29" s="63">
        <f>IF($J17=$A$145,0,VLOOKUP(CONCATENATE($J17,"-",$R29),$C$2:$G$136,4,FALSE))</f>
        <v>0.2097</v>
      </c>
      <c r="Z29" s="63">
        <f>IF($J17=$A$145,0,VLOOKUP(CONCATENATE($J17,"-",$R29),$C$2:$G$136,5,FALSE))</f>
        <v>0.24230000000000002</v>
      </c>
    </row>
    <row r="30" spans="1:26" ht="15" customHeight="1" x14ac:dyDescent="0.2">
      <c r="A30" s="50" t="str">
        <f>A29</f>
        <v>Obras Portuárias, Marítimas e Fluviais</v>
      </c>
      <c r="B30" s="54" t="s">
        <v>149</v>
      </c>
      <c r="C30" s="50" t="str">
        <f t="shared" si="0"/>
        <v>Obras Portuárias, Marítimas e Fluviais-L</v>
      </c>
      <c r="E30" s="55">
        <v>7.1399999999999991E-2</v>
      </c>
      <c r="F30" s="55">
        <v>8.4000000000000005E-2</v>
      </c>
      <c r="G30" s="55">
        <v>0.1043</v>
      </c>
      <c r="I30" t="s">
        <v>245</v>
      </c>
      <c r="J30" s="613" t="s">
        <v>174</v>
      </c>
      <c r="K30" s="613"/>
      <c r="L30" s="613"/>
      <c r="M30" s="613"/>
      <c r="N30" s="613"/>
      <c r="O30" s="613"/>
      <c r="P30" s="613"/>
      <c r="Q30" s="613"/>
      <c r="R30" s="66" t="s">
        <v>175</v>
      </c>
      <c r="S30" s="67">
        <f ca="1">IF($J17=$A$145,0,ROUND((((1+S21+S22+S23)*(1+S24)*(1+S25)/(1-(S26+S27+S28)))-1),4))</f>
        <v>0.23760000000000001</v>
      </c>
    </row>
    <row r="31" spans="1:26" ht="15" customHeight="1" x14ac:dyDescent="0.2">
      <c r="A31" s="50" t="str">
        <f>A30</f>
        <v>Obras Portuárias, Marítimas e Fluviais</v>
      </c>
      <c r="B31" s="59" t="s">
        <v>150</v>
      </c>
      <c r="C31" s="50" t="str">
        <f t="shared" si="0"/>
        <v>Obras Portuárias, Marítimas e Fluviais-BDI PAD</v>
      </c>
      <c r="E31" s="55">
        <v>0.22800000000000001</v>
      </c>
      <c r="F31" s="55">
        <v>0.27479999999999999</v>
      </c>
      <c r="G31" s="55">
        <v>0.3095</v>
      </c>
      <c r="I31" t="s">
        <v>245</v>
      </c>
    </row>
    <row r="32" spans="1:26" ht="15.75" x14ac:dyDescent="0.2">
      <c r="A32" s="50" t="s">
        <v>176</v>
      </c>
      <c r="B32" s="54" t="s">
        <v>142</v>
      </c>
      <c r="C32" s="50" t="str">
        <f t="shared" si="0"/>
        <v>Fornecimento de Materiais e Equipamentos (aquisição indireta - em conjunto com licitação de obras)-AC</v>
      </c>
      <c r="E32" s="55">
        <v>1.4999999999999999E-2</v>
      </c>
      <c r="F32" s="55">
        <v>3.4500000000000003E-2</v>
      </c>
      <c r="G32" s="55">
        <v>4.4900000000000002E-2</v>
      </c>
      <c r="I32" t="s">
        <v>245</v>
      </c>
      <c r="J32" s="68" t="str">
        <f ca="1">IF(U29&lt;&gt;"ok","X","")</f>
        <v/>
      </c>
      <c r="K32" s="614" t="str">
        <f ca="1">IF(U29&lt;&gt;"ok","Anexo: Relatório Técnico Circunstanciado justificando a adoção do percentual de cada parcela do BDI.","")</f>
        <v/>
      </c>
      <c r="L32" s="614"/>
      <c r="M32" s="614"/>
      <c r="N32" s="614"/>
      <c r="O32" s="614"/>
      <c r="P32" s="614"/>
      <c r="Q32" s="614"/>
      <c r="R32" s="614"/>
      <c r="S32" s="614"/>
    </row>
    <row r="33" spans="1:19" x14ac:dyDescent="0.2">
      <c r="A33" s="50" t="str">
        <f>A32</f>
        <v>Fornecimento de Materiais e Equipamentos (aquisição indireta - em conjunto com licitação de obras)</v>
      </c>
      <c r="B33" s="54" t="s">
        <v>144</v>
      </c>
      <c r="C33" s="50" t="str">
        <f t="shared" si="0"/>
        <v>Fornecimento de Materiais e Equipamentos (aquisição indireta - em conjunto com licitação de obras)-SG</v>
      </c>
      <c r="E33" s="55">
        <v>3.0000000000000001E-3</v>
      </c>
      <c r="F33" s="55">
        <v>4.7999999999999996E-3</v>
      </c>
      <c r="G33" s="55">
        <v>8.199999999999999E-3</v>
      </c>
      <c r="I33" t="s">
        <v>245</v>
      </c>
    </row>
    <row r="34" spans="1:19" x14ac:dyDescent="0.2">
      <c r="A34" s="50" t="str">
        <f>A33</f>
        <v>Fornecimento de Materiais e Equipamentos (aquisição indireta - em conjunto com licitação de obras)</v>
      </c>
      <c r="B34" s="54" t="s">
        <v>145</v>
      </c>
      <c r="C34" s="50" t="str">
        <f t="shared" si="0"/>
        <v>Fornecimento de Materiais e Equipamentos (aquisição indireta - em conjunto com licitação de obras)-R</v>
      </c>
      <c r="E34" s="55">
        <v>5.6000000000000008E-3</v>
      </c>
      <c r="F34" s="55">
        <v>8.5000000000000006E-3</v>
      </c>
      <c r="G34" s="55">
        <v>8.8999999999999999E-3</v>
      </c>
      <c r="I34" t="s">
        <v>245</v>
      </c>
      <c r="J34" s="616" t="s">
        <v>177</v>
      </c>
      <c r="K34" s="616"/>
      <c r="L34" s="616"/>
      <c r="M34" s="616"/>
      <c r="N34" s="616"/>
      <c r="O34" s="616"/>
      <c r="P34" s="616"/>
      <c r="Q34" s="616"/>
      <c r="R34" s="616"/>
      <c r="S34" s="616"/>
    </row>
    <row r="35" spans="1:19" ht="15.75" x14ac:dyDescent="0.25">
      <c r="A35" s="50" t="str">
        <f>A34</f>
        <v>Fornecimento de Materiais e Equipamentos (aquisição indireta - em conjunto com licitação de obras)</v>
      </c>
      <c r="B35" s="54" t="s">
        <v>148</v>
      </c>
      <c r="C35" s="50" t="str">
        <f t="shared" si="0"/>
        <v>Fornecimento de Materiais e Equipamentos (aquisição indireta - em conjunto com licitação de obras)-DF</v>
      </c>
      <c r="E35" s="55">
        <v>8.5000000000000006E-3</v>
      </c>
      <c r="F35" s="55">
        <v>8.5000000000000006E-3</v>
      </c>
      <c r="G35" s="55">
        <v>1.11E-2</v>
      </c>
      <c r="I35" t="s">
        <v>245</v>
      </c>
      <c r="J35" s="69"/>
      <c r="K35" s="69"/>
      <c r="L35" s="69"/>
      <c r="M35" s="617" t="s">
        <v>178</v>
      </c>
      <c r="N35" s="618" t="str">
        <f>IF($J17=$A$146,"(1+K1+K2)*(1+K3)","(1+AC + S + R + G)*(1 + DF)*(1+L)")</f>
        <v>(1+AC + S + R + G)*(1 + DF)*(1+L)</v>
      </c>
      <c r="O35" s="618"/>
      <c r="P35" s="618"/>
      <c r="Q35" s="619" t="s">
        <v>179</v>
      </c>
      <c r="R35" s="69"/>
      <c r="S35" s="69"/>
    </row>
    <row r="36" spans="1:19" ht="15.75" x14ac:dyDescent="0.2">
      <c r="A36" s="50" t="str">
        <f>A35</f>
        <v>Fornecimento de Materiais e Equipamentos (aquisição indireta - em conjunto com licitação de obras)</v>
      </c>
      <c r="B36" s="54" t="s">
        <v>149</v>
      </c>
      <c r="C36" s="50" t="str">
        <f t="shared" si="0"/>
        <v>Fornecimento de Materiais e Equipamentos (aquisição indireta - em conjunto com licitação de obras)-L</v>
      </c>
      <c r="E36" s="55">
        <v>3.5000000000000003E-2</v>
      </c>
      <c r="F36" s="55">
        <v>5.1100000000000007E-2</v>
      </c>
      <c r="G36" s="55">
        <v>6.2199999999999998E-2</v>
      </c>
      <c r="I36" t="s">
        <v>245</v>
      </c>
      <c r="J36" s="69"/>
      <c r="K36" s="69"/>
      <c r="L36" s="69"/>
      <c r="M36" s="617"/>
      <c r="N36" s="609" t="s">
        <v>180</v>
      </c>
      <c r="O36" s="609"/>
      <c r="P36" s="609"/>
      <c r="Q36" s="619"/>
      <c r="R36" s="69"/>
      <c r="S36" s="69"/>
    </row>
    <row r="37" spans="1:19" ht="15" customHeight="1" x14ac:dyDescent="0.2">
      <c r="A37" s="50" t="str">
        <f>A36</f>
        <v>Fornecimento de Materiais e Equipamentos (aquisição indireta - em conjunto com licitação de obras)</v>
      </c>
      <c r="B37" s="59" t="s">
        <v>150</v>
      </c>
      <c r="C37" s="50" t="str">
        <f t="shared" si="0"/>
        <v>Fornecimento de Materiais e Equipamentos (aquisição indireta - em conjunto com licitação de obras)-BDI PAD</v>
      </c>
      <c r="E37" s="55">
        <v>0.111</v>
      </c>
      <c r="F37" s="55">
        <v>0.14019999999999999</v>
      </c>
      <c r="G37" s="55">
        <v>0.16800000000000001</v>
      </c>
      <c r="I37" t="s">
        <v>245</v>
      </c>
      <c r="J37" s="73"/>
      <c r="K37" s="73"/>
      <c r="L37" s="73"/>
      <c r="M37" s="73"/>
      <c r="N37" s="73"/>
      <c r="O37" s="73"/>
      <c r="P37" s="73"/>
      <c r="Q37" s="73"/>
      <c r="R37" s="73"/>
      <c r="S37" s="73"/>
    </row>
    <row r="38" spans="1:19" ht="50.1" customHeight="1" x14ac:dyDescent="0.2">
      <c r="A38" s="50" t="s">
        <v>181</v>
      </c>
      <c r="B38" s="59" t="s">
        <v>142</v>
      </c>
      <c r="C38" s="50" t="str">
        <f t="shared" si="0"/>
        <v>Fornecimento de Materiais e Equipamentos (aquisição direta)-AC</v>
      </c>
      <c r="E38" s="55" t="s">
        <v>166</v>
      </c>
      <c r="F38" s="55" t="s">
        <v>166</v>
      </c>
      <c r="G38" s="55" t="s">
        <v>166</v>
      </c>
      <c r="I38" t="s">
        <v>245</v>
      </c>
      <c r="J38" s="60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603"/>
      <c r="L38" s="603"/>
      <c r="M38" s="603"/>
      <c r="N38" s="603"/>
      <c r="O38" s="603"/>
      <c r="P38" s="603"/>
      <c r="Q38" s="603"/>
      <c r="R38" s="603"/>
      <c r="S38" s="603"/>
    </row>
    <row r="39" spans="1:19" x14ac:dyDescent="0.2">
      <c r="A39" s="50" t="s">
        <v>181</v>
      </c>
      <c r="B39" s="59" t="s">
        <v>144</v>
      </c>
      <c r="C39" s="50" t="str">
        <f t="shared" si="0"/>
        <v>Fornecimento de Materiais e Equipamentos (aquisição direta)-SG</v>
      </c>
      <c r="E39" s="55" t="s">
        <v>166</v>
      </c>
      <c r="F39" s="55" t="s">
        <v>166</v>
      </c>
      <c r="G39" s="55" t="s">
        <v>166</v>
      </c>
      <c r="I39" t="s">
        <v>245</v>
      </c>
    </row>
    <row r="40" spans="1:19" ht="50.1" customHeight="1" x14ac:dyDescent="0.2">
      <c r="A40" s="50" t="s">
        <v>181</v>
      </c>
      <c r="B40" s="59" t="s">
        <v>145</v>
      </c>
      <c r="C40" s="50" t="str">
        <f t="shared" si="0"/>
        <v>Fornecimento de Materiais e Equipamentos (aquisição direta)-R</v>
      </c>
      <c r="E40" s="55" t="s">
        <v>166</v>
      </c>
      <c r="F40" s="55" t="s">
        <v>166</v>
      </c>
      <c r="G40" s="55" t="s">
        <v>166</v>
      </c>
      <c r="I40" t="s">
        <v>245</v>
      </c>
      <c r="J40" s="60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03"/>
      <c r="L40" s="603"/>
      <c r="M40" s="603"/>
      <c r="N40" s="603"/>
      <c r="O40" s="603"/>
      <c r="P40" s="603"/>
      <c r="Q40" s="603"/>
      <c r="R40" s="603"/>
      <c r="S40" s="603"/>
    </row>
    <row r="41" spans="1:19" x14ac:dyDescent="0.2">
      <c r="A41" s="50" t="s">
        <v>181</v>
      </c>
      <c r="B41" s="59" t="s">
        <v>148</v>
      </c>
      <c r="C41" s="50" t="str">
        <f t="shared" si="0"/>
        <v>Fornecimento de Materiais e Equipamentos (aquisição direta)-DF</v>
      </c>
      <c r="E41" s="55" t="s">
        <v>166</v>
      </c>
      <c r="F41" s="55" t="s">
        <v>166</v>
      </c>
      <c r="G41" s="55" t="s">
        <v>166</v>
      </c>
      <c r="I41" t="s">
        <v>245</v>
      </c>
    </row>
    <row r="42" spans="1:19" x14ac:dyDescent="0.2">
      <c r="A42" s="50" t="s">
        <v>181</v>
      </c>
      <c r="B42" s="59" t="s">
        <v>149</v>
      </c>
      <c r="C42" s="50" t="str">
        <f t="shared" si="0"/>
        <v>Fornecimento de Materiais e Equipamentos (aquisição direta)-L</v>
      </c>
      <c r="E42" s="55" t="s">
        <v>166</v>
      </c>
      <c r="F42" s="55" t="s">
        <v>166</v>
      </c>
      <c r="G42" s="55" t="s">
        <v>166</v>
      </c>
      <c r="I42" t="s">
        <v>245</v>
      </c>
      <c r="J42" s="50" t="s">
        <v>186</v>
      </c>
    </row>
    <row r="43" spans="1:19" ht="99.95" customHeight="1" x14ac:dyDescent="0.2">
      <c r="A43" s="50" t="s">
        <v>181</v>
      </c>
      <c r="B43" s="59" t="s">
        <v>150</v>
      </c>
      <c r="C43" s="50" t="str">
        <f t="shared" si="0"/>
        <v>Fornecimento de Materiais e Equipamentos (aquisição direta)-BDI PAD</v>
      </c>
      <c r="E43" s="55" t="s">
        <v>166</v>
      </c>
      <c r="F43" s="55" t="s">
        <v>166</v>
      </c>
      <c r="G43" s="55" t="s">
        <v>166</v>
      </c>
      <c r="I43" t="s">
        <v>245</v>
      </c>
      <c r="J43" s="604" t="s">
        <v>529</v>
      </c>
      <c r="K43" s="604"/>
      <c r="L43" s="604"/>
      <c r="M43" s="604"/>
      <c r="N43" s="604"/>
      <c r="O43" s="604"/>
      <c r="P43" s="604"/>
      <c r="Q43" s="604"/>
      <c r="R43" s="604"/>
      <c r="S43" s="604"/>
    </row>
    <row r="44" spans="1:19" x14ac:dyDescent="0.2">
      <c r="A44" s="50" t="s">
        <v>182</v>
      </c>
      <c r="B44" s="54" t="s">
        <v>183</v>
      </c>
      <c r="C44" s="50" t="str">
        <f t="shared" si="0"/>
        <v>Estudos e Projetos, Planos e Gerenciamento e outros correlatos-K1</v>
      </c>
      <c r="E44" s="55" t="s">
        <v>166</v>
      </c>
      <c r="F44" s="55" t="s">
        <v>166</v>
      </c>
      <c r="G44" s="55" t="s">
        <v>166</v>
      </c>
      <c r="I44" t="s">
        <v>245</v>
      </c>
    </row>
    <row r="45" spans="1:19" x14ac:dyDescent="0.2">
      <c r="A45" s="50" t="str">
        <f>A44</f>
        <v>Estudos e Projetos, Planos e Gerenciamento e outros correlatos</v>
      </c>
      <c r="B45" s="54" t="s">
        <v>184</v>
      </c>
      <c r="C45" s="50" t="str">
        <f t="shared" si="0"/>
        <v>Estudos e Projetos, Planos e Gerenciamento e outros correlatos-K2</v>
      </c>
      <c r="E45" s="55" t="s">
        <v>166</v>
      </c>
      <c r="F45" s="55">
        <v>0.2</v>
      </c>
      <c r="G45" s="55" t="s">
        <v>166</v>
      </c>
      <c r="I45" t="s">
        <v>245</v>
      </c>
      <c r="J45" s="605" t="str">
        <f>Import.Município</f>
        <v>BENTO GONÇALVES/RS</v>
      </c>
      <c r="K45" s="605"/>
      <c r="L45" s="605"/>
      <c r="M45" s="605"/>
      <c r="P45" s="606">
        <f>DADOS!$F$25</f>
        <v>46199</v>
      </c>
      <c r="Q45" s="606"/>
      <c r="R45" s="606"/>
      <c r="S45" s="606"/>
    </row>
    <row r="46" spans="1:19" x14ac:dyDescent="0.2">
      <c r="A46" s="50" t="str">
        <f>A45</f>
        <v>Estudos e Projetos, Planos e Gerenciamento e outros correlatos</v>
      </c>
      <c r="B46" s="54"/>
      <c r="C46" s="50" t="str">
        <f t="shared" si="0"/>
        <v>Estudos e Projetos, Planos e Gerenciamento e outros correlatos-</v>
      </c>
      <c r="E46" s="55" t="s">
        <v>166</v>
      </c>
      <c r="F46" s="55" t="s">
        <v>166</v>
      </c>
      <c r="G46" s="55" t="s">
        <v>166</v>
      </c>
      <c r="I46" t="s">
        <v>245</v>
      </c>
      <c r="J46" s="607" t="s">
        <v>187</v>
      </c>
      <c r="K46" s="607"/>
      <c r="L46" s="607"/>
      <c r="M46" s="607"/>
      <c r="O46" s="74"/>
      <c r="P46" s="75" t="s">
        <v>188</v>
      </c>
      <c r="Q46" s="76"/>
      <c r="R46" s="76"/>
      <c r="S46" s="76"/>
    </row>
    <row r="47" spans="1:19" ht="30" customHeight="1" x14ac:dyDescent="0.2">
      <c r="A47" s="50" t="str">
        <f>A46</f>
        <v>Estudos e Projetos, Planos e Gerenciamento e outros correlatos</v>
      </c>
      <c r="B47" s="54"/>
      <c r="C47" s="50" t="str">
        <f t="shared" si="0"/>
        <v>Estudos e Projetos, Planos e Gerenciamento e outros correlatos-</v>
      </c>
      <c r="E47" s="55" t="s">
        <v>166</v>
      </c>
      <c r="F47" s="55" t="s">
        <v>166</v>
      </c>
      <c r="G47" s="55" t="s">
        <v>166</v>
      </c>
      <c r="I47" t="s">
        <v>245</v>
      </c>
    </row>
    <row r="48" spans="1:19" ht="15" x14ac:dyDescent="0.2">
      <c r="A48" s="50" t="str">
        <f>A47</f>
        <v>Estudos e Projetos, Planos e Gerenciamento e outros correlatos</v>
      </c>
      <c r="B48" s="54" t="s">
        <v>185</v>
      </c>
      <c r="C48" s="50" t="str">
        <f t="shared" si="0"/>
        <v>Estudos e Projetos, Planos e Gerenciamento e outros correlatos-K3</v>
      </c>
      <c r="E48" s="55" t="s">
        <v>166</v>
      </c>
      <c r="F48" s="55">
        <v>0.12</v>
      </c>
      <c r="G48" s="55" t="s">
        <v>166</v>
      </c>
      <c r="I48" t="s">
        <v>245</v>
      </c>
      <c r="J48" s="608"/>
      <c r="K48" s="608"/>
      <c r="L48" s="608"/>
      <c r="M48" s="608"/>
      <c r="N48" s="77"/>
    </row>
    <row r="49" spans="1:26" ht="12.75" customHeight="1" x14ac:dyDescent="0.2">
      <c r="A49" s="50" t="str">
        <f>A48</f>
        <v>Estudos e Projetos, Planos e Gerenciamento e outros correlatos</v>
      </c>
      <c r="B49" s="59" t="s">
        <v>150</v>
      </c>
      <c r="C49" s="50" t="str">
        <f t="shared" si="0"/>
        <v>Estudos e Projetos, Planos e Gerenciamento e outros correlatos-BDI PAD</v>
      </c>
      <c r="E49" s="55" t="s">
        <v>166</v>
      </c>
      <c r="F49" s="55" t="s">
        <v>166</v>
      </c>
      <c r="G49" s="55" t="s">
        <v>166</v>
      </c>
      <c r="I49" t="s">
        <v>245</v>
      </c>
      <c r="J49" s="602" t="s">
        <v>189</v>
      </c>
      <c r="K49" s="602"/>
      <c r="L49" s="602"/>
      <c r="M49" s="602"/>
    </row>
    <row r="50" spans="1:26" ht="14.25" x14ac:dyDescent="0.2">
      <c r="B50" s="59"/>
      <c r="E50" s="55"/>
      <c r="F50" s="55"/>
      <c r="G50" s="55"/>
      <c r="I50" t="s">
        <v>245</v>
      </c>
      <c r="J50" s="78" t="s">
        <v>108</v>
      </c>
      <c r="K50" s="79" t="str">
        <f t="array" ref="K50:K52">Import.RespOrçamento</f>
        <v>Eng. Bruna de Oliveira Pelizza</v>
      </c>
      <c r="L50" s="80"/>
      <c r="M50" s="80"/>
      <c r="N50" s="77"/>
    </row>
    <row r="51" spans="1:26" ht="14.25" x14ac:dyDescent="0.2">
      <c r="A51"/>
      <c r="B51"/>
      <c r="C51"/>
      <c r="D51"/>
      <c r="E51"/>
      <c r="F51"/>
      <c r="G51"/>
      <c r="I51" t="s">
        <v>245</v>
      </c>
      <c r="J51" s="78" t="s">
        <v>109</v>
      </c>
      <c r="K51" s="79" t="str">
        <v>RS230174</v>
      </c>
      <c r="L51" s="80"/>
      <c r="M51" s="80"/>
      <c r="N51" s="77"/>
    </row>
    <row r="52" spans="1:26" ht="14.25" x14ac:dyDescent="0.2">
      <c r="A52"/>
      <c r="B52"/>
      <c r="C52"/>
      <c r="D52"/>
      <c r="E52"/>
      <c r="F52"/>
      <c r="G52"/>
      <c r="I52" t="s">
        <v>245</v>
      </c>
      <c r="J52" s="78" t="s">
        <v>110</v>
      </c>
      <c r="K52" s="79" t="str">
        <v/>
      </c>
      <c r="L52" s="80"/>
      <c r="M52" s="80"/>
      <c r="N52" s="77"/>
    </row>
    <row r="53" spans="1:26" ht="14.25" x14ac:dyDescent="0.2">
      <c r="A53"/>
      <c r="B53"/>
      <c r="C53"/>
      <c r="D53"/>
      <c r="E53"/>
      <c r="F53"/>
      <c r="G53"/>
      <c r="I53" t="s">
        <v>245</v>
      </c>
      <c r="J53" s="78"/>
      <c r="K53" s="81"/>
      <c r="L53" s="80"/>
      <c r="M53" s="80"/>
      <c r="N53" s="77"/>
    </row>
    <row r="54" spans="1:26" ht="15.75" x14ac:dyDescent="0.25">
      <c r="A54"/>
      <c r="B54"/>
      <c r="C54"/>
      <c r="D54"/>
      <c r="E54"/>
      <c r="F54"/>
      <c r="G54"/>
      <c r="I54" t="str">
        <f ca="1">IF($S$69=0,"","F")</f>
        <v>F</v>
      </c>
      <c r="J54" s="624" t="s">
        <v>190</v>
      </c>
      <c r="K54" s="624"/>
      <c r="L54" s="624"/>
      <c r="M54" s="624"/>
      <c r="N54" s="624"/>
      <c r="O54" s="624"/>
      <c r="P54" s="624"/>
      <c r="Q54" s="624"/>
      <c r="R54" s="624"/>
      <c r="S54" s="624"/>
    </row>
    <row r="55" spans="1:26" x14ac:dyDescent="0.2">
      <c r="A55"/>
      <c r="B55"/>
      <c r="C55"/>
      <c r="D55"/>
      <c r="E55"/>
      <c r="F55"/>
      <c r="G55"/>
      <c r="I55" t="str">
        <f t="shared" ref="I55:I93" ca="1" si="1">IF($S$69=0,"","F")</f>
        <v>F</v>
      </c>
    </row>
    <row r="56" spans="1:26" x14ac:dyDescent="0.2">
      <c r="A56"/>
      <c r="B56"/>
      <c r="C56"/>
      <c r="D56"/>
      <c r="E56"/>
      <c r="F56"/>
      <c r="G56"/>
      <c r="I56" t="str">
        <f t="shared" ca="1" si="1"/>
        <v>F</v>
      </c>
      <c r="J56" s="622" t="s">
        <v>157</v>
      </c>
      <c r="K56" s="622"/>
      <c r="L56" s="622"/>
      <c r="M56" s="622"/>
      <c r="N56" s="622"/>
      <c r="O56" s="622"/>
      <c r="P56" s="622"/>
      <c r="Q56" s="622"/>
      <c r="R56" s="622"/>
      <c r="S56" s="622"/>
    </row>
    <row r="57" spans="1:26" x14ac:dyDescent="0.2">
      <c r="A57"/>
      <c r="B57"/>
      <c r="C57"/>
      <c r="D57"/>
      <c r="E57"/>
      <c r="F57"/>
      <c r="G57"/>
      <c r="I57" t="str">
        <f t="shared" ca="1" si="1"/>
        <v>F</v>
      </c>
      <c r="J57" s="623" t="s">
        <v>176</v>
      </c>
      <c r="K57" s="623"/>
      <c r="L57" s="623"/>
      <c r="M57" s="623"/>
      <c r="N57" s="623"/>
      <c r="O57" s="623"/>
      <c r="P57" s="623"/>
      <c r="Q57" s="623"/>
      <c r="R57" s="623"/>
      <c r="S57" s="623"/>
    </row>
    <row r="58" spans="1:26" x14ac:dyDescent="0.2">
      <c r="A58"/>
      <c r="B58"/>
      <c r="C58"/>
      <c r="D58"/>
      <c r="E58"/>
      <c r="F58"/>
      <c r="G58"/>
      <c r="I58" t="str">
        <f t="shared" ca="1" si="1"/>
        <v>F</v>
      </c>
    </row>
    <row r="59" spans="1:26" ht="12.75" customHeight="1" x14ac:dyDescent="0.2">
      <c r="A59"/>
      <c r="B59"/>
      <c r="C59"/>
      <c r="D59"/>
      <c r="E59"/>
      <c r="F59"/>
      <c r="G59"/>
      <c r="I59" t="str">
        <f t="shared" ca="1" si="1"/>
        <v>F</v>
      </c>
      <c r="J59" s="621" t="s">
        <v>158</v>
      </c>
      <c r="K59" s="621"/>
      <c r="L59" s="621"/>
      <c r="M59" s="621"/>
      <c r="N59" s="621"/>
      <c r="O59" s="621"/>
      <c r="P59" s="621"/>
      <c r="Q59" s="621"/>
      <c r="R59" s="621" t="s">
        <v>159</v>
      </c>
      <c r="S59" s="612" t="s">
        <v>160</v>
      </c>
      <c r="U59" s="612" t="s">
        <v>161</v>
      </c>
      <c r="V59" s="612"/>
      <c r="W59" s="612"/>
      <c r="X59" s="620" t="s">
        <v>162</v>
      </c>
      <c r="Y59" s="620" t="s">
        <v>163</v>
      </c>
      <c r="Z59" s="620" t="s">
        <v>164</v>
      </c>
    </row>
    <row r="60" spans="1:26" ht="12.75" customHeight="1" x14ac:dyDescent="0.2">
      <c r="A60"/>
      <c r="B60"/>
      <c r="C60"/>
      <c r="D60"/>
      <c r="E60"/>
      <c r="F60"/>
      <c r="G60"/>
      <c r="I60" t="str">
        <f t="shared" ca="1" si="1"/>
        <v>F</v>
      </c>
      <c r="J60" s="621"/>
      <c r="K60" s="621"/>
      <c r="L60" s="621"/>
      <c r="M60" s="621"/>
      <c r="N60" s="621"/>
      <c r="O60" s="621"/>
      <c r="P60" s="621"/>
      <c r="Q60" s="621"/>
      <c r="R60" s="621"/>
      <c r="S60" s="612"/>
      <c r="U60" s="612"/>
      <c r="V60" s="612"/>
      <c r="W60" s="612"/>
      <c r="X60" s="620"/>
      <c r="Y60" s="620"/>
      <c r="Z60" s="620"/>
    </row>
    <row r="61" spans="1:26" ht="15" customHeight="1" x14ac:dyDescent="0.2">
      <c r="A61"/>
      <c r="B61"/>
      <c r="C61"/>
      <c r="D61"/>
      <c r="E61"/>
      <c r="F61"/>
      <c r="G61"/>
      <c r="I61" t="str">
        <f t="shared" ca="1" si="1"/>
        <v>F</v>
      </c>
      <c r="J61" s="610" t="str">
        <f>IF($J$17=$A$146,"Encargos Sociais incidentes sobre a mão de obra","Administração Central")</f>
        <v>Administração Central</v>
      </c>
      <c r="K61" s="610"/>
      <c r="L61" s="610"/>
      <c r="M61" s="610"/>
      <c r="N61" s="610"/>
      <c r="O61" s="610"/>
      <c r="P61" s="610"/>
      <c r="Q61" s="610"/>
      <c r="R61" s="61" t="str">
        <f>IF($J57=$A$146,"K1","AC")</f>
        <v>AC</v>
      </c>
      <c r="S61" s="62">
        <v>3.1E-2</v>
      </c>
      <c r="U61" s="611" t="s">
        <v>166</v>
      </c>
      <c r="V61" s="611"/>
      <c r="W61" s="611"/>
      <c r="X61" s="63">
        <f>VLOOKUP(CONCATENATE(J57,"-",R61),$C$2:$G$136,3,FALSE)</f>
        <v>1.4999999999999999E-2</v>
      </c>
      <c r="Y61" s="63">
        <f>VLOOKUP(CONCATENATE(J57,"-",R61),$C$2:$G$136,4,FALSE)</f>
        <v>3.4500000000000003E-2</v>
      </c>
      <c r="Z61" s="63">
        <f>VLOOKUP(CONCATENATE(J57,"-",R61),$C$2:$G$136,5,FALSE)</f>
        <v>4.4900000000000002E-2</v>
      </c>
    </row>
    <row r="62" spans="1:26" ht="15" customHeight="1" x14ac:dyDescent="0.2">
      <c r="A62"/>
      <c r="B62"/>
      <c r="C62"/>
      <c r="D62"/>
      <c r="E62"/>
      <c r="F62"/>
      <c r="G62"/>
      <c r="I62" t="str">
        <f t="shared" ca="1" si="1"/>
        <v>F</v>
      </c>
      <c r="J62" s="610" t="str">
        <f>IF($J$17=$A$146,"Administração Central da empresa ou consultoria - overhead","Seguro e Garantia")</f>
        <v>Seguro e Garantia</v>
      </c>
      <c r="K62" s="610"/>
      <c r="L62" s="610"/>
      <c r="M62" s="610"/>
      <c r="N62" s="610"/>
      <c r="O62" s="610"/>
      <c r="P62" s="610"/>
      <c r="Q62" s="610"/>
      <c r="R62" s="61" t="str">
        <f>IF($J57=$A$146,"K2","SG")</f>
        <v>SG</v>
      </c>
      <c r="S62" s="62">
        <v>3.5000000000000001E-3</v>
      </c>
      <c r="U62" s="611" t="s">
        <v>166</v>
      </c>
      <c r="V62" s="611"/>
      <c r="W62" s="611"/>
      <c r="X62" s="63">
        <f>VLOOKUP(CONCATENATE(J57,"-",R62),$C$2:$G$136,3,FALSE)</f>
        <v>3.0000000000000001E-3</v>
      </c>
      <c r="Y62" s="63">
        <f>VLOOKUP(CONCATENATE(J57,"-",R62),$C$2:$G$136,4,FALSE)</f>
        <v>4.7999999999999996E-3</v>
      </c>
      <c r="Z62" s="63">
        <f>VLOOKUP(CONCATENATE(J57,"-",R62),$C$2:$G$136,5,FALSE)</f>
        <v>8.199999999999999E-3</v>
      </c>
    </row>
    <row r="63" spans="1:26" ht="15" customHeight="1" x14ac:dyDescent="0.2">
      <c r="A63"/>
      <c r="B63"/>
      <c r="C63"/>
      <c r="D63"/>
      <c r="E63"/>
      <c r="F63"/>
      <c r="G63"/>
      <c r="I63" t="str">
        <f t="shared" ca="1" si="1"/>
        <v>F</v>
      </c>
      <c r="J63" s="610" t="str">
        <f>IF($J$17=$A$146,"","Risco")</f>
        <v>Risco</v>
      </c>
      <c r="K63" s="610"/>
      <c r="L63" s="610"/>
      <c r="M63" s="610"/>
      <c r="N63" s="610"/>
      <c r="O63" s="610"/>
      <c r="P63" s="610"/>
      <c r="Q63" s="610"/>
      <c r="R63" s="61" t="str">
        <f>IF($J57=$A$146,"","R")</f>
        <v>R</v>
      </c>
      <c r="S63" s="62">
        <v>5.5999999999999999E-3</v>
      </c>
      <c r="U63" s="611" t="s">
        <v>166</v>
      </c>
      <c r="V63" s="611"/>
      <c r="W63" s="611"/>
      <c r="X63" s="63">
        <f>VLOOKUP(CONCATENATE(J57,"-",R63),$C$2:$G$136,3,FALSE)</f>
        <v>5.6000000000000008E-3</v>
      </c>
      <c r="Y63" s="63">
        <f>VLOOKUP(CONCATENATE(J57,"-",R63),$C$2:$G$136,4,FALSE)</f>
        <v>8.5000000000000006E-3</v>
      </c>
      <c r="Z63" s="63">
        <f>VLOOKUP(CONCATENATE(J57,"-",R63),$C$2:$G$136,5,FALSE)</f>
        <v>8.8999999999999999E-3</v>
      </c>
    </row>
    <row r="64" spans="1:26" ht="15" customHeight="1" x14ac:dyDescent="0.2">
      <c r="A64"/>
      <c r="B64"/>
      <c r="C64"/>
      <c r="D64"/>
      <c r="E64"/>
      <c r="F64"/>
      <c r="G64"/>
      <c r="I64" t="str">
        <f t="shared" ca="1" si="1"/>
        <v>F</v>
      </c>
      <c r="J64" s="610" t="str">
        <f>IF($J$17=$A$146,"","Despesas Financeiras")</f>
        <v>Despesas Financeiras</v>
      </c>
      <c r="K64" s="610"/>
      <c r="L64" s="610"/>
      <c r="M64" s="610"/>
      <c r="N64" s="610"/>
      <c r="O64" s="610"/>
      <c r="P64" s="610"/>
      <c r="Q64" s="610"/>
      <c r="R64" s="61" t="str">
        <f>IF($J57=$A$146,"","DF")</f>
        <v>DF</v>
      </c>
      <c r="S64" s="62">
        <v>8.5000000000000006E-3</v>
      </c>
      <c r="U64" s="611" t="s">
        <v>166</v>
      </c>
      <c r="V64" s="611"/>
      <c r="W64" s="611"/>
      <c r="X64" s="63">
        <f>VLOOKUP(CONCATENATE(J57,"-",R64),$C$2:$G$136,3,FALSE)</f>
        <v>8.5000000000000006E-3</v>
      </c>
      <c r="Y64" s="63">
        <f>VLOOKUP(CONCATENATE(J57,"-",R64),$C$2:$G$136,4,FALSE)</f>
        <v>8.5000000000000006E-3</v>
      </c>
      <c r="Z64" s="63">
        <f>VLOOKUP(CONCATENATE(J57,"-",R64),$C$2:$G$136,5,FALSE)</f>
        <v>1.11E-2</v>
      </c>
    </row>
    <row r="65" spans="1:26" ht="15" customHeight="1" x14ac:dyDescent="0.2">
      <c r="A65"/>
      <c r="B65"/>
      <c r="C65"/>
      <c r="D65"/>
      <c r="E65"/>
      <c r="F65"/>
      <c r="G65"/>
      <c r="I65" t="str">
        <f t="shared" ca="1" si="1"/>
        <v>F</v>
      </c>
      <c r="J65" s="610" t="str">
        <f>IF($J$17=$A$146,"Margem bruta da empresa de consultoria","Lucro")</f>
        <v>Lucro</v>
      </c>
      <c r="K65" s="610"/>
      <c r="L65" s="610"/>
      <c r="M65" s="610"/>
      <c r="N65" s="610"/>
      <c r="O65" s="610"/>
      <c r="P65" s="610"/>
      <c r="Q65" s="610"/>
      <c r="R65" s="61" t="str">
        <f>IF($J57=$A$146,"K3","L")</f>
        <v>L</v>
      </c>
      <c r="S65" s="62">
        <v>3.9E-2</v>
      </c>
      <c r="U65" s="611" t="s">
        <v>166</v>
      </c>
      <c r="V65" s="611"/>
      <c r="W65" s="611"/>
      <c r="X65" s="63">
        <f>VLOOKUP(CONCATENATE(J57,"-",R65),$C$2:$G$136,3,FALSE)</f>
        <v>3.5000000000000003E-2</v>
      </c>
      <c r="Y65" s="63">
        <f>VLOOKUP(CONCATENATE(J57,"-",R65),$C$2:$G$136,4,FALSE)</f>
        <v>5.1100000000000007E-2</v>
      </c>
      <c r="Z65" s="63">
        <f>VLOOKUP(CONCATENATE(J57,"-",R65),$C$2:$G$136,5,FALSE)</f>
        <v>6.2199999999999998E-2</v>
      </c>
    </row>
    <row r="66" spans="1:26" ht="15" customHeight="1" x14ac:dyDescent="0.2">
      <c r="A66"/>
      <c r="B66"/>
      <c r="C66"/>
      <c r="D66"/>
      <c r="E66"/>
      <c r="F66"/>
      <c r="G66"/>
      <c r="I66" t="str">
        <f t="shared" ca="1" si="1"/>
        <v>F</v>
      </c>
      <c r="J66" s="610" t="s">
        <v>168</v>
      </c>
      <c r="K66" s="610"/>
      <c r="L66" s="610"/>
      <c r="M66" s="610"/>
      <c r="N66" s="610"/>
      <c r="O66" s="610"/>
      <c r="P66" s="610"/>
      <c r="Q66" s="610"/>
      <c r="R66" s="61" t="s">
        <v>169</v>
      </c>
      <c r="S66" s="62">
        <v>3.6499999999999998E-2</v>
      </c>
      <c r="U66" s="611" t="s">
        <v>166</v>
      </c>
      <c r="V66" s="611"/>
      <c r="W66" s="611"/>
      <c r="X66" s="63">
        <v>3.6499999999999998E-2</v>
      </c>
      <c r="Y66" s="63">
        <v>3.6499999999999998E-2</v>
      </c>
      <c r="Z66" s="63">
        <v>3.6499999999999998E-2</v>
      </c>
    </row>
    <row r="67" spans="1:26" ht="15" customHeight="1" x14ac:dyDescent="0.2">
      <c r="A67"/>
      <c r="B67"/>
      <c r="C67"/>
      <c r="D67"/>
      <c r="E67"/>
      <c r="F67"/>
      <c r="G67"/>
      <c r="I67" t="str">
        <f t="shared" ca="1" si="1"/>
        <v>F</v>
      </c>
      <c r="J67" s="610" t="s">
        <v>170</v>
      </c>
      <c r="K67" s="610"/>
      <c r="L67" s="610"/>
      <c r="M67" s="610"/>
      <c r="N67" s="610"/>
      <c r="O67" s="610"/>
      <c r="P67" s="610"/>
      <c r="Q67" s="610"/>
      <c r="R67" s="61" t="s">
        <v>171</v>
      </c>
      <c r="S67" s="63">
        <f ca="1">IF(AND($J57&lt;&gt;$A$145,COUNTA(OFFSET(S60,1,0,6))&gt;0),$R$11*$R$10,0)</f>
        <v>0.03</v>
      </c>
      <c r="U67" s="611" t="s">
        <v>166</v>
      </c>
      <c r="V67" s="611"/>
      <c r="W67" s="611"/>
      <c r="X67" s="63">
        <v>0</v>
      </c>
      <c r="Y67" s="63">
        <v>2.5000000000000001E-2</v>
      </c>
      <c r="Z67" s="63">
        <v>0.05</v>
      </c>
    </row>
    <row r="68" spans="1:26" ht="15" customHeight="1" x14ac:dyDescent="0.2">
      <c r="A68"/>
      <c r="B68"/>
      <c r="C68"/>
      <c r="D68"/>
      <c r="E68"/>
      <c r="F68"/>
      <c r="G68"/>
      <c r="I68" t="str">
        <f t="shared" ca="1" si="1"/>
        <v>F</v>
      </c>
      <c r="J68" s="610" t="s">
        <v>437</v>
      </c>
      <c r="K68" s="610"/>
      <c r="L68" s="610"/>
      <c r="M68" s="610"/>
      <c r="N68" s="610"/>
      <c r="O68" s="610"/>
      <c r="P68" s="610"/>
      <c r="Q68" s="610"/>
      <c r="R68" s="61" t="s">
        <v>172</v>
      </c>
      <c r="S68" s="63" cm="1">
        <f t="array" aca="1" ref="S68" ca="1">IF(BDI.Opcao&lt;&gt;"Desonerado",0,IF(AND($J57&lt;&gt;$A$145,COUNTA(OFFSET(S60,1,0,6))&gt;0),IF(YEAR(Import.DataBase)&lt;2025,4.5%,IF(YEAR(Import.DataBase)=2025,3.6%,IF(YEAR(Import.DataBase)=2026,2.7%,IF(YEAR(Import.DataBase)=2027,1.8%,0%)))),0%))</f>
        <v>0</v>
      </c>
      <c r="U68" s="611" t="s">
        <v>166</v>
      </c>
      <c r="V68" s="611"/>
      <c r="W68" s="611"/>
      <c r="X68" s="64">
        <f ca="1">$S68</f>
        <v>0</v>
      </c>
      <c r="Y68" s="64">
        <f ca="1">$S68</f>
        <v>0</v>
      </c>
      <c r="Z68" s="64">
        <f ca="1">$S68</f>
        <v>0</v>
      </c>
    </row>
    <row r="69" spans="1:26" ht="15" customHeight="1" x14ac:dyDescent="0.2">
      <c r="A69"/>
      <c r="B69"/>
      <c r="C69"/>
      <c r="D69"/>
      <c r="E69"/>
      <c r="F69"/>
      <c r="G69"/>
      <c r="I69" t="str">
        <f t="shared" ca="1" si="1"/>
        <v>F</v>
      </c>
      <c r="J69" s="610" t="s">
        <v>173</v>
      </c>
      <c r="K69" s="610"/>
      <c r="L69" s="610"/>
      <c r="M69" s="610"/>
      <c r="N69" s="610"/>
      <c r="O69" s="610"/>
      <c r="P69" s="610"/>
      <c r="Q69" s="610"/>
      <c r="R69" s="65" t="s">
        <v>150</v>
      </c>
      <c r="S69" s="63">
        <f ca="1">IF($J57=$A$145,0,ROUND((((1+S61+S62+S63)*(1+S64)*(1+S65)/(1-(S66+S67)))-1),4))</f>
        <v>0.16750000000000001</v>
      </c>
      <c r="U69" s="612" t="str">
        <f ca="1">IF(OR($J$17=$A$146,$J$17=$A$145,AND(S69&gt;=X69,S69&lt;=Z69)),"OK","FORA DO INTERVALO")</f>
        <v>OK</v>
      </c>
      <c r="V69" s="612"/>
      <c r="W69" s="612"/>
      <c r="X69" s="63">
        <f>IF($J57=$A$145,0,VLOOKUP(CONCATENATE($J57,"-",$R69),$C$2:$G$136,3,FALSE))</f>
        <v>0.111</v>
      </c>
      <c r="Y69" s="63">
        <f>IF($J57=$A$145,0,VLOOKUP(CONCATENATE($J57,"-",$R69),$C$2:$G$136,4,FALSE))</f>
        <v>0.14019999999999999</v>
      </c>
      <c r="Z69" s="63">
        <f>IF($J57=$A$145,0,VLOOKUP(CONCATENATE($J57,"-",$R69),$C$2:$G$136,5,FALSE))</f>
        <v>0.16800000000000001</v>
      </c>
    </row>
    <row r="70" spans="1:26" ht="15" customHeight="1" x14ac:dyDescent="0.2">
      <c r="A70"/>
      <c r="B70"/>
      <c r="C70"/>
      <c r="D70"/>
      <c r="E70"/>
      <c r="F70"/>
      <c r="G70"/>
      <c r="I70" t="str">
        <f t="shared" ca="1" si="1"/>
        <v>F</v>
      </c>
      <c r="J70" s="613" t="s">
        <v>174</v>
      </c>
      <c r="K70" s="613"/>
      <c r="L70" s="613"/>
      <c r="M70" s="613"/>
      <c r="N70" s="613"/>
      <c r="O70" s="613"/>
      <c r="P70" s="613"/>
      <c r="Q70" s="613"/>
      <c r="R70" s="66" t="s">
        <v>175</v>
      </c>
      <c r="S70" s="67">
        <f ca="1">IF($J57=$A$145,0,ROUND((((1+S61+S62+S63)*(1+S64)*(1+S65)/(1-(S66+S67+S68)))-1),4))</f>
        <v>0.16750000000000001</v>
      </c>
    </row>
    <row r="71" spans="1:26" ht="15" customHeight="1" x14ac:dyDescent="0.2">
      <c r="A71"/>
      <c r="B71"/>
      <c r="C71"/>
      <c r="D71"/>
      <c r="E71"/>
      <c r="F71"/>
      <c r="G71"/>
      <c r="I71" t="str">
        <f t="shared" ca="1" si="1"/>
        <v>F</v>
      </c>
    </row>
    <row r="72" spans="1:26" ht="15.75" x14ac:dyDescent="0.2">
      <c r="A72"/>
      <c r="B72"/>
      <c r="C72"/>
      <c r="D72"/>
      <c r="E72"/>
      <c r="F72"/>
      <c r="G72"/>
      <c r="I72" t="str">
        <f t="shared" ca="1" si="1"/>
        <v>F</v>
      </c>
      <c r="J72" s="68" t="str">
        <f ca="1">IF(U69&lt;&gt;"ok","X","")</f>
        <v/>
      </c>
      <c r="K72" s="614" t="str">
        <f ca="1">IF(U69&lt;&gt;"ok","Anexo: Relatório Técnico Circunstanciado justificando a adoção do percentual de cada parcela do BDI.","")</f>
        <v/>
      </c>
      <c r="L72" s="614"/>
      <c r="M72" s="614"/>
      <c r="N72" s="614"/>
      <c r="O72" s="614"/>
      <c r="P72" s="614"/>
      <c r="Q72" s="614"/>
      <c r="R72" s="614"/>
      <c r="S72" s="614"/>
    </row>
    <row r="73" spans="1:26" x14ac:dyDescent="0.2">
      <c r="A73"/>
      <c r="B73"/>
      <c r="C73"/>
      <c r="D73"/>
      <c r="E73"/>
      <c r="F73"/>
      <c r="G73"/>
      <c r="I73" t="str">
        <f t="shared" ca="1" si="1"/>
        <v>F</v>
      </c>
    </row>
    <row r="74" spans="1:26" x14ac:dyDescent="0.2">
      <c r="A74"/>
      <c r="B74"/>
      <c r="C74"/>
      <c r="D74"/>
      <c r="E74"/>
      <c r="F74"/>
      <c r="G74"/>
      <c r="I74" t="str">
        <f t="shared" ca="1" si="1"/>
        <v>F</v>
      </c>
      <c r="J74" s="616" t="s">
        <v>177</v>
      </c>
      <c r="K74" s="616"/>
      <c r="L74" s="616"/>
      <c r="M74" s="616"/>
      <c r="N74" s="616"/>
      <c r="O74" s="616"/>
      <c r="P74" s="616"/>
      <c r="Q74" s="616"/>
      <c r="R74" s="616"/>
      <c r="S74" s="616"/>
    </row>
    <row r="75" spans="1:26" ht="15.75" x14ac:dyDescent="0.25">
      <c r="A75"/>
      <c r="B75"/>
      <c r="C75"/>
      <c r="D75"/>
      <c r="E75"/>
      <c r="F75"/>
      <c r="G75"/>
      <c r="I75" t="str">
        <f t="shared" ca="1" si="1"/>
        <v>F</v>
      </c>
      <c r="J75" s="69"/>
      <c r="K75" s="69"/>
      <c r="L75" s="69"/>
      <c r="M75" s="617" t="s">
        <v>178</v>
      </c>
      <c r="N75" s="618" t="str">
        <f>IF($J57=$A$146,"(1+K1+K2)*(1+K3)","(1+AC + S + R + G)*(1 + DF)*(1+L)")</f>
        <v>(1+AC + S + R + G)*(1 + DF)*(1+L)</v>
      </c>
      <c r="O75" s="618"/>
      <c r="P75" s="618"/>
      <c r="Q75" s="619" t="s">
        <v>179</v>
      </c>
      <c r="R75" s="69"/>
      <c r="S75" s="69"/>
    </row>
    <row r="76" spans="1:26" ht="15.75" x14ac:dyDescent="0.2">
      <c r="A76"/>
      <c r="B76"/>
      <c r="C76"/>
      <c r="D76"/>
      <c r="E76"/>
      <c r="F76"/>
      <c r="G76"/>
      <c r="I76" t="str">
        <f t="shared" ca="1" si="1"/>
        <v>F</v>
      </c>
      <c r="J76" s="69"/>
      <c r="K76" s="69"/>
      <c r="L76" s="69"/>
      <c r="M76" s="617"/>
      <c r="N76" s="609" t="s">
        <v>180</v>
      </c>
      <c r="O76" s="609"/>
      <c r="P76" s="609"/>
      <c r="Q76" s="619"/>
      <c r="R76" s="69"/>
      <c r="S76" s="69"/>
    </row>
    <row r="77" spans="1:26" ht="15" customHeight="1" x14ac:dyDescent="0.2">
      <c r="A77"/>
      <c r="B77"/>
      <c r="C77"/>
      <c r="D77"/>
      <c r="E77"/>
      <c r="F77"/>
      <c r="G77"/>
      <c r="I77" t="str">
        <f t="shared" ca="1" si="1"/>
        <v>F</v>
      </c>
      <c r="J77" s="69"/>
      <c r="K77" s="69"/>
      <c r="L77" s="69"/>
      <c r="M77" s="70"/>
      <c r="N77" s="72"/>
      <c r="O77" s="72"/>
      <c r="P77" s="72"/>
      <c r="Q77" s="71"/>
      <c r="R77" s="69"/>
      <c r="S77" s="69"/>
    </row>
    <row r="78" spans="1:26" ht="50.1" customHeight="1" x14ac:dyDescent="0.2">
      <c r="A78"/>
      <c r="B78"/>
      <c r="C78"/>
      <c r="D78"/>
      <c r="E78"/>
      <c r="F78"/>
      <c r="G78"/>
      <c r="I78" t="str">
        <f t="shared" ca="1" si="1"/>
        <v>F</v>
      </c>
      <c r="J78" s="60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603"/>
      <c r="L78" s="603"/>
      <c r="M78" s="603"/>
      <c r="N78" s="603"/>
      <c r="O78" s="603"/>
      <c r="P78" s="603"/>
      <c r="Q78" s="603"/>
      <c r="R78" s="603"/>
      <c r="S78" s="603"/>
    </row>
    <row r="79" spans="1:26" x14ac:dyDescent="0.2">
      <c r="A79"/>
      <c r="B79"/>
      <c r="C79"/>
      <c r="D79"/>
      <c r="E79"/>
      <c r="F79"/>
      <c r="G79"/>
      <c r="I79" t="str">
        <f t="shared" ca="1" si="1"/>
        <v>F</v>
      </c>
    </row>
    <row r="80" spans="1:26" ht="50.1" customHeight="1" x14ac:dyDescent="0.2">
      <c r="A80"/>
      <c r="B80"/>
      <c r="C80"/>
      <c r="D80"/>
      <c r="E80"/>
      <c r="F80"/>
      <c r="G80"/>
      <c r="I80" t="str">
        <f t="shared" ca="1" si="1"/>
        <v>F</v>
      </c>
      <c r="J80" s="60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03"/>
      <c r="L80" s="603"/>
      <c r="M80" s="603"/>
      <c r="N80" s="603"/>
      <c r="O80" s="603"/>
      <c r="P80" s="603"/>
      <c r="Q80" s="603"/>
      <c r="R80" s="603"/>
      <c r="S80" s="603"/>
    </row>
    <row r="81" spans="1:19" x14ac:dyDescent="0.2">
      <c r="A81"/>
      <c r="B81"/>
      <c r="C81"/>
      <c r="D81"/>
      <c r="E81"/>
      <c r="F81"/>
      <c r="G81"/>
      <c r="I81" t="str">
        <f t="shared" ca="1" si="1"/>
        <v>F</v>
      </c>
    </row>
    <row r="82" spans="1:19" x14ac:dyDescent="0.2">
      <c r="A82"/>
      <c r="B82"/>
      <c r="C82"/>
      <c r="D82"/>
      <c r="E82"/>
      <c r="F82"/>
      <c r="G82"/>
      <c r="I82" t="str">
        <f t="shared" ca="1" si="1"/>
        <v>F</v>
      </c>
      <c r="J82" s="50" t="s">
        <v>186</v>
      </c>
    </row>
    <row r="83" spans="1:19" ht="99.95" customHeight="1" x14ac:dyDescent="0.2">
      <c r="A83"/>
      <c r="B83"/>
      <c r="C83"/>
      <c r="D83"/>
      <c r="E83"/>
      <c r="F83"/>
      <c r="G83"/>
      <c r="I83" t="str">
        <f t="shared" ca="1" si="1"/>
        <v>F</v>
      </c>
      <c r="J83" s="604"/>
      <c r="K83" s="604"/>
      <c r="L83" s="604"/>
      <c r="M83" s="604"/>
      <c r="N83" s="604"/>
      <c r="O83" s="604"/>
      <c r="P83" s="604"/>
      <c r="Q83" s="604"/>
      <c r="R83" s="604"/>
      <c r="S83" s="604"/>
    </row>
    <row r="84" spans="1:19" x14ac:dyDescent="0.2">
      <c r="A84"/>
      <c r="B84"/>
      <c r="C84"/>
      <c r="D84"/>
      <c r="E84"/>
      <c r="F84"/>
      <c r="G84"/>
      <c r="I84" t="str">
        <f t="shared" ca="1" si="1"/>
        <v>F</v>
      </c>
    </row>
    <row r="85" spans="1:19" x14ac:dyDescent="0.2">
      <c r="A85"/>
      <c r="B85"/>
      <c r="C85"/>
      <c r="D85"/>
      <c r="E85"/>
      <c r="F85"/>
      <c r="G85"/>
      <c r="I85" t="str">
        <f t="shared" ca="1" si="1"/>
        <v>F</v>
      </c>
      <c r="J85" s="605" t="str">
        <f>Import.Município</f>
        <v>BENTO GONÇALVES/RS</v>
      </c>
      <c r="K85" s="605"/>
      <c r="L85" s="605"/>
      <c r="M85" s="605"/>
      <c r="P85" s="606">
        <f>DADOS!$F$25</f>
        <v>46199</v>
      </c>
      <c r="Q85" s="606"/>
      <c r="R85" s="606"/>
      <c r="S85" s="606"/>
    </row>
    <row r="86" spans="1:19" x14ac:dyDescent="0.2">
      <c r="A86"/>
      <c r="B86"/>
      <c r="C86"/>
      <c r="D86"/>
      <c r="E86"/>
      <c r="F86"/>
      <c r="G86"/>
      <c r="I86" t="str">
        <f t="shared" ca="1" si="1"/>
        <v>F</v>
      </c>
      <c r="J86" s="607" t="s">
        <v>187</v>
      </c>
      <c r="K86" s="607"/>
      <c r="L86" s="607"/>
      <c r="M86" s="607"/>
      <c r="O86" s="74"/>
      <c r="P86" s="75" t="s">
        <v>188</v>
      </c>
      <c r="Q86" s="76"/>
      <c r="R86" s="76"/>
      <c r="S86" s="76"/>
    </row>
    <row r="87" spans="1:19" ht="30" customHeight="1" x14ac:dyDescent="0.2">
      <c r="A87"/>
      <c r="B87"/>
      <c r="C87"/>
      <c r="D87"/>
      <c r="E87"/>
      <c r="F87"/>
      <c r="G87"/>
      <c r="I87" t="str">
        <f t="shared" ca="1" si="1"/>
        <v>F</v>
      </c>
    </row>
    <row r="88" spans="1:19" ht="15" x14ac:dyDescent="0.2">
      <c r="A88"/>
      <c r="B88"/>
      <c r="C88"/>
      <c r="D88"/>
      <c r="E88"/>
      <c r="F88"/>
      <c r="G88"/>
      <c r="I88" t="str">
        <f t="shared" ca="1" si="1"/>
        <v>F</v>
      </c>
      <c r="J88" s="608"/>
      <c r="K88" s="608"/>
      <c r="L88" s="608"/>
      <c r="M88" s="608"/>
      <c r="N88" s="77"/>
    </row>
    <row r="89" spans="1:19" x14ac:dyDescent="0.2">
      <c r="A89"/>
      <c r="B89"/>
      <c r="C89"/>
      <c r="D89"/>
      <c r="E89"/>
      <c r="F89"/>
      <c r="G89"/>
      <c r="I89" t="str">
        <f t="shared" ca="1" si="1"/>
        <v>F</v>
      </c>
      <c r="J89" s="602" t="s">
        <v>189</v>
      </c>
      <c r="K89" s="602"/>
      <c r="L89" s="602"/>
      <c r="M89" s="602"/>
    </row>
    <row r="90" spans="1:19" ht="14.25" x14ac:dyDescent="0.2">
      <c r="A90"/>
      <c r="B90"/>
      <c r="C90"/>
      <c r="D90"/>
      <c r="E90"/>
      <c r="F90"/>
      <c r="G90"/>
      <c r="I90" t="str">
        <f t="shared" ca="1" si="1"/>
        <v>F</v>
      </c>
      <c r="J90" s="78" t="s">
        <v>108</v>
      </c>
      <c r="K90" s="79" t="str">
        <f t="array" ref="K90:K92">Import.RespOrçamento</f>
        <v>Eng. Bruna de Oliveira Pelizza</v>
      </c>
      <c r="L90" s="80"/>
      <c r="M90" s="80"/>
      <c r="N90" s="77"/>
    </row>
    <row r="91" spans="1:19" ht="14.25" x14ac:dyDescent="0.2">
      <c r="A91"/>
      <c r="B91"/>
      <c r="C91"/>
      <c r="D91"/>
      <c r="E91"/>
      <c r="F91"/>
      <c r="G91"/>
      <c r="I91" t="str">
        <f t="shared" ca="1" si="1"/>
        <v>F</v>
      </c>
      <c r="J91" s="78" t="s">
        <v>109</v>
      </c>
      <c r="K91" s="79" t="str">
        <v>RS230174</v>
      </c>
      <c r="L91" s="80"/>
      <c r="M91" s="80"/>
      <c r="N91" s="77"/>
    </row>
    <row r="92" spans="1:19" ht="14.25" x14ac:dyDescent="0.2">
      <c r="A92"/>
      <c r="B92"/>
      <c r="C92"/>
      <c r="D92"/>
      <c r="E92"/>
      <c r="F92"/>
      <c r="G92"/>
      <c r="I92" t="str">
        <f t="shared" ca="1" si="1"/>
        <v>F</v>
      </c>
      <c r="J92" s="78" t="s">
        <v>110</v>
      </c>
      <c r="K92" s="79" t="str">
        <v/>
      </c>
      <c r="L92" s="80"/>
      <c r="M92" s="80"/>
      <c r="N92" s="77"/>
    </row>
    <row r="93" spans="1:19" ht="14.25" x14ac:dyDescent="0.2">
      <c r="A93"/>
      <c r="B93"/>
      <c r="C93"/>
      <c r="D93"/>
      <c r="E93"/>
      <c r="F93"/>
      <c r="G93"/>
      <c r="I93" t="str">
        <f t="shared" ca="1" si="1"/>
        <v>F</v>
      </c>
      <c r="J93" s="78"/>
      <c r="K93" s="81"/>
      <c r="L93" s="80"/>
      <c r="M93" s="80"/>
      <c r="N93" s="77"/>
    </row>
    <row r="94" spans="1:19" ht="15.75" x14ac:dyDescent="0.25">
      <c r="A94"/>
      <c r="B94"/>
      <c r="C94"/>
      <c r="D94"/>
      <c r="E94"/>
      <c r="F94"/>
      <c r="G94"/>
      <c r="I94" t="str">
        <f ca="1">IF($S$109=0,"","F")</f>
        <v/>
      </c>
      <c r="J94" s="624" t="s">
        <v>191</v>
      </c>
      <c r="K94" s="624"/>
      <c r="L94" s="624"/>
      <c r="M94" s="624"/>
      <c r="N94" s="624"/>
      <c r="O94" s="624"/>
      <c r="P94" s="624"/>
      <c r="Q94" s="624"/>
      <c r="R94" s="624"/>
      <c r="S94" s="624"/>
    </row>
    <row r="95" spans="1:19" x14ac:dyDescent="0.2">
      <c r="A95"/>
      <c r="B95"/>
      <c r="C95"/>
      <c r="D95"/>
      <c r="E95"/>
      <c r="F95"/>
      <c r="G95"/>
      <c r="I95" t="str">
        <f t="shared" ref="I95:I132" ca="1" si="2">IF($S$109=0,"","F")</f>
        <v/>
      </c>
    </row>
    <row r="96" spans="1:19" x14ac:dyDescent="0.2">
      <c r="A96"/>
      <c r="B96"/>
      <c r="C96"/>
      <c r="D96"/>
      <c r="E96"/>
      <c r="F96"/>
      <c r="G96"/>
      <c r="I96" t="str">
        <f t="shared" ca="1" si="2"/>
        <v/>
      </c>
      <c r="J96" s="622" t="s">
        <v>157</v>
      </c>
      <c r="K96" s="622"/>
      <c r="L96" s="622"/>
      <c r="M96" s="622"/>
      <c r="N96" s="622"/>
      <c r="O96" s="622"/>
      <c r="P96" s="622"/>
      <c r="Q96" s="622"/>
      <c r="R96" s="622"/>
      <c r="S96" s="622"/>
    </row>
    <row r="97" spans="1:26" x14ac:dyDescent="0.2">
      <c r="A97"/>
      <c r="B97"/>
      <c r="C97"/>
      <c r="D97"/>
      <c r="E97"/>
      <c r="F97"/>
      <c r="G97"/>
      <c r="I97" t="str">
        <f t="shared" ca="1" si="2"/>
        <v/>
      </c>
      <c r="J97" s="623" t="s">
        <v>400</v>
      </c>
      <c r="K97" s="623"/>
      <c r="L97" s="623"/>
      <c r="M97" s="623"/>
      <c r="N97" s="623"/>
      <c r="O97" s="623"/>
      <c r="P97" s="623"/>
      <c r="Q97" s="623"/>
      <c r="R97" s="623"/>
      <c r="S97" s="623"/>
    </row>
    <row r="98" spans="1:26" x14ac:dyDescent="0.2">
      <c r="A98"/>
      <c r="B98"/>
      <c r="C98"/>
      <c r="D98"/>
      <c r="E98"/>
      <c r="F98"/>
      <c r="G98"/>
      <c r="I98" t="str">
        <f t="shared" ca="1" si="2"/>
        <v/>
      </c>
    </row>
    <row r="99" spans="1:26" ht="12.75" customHeight="1" x14ac:dyDescent="0.2">
      <c r="A99"/>
      <c r="B99"/>
      <c r="C99"/>
      <c r="D99"/>
      <c r="E99"/>
      <c r="F99"/>
      <c r="G99"/>
      <c r="I99" t="str">
        <f t="shared" ca="1" si="2"/>
        <v/>
      </c>
      <c r="J99" s="621" t="s">
        <v>158</v>
      </c>
      <c r="K99" s="621"/>
      <c r="L99" s="621"/>
      <c r="M99" s="621"/>
      <c r="N99" s="621"/>
      <c r="O99" s="621"/>
      <c r="P99" s="621"/>
      <c r="Q99" s="621"/>
      <c r="R99" s="621" t="s">
        <v>159</v>
      </c>
      <c r="S99" s="612" t="s">
        <v>160</v>
      </c>
      <c r="U99" s="612" t="s">
        <v>161</v>
      </c>
      <c r="V99" s="612"/>
      <c r="W99" s="612"/>
      <c r="X99" s="620" t="s">
        <v>162</v>
      </c>
      <c r="Y99" s="620" t="s">
        <v>163</v>
      </c>
      <c r="Z99" s="620" t="s">
        <v>164</v>
      </c>
    </row>
    <row r="100" spans="1:26" ht="12.75" customHeight="1" x14ac:dyDescent="0.2">
      <c r="A100"/>
      <c r="B100"/>
      <c r="C100"/>
      <c r="D100"/>
      <c r="E100"/>
      <c r="F100"/>
      <c r="G100"/>
      <c r="I100" t="str">
        <f t="shared" ca="1" si="2"/>
        <v/>
      </c>
      <c r="J100" s="621"/>
      <c r="K100" s="621"/>
      <c r="L100" s="621"/>
      <c r="M100" s="621"/>
      <c r="N100" s="621"/>
      <c r="O100" s="621"/>
      <c r="P100" s="621"/>
      <c r="Q100" s="621"/>
      <c r="R100" s="621"/>
      <c r="S100" s="612"/>
      <c r="U100" s="612"/>
      <c r="V100" s="612"/>
      <c r="W100" s="612"/>
      <c r="X100" s="620"/>
      <c r="Y100" s="620"/>
      <c r="Z100" s="620"/>
    </row>
    <row r="101" spans="1:26" ht="15" customHeight="1" x14ac:dyDescent="0.2">
      <c r="A101"/>
      <c r="B101"/>
      <c r="C101"/>
      <c r="D101"/>
      <c r="E101"/>
      <c r="F101"/>
      <c r="G101"/>
      <c r="I101" t="str">
        <f t="shared" ca="1" si="2"/>
        <v/>
      </c>
      <c r="J101" s="610" t="str">
        <f>IF($J$17=$A$146,"Encargos Sociais incidentes sobre a mão de obra","Administração Central")</f>
        <v>Administração Central</v>
      </c>
      <c r="K101" s="610"/>
      <c r="L101" s="610"/>
      <c r="M101" s="610"/>
      <c r="N101" s="610"/>
      <c r="O101" s="610"/>
      <c r="P101" s="610"/>
      <c r="Q101" s="610"/>
      <c r="R101" s="61" t="str">
        <f>IF($J97=$A$146,"K1","AC")</f>
        <v>AC</v>
      </c>
      <c r="S101" s="62"/>
      <c r="U101" s="611" t="s">
        <v>166</v>
      </c>
      <c r="V101" s="611"/>
      <c r="W101" s="611"/>
      <c r="X101" s="63" t="e">
        <f>VLOOKUP(CONCATENATE(J97,"-",R101),$C$2:$G$136,3,FALSE)</f>
        <v>#N/A</v>
      </c>
      <c r="Y101" s="63" t="e">
        <f>VLOOKUP(CONCATENATE(J97,"-",R101),$C$2:$G$136,4,FALSE)</f>
        <v>#N/A</v>
      </c>
      <c r="Z101" s="63" t="e">
        <f>VLOOKUP(CONCATENATE(J97,"-",R101),$C$2:$G$136,5,FALSE)</f>
        <v>#N/A</v>
      </c>
    </row>
    <row r="102" spans="1:26" ht="15" customHeight="1" x14ac:dyDescent="0.2">
      <c r="A102"/>
      <c r="B102"/>
      <c r="C102"/>
      <c r="D102"/>
      <c r="E102"/>
      <c r="F102"/>
      <c r="G102"/>
      <c r="I102" t="str">
        <f t="shared" ca="1" si="2"/>
        <v/>
      </c>
      <c r="J102" s="610" t="str">
        <f>IF($J$17=$A$146,"Administração Central da empresa ou consultoria - overhead","Seguro e Garantia")</f>
        <v>Seguro e Garantia</v>
      </c>
      <c r="K102" s="610"/>
      <c r="L102" s="610"/>
      <c r="M102" s="610"/>
      <c r="N102" s="610"/>
      <c r="O102" s="610"/>
      <c r="P102" s="610"/>
      <c r="Q102" s="610"/>
      <c r="R102" s="61" t="str">
        <f>IF($J97=$A$146,"K2","SG")</f>
        <v>SG</v>
      </c>
      <c r="S102" s="62"/>
      <c r="U102" s="611" t="s">
        <v>166</v>
      </c>
      <c r="V102" s="611"/>
      <c r="W102" s="611"/>
      <c r="X102" s="63" t="e">
        <f>VLOOKUP(CONCATENATE(J97,"-",R102),$C$2:$G$136,3,FALSE)</f>
        <v>#N/A</v>
      </c>
      <c r="Y102" s="63" t="e">
        <f>VLOOKUP(CONCATENATE(J97,"-",R102),$C$2:$G$136,4,FALSE)</f>
        <v>#N/A</v>
      </c>
      <c r="Z102" s="63" t="e">
        <f>VLOOKUP(CONCATENATE(J97,"-",R102),$C$2:$G$136,5,FALSE)</f>
        <v>#N/A</v>
      </c>
    </row>
    <row r="103" spans="1:26" ht="15" customHeight="1" x14ac:dyDescent="0.2">
      <c r="A103"/>
      <c r="B103"/>
      <c r="C103"/>
      <c r="D103"/>
      <c r="E103"/>
      <c r="F103"/>
      <c r="G103"/>
      <c r="I103" t="str">
        <f t="shared" ca="1" si="2"/>
        <v/>
      </c>
      <c r="J103" s="610" t="str">
        <f>IF($J$17=$A$146,"","Risco")</f>
        <v>Risco</v>
      </c>
      <c r="K103" s="610"/>
      <c r="L103" s="610"/>
      <c r="M103" s="610"/>
      <c r="N103" s="610"/>
      <c r="O103" s="610"/>
      <c r="P103" s="610"/>
      <c r="Q103" s="610"/>
      <c r="R103" s="61" t="str">
        <f>IF($J97=$A$146,"","R")</f>
        <v>R</v>
      </c>
      <c r="S103" s="62"/>
      <c r="U103" s="611" t="s">
        <v>166</v>
      </c>
      <c r="V103" s="611"/>
      <c r="W103" s="611"/>
      <c r="X103" s="63" t="e">
        <f>VLOOKUP(CONCATENATE(J97,"-",R103),$C$2:$G$136,3,FALSE)</f>
        <v>#N/A</v>
      </c>
      <c r="Y103" s="63" t="e">
        <f>VLOOKUP(CONCATENATE(J97,"-",R103),$C$2:$G$136,4,FALSE)</f>
        <v>#N/A</v>
      </c>
      <c r="Z103" s="63" t="e">
        <f>VLOOKUP(CONCATENATE(J97,"-",R103),$C$2:$G$136,5,FALSE)</f>
        <v>#N/A</v>
      </c>
    </row>
    <row r="104" spans="1:26" ht="15" customHeight="1" x14ac:dyDescent="0.2">
      <c r="A104"/>
      <c r="B104"/>
      <c r="C104"/>
      <c r="D104"/>
      <c r="E104"/>
      <c r="F104"/>
      <c r="G104"/>
      <c r="I104" t="str">
        <f t="shared" ca="1" si="2"/>
        <v/>
      </c>
      <c r="J104" s="610" t="str">
        <f>IF($J$17=$A$146,"","Despesas Financeiras")</f>
        <v>Despesas Financeiras</v>
      </c>
      <c r="K104" s="610"/>
      <c r="L104" s="610"/>
      <c r="M104" s="610"/>
      <c r="N104" s="610"/>
      <c r="O104" s="610"/>
      <c r="P104" s="610"/>
      <c r="Q104" s="610"/>
      <c r="R104" s="61" t="str">
        <f>IF($J97=$A$146,"","DF")</f>
        <v>DF</v>
      </c>
      <c r="S104" s="62"/>
      <c r="U104" s="611" t="s">
        <v>166</v>
      </c>
      <c r="V104" s="611"/>
      <c r="W104" s="611"/>
      <c r="X104" s="63" t="e">
        <f>VLOOKUP(CONCATENATE(J97,"-",R104),$C$2:$G$136,3,FALSE)</f>
        <v>#N/A</v>
      </c>
      <c r="Y104" s="63" t="e">
        <f>VLOOKUP(CONCATENATE(J97,"-",R104),$C$2:$G$136,4,FALSE)</f>
        <v>#N/A</v>
      </c>
      <c r="Z104" s="63" t="e">
        <f>VLOOKUP(CONCATENATE(J97,"-",R104),$C$2:$G$136,5,FALSE)</f>
        <v>#N/A</v>
      </c>
    </row>
    <row r="105" spans="1:26" ht="15" customHeight="1" x14ac:dyDescent="0.2">
      <c r="A105"/>
      <c r="B105"/>
      <c r="C105"/>
      <c r="D105"/>
      <c r="E105"/>
      <c r="F105"/>
      <c r="G105"/>
      <c r="I105" t="str">
        <f t="shared" ca="1" si="2"/>
        <v/>
      </c>
      <c r="J105" s="610" t="str">
        <f>IF($J$17=$A$146,"Margem bruta da empresa de consultoria","Lucro")</f>
        <v>Lucro</v>
      </c>
      <c r="K105" s="610"/>
      <c r="L105" s="610"/>
      <c r="M105" s="610"/>
      <c r="N105" s="610"/>
      <c r="O105" s="610"/>
      <c r="P105" s="610"/>
      <c r="Q105" s="610"/>
      <c r="R105" s="61" t="str">
        <f>IF($J97=$A$146,"K3","L")</f>
        <v>L</v>
      </c>
      <c r="S105" s="62"/>
      <c r="U105" s="611" t="s">
        <v>166</v>
      </c>
      <c r="V105" s="611"/>
      <c r="W105" s="611"/>
      <c r="X105" s="63" t="e">
        <f>VLOOKUP(CONCATENATE(J97,"-",R105),$C$2:$G$136,3,FALSE)</f>
        <v>#N/A</v>
      </c>
      <c r="Y105" s="63" t="e">
        <f>VLOOKUP(CONCATENATE(J97,"-",R105),$C$2:$G$136,4,FALSE)</f>
        <v>#N/A</v>
      </c>
      <c r="Z105" s="63" t="e">
        <f>VLOOKUP(CONCATENATE(J97,"-",R105),$C$2:$G$136,5,FALSE)</f>
        <v>#N/A</v>
      </c>
    </row>
    <row r="106" spans="1:26" ht="15" customHeight="1" x14ac:dyDescent="0.2">
      <c r="A106"/>
      <c r="B106"/>
      <c r="C106"/>
      <c r="D106"/>
      <c r="E106"/>
      <c r="F106"/>
      <c r="G106"/>
      <c r="I106" t="str">
        <f t="shared" ca="1" si="2"/>
        <v/>
      </c>
      <c r="J106" s="610" t="s">
        <v>168</v>
      </c>
      <c r="K106" s="610"/>
      <c r="L106" s="610"/>
      <c r="M106" s="610"/>
      <c r="N106" s="610"/>
      <c r="O106" s="610"/>
      <c r="P106" s="610"/>
      <c r="Q106" s="610"/>
      <c r="R106" s="61" t="s">
        <v>169</v>
      </c>
      <c r="S106" s="62"/>
      <c r="U106" s="611" t="s">
        <v>166</v>
      </c>
      <c r="V106" s="611"/>
      <c r="W106" s="611"/>
      <c r="X106" s="63">
        <v>3.6499999999999998E-2</v>
      </c>
      <c r="Y106" s="63">
        <v>3.6499999999999998E-2</v>
      </c>
      <c r="Z106" s="63">
        <v>3.6499999999999998E-2</v>
      </c>
    </row>
    <row r="107" spans="1:26" ht="15" customHeight="1" x14ac:dyDescent="0.2">
      <c r="A107"/>
      <c r="B107"/>
      <c r="C107"/>
      <c r="D107"/>
      <c r="E107"/>
      <c r="F107"/>
      <c r="G107"/>
      <c r="I107" t="str">
        <f t="shared" ca="1" si="2"/>
        <v/>
      </c>
      <c r="J107" s="610" t="s">
        <v>170</v>
      </c>
      <c r="K107" s="610"/>
      <c r="L107" s="610"/>
      <c r="M107" s="610"/>
      <c r="N107" s="610"/>
      <c r="O107" s="610"/>
      <c r="P107" s="610"/>
      <c r="Q107" s="610"/>
      <c r="R107" s="61" t="s">
        <v>171</v>
      </c>
      <c r="S107" s="63">
        <f ca="1">IF(AND($J97&lt;&gt;$A$145,COUNTA(OFFSET(S100,1,0,6))&gt;0),$R$11*$R$10,0)</f>
        <v>0</v>
      </c>
      <c r="U107" s="611" t="s">
        <v>166</v>
      </c>
      <c r="V107" s="611"/>
      <c r="W107" s="611"/>
      <c r="X107" s="63">
        <v>0</v>
      </c>
      <c r="Y107" s="63">
        <v>2.5000000000000001E-2</v>
      </c>
      <c r="Z107" s="63">
        <v>0.05</v>
      </c>
    </row>
    <row r="108" spans="1:26" ht="15" customHeight="1" x14ac:dyDescent="0.2">
      <c r="A108"/>
      <c r="B108"/>
      <c r="C108"/>
      <c r="D108"/>
      <c r="E108"/>
      <c r="F108"/>
      <c r="G108"/>
      <c r="I108" t="str">
        <f t="shared" ca="1" si="2"/>
        <v/>
      </c>
      <c r="J108" s="610" t="s">
        <v>437</v>
      </c>
      <c r="K108" s="610"/>
      <c r="L108" s="610"/>
      <c r="M108" s="610"/>
      <c r="N108" s="610"/>
      <c r="O108" s="610"/>
      <c r="P108" s="610"/>
      <c r="Q108" s="610"/>
      <c r="R108" s="61" t="s">
        <v>172</v>
      </c>
      <c r="S108" s="63" cm="1">
        <f t="array" aca="1" ref="S108" ca="1">IF(BDI.Opcao&lt;&gt;"Desonerado",0,IF(AND($J97&lt;&gt;$A$145,COUNTA(OFFSET(S100,1,0,6))&gt;0),IF(YEAR(Import.DataBase)&lt;2025,4.5%,IF(YEAR(Import.DataBase)=2025,3.6%,IF(YEAR(Import.DataBase)=2026,2.7%,IF(YEAR(Import.DataBase)=2027,1.8%,0%)))),0%))</f>
        <v>0</v>
      </c>
      <c r="U108" s="611" t="s">
        <v>166</v>
      </c>
      <c r="V108" s="611"/>
      <c r="W108" s="611"/>
      <c r="X108" s="64">
        <f ca="1">$S108</f>
        <v>0</v>
      </c>
      <c r="Y108" s="64">
        <f ca="1">$S108</f>
        <v>0</v>
      </c>
      <c r="Z108" s="64">
        <f ca="1">$S108</f>
        <v>0</v>
      </c>
    </row>
    <row r="109" spans="1:26" ht="15" customHeight="1" x14ac:dyDescent="0.2">
      <c r="A109"/>
      <c r="B109"/>
      <c r="C109"/>
      <c r="D109"/>
      <c r="E109"/>
      <c r="F109"/>
      <c r="G109"/>
      <c r="I109" t="str">
        <f t="shared" ca="1" si="2"/>
        <v/>
      </c>
      <c r="J109" s="610" t="s">
        <v>173</v>
      </c>
      <c r="K109" s="610"/>
      <c r="L109" s="610"/>
      <c r="M109" s="610"/>
      <c r="N109" s="610"/>
      <c r="O109" s="610"/>
      <c r="P109" s="610"/>
      <c r="Q109" s="610"/>
      <c r="R109" s="65" t="s">
        <v>150</v>
      </c>
      <c r="S109" s="63">
        <f ca="1">IF($J97=$A$145,0,ROUND((((1+S101+S102+S103)*(1+S104)*(1+S105)/(1-(S106+S107)))-1),4))</f>
        <v>0</v>
      </c>
      <c r="U109" s="612" t="e">
        <f ca="1">IF(OR($J$17=$A$146,$J$17=$A$145,AND(S109&gt;=X109,S109&lt;=Z109)),"OK","FORA DO INTERVALO")</f>
        <v>#N/A</v>
      </c>
      <c r="V109" s="612"/>
      <c r="W109" s="612"/>
      <c r="X109" s="63" t="e">
        <f>IF($J97=$A$145,0,VLOOKUP(CONCATENATE($J97,"-",$R109),$C$2:$G$136,3,FALSE))</f>
        <v>#N/A</v>
      </c>
      <c r="Y109" s="63" t="e">
        <f>IF($J97=$A$145,0,VLOOKUP(CONCATENATE($J97,"-",$R109),$C$2:$G$136,4,FALSE))</f>
        <v>#N/A</v>
      </c>
      <c r="Z109" s="63" t="e">
        <f>IF($J97=$A$145,0,VLOOKUP(CONCATENATE($J97,"-",$R109),$C$2:$G$136,5,FALSE))</f>
        <v>#N/A</v>
      </c>
    </row>
    <row r="110" spans="1:26" ht="15" customHeight="1" x14ac:dyDescent="0.2">
      <c r="A110"/>
      <c r="B110"/>
      <c r="C110"/>
      <c r="D110"/>
      <c r="E110"/>
      <c r="F110"/>
      <c r="G110"/>
      <c r="I110" t="str">
        <f t="shared" ca="1" si="2"/>
        <v/>
      </c>
      <c r="J110" s="613" t="s">
        <v>174</v>
      </c>
      <c r="K110" s="613"/>
      <c r="L110" s="613"/>
      <c r="M110" s="613"/>
      <c r="N110" s="613"/>
      <c r="O110" s="613"/>
      <c r="P110" s="613"/>
      <c r="Q110" s="613"/>
      <c r="R110" s="66" t="s">
        <v>175</v>
      </c>
      <c r="S110" s="67">
        <f ca="1">IF($J97=$A$145,0,ROUND((((1+S101+S102+S103)*(1+S104)*(1+S105)/(1-(S106+S107+S108)))-1),4))</f>
        <v>0</v>
      </c>
    </row>
    <row r="111" spans="1:26" ht="15" customHeight="1" x14ac:dyDescent="0.2">
      <c r="A111"/>
      <c r="B111"/>
      <c r="C111"/>
      <c r="D111"/>
      <c r="E111"/>
      <c r="F111"/>
      <c r="G111"/>
      <c r="I111" t="str">
        <f t="shared" ca="1" si="2"/>
        <v/>
      </c>
    </row>
    <row r="112" spans="1:26" ht="15.75" x14ac:dyDescent="0.2">
      <c r="A112"/>
      <c r="B112"/>
      <c r="C112"/>
      <c r="D112"/>
      <c r="E112"/>
      <c r="F112"/>
      <c r="G112"/>
      <c r="I112" t="str">
        <f t="shared" ca="1" si="2"/>
        <v/>
      </c>
      <c r="J112" s="68" t="e">
        <f ca="1">IF(U109&lt;&gt;"ok","X","")</f>
        <v>#N/A</v>
      </c>
      <c r="K112" s="614" t="e">
        <f ca="1">IF(U109&lt;&gt;"ok","Anexo: Relatório Técnico Circunstanciado justificando a adoção do percentual de cada parcela do BDI.","")</f>
        <v>#N/A</v>
      </c>
      <c r="L112" s="614"/>
      <c r="M112" s="614"/>
      <c r="N112" s="614"/>
      <c r="O112" s="614"/>
      <c r="P112" s="614"/>
      <c r="Q112" s="614"/>
      <c r="R112" s="614"/>
      <c r="S112" s="614"/>
    </row>
    <row r="113" spans="1:19" x14ac:dyDescent="0.2">
      <c r="A113"/>
      <c r="B113"/>
      <c r="C113"/>
      <c r="D113"/>
      <c r="E113"/>
      <c r="F113"/>
      <c r="G113"/>
      <c r="I113" t="str">
        <f t="shared" ca="1" si="2"/>
        <v/>
      </c>
    </row>
    <row r="114" spans="1:19" x14ac:dyDescent="0.2">
      <c r="A114"/>
      <c r="B114"/>
      <c r="C114"/>
      <c r="D114"/>
      <c r="E114"/>
      <c r="F114"/>
      <c r="G114"/>
      <c r="I114" t="str">
        <f t="shared" ca="1" si="2"/>
        <v/>
      </c>
      <c r="J114" s="616" t="s">
        <v>177</v>
      </c>
      <c r="K114" s="616"/>
      <c r="L114" s="616"/>
      <c r="M114" s="616"/>
      <c r="N114" s="616"/>
      <c r="O114" s="616"/>
      <c r="P114" s="616"/>
      <c r="Q114" s="616"/>
      <c r="R114" s="616"/>
      <c r="S114" s="616"/>
    </row>
    <row r="115" spans="1:19" ht="15.75" x14ac:dyDescent="0.25">
      <c r="A115"/>
      <c r="B115"/>
      <c r="C115"/>
      <c r="D115"/>
      <c r="E115"/>
      <c r="F115"/>
      <c r="G115"/>
      <c r="I115" t="str">
        <f t="shared" ca="1" si="2"/>
        <v/>
      </c>
      <c r="J115" s="69"/>
      <c r="K115" s="69"/>
      <c r="L115" s="69"/>
      <c r="M115" s="617" t="s">
        <v>178</v>
      </c>
      <c r="N115" s="618" t="str">
        <f>IF($J97=$A$146,"(1+K1+K2)*(1+K3)","(1+AC + S + R + G)*(1 + DF)*(1+L)")</f>
        <v>(1+AC + S + R + G)*(1 + DF)*(1+L)</v>
      </c>
      <c r="O115" s="618"/>
      <c r="P115" s="618"/>
      <c r="Q115" s="619" t="s">
        <v>179</v>
      </c>
      <c r="R115" s="69"/>
      <c r="S115" s="69"/>
    </row>
    <row r="116" spans="1:19" ht="15.75" x14ac:dyDescent="0.2">
      <c r="A116"/>
      <c r="B116"/>
      <c r="C116"/>
      <c r="D116"/>
      <c r="E116"/>
      <c r="F116"/>
      <c r="G116"/>
      <c r="I116" t="str">
        <f t="shared" ca="1" si="2"/>
        <v/>
      </c>
      <c r="J116" s="69"/>
      <c r="K116" s="69"/>
      <c r="L116" s="69"/>
      <c r="M116" s="617"/>
      <c r="N116" s="609" t="s">
        <v>180</v>
      </c>
      <c r="O116" s="609"/>
      <c r="P116" s="609"/>
      <c r="Q116" s="619"/>
      <c r="R116" s="69"/>
      <c r="S116" s="69"/>
    </row>
    <row r="117" spans="1:19" ht="15" customHeight="1" x14ac:dyDescent="0.2">
      <c r="A117"/>
      <c r="B117"/>
      <c r="C117"/>
      <c r="D117"/>
      <c r="E117"/>
      <c r="F117"/>
      <c r="G117"/>
      <c r="I117" t="str">
        <f t="shared" ca="1" si="2"/>
        <v/>
      </c>
      <c r="J117" s="69"/>
      <c r="K117" s="69"/>
      <c r="L117" s="69"/>
      <c r="M117" s="70"/>
      <c r="N117" s="72"/>
      <c r="O117" s="72"/>
      <c r="P117" s="72"/>
      <c r="Q117" s="71"/>
      <c r="R117" s="69"/>
      <c r="S117" s="69"/>
    </row>
    <row r="118" spans="1:19" ht="50.1" customHeight="1" x14ac:dyDescent="0.2">
      <c r="A118"/>
      <c r="B118"/>
      <c r="C118"/>
      <c r="D118"/>
      <c r="E118"/>
      <c r="F118"/>
      <c r="G118"/>
      <c r="I118" t="str">
        <f t="shared" ca="1" si="2"/>
        <v/>
      </c>
      <c r="J118" s="60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603"/>
      <c r="L118" s="603"/>
      <c r="M118" s="603"/>
      <c r="N118" s="603"/>
      <c r="O118" s="603"/>
      <c r="P118" s="603"/>
      <c r="Q118" s="603"/>
      <c r="R118" s="603"/>
      <c r="S118" s="603"/>
    </row>
    <row r="119" spans="1:19" x14ac:dyDescent="0.2">
      <c r="A119"/>
      <c r="B119"/>
      <c r="C119"/>
      <c r="D119"/>
      <c r="E119"/>
      <c r="F119"/>
      <c r="G119"/>
      <c r="I119" t="str">
        <f t="shared" ca="1" si="2"/>
        <v/>
      </c>
    </row>
    <row r="120" spans="1:19" ht="50.1" customHeight="1" x14ac:dyDescent="0.2">
      <c r="A120"/>
      <c r="B120"/>
      <c r="C120"/>
      <c r="D120"/>
      <c r="E120"/>
      <c r="F120"/>
      <c r="G120"/>
      <c r="I120" t="str">
        <f t="shared" ca="1" si="2"/>
        <v/>
      </c>
      <c r="J120" s="60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03"/>
      <c r="L120" s="603"/>
      <c r="M120" s="603"/>
      <c r="N120" s="603"/>
      <c r="O120" s="603"/>
      <c r="P120" s="603"/>
      <c r="Q120" s="603"/>
      <c r="R120" s="603"/>
      <c r="S120" s="603"/>
    </row>
    <row r="121" spans="1:19" x14ac:dyDescent="0.2">
      <c r="A121"/>
      <c r="B121"/>
      <c r="C121"/>
      <c r="D121"/>
      <c r="E121"/>
      <c r="F121"/>
      <c r="G121"/>
      <c r="I121" t="str">
        <f t="shared" ca="1" si="2"/>
        <v/>
      </c>
    </row>
    <row r="122" spans="1:19" x14ac:dyDescent="0.2">
      <c r="A122"/>
      <c r="B122"/>
      <c r="C122"/>
      <c r="D122"/>
      <c r="E122"/>
      <c r="F122"/>
      <c r="G122"/>
      <c r="I122" t="str">
        <f t="shared" ca="1" si="2"/>
        <v/>
      </c>
      <c r="J122" s="50" t="s">
        <v>186</v>
      </c>
    </row>
    <row r="123" spans="1:19" ht="110.1" customHeight="1" x14ac:dyDescent="0.2">
      <c r="A123"/>
      <c r="B123"/>
      <c r="C123"/>
      <c r="D123"/>
      <c r="E123"/>
      <c r="F123"/>
      <c r="G123"/>
      <c r="I123" t="str">
        <f t="shared" ca="1" si="2"/>
        <v/>
      </c>
      <c r="J123" s="604"/>
      <c r="K123" s="604"/>
      <c r="L123" s="604"/>
      <c r="M123" s="604"/>
      <c r="N123" s="604"/>
      <c r="O123" s="604"/>
      <c r="P123" s="604"/>
      <c r="Q123" s="604"/>
      <c r="R123" s="604"/>
      <c r="S123" s="604"/>
    </row>
    <row r="124" spans="1:19" x14ac:dyDescent="0.2">
      <c r="A124"/>
      <c r="B124"/>
      <c r="C124"/>
      <c r="D124"/>
      <c r="E124"/>
      <c r="F124"/>
      <c r="G124"/>
      <c r="I124" t="str">
        <f t="shared" ca="1" si="2"/>
        <v/>
      </c>
    </row>
    <row r="125" spans="1:19" x14ac:dyDescent="0.2">
      <c r="A125"/>
      <c r="B125"/>
      <c r="C125"/>
      <c r="D125"/>
      <c r="E125"/>
      <c r="F125"/>
      <c r="G125"/>
      <c r="I125" t="str">
        <f t="shared" ca="1" si="2"/>
        <v/>
      </c>
      <c r="J125" s="605" t="str">
        <f>Import.Município</f>
        <v>BENTO GONÇALVES/RS</v>
      </c>
      <c r="K125" s="605"/>
      <c r="L125" s="605"/>
      <c r="M125" s="605"/>
      <c r="P125" s="606">
        <f>DADOS!$F$25</f>
        <v>46199</v>
      </c>
      <c r="Q125" s="606"/>
      <c r="R125" s="606"/>
      <c r="S125" s="606"/>
    </row>
    <row r="126" spans="1:19" x14ac:dyDescent="0.2">
      <c r="A126"/>
      <c r="B126"/>
      <c r="C126"/>
      <c r="D126"/>
      <c r="E126"/>
      <c r="F126"/>
      <c r="G126"/>
      <c r="I126" t="str">
        <f t="shared" ca="1" si="2"/>
        <v/>
      </c>
      <c r="J126" s="607" t="s">
        <v>187</v>
      </c>
      <c r="K126" s="607"/>
      <c r="L126" s="607"/>
      <c r="M126" s="607"/>
      <c r="O126" s="74"/>
      <c r="P126" s="75" t="s">
        <v>188</v>
      </c>
      <c r="Q126" s="76"/>
      <c r="R126" s="76"/>
      <c r="S126" s="76"/>
    </row>
    <row r="127" spans="1:19" ht="30" customHeight="1" x14ac:dyDescent="0.2">
      <c r="A127"/>
      <c r="B127"/>
      <c r="C127"/>
      <c r="D127"/>
      <c r="E127"/>
      <c r="F127"/>
      <c r="G127"/>
      <c r="I127" t="str">
        <f t="shared" ca="1" si="2"/>
        <v/>
      </c>
    </row>
    <row r="128" spans="1:19" ht="15" x14ac:dyDescent="0.2">
      <c r="A128"/>
      <c r="B128"/>
      <c r="C128"/>
      <c r="D128"/>
      <c r="E128"/>
      <c r="F128"/>
      <c r="G128"/>
      <c r="I128" t="str">
        <f t="shared" ca="1" si="2"/>
        <v/>
      </c>
      <c r="J128" s="608"/>
      <c r="K128" s="608"/>
      <c r="L128" s="608"/>
      <c r="M128" s="608"/>
      <c r="N128" s="77"/>
    </row>
    <row r="129" spans="1:14" x14ac:dyDescent="0.2">
      <c r="A129"/>
      <c r="B129"/>
      <c r="C129"/>
      <c r="D129"/>
      <c r="E129"/>
      <c r="F129"/>
      <c r="G129"/>
      <c r="I129" t="str">
        <f t="shared" ca="1" si="2"/>
        <v/>
      </c>
      <c r="J129" s="602" t="s">
        <v>189</v>
      </c>
      <c r="K129" s="602"/>
      <c r="L129" s="602"/>
      <c r="M129" s="602"/>
    </row>
    <row r="130" spans="1:14" ht="14.25" x14ac:dyDescent="0.2">
      <c r="A130"/>
      <c r="B130"/>
      <c r="C130"/>
      <c r="D130"/>
      <c r="E130"/>
      <c r="F130"/>
      <c r="G130"/>
      <c r="I130" t="str">
        <f t="shared" ca="1" si="2"/>
        <v/>
      </c>
      <c r="J130" s="78" t="s">
        <v>108</v>
      </c>
      <c r="K130" s="79" t="str">
        <f t="array" ref="K130:K132">Import.RespOrçamento</f>
        <v>Eng. Bruna de Oliveira Pelizza</v>
      </c>
      <c r="L130" s="80"/>
      <c r="M130" s="80"/>
      <c r="N130" s="77"/>
    </row>
    <row r="131" spans="1:14" ht="14.25" x14ac:dyDescent="0.2">
      <c r="A131"/>
      <c r="B131"/>
      <c r="C131"/>
      <c r="D131"/>
      <c r="E131"/>
      <c r="F131"/>
      <c r="G131"/>
      <c r="I131" t="str">
        <f t="shared" ca="1" si="2"/>
        <v/>
      </c>
      <c r="J131" s="78" t="s">
        <v>109</v>
      </c>
      <c r="K131" s="79" t="str">
        <v>RS230174</v>
      </c>
      <c r="L131" s="80"/>
      <c r="M131" s="80"/>
      <c r="N131" s="77"/>
    </row>
    <row r="132" spans="1:14" ht="14.25" x14ac:dyDescent="0.2">
      <c r="A132"/>
      <c r="B132"/>
      <c r="C132"/>
      <c r="D132"/>
      <c r="E132"/>
      <c r="F132"/>
      <c r="G132"/>
      <c r="I132" t="str">
        <f t="shared" ca="1" si="2"/>
        <v/>
      </c>
      <c r="J132" s="78" t="s">
        <v>110</v>
      </c>
      <c r="K132" s="79" t="str">
        <v/>
      </c>
      <c r="L132" s="80"/>
      <c r="M132" s="80"/>
      <c r="N132" s="77"/>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50" t="s">
        <v>400</v>
      </c>
    </row>
    <row r="139" spans="1:14" x14ac:dyDescent="0.2">
      <c r="A139" s="50" t="s">
        <v>141</v>
      </c>
    </row>
    <row r="140" spans="1:14" x14ac:dyDescent="0.2">
      <c r="A140" s="50" t="s">
        <v>152</v>
      </c>
    </row>
    <row r="141" spans="1:14" x14ac:dyDescent="0.2">
      <c r="A141" s="50" t="s">
        <v>155</v>
      </c>
    </row>
    <row r="142" spans="1:14" x14ac:dyDescent="0.2">
      <c r="A142" s="50" t="s">
        <v>165</v>
      </c>
    </row>
    <row r="143" spans="1:14" x14ac:dyDescent="0.2">
      <c r="A143" s="50" t="s">
        <v>167</v>
      </c>
    </row>
    <row r="144" spans="1:14" x14ac:dyDescent="0.2">
      <c r="A144" s="50" t="s">
        <v>176</v>
      </c>
    </row>
    <row r="145" spans="1:1" x14ac:dyDescent="0.2">
      <c r="A145" s="50" t="s">
        <v>181</v>
      </c>
    </row>
    <row r="146" spans="1:1" x14ac:dyDescent="0.2">
      <c r="A146" s="50" t="s">
        <v>182</v>
      </c>
    </row>
  </sheetData>
  <sheetProtection algorithmName="SHA-512" hashValue="0Rr74hI+1H+tMGVE9bHMkvYkAG3Mumbc3RnvOb+WXPENERJ3uUsN62F8vDfmOa0tLax7qQP3Zo1pz1HBSr0UeA==" saltValue="S0MD3MsLU+r6libGb0sk2A=="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594" priority="2" stopIfTrue="1">
      <formula>DESONERACAO="não"</formula>
    </cfRule>
  </conditionalFormatting>
  <conditionalFormatting sqref="U29:W29 U69:W69 U109:W109">
    <cfRule type="expression" dxfId="593" priority="3" stopIfTrue="1">
      <formula>AND(U29&lt;&gt;"OK",U29&lt;&gt;"-",U29&lt;&gt;"")</formula>
    </cfRule>
    <cfRule type="cellIs" dxfId="592" priority="4" stopIfTrue="1" operator="equal">
      <formula>"OK"</formula>
    </cfRule>
  </conditionalFormatting>
  <conditionalFormatting sqref="S29 S69 S109">
    <cfRule type="expression" dxfId="591" priority="5" stopIfTrue="1">
      <formula>DESONERACAO="não"</formula>
    </cfRule>
  </conditionalFormatting>
  <dataValidations count="6">
    <dataValidation type="decimal" allowBlank="1" showErrorMessage="1" errorTitle="Erro de valores" error="Digite um valor entre 0% e 100%" sqref="S21:S26 S61:S66 S101:S106" xr:uid="{00000000-0002-0000-0300-000000000000}">
      <formula1>0</formula1>
      <formula2>1</formula2>
    </dataValidation>
    <dataValidation type="decimal" allowBlank="1" showErrorMessage="1" errorTitle="Erro de valores" error="Digite um valor maior do que 0." sqref="S27 S67 S10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R11:S11" xr:uid="{00000000-0002-0000-0300-000003000000}">
      <formula1>0</formula1>
      <formula2>0</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79" firstPageNumber="0" fitToHeight="0" orientation="portrait" horizontalDpi="300" verticalDpi="300" r:id="rId1"/>
  <headerFooter alignWithMargins="0">
    <oddHeader>&amp;L_</oddHeader>
    <oddFooter>&amp;LPMv3.07&amp;R&amp;P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8"/>
  <sheetViews>
    <sheetView showGridLines="0" zoomScaleNormal="100" zoomScaleSheetLayoutView="90" workbookViewId="0">
      <pane xSplit="19" ySplit="15" topLeftCell="T28" activePane="bottomRight" state="frozen"/>
      <selection activeCell="L1" sqref="L1"/>
      <selection pane="topRight" activeCell="T1" sqref="T1"/>
      <selection pane="bottomLeft" activeCell="L16" sqref="L16"/>
      <selection pane="bottomRight" activeCell="R23" sqref="R23"/>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7109375" hidden="1" customWidth="1"/>
    <col min="6" max="6" width="12.42578125" hidden="1" customWidth="1"/>
    <col min="7" max="7" width="14.5703125" hidden="1" customWidth="1"/>
    <col min="8" max="8" width="11.28515625" hidden="1" customWidth="1"/>
    <col min="9" max="9" width="13.42578125" hidden="1" customWidth="1"/>
    <col min="10" max="10" width="7.28515625" hidden="1" customWidth="1"/>
    <col min="11" max="11" width="7.5703125" hidden="1" customWidth="1"/>
    <col min="12" max="12" width="3.7109375" customWidth="1"/>
    <col min="13" max="14" width="8.7109375" customWidth="1"/>
    <col min="15" max="15" width="12.7109375" customWidth="1"/>
    <col min="16" max="17" width="15.7109375" customWidth="1"/>
    <col min="18" max="18" width="65.7109375" customWidth="1"/>
    <col min="19" max="19" width="10.7109375" customWidth="1"/>
    <col min="20" max="21" width="14.7109375" customWidth="1"/>
    <col min="22" max="22" width="10.7109375" customWidth="1"/>
    <col min="23" max="23" width="14.7109375" customWidth="1"/>
    <col min="24" max="24" width="15.7109375" customWidth="1"/>
    <col min="25" max="25" width="3.7109375" customWidth="1"/>
    <col min="26" max="26" width="3.7109375" hidden="1" customWidth="1"/>
    <col min="27" max="28" width="14.7109375" hidden="1" customWidth="1"/>
    <col min="29" max="29" width="15.7109375" customWidth="1"/>
    <col min="30" max="31" width="9.140625" hidden="1" customWidth="1"/>
    <col min="32" max="32" width="15.5703125" hidden="1" customWidth="1"/>
    <col min="33" max="33" width="15.7109375" customWidth="1"/>
    <col min="35" max="35" width="1.7109375" customWidth="1"/>
    <col min="36" max="36" width="14.7109375" customWidth="1"/>
    <col min="37" max="37" width="1.7109375" customWidth="1"/>
    <col min="38" max="38" width="14.7109375" customWidth="1"/>
    <col min="39" max="40" width="15.7109375" customWidth="1"/>
  </cols>
  <sheetData>
    <row r="1" spans="1:40" ht="18" x14ac:dyDescent="0.2">
      <c r="M1" s="82"/>
      <c r="N1" s="82"/>
      <c r="R1" s="83" t="s">
        <v>192</v>
      </c>
      <c r="T1" s="83"/>
      <c r="X1" s="53" t="s">
        <v>140</v>
      </c>
      <c r="Y1" s="7"/>
      <c r="Z1" s="7"/>
      <c r="AA1" s="7"/>
      <c r="AB1" s="7"/>
    </row>
    <row r="2" spans="1:40" ht="15" x14ac:dyDescent="0.2">
      <c r="D2" t="s">
        <v>193</v>
      </c>
      <c r="E2" t="s">
        <v>194</v>
      </c>
      <c r="F2" t="s">
        <v>195</v>
      </c>
      <c r="G2" t="s">
        <v>196</v>
      </c>
      <c r="H2" t="s">
        <v>197</v>
      </c>
      <c r="I2" t="s">
        <v>198</v>
      </c>
      <c r="R2" s="84" t="str">
        <f>IF(TIPOORCAMENTO="licitado","Orçamento Licitado","Orçamento Base para Licitação")&amp;" - "&amp;import.recurso</f>
        <v>Orçamento Licitado - (SELECIONAR)</v>
      </c>
      <c r="X2" s="12" t="s">
        <v>143</v>
      </c>
      <c r="Y2" s="85"/>
      <c r="Z2" s="85"/>
      <c r="AA2" s="85"/>
      <c r="AB2" s="85"/>
    </row>
    <row r="3" spans="1:40" x14ac:dyDescent="0.2">
      <c r="H3" s="86"/>
      <c r="R3" s="87"/>
    </row>
    <row r="4" spans="1:40" x14ac:dyDescent="0.2">
      <c r="A4" t="s">
        <v>200</v>
      </c>
      <c r="F4" t="s">
        <v>156</v>
      </c>
      <c r="G4" t="s">
        <v>190</v>
      </c>
      <c r="H4" t="s">
        <v>191</v>
      </c>
      <c r="I4" s="88">
        <v>0</v>
      </c>
      <c r="O4" s="622" t="s">
        <v>146</v>
      </c>
      <c r="P4" s="622"/>
      <c r="Q4" s="89" t="s">
        <v>432</v>
      </c>
      <c r="R4" s="89" t="s">
        <v>147</v>
      </c>
      <c r="S4" s="622" t="s">
        <v>201</v>
      </c>
      <c r="T4" s="622"/>
      <c r="U4" s="622"/>
      <c r="V4" s="622"/>
      <c r="W4" s="622"/>
      <c r="X4" s="622"/>
      <c r="Y4" s="78"/>
      <c r="Z4" s="78"/>
      <c r="AA4" s="78"/>
      <c r="AB4" s="78"/>
    </row>
    <row r="5" spans="1:40" ht="12.75" customHeight="1" x14ac:dyDescent="0.2">
      <c r="A5" s="7">
        <f ca="1">MAX($C$15:$C$51)</f>
        <v>2</v>
      </c>
      <c r="B5" s="7"/>
      <c r="C5" s="7"/>
      <c r="F5" s="88">
        <f ca="1">IF(BDI.Opcao="DESONERADO",BDI!$S$30,BDI!$S$29)</f>
        <v>0.23760000000000001</v>
      </c>
      <c r="G5" s="88">
        <f ca="1">IF(BDI.Opcao="DESONERADO",BDI!$S$70,BDI!$S$69)</f>
        <v>0.16750000000000001</v>
      </c>
      <c r="H5" s="88">
        <f ca="1">IF(BDI.Opcao="DESONERADO",BDI!$S$110,BDI!$S$109)</f>
        <v>0</v>
      </c>
      <c r="O5" s="625">
        <f>Import.CR</f>
        <v>0</v>
      </c>
      <c r="P5" s="625"/>
      <c r="Q5" s="92" cm="1">
        <f t="array" ref="Q5">Import.TransfereGOV</f>
        <v>0</v>
      </c>
      <c r="R5" s="93" t="str">
        <f>Import.Proponente</f>
        <v>MUNICIPIO DE BENTO GONÇALVES</v>
      </c>
      <c r="S5" s="625" t="str">
        <f>Import.Apelido</f>
        <v>RUA MIGUEL A DA ROLT</v>
      </c>
      <c r="T5" s="625"/>
      <c r="U5" s="625"/>
      <c r="V5" s="625"/>
      <c r="W5" s="625"/>
      <c r="X5" s="625"/>
      <c r="Y5" s="94"/>
      <c r="Z5" s="94"/>
      <c r="AA5" s="94"/>
      <c r="AB5" s="94"/>
      <c r="AE5" s="632" t="s">
        <v>199</v>
      </c>
      <c r="AF5" s="632"/>
    </row>
    <row r="6" spans="1:40" ht="5.0999999999999996" customHeight="1" x14ac:dyDescent="0.2">
      <c r="A6" s="7"/>
      <c r="B6" s="7"/>
      <c r="C6" s="7"/>
      <c r="H6" s="86"/>
      <c r="O6" s="95"/>
      <c r="P6" s="95"/>
      <c r="Q6" s="96"/>
      <c r="R6" s="96"/>
      <c r="S6" s="95"/>
      <c r="T6" s="95"/>
      <c r="U6" s="95"/>
      <c r="V6" s="95"/>
      <c r="W6" s="95"/>
      <c r="X6" s="95"/>
      <c r="Y6" s="94"/>
      <c r="Z6" s="94"/>
      <c r="AA6" s="94"/>
      <c r="AB6" s="94"/>
      <c r="AC6" s="97"/>
      <c r="AE6" s="90"/>
      <c r="AF6" s="91"/>
    </row>
    <row r="7" spans="1:40" ht="12.75" customHeight="1" x14ac:dyDescent="0.2">
      <c r="H7" s="86"/>
      <c r="O7" s="622" t="s">
        <v>203</v>
      </c>
      <c r="P7" s="622"/>
      <c r="Q7" s="89" t="s">
        <v>204</v>
      </c>
      <c r="R7" s="89" t="str">
        <f>IF(TIPOORCAMENTO="Licitado","NOME DA EMPRESA","DESCRIÇÃO DO LOTE")</f>
        <v>NOME DA EMPRESA</v>
      </c>
      <c r="S7" s="633" t="str">
        <f>IF(TIPOORCAMENTO="Licitado","REGIME DE EXECUÇÃO","MUNICÍPIO / UF")</f>
        <v>REGIME DE EXECUÇÃO</v>
      </c>
      <c r="T7" s="633"/>
      <c r="U7" s="633"/>
      <c r="V7" s="99" t="str">
        <f>IF(TIPOORCAMENTO="Licitado","","BDI 1")</f>
        <v/>
      </c>
      <c r="W7" s="99" t="str">
        <f>IF(TIPOORCAMENTO="Licitado","","BDI 2")</f>
        <v/>
      </c>
      <c r="X7" s="100" t="str">
        <f>IF(TIPOORCAMENTO="Licitado","Nº CTEF","BDI 3")</f>
        <v>Nº CTEF</v>
      </c>
      <c r="Y7" s="99"/>
      <c r="Z7" s="99"/>
      <c r="AE7" s="90" t="s">
        <v>202</v>
      </c>
      <c r="AF7" s="91" t="b">
        <v>1</v>
      </c>
      <c r="AJ7" s="636" t="s">
        <v>206</v>
      </c>
      <c r="AL7" s="634" t="s">
        <v>207</v>
      </c>
    </row>
    <row r="8" spans="1:40" ht="12.75" customHeight="1" x14ac:dyDescent="0.2">
      <c r="A8" s="7"/>
      <c r="B8" s="7"/>
      <c r="C8" s="7"/>
      <c r="F8" s="637" t="str">
        <f ca="1">IF(LEN(INFO("release"))&gt;5,"'Referência "&amp;Excel_BuiltIn_Database&amp;".xlsm'#Banco.$a5:$a$65536","'[Referência "&amp;Excel_BuiltIn_Database&amp;".xlsm]Banco'!$a5:$a$65536")</f>
        <v>'[Referência 05-Friday.xlsm]Banco'!$a5:$a$65536</v>
      </c>
      <c r="G8" s="637"/>
      <c r="H8" s="637"/>
      <c r="I8" s="637"/>
      <c r="J8" s="637"/>
      <c r="K8" s="637"/>
      <c r="L8" s="615" t="s">
        <v>208</v>
      </c>
      <c r="O8" s="625" t="str">
        <f ca="1">IF(ISERROR(INDIRECT($F$9)),"(N/D: 'Referência "&amp;Excel_BuiltIn_Database&amp;".xlsm)",INDIRECT($F$9))</f>
        <v>(N/D: 'Referência 05-Friday.xlsm)</v>
      </c>
      <c r="P8" s="625"/>
      <c r="Q8" s="101" t="str">
        <f ca="1">TEXT(Import.DataBase,"mm-aa")&amp;IF(DESONERACAO="Sim"," (DES.)"," (N DES.)")</f>
        <v>05-aa (N DES.)</v>
      </c>
      <c r="R8" s="93">
        <f>IF(TIPOORCAMENTO="Licitado",Import.empresa,Import.DescLote)</f>
        <v>0</v>
      </c>
      <c r="S8" s="638" t="str">
        <f ca="1">IF(TIPOORCAMENTO="Licitado",Import.RegimeExecução,Import.Município)</f>
        <v>EMPREITADA POR PREÇO GLOBAL</v>
      </c>
      <c r="T8" s="638"/>
      <c r="U8" s="638"/>
      <c r="V8" s="102" t="str">
        <f>IF(TIPOORCAMENTO="Licitado","",TEXT(F5,"0,00%"))</f>
        <v/>
      </c>
      <c r="W8" s="102" t="str">
        <f>IF(TIPOORCAMENTO="Licitado","",TEXT(G5,"0,00%"))</f>
        <v/>
      </c>
      <c r="X8" s="103">
        <f>IF(TIPOORCAMENTO="Licitado",Import.CTEF,TEXT(H5,"0,00%"))</f>
        <v>0</v>
      </c>
      <c r="Y8" s="615" t="s">
        <v>209</v>
      </c>
      <c r="Z8" s="615" t="s">
        <v>210</v>
      </c>
      <c r="AA8" s="104"/>
      <c r="AB8" s="104"/>
      <c r="AE8" s="90" t="s">
        <v>205</v>
      </c>
      <c r="AF8" s="91" t="b">
        <v>1</v>
      </c>
      <c r="AJ8" s="636"/>
      <c r="AL8" s="634"/>
    </row>
    <row r="9" spans="1:40" ht="12.75" customHeight="1" x14ac:dyDescent="0.2">
      <c r="F9" s="637" t="str">
        <f ca="1">IF(LEN(INFO("release"))&gt;5,"'Referência "&amp;Excel_BuiltIn_Database&amp;".xlsm'#Banco.$d$3","'[Referência "&amp;Excel_BuiltIn_Database&amp;".xlsm]Banco'!$d$3")</f>
        <v>'[Referência 05-Friday.xlsm]Banco'!$d$3</v>
      </c>
      <c r="G9" s="637"/>
      <c r="H9" s="637"/>
      <c r="I9" s="637"/>
      <c r="J9" s="637"/>
      <c r="K9" s="637"/>
      <c r="L9" s="615"/>
      <c r="Y9" s="615"/>
      <c r="Z9" s="615"/>
      <c r="AE9" s="90" t="s">
        <v>211</v>
      </c>
      <c r="AF9" s="91" t="b">
        <v>1</v>
      </c>
      <c r="AJ9" s="636"/>
      <c r="AL9" s="634"/>
    </row>
    <row r="10" spans="1:40" x14ac:dyDescent="0.2">
      <c r="G10" s="86"/>
      <c r="H10" s="86"/>
      <c r="L10" s="615"/>
      <c r="Y10" s="615"/>
      <c r="Z10" s="615"/>
      <c r="AC10" s="105" t="s">
        <v>213</v>
      </c>
      <c r="AE10" s="90" t="s">
        <v>212</v>
      </c>
      <c r="AF10" s="91" t="b">
        <v>1</v>
      </c>
      <c r="AJ10" s="636"/>
      <c r="AL10" s="634"/>
    </row>
    <row r="11" spans="1:40" x14ac:dyDescent="0.2">
      <c r="G11" s="86"/>
      <c r="H11" s="106"/>
      <c r="L11" s="615"/>
      <c r="Y11" s="615"/>
      <c r="Z11" s="615"/>
      <c r="AC11" s="107" t="str">
        <f ca="1">IF(COUNTIF($AC$15:OFFSET($AC$51,-1,0),"DESCRIÇÃO")+COUNTIF($AC$15:OFFSET($AC$51,-1,0),"UNIDADE")+COUNTIF($AC$15:OFFSET($AC$51,-1,0),"SEM VALOR")&gt;0,"NÃO OK","OK")</f>
        <v>OK</v>
      </c>
      <c r="AE11" s="90" t="s">
        <v>214</v>
      </c>
      <c r="AF11" s="91" t="b">
        <v>1</v>
      </c>
      <c r="AJ11" s="636"/>
      <c r="AL11" s="634"/>
    </row>
    <row r="12" spans="1:40" x14ac:dyDescent="0.2">
      <c r="G12" s="86"/>
      <c r="H12" s="86"/>
      <c r="L12" s="615"/>
      <c r="Y12" s="615"/>
      <c r="Z12" s="615"/>
      <c r="AA12" s="635" t="s">
        <v>215</v>
      </c>
      <c r="AB12" s="635"/>
      <c r="AJ12" s="108" t="s">
        <v>216</v>
      </c>
      <c r="AL12" s="529" t="s">
        <v>216</v>
      </c>
    </row>
    <row r="13" spans="1:40" ht="35.1" customHeight="1" x14ac:dyDescent="0.2">
      <c r="A13" s="109" t="s">
        <v>217</v>
      </c>
      <c r="B13" s="109" t="s">
        <v>218</v>
      </c>
      <c r="C13" s="109" t="s">
        <v>219</v>
      </c>
      <c r="D13" s="109" t="s">
        <v>220</v>
      </c>
      <c r="E13" s="109" t="s">
        <v>221</v>
      </c>
      <c r="F13" s="109" t="s">
        <v>222</v>
      </c>
      <c r="G13" s="109" t="s">
        <v>223</v>
      </c>
      <c r="H13" s="109" t="s">
        <v>224</v>
      </c>
      <c r="I13" s="109" t="s">
        <v>225</v>
      </c>
      <c r="J13" s="109" t="s">
        <v>226</v>
      </c>
      <c r="K13" s="109" t="s">
        <v>227</v>
      </c>
      <c r="L13" s="108" t="s">
        <v>216</v>
      </c>
      <c r="M13" s="109" t="s">
        <v>228</v>
      </c>
      <c r="N13" s="110" t="s">
        <v>229</v>
      </c>
      <c r="O13" s="109" t="s">
        <v>230</v>
      </c>
      <c r="P13" s="109" t="s">
        <v>231</v>
      </c>
      <c r="Q13" s="109" t="s">
        <v>232</v>
      </c>
      <c r="R13" s="109" t="s">
        <v>233</v>
      </c>
      <c r="S13" s="111" t="s">
        <v>234</v>
      </c>
      <c r="T13" s="109" t="s">
        <v>202</v>
      </c>
      <c r="U13" s="109" t="str">
        <f>IF(TIPOORCAMENTO="Licitado","","Custo Unitário (sem BDI) (R$)")</f>
        <v/>
      </c>
      <c r="V13" s="109" t="str">
        <f>IF(TIPOORCAMENTO="Licitado","","BDI
(%)")</f>
        <v/>
      </c>
      <c r="W13" s="109" t="s">
        <v>235</v>
      </c>
      <c r="X13" s="109" t="s">
        <v>236</v>
      </c>
      <c r="Y13" s="108" t="s">
        <v>216</v>
      </c>
      <c r="Z13" s="108" t="s">
        <v>216</v>
      </c>
      <c r="AA13" s="112" t="s">
        <v>237</v>
      </c>
      <c r="AB13" s="113" t="s">
        <v>238</v>
      </c>
      <c r="AC13" s="109" t="s">
        <v>239</v>
      </c>
      <c r="AD13" s="114" t="s">
        <v>240</v>
      </c>
      <c r="AE13" s="114" t="s">
        <v>241</v>
      </c>
      <c r="AF13" s="114" t="s">
        <v>242</v>
      </c>
      <c r="AG13" s="168" t="s">
        <v>409</v>
      </c>
      <c r="AH13" s="484" t="str">
        <f>IF(TIPOORCAMENTO="LICITADO","Valor BDI Edital","Valor BDI")</f>
        <v>Valor BDI Edital</v>
      </c>
      <c r="AJ13" s="335" t="s">
        <v>202</v>
      </c>
      <c r="AL13" s="335" t="s">
        <v>235</v>
      </c>
      <c r="AM13" s="168" t="s">
        <v>243</v>
      </c>
      <c r="AN13" s="169" t="s">
        <v>405</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IF(OR($C14="S",$C14=0),0,MATCH(0,OFFSET($D14,1,$C14,ROW($C$51)-ROW($C14)),0))</f>
        <v>0</v>
      </c>
      <c r="K14">
        <f ca="1">IF(OR($C14="S",$C14=0),0,MATCH(OFFSET($D14,0,$C14)+IF($C14&lt;&gt;1,1,COUNTIF(QCI!$A$13:$A$24,ORÇAMENTO!E14)),OFFSET($D14,1,$C14,ROW($C$51)-ROW($C14)),0))</f>
        <v>0</v>
      </c>
      <c r="L14" s="116" t="str">
        <f ca="1">IF(OR($X14&gt;0,$C14=1,$C14=2,$C14=3,$C14=4),"F","")</f>
        <v/>
      </c>
      <c r="M14" s="117" t="s">
        <v>198</v>
      </c>
      <c r="N14" s="118" t="str">
        <f ca="1">CHOOSE(1+LOG(1+2*(C14=1)+4*(C14=2)+8*(C14=3)+16*(C14=4)+32*(C14="S"),2),"","Meta","Nível 2","Nível 3","Nível 4","Serviço")</f>
        <v>Serviço</v>
      </c>
      <c r="O14" s="119" t="str">
        <f ca="1">IF(OR($C14=0,$L14=""),"-",CONCATENATE(E14&amp;".",IF(AND($A$5&gt;=2,$C14&gt;=2),F14&amp;".",""),IF(AND($A$5&gt;=3,$C14&gt;=3),G14&amp;".",""),IF(AND($A$5&gt;=4,$C14&gt;=4),H14&amp;".",""),IF($C14="S",I14&amp;".","")))</f>
        <v>-</v>
      </c>
      <c r="P14" s="120" t="s">
        <v>246</v>
      </c>
      <c r="Q14" s="121"/>
      <c r="R14" s="122" t="str">
        <f ca="1">IF($C14="S",REFERENCIA.Descricao,"(digite a descrição aqui)")</f>
        <v>(abra o arquivo 'Referência 05-Friday.xlsm)</v>
      </c>
      <c r="S14" s="123" t="str">
        <f ca="1">REFERENCIA.Unidade</f>
        <v>-</v>
      </c>
      <c r="T14" s="124">
        <f ca="1">OFFSET(CÁLCULO!H$15,ROW($T14)-ROW(T$15),0)</f>
        <v>0</v>
      </c>
      <c r="U14" s="125"/>
      <c r="V14" s="126" t="s">
        <v>156</v>
      </c>
      <c r="W14" s="124">
        <f ca="1">IF($C14="S",ROUND(IF(TIPOORCAMENTO="Proposto",ORÇAMENTO.CustoUnitario*(1+$AH14),ORÇAMENTO.PrecoUnitarioLicitado),15-13*$AF$10),0)</f>
        <v>0</v>
      </c>
      <c r="X14" s="127">
        <f ca="1">IF($C14="S",IF(Import.TipoArredondamento&lt;&gt;"TransfereGOV",VTOTAL1,SUM(OFFSET(CÁLCULO!$AA$15,ROW($X14)-ROW($X$15),1):OFFSET(CÁLCULO!$AL$15,ROW($X14)-ROW($X$15),-1))),IF($C14=0,0,ROUND(SomaAgrup,15-13*$AF$11)))</f>
        <v>0</v>
      </c>
      <c r="Y14" s="128" t="s">
        <v>244</v>
      </c>
      <c r="Z14" t="str">
        <f ca="1">IF(AND($C14="S",$X14&gt;0),IF(ISBLANK($Y14),"RA",LEFT($Y14,2)),"")</f>
        <v/>
      </c>
      <c r="AA14" s="129">
        <f ca="1">IF($C14="S",IF($Z14="CP",$X14,IF($Z14="RA",(($X14)*QCI!$AA$3),0)),SomaAgrup)</f>
        <v>0</v>
      </c>
      <c r="AB14" s="130">
        <f ca="1">IF($C14="S",IF($Z14="OU",ROUND($X14,2),0),SomaAgrup)</f>
        <v>0</v>
      </c>
      <c r="AC14" s="131" t="str">
        <f ca="1">IF($N14="","",IF(ORÇAMENTO.Descricao="","DESCRIÇÃO",IF(AND($C14="S",ORÇAMENTO.Unidade=""),"UNIDADE",IF($X14&lt;0,"VALOR NEGATIVO",IF(OR(AND(TIPOORCAMENTO="Proposto",$AG14&lt;&gt;"",$AG14&gt;0,ORÇAMENTO.CustoUnitario&gt;$AG14),AND(TIPOORCAMENTO="LICITADO",ORÇAMENTO.PrecoUnitarioLicitado&gt;$AN14)),"ACIMA REF.","")))))</f>
        <v/>
      </c>
      <c r="AD14" t="str">
        <f ca="1">IF(C14&lt;=CRONO.NivelExibicao,MAX($AD$15:OFFSET(AD14,-1,0))+IF($C14&lt;&gt;1,1,MAX(1,COUNTIF(QCI!$A$13:$A$24,OFFSET($E14,-1,0)))),"")</f>
        <v/>
      </c>
      <c r="AE14" s="7" t="b">
        <f ca="1">IF(AND($C14="S",ORÇAMENTO.CodBarra&lt;&gt;""),IF(ORÇAMENTO.Fonte="",ORÇAMENTO.CodBarra,CONCATENATE(ORÇAMENTO.Fonte," ",ORÇAMENTO.CodBarra)))</f>
        <v>0</v>
      </c>
      <c r="AF14" s="13" t="str">
        <f ca="1">IF(ISERROR(INDIRECT(ORÇAMENTO.BancoRef)),"(abra o arquivo 'Referência "&amp;Excel_BuiltIn_Database&amp;".xlsm)",IF(OR($C14&lt;&gt;"S",ORÇAMENTO.CodBarra=""),"(Sem Código)",IF(ISERROR(MATCH($AE14,INDIRECT(ORÇAMENTO.BancoRef),0)),"(Código não identificado nas referências)",MATCH($AE14,INDIRECT(ORÇAMENTO.BancoRef),0))))</f>
        <v>(abra o arquivo 'Referência 05-Friday.xlsm)</v>
      </c>
      <c r="AG14" s="485">
        <f ca="1">ROUND(IF(DESONERACAO="sim",REFERENCIA.Desonerado,REFERENCIA.NaoDesonerado),2)</f>
        <v>0</v>
      </c>
      <c r="AH14" s="486">
        <f ca="1">ROUND(IF(ISNUMBER(ORÇAMENTO.OpcaoBDI),ORÇAMENTO.OpcaoBDI,IF(LEFT(ORÇAMENTO.OpcaoBDI,3)="BDI",HLOOKUP(ORÇAMENTO.OpcaoBDI,$F$4:$H$5,2,FALSE),0)),15-11*$AF$9)</f>
        <v>0.23760000000000001</v>
      </c>
      <c r="AJ14" s="488"/>
      <c r="AL14" s="505"/>
      <c r="AM14" s="379">
        <f t="shared" ref="AM14:AM50" ca="1" si="0">$X14</f>
        <v>0</v>
      </c>
      <c r="AN14" s="543">
        <f ca="1">ROUND(ORÇAMENTO.CustoUnitario*(1+$AH14),2)</f>
        <v>0</v>
      </c>
    </row>
    <row r="15" spans="1:40" x14ac:dyDescent="0.2">
      <c r="A15">
        <v>0</v>
      </c>
      <c r="C15" t="s">
        <v>149</v>
      </c>
      <c r="D15">
        <f ca="1">COUNTA(OFFSET(D15,1,0):D$51)</f>
        <v>35</v>
      </c>
      <c r="E15">
        <v>0</v>
      </c>
      <c r="L15" s="116" t="s">
        <v>245</v>
      </c>
      <c r="M15" s="132" t="str">
        <f>IF(TIPOORCAMENTO="LICITADO","CTEF","LOTE")</f>
        <v>CTEF</v>
      </c>
      <c r="N15" s="132" t="str">
        <f>IF(TIPOORCAMENTO="LICITADO","CTEF","LOTE")</f>
        <v>CTEF</v>
      </c>
      <c r="O15" s="640" t="str">
        <f>Import.DescLote</f>
        <v>PAVIMENTAÇÃO ASFÁLTICA</v>
      </c>
      <c r="P15" s="640"/>
      <c r="Q15" s="640"/>
      <c r="R15" s="640"/>
      <c r="S15" s="133"/>
      <c r="T15" s="134"/>
      <c r="U15" s="134"/>
      <c r="V15" s="135"/>
      <c r="W15" s="134"/>
      <c r="X15" s="136">
        <f ca="1">SUMIF(OFFSET($C15,1,0,ROW(X51)-ROW(X15)-1),"S",OFFSET(X15,1,0,ROW(X51)-ROW(X15)-1))</f>
        <v>0</v>
      </c>
      <c r="Y15" s="7"/>
      <c r="Z15" t="str">
        <f ca="1">IF(AND($C15="S",$X15&gt;0),LEFT($Y15,2),"")</f>
        <v/>
      </c>
      <c r="AA15" s="483">
        <f ca="1">SUMIF(OFFSET($C15,1,0,ROW(AA51)-ROW(AA15)-1),"S",OFFSET(AA15,1,0,ROW(AA51)-ROW(AA15)-1))</f>
        <v>0</v>
      </c>
      <c r="AB15" s="137">
        <f ca="1">SUMIF(OFFSET($C15,1,0,ROW(AB51)-ROW(AB15)-1),"S",OFFSET(AB15,1,0,ROW(AB51)-ROW(AB15)-1))</f>
        <v>0</v>
      </c>
      <c r="AC15" s="131"/>
      <c r="AG15" s="507"/>
      <c r="AH15" s="508"/>
      <c r="AJ15" s="487"/>
      <c r="AL15" s="506"/>
      <c r="AM15" s="544">
        <f t="shared" ca="1" si="0"/>
        <v>0</v>
      </c>
      <c r="AN15" s="545"/>
    </row>
    <row r="16" spans="1:40" x14ac:dyDescent="0.2">
      <c r="A16">
        <f t="shared" ref="A16" si="1">CHOOSE(1+LOG(1+2*(ORÇAMENTO.Nivel="Meta")+4*(ORÇAMENTO.Nivel="Nível 2")+8*(ORÇAMENTO.Nivel="Nível 3")+16*(ORÇAMENTO.Nivel="Nível 4")+32*(ORÇAMENTO.Nivel="Serviço"),2),0,1,2,3,4,"S")</f>
        <v>1</v>
      </c>
      <c r="B16">
        <f t="shared" ref="B16" ca="1" si="2">IF(OR(C16="s",C16=0),OFFSET(B16,-1,0),C16)</f>
        <v>1</v>
      </c>
      <c r="C16">
        <f t="shared" ref="C16" ca="1" si="3">IF(OFFSET(C16,-1,0)="L",1,IF(OFFSET(C16,-1,0)=1,2,IF(OR(A16="s",A16=0),"S",IF(AND(OFFSET(C16,-1,0)=2,A16=4),3,IF(AND(OR(OFFSET(C16,-1,0)="s",OFFSET(C16,-1,0)=0),A16&lt;&gt;"s",A16&gt;OFFSET(B16,-1,0)),OFFSET(B16,-1,0),A16)))))</f>
        <v>1</v>
      </c>
      <c r="D16">
        <f t="shared" ref="D16" ca="1" si="4">IF(OR(C16="S",C16=0),0,IF(ISERROR(K16),J16,SMALL(J16:K16,1)))</f>
        <v>35</v>
      </c>
      <c r="E16">
        <f ca="1">IF($C16=1,OFFSET(E16,-1,0)+MAX(1,COUNTIF(QCI!$A$13:$A$24,OFFSET(ORÇAMENTO!E16,-1,0))),OFFSET(E16,-1,0))</f>
        <v>1</v>
      </c>
      <c r="F16">
        <f t="shared" ref="F16" ca="1" si="5">IF($C16=1,0,IF($C16=2,OFFSET(F16,-1,0)+1,OFFSET(F16,-1,0)))</f>
        <v>0</v>
      </c>
      <c r="G16">
        <f t="shared" ref="G16" ca="1" si="6">IF(AND($C16&lt;=2,$C16&lt;&gt;0),0,IF($C16=3,OFFSET(G16,-1,0)+1,OFFSET(G16,-1,0)))</f>
        <v>0</v>
      </c>
      <c r="H16">
        <f t="shared" ref="H16" ca="1" si="7">IF(AND($C16&lt;=3,$C16&lt;&gt;0),0,IF($C16=4,OFFSET(H16,-1,0)+1,OFFSET(H16,-1,0)))</f>
        <v>0</v>
      </c>
      <c r="I16">
        <f t="shared" ref="I16" ca="1" si="8">IF(AND($C16&lt;=4,$C16&lt;&gt;0),0,IF(AND($C16="S",$X16&gt;0),OFFSET(I16,-1,0)+1,OFFSET(I16,-1,0)))</f>
        <v>0</v>
      </c>
      <c r="J16">
        <f t="shared" ref="J16:J50" ca="1" si="9">IF(OR($C16="S",$C16=0),0,MATCH(0,OFFSET($D16,1,$C16,ROW($C$51)-ROW($C16)),0))</f>
        <v>35</v>
      </c>
      <c r="K16" t="e">
        <f ca="1">IF(OR($C16="S",$C16=0),0,MATCH(OFFSET($D16,0,$C16)+IF($C16&lt;&gt;1,1,COUNTIF(QCI!$A$13:$A$24,ORÇAMENTO!E16)),OFFSET($D16,1,$C16,ROW($C$51)-ROW($C16)),0))</f>
        <v>#N/A</v>
      </c>
      <c r="L16" s="116" t="str">
        <f t="shared" ref="L16" ca="1" si="10">IF(OR($X16&gt;0,$C16=1,$C16=2,$C16=3,$C16=4),"F","")</f>
        <v>F</v>
      </c>
      <c r="M16" s="117" t="s">
        <v>194</v>
      </c>
      <c r="N16" s="118" t="str">
        <f t="shared" ref="N16" ca="1" si="11">CHOOSE(1+LOG(1+2*(C16=1)+4*(C16=2)+8*(C16=3)+16*(C16=4)+32*(C16="S"),2),"","Meta","Nível 2","Nível 3","Nível 4","Serviço")</f>
        <v>Meta</v>
      </c>
      <c r="O16" s="119" t="str">
        <f t="shared" ref="O16" ca="1" si="12">IF(OR($C16=0,$L16=""),"-",CONCATENATE(E16&amp;".",IF(AND($A$5&gt;=2,$C16&gt;=2),F16&amp;".",""),IF(AND($A$5&gt;=3,$C16&gt;=3),G16&amp;".",""),IF(AND($A$5&gt;=4,$C16&gt;=4),H16&amp;".",""),IF($C16="S",I16&amp;".","")))</f>
        <v>1.</v>
      </c>
      <c r="P16" s="120"/>
      <c r="Q16" s="121"/>
      <c r="R16" s="122" t="s">
        <v>518</v>
      </c>
      <c r="S16" s="123" t="str">
        <f ca="1">REFERENCIA.Unidade</f>
        <v>-</v>
      </c>
      <c r="T16" s="124">
        <f ca="1">OFFSET(CÁLCULO!H$15,ROW($T16)-ROW(T$15),0)</f>
        <v>0</v>
      </c>
      <c r="U16" s="125"/>
      <c r="V16" s="126" t="s">
        <v>156</v>
      </c>
      <c r="W16" s="124">
        <f ca="1">IF($C16="S",ROUND(IF(TIPOORCAMENTO="Proposto",ORÇAMENTO.CustoUnitario*(1+$AH16),ORÇAMENTO.PrecoUnitarioLicitado),15-13*$AF$10),0)</f>
        <v>0</v>
      </c>
      <c r="X16" s="127">
        <f ca="1">IF($C16="S",IF(Import.TipoArredondamento&lt;&gt;"TransfereGOV",VTOTAL1,SUM(OFFSET(CÁLCULO!$AA$15,ROW($X16)-ROW($X$15),1):OFFSET(CÁLCULO!$AL$15,ROW($X16)-ROW($X$15),-1))),IF($C16=0,0,ROUND(SomaAgrup,15-13*$AF$11)))</f>
        <v>0</v>
      </c>
      <c r="Y16" s="128" t="s">
        <v>244</v>
      </c>
      <c r="Z16" t="str">
        <f t="shared" ref="Z16" ca="1" si="13">IF(AND($C16="S",$X16&gt;0),IF(ISBLANK($Y16),"RA",LEFT($Y16,2)),"")</f>
        <v/>
      </c>
      <c r="AA16" s="129">
        <f ca="1">IF($C16="S",IF($Z16="CP",$X16,IF($Z16="RA",(($X16)*QCI!$AA$3),0)),SomaAgrup)</f>
        <v>0</v>
      </c>
      <c r="AB16" s="130">
        <f t="shared" ref="AB16" ca="1" si="14">IF($C16="S",IF($Z16="OU",ROUND($X16,2),0),SomaAgrup)</f>
        <v>0</v>
      </c>
      <c r="AC16" s="131" t="str">
        <f ca="1">IF($N16="","",IF(ORÇAMENTO.Descricao="","DESCRIÇÃO",IF(AND($C16="S",ORÇAMENTO.Unidade=""),"UNIDADE",IF($X16&lt;0,"VALOR NEGATIVO",IF(OR(AND(TIPOORCAMENTO="Proposto",$AG16&lt;&gt;"",$AG16&gt;0,ORÇAMENTO.CustoUnitario&gt;$AG16),AND(TIPOORCAMENTO="LICITADO",ORÇAMENTO.PrecoUnitarioLicitado&gt;$AN16)),"ACIMA REF.","")))))</f>
        <v/>
      </c>
      <c r="AD16">
        <f ca="1">IF(C16&lt;=CRONO.NivelExibicao,MAX($AD$15:OFFSET(AD16,-1,0))+IF($C16&lt;&gt;1,1,MAX(1,COUNTIF(QCI!$A$13:$A$24,OFFSET($E16,-1,0)))),"")</f>
        <v>1</v>
      </c>
      <c r="AE16" s="7" t="b">
        <f ca="1">IF(AND($C16="S",ORÇAMENTO.CodBarra&lt;&gt;""),IF(ORÇAMENTO.Fonte="",ORÇAMENTO.CodBarra,CONCATENATE(ORÇAMENTO.Fonte," ",ORÇAMENTO.CodBarra)))</f>
        <v>0</v>
      </c>
      <c r="AF16" s="13" t="str">
        <f ca="1">IF(ISERROR(INDIRECT(ORÇAMENTO.BancoRef)),"(abra o arquivo 'Referência "&amp;Excel_BuiltIn_Database&amp;".xlsm)",IF(OR($C16&lt;&gt;"S",ORÇAMENTO.CodBarra=""),"(Sem Código)",IF(ISERROR(MATCH($AE16,INDIRECT(ORÇAMENTO.BancoRef),0)),"(Código não identificado nas referências)",MATCH($AE16,INDIRECT(ORÇAMENTO.BancoRef),0))))</f>
        <v>(abra o arquivo 'Referência 05-Friday.xlsm)</v>
      </c>
      <c r="AG16" s="485">
        <f ca="1">ROUND(IF(DESONERACAO="sim",REFERENCIA.Desonerado,REFERENCIA.NaoDesonerado),2)</f>
        <v>0</v>
      </c>
      <c r="AH16" s="486">
        <f t="shared" ref="AH16" ca="1" si="15">ROUND(IF(ISNUMBER(ORÇAMENTO.OpcaoBDI),ORÇAMENTO.OpcaoBDI,IF(LEFT(ORÇAMENTO.OpcaoBDI,3)="BDI",HLOOKUP(ORÇAMENTO.OpcaoBDI,$F$4:$H$5,2,FALSE),0)),15-11*$AF$9)</f>
        <v>0.23760000000000001</v>
      </c>
      <c r="AJ16" s="488"/>
      <c r="AL16" s="505"/>
      <c r="AM16" s="379">
        <f t="shared" ca="1" si="0"/>
        <v>0</v>
      </c>
      <c r="AN16" s="543">
        <f t="shared" ref="AN16" ca="1" si="16">ROUND(ORÇAMENTO.CustoUnitario*(1+$AH16),2)</f>
        <v>0</v>
      </c>
    </row>
    <row r="17" spans="1:40" x14ac:dyDescent="0.2">
      <c r="A17">
        <f>CHOOSE(1+LOG(1+2*(ORÇAMENTO.Nivel="Meta")+4*(ORÇAMENTO.Nivel="Nível 2")+8*(ORÇAMENTO.Nivel="Nível 3")+16*(ORÇAMENTO.Nivel="Nível 4")+32*(ORÇAMENTO.Nivel="Serviço"),2),0,1,2,3,4,"S")</f>
        <v>2</v>
      </c>
      <c r="B17">
        <f ca="1">IF(OR(C17="s",C17=0),OFFSET(B17,-1,0),C17)</f>
        <v>2</v>
      </c>
      <c r="C17">
        <f ca="1">IF(OFFSET(C17,-1,0)="L",1,IF(OFFSET(C17,-1,0)=1,2,IF(OR(A17="s",A17=0),"S",IF(AND(OFFSET(C17,-1,0)=2,A17=4),3,IF(AND(OR(OFFSET(C17,-1,0)="s",OFFSET(C17,-1,0)=0),A17&lt;&gt;"s",A17&gt;OFFSET(B17,-1,0)),OFFSET(B17,-1,0),A17)))))</f>
        <v>2</v>
      </c>
      <c r="D17">
        <f ca="1">IF(OR(C17="S",C17=0),0,IF(ISERROR(K17),J17,SMALL(J17:K17,1)))</f>
        <v>5</v>
      </c>
      <c r="E17">
        <f ca="1">IF($C17=1,OFFSET(E17,-1,0)+MAX(1,COUNTIF(QCI!$A$13:$A$24,OFFSET(ORÇAMENTO!E17,-1,0))),OFFSET(E17,-1,0))</f>
        <v>1</v>
      </c>
      <c r="F17">
        <f ca="1">IF($C17=1,0,IF($C17=2,OFFSET(F17,-1,0)+1,OFFSET(F17,-1,0)))</f>
        <v>1</v>
      </c>
      <c r="G17">
        <f ca="1">IF(AND($C17&lt;=2,$C17&lt;&gt;0),0,IF($C17=3,OFFSET(G17,-1,0)+1,OFFSET(G17,-1,0)))</f>
        <v>0</v>
      </c>
      <c r="H17">
        <f ca="1">IF(AND($C17&lt;=3,$C17&lt;&gt;0),0,IF($C17=4,OFFSET(H17,-1,0)+1,OFFSET(H17,-1,0)))</f>
        <v>0</v>
      </c>
      <c r="I17">
        <f ca="1">IF(AND($C17&lt;=4,$C17&lt;&gt;0),0,IF(AND($C17="S",$X17&gt;0),OFFSET(I17,-1,0)+1,OFFSET(I17,-1,0)))</f>
        <v>0</v>
      </c>
      <c r="J17">
        <f t="shared" ca="1" si="9"/>
        <v>34</v>
      </c>
      <c r="K17">
        <f ca="1">IF(OR($C17="S",$C17=0),0,MATCH(OFFSET($D17,0,$C17)+IF($C17&lt;&gt;1,1,COUNTIF(QCI!$A$13:$A$24,ORÇAMENTO!E17)),OFFSET($D17,1,$C17,ROW($C$51)-ROW($C17)),0))</f>
        <v>5</v>
      </c>
      <c r="L17" s="116" t="str">
        <f ca="1">IF(OR($X17&gt;0,$C17=1,$C17=2,$C17=3,$C17=4),"F","")</f>
        <v>F</v>
      </c>
      <c r="M17" s="117" t="s">
        <v>195</v>
      </c>
      <c r="N17" s="118" t="str">
        <f ca="1">CHOOSE(1+LOG(1+2*(C17=1)+4*(C17=2)+8*(C17=3)+16*(C17=4)+32*(C17="S"),2),"","Meta","Nível 2","Nível 3","Nível 4","Serviço")</f>
        <v>Nível 2</v>
      </c>
      <c r="O17" s="119" t="str">
        <f ca="1">IF(OR($C17=0,$L17=""),"-",CONCATENATE(E17&amp;".",IF(AND($A$5&gt;=2,$C17&gt;=2),F17&amp;".",""),IF(AND($A$5&gt;=3,$C17&gt;=3),G17&amp;".",""),IF(AND($A$5&gt;=4,$C17&gt;=4),H17&amp;".",""),IF($C17="S",I17&amp;".","")))</f>
        <v>1.1.</v>
      </c>
      <c r="P17" s="120" t="s">
        <v>246</v>
      </c>
      <c r="Q17" s="121" t="s">
        <v>481</v>
      </c>
      <c r="R17" s="122" t="s">
        <v>482</v>
      </c>
      <c r="S17" s="123" t="str">
        <f ca="1">REFERENCIA.Unidade</f>
        <v>-</v>
      </c>
      <c r="T17" s="124">
        <f ca="1">OFFSET(CÁLCULO!H$15,ROW($T17)-ROW(T$15),0)</f>
        <v>0</v>
      </c>
      <c r="U17" s="125">
        <f t="shared" ref="U17:U50" ca="1" si="17">AG17</f>
        <v>0</v>
      </c>
      <c r="V17" s="126" t="s">
        <v>156</v>
      </c>
      <c r="W17" s="124">
        <f ca="1">IF($C17="S",ROUND(IF(TIPOORCAMENTO="Proposto",ORÇAMENTO.CustoUnitario*(1+$AH17),ORÇAMENTO.PrecoUnitarioLicitado),15-13*$AF$10),0)</f>
        <v>0</v>
      </c>
      <c r="X17" s="127">
        <f ca="1">IF($C17="S",IF(Import.TipoArredondamento&lt;&gt;"TransfereGOV",VTOTAL1,SUM(OFFSET(CÁLCULO!$AA$15,ROW($X17)-ROW($X$15),1):OFFSET(CÁLCULO!$AL$15,ROW($X17)-ROW($X$15),-1))),IF($C17=0,0,ROUND(SomaAgrup,15-13*$AF$11)))</f>
        <v>0</v>
      </c>
      <c r="Y17" s="128" t="s">
        <v>244</v>
      </c>
      <c r="Z17" t="str">
        <f ca="1">IF(AND($C17="S",$X17&gt;0),IF(ISBLANK($Y17),"RA",LEFT($Y17,2)),"")</f>
        <v/>
      </c>
      <c r="AA17" s="129">
        <f ca="1">IF($C17="S",IF($Z17="CP",$X17,IF($Z17="RA",(($X17)*QCI!$AA$3),0)),SomaAgrup)</f>
        <v>0</v>
      </c>
      <c r="AB17" s="130">
        <f ca="1">IF($C17="S",IF($Z17="OU",ROUND($X17,2),0),SomaAgrup)</f>
        <v>0</v>
      </c>
      <c r="AC17" s="131" t="str">
        <f ca="1">IF($N17="","",IF(ORÇAMENTO.Descricao="","DESCRIÇÃO",IF(AND($C17="S",ORÇAMENTO.Unidade=""),"UNIDADE",IF($X17&lt;0,"VALOR NEGATIVO",IF(OR(AND(TIPOORCAMENTO="Proposto",$AG17&lt;&gt;"",$AG17&gt;0,ORÇAMENTO.CustoUnitario&gt;$AG17),AND(TIPOORCAMENTO="LICITADO",ORÇAMENTO.PrecoUnitarioLicitado&gt;$AN17)),"ACIMA REF.","")))))</f>
        <v/>
      </c>
      <c r="AD17">
        <f ca="1">IF(C17&lt;=CRONO.NivelExibicao,MAX($AD$15:OFFSET(AD17,-1,0))+IF($C17&lt;&gt;1,1,MAX(1,COUNTIF(QCI!$A$13:$A$24,OFFSET($E17,-1,0)))),"")</f>
        <v>2</v>
      </c>
      <c r="AE17" s="7" t="b">
        <f ca="1">IF(AND($C17="S",ORÇAMENTO.CodBarra&lt;&gt;""),IF(ORÇAMENTO.Fonte="",ORÇAMENTO.CodBarra,CONCATENATE(ORÇAMENTO.Fonte," ",ORÇAMENTO.CodBarra)))</f>
        <v>0</v>
      </c>
      <c r="AF17" s="13" t="str">
        <f ca="1">IF(ISERROR(INDIRECT(ORÇAMENTO.BancoRef)),"(abra o arquivo 'Referência "&amp;Excel_BuiltIn_Database&amp;".xlsm)",IF(OR($C17&lt;&gt;"S",ORÇAMENTO.CodBarra=""),"(Sem Código)",IF(ISERROR(MATCH($AE17,INDIRECT(ORÇAMENTO.BancoRef),0)),"(Código não identificado nas referências)",MATCH($AE17,INDIRECT(ORÇAMENTO.BancoRef),0))))</f>
        <v>(abra o arquivo 'Referência 05-Friday.xlsm)</v>
      </c>
      <c r="AG17" s="485">
        <f ca="1">ROUND(IF(DESONERACAO="sim",REFERENCIA.Desonerado,REFERENCIA.NaoDesonerado),2)</f>
        <v>0</v>
      </c>
      <c r="AH17" s="486">
        <f ca="1">ROUND(IF(ISNUMBER(ORÇAMENTO.OpcaoBDI),ORÇAMENTO.OpcaoBDI,IF(LEFT(ORÇAMENTO.OpcaoBDI,3)="BDI",HLOOKUP(ORÇAMENTO.OpcaoBDI,$F$4:$H$5,2,FALSE),0)),15-11*$AF$9)</f>
        <v>0.23760000000000001</v>
      </c>
      <c r="AJ17" s="488"/>
      <c r="AL17" s="505"/>
      <c r="AM17" s="379">
        <f t="shared" ca="1" si="0"/>
        <v>0</v>
      </c>
      <c r="AN17" s="543">
        <f ca="1">ROUND(ORÇAMENTO.CustoUnitario*(1+$AH17),2)</f>
        <v>0</v>
      </c>
    </row>
    <row r="18" spans="1:40" ht="25.5" x14ac:dyDescent="0.2">
      <c r="A18" t="str">
        <f>CHOOSE(1+LOG(1+2*(ORÇAMENTO.Nivel="Meta")+4*(ORÇAMENTO.Nivel="Nível 2")+8*(ORÇAMENTO.Nivel="Nível 3")+16*(ORÇAMENTO.Nivel="Nível 4")+32*(ORÇAMENTO.Nivel="Serviço"),2),0,1,2,3,4,"S")</f>
        <v>S</v>
      </c>
      <c r="B18">
        <f ca="1">IF(OR(C18="s",C18=0),OFFSET(B18,-1,0),C18)</f>
        <v>2</v>
      </c>
      <c r="C18" t="str">
        <f ca="1">IF(OFFSET(C18,-1,0)="L",1,IF(OFFSET(C18,-1,0)=1,2,IF(OR(A18="s",A18=0),"S",IF(AND(OFFSET(C18,-1,0)=2,A18=4),3,IF(AND(OR(OFFSET(C18,-1,0)="s",OFFSET(C18,-1,0)=0),A18&lt;&gt;"s",A18&gt;OFFSET(B18,-1,0)),OFFSET(B18,-1,0),A18)))))</f>
        <v>S</v>
      </c>
      <c r="D18">
        <f ca="1">IF(OR(C18="S",C18=0),0,IF(ISERROR(K18),J18,SMALL(J18:K18,1)))</f>
        <v>0</v>
      </c>
      <c r="E18">
        <f ca="1">IF($C18=1,OFFSET(E18,-1,0)+MAX(1,COUNTIF(QCI!$A$13:$A$24,OFFSET(ORÇAMENTO!E18,-1,0))),OFFSET(E18,-1,0))</f>
        <v>1</v>
      </c>
      <c r="F18">
        <f ca="1">IF($C18=1,0,IF($C18=2,OFFSET(F18,-1,0)+1,OFFSET(F18,-1,0)))</f>
        <v>1</v>
      </c>
      <c r="G18">
        <f ca="1">IF(AND($C18&lt;=2,$C18&lt;&gt;0),0,IF($C18=3,OFFSET(G18,-1,0)+1,OFFSET(G18,-1,0)))</f>
        <v>0</v>
      </c>
      <c r="H18">
        <f ca="1">IF(AND($C18&lt;=3,$C18&lt;&gt;0),0,IF($C18=4,OFFSET(H18,-1,0)+1,OFFSET(H18,-1,0)))</f>
        <v>0</v>
      </c>
      <c r="I18">
        <f ca="1">IF(AND($C18&lt;=4,$C18&lt;&gt;0),0,IF(AND($C18="S",$X18&gt;0),OFFSET(I18,-1,0)+1,OFFSET(I18,-1,0)))</f>
        <v>0</v>
      </c>
      <c r="J18">
        <f t="shared" ca="1" si="9"/>
        <v>0</v>
      </c>
      <c r="K18">
        <f ca="1">IF(OR($C18="S",$C18=0),0,MATCH(OFFSET($D18,0,$C18)+IF($C18&lt;&gt;1,1,COUNTIF(QCI!$A$13:$A$24,ORÇAMENTO!E18)),OFFSET($D18,1,$C18,ROW($C$51)-ROW($C18)),0))</f>
        <v>0</v>
      </c>
      <c r="L18" s="116" t="str">
        <f ca="1">IF(OR($X18&gt;0,$C18=1,$C18=2,$C18=3,$C18=4),"F","")</f>
        <v/>
      </c>
      <c r="M18" s="117" t="s">
        <v>198</v>
      </c>
      <c r="N18" s="118" t="str">
        <f ca="1">CHOOSE(1+LOG(1+2*(C18=1)+4*(C18=2)+8*(C18=3)+16*(C18=4)+32*(C18="S"),2),"","Meta","Nível 2","Nível 3","Nível 4","Serviço")</f>
        <v>Serviço</v>
      </c>
      <c r="O18" s="119" t="str">
        <f ca="1">IF(OR($C18=0,$L18=""),"-",CONCATENATE(E18&amp;".",IF(AND($A$5&gt;=2,$C18&gt;=2),F18&amp;".",""),IF(AND($A$5&gt;=3,$C18&gt;=3),G18&amp;".",""),IF(AND($A$5&gt;=4,$C18&gt;=4),H18&amp;".",""),IF($C18="S",I18&amp;".","")))</f>
        <v>-</v>
      </c>
      <c r="P18" s="120" t="s">
        <v>246</v>
      </c>
      <c r="Q18" s="121" t="s">
        <v>481</v>
      </c>
      <c r="R18" s="122" t="str">
        <f ca="1">IF($C18="S",REFERENCIA.Descricao,"(digite a descrição aqui)")</f>
        <v>(abra o arquivo 'Referência 05-Friday.xlsm)</v>
      </c>
      <c r="S18" s="123" t="str">
        <f ca="1">REFERENCIA.Unidade</f>
        <v>-</v>
      </c>
      <c r="T18" s="124">
        <f ca="1">OFFSET(CÁLCULO!H$15,ROW($T18)-ROW(T$15),0)</f>
        <v>4.5</v>
      </c>
      <c r="U18" s="125">
        <f t="shared" ca="1" si="17"/>
        <v>0</v>
      </c>
      <c r="V18" s="126" t="s">
        <v>156</v>
      </c>
      <c r="W18" s="124">
        <f ca="1">IF($C18="S",ROUND(IF(TIPOORCAMENTO="Proposto",ORÇAMENTO.CustoUnitario*(1+$AH18),ORÇAMENTO.PrecoUnitarioLicitado),15-13*$AF$10),0)</f>
        <v>0</v>
      </c>
      <c r="X18" s="127">
        <f ca="1">IF($C18="S",IF(Import.TipoArredondamento&lt;&gt;"TransfereGOV",VTOTAL1,SUM(OFFSET(CÁLCULO!$AA$15,ROW($X18)-ROW($X$15),1):OFFSET(CÁLCULO!$AL$15,ROW($X18)-ROW($X$15),-1))),IF($C18=0,0,ROUND(SomaAgrup,15-13*$AF$11)))</f>
        <v>0</v>
      </c>
      <c r="Y18" s="128" t="s">
        <v>244</v>
      </c>
      <c r="Z18" t="str">
        <f ca="1">IF(AND($C18="S",$X18&gt;0),IF(ISBLANK($Y18),"RA",LEFT($Y18,2)),"")</f>
        <v/>
      </c>
      <c r="AA18" s="129">
        <f ca="1">IF($C18="S",IF($Z18="CP",$X18,IF($Z18="RA",(($X18)*QCI!$AA$3),0)),SomaAgrup)</f>
        <v>0</v>
      </c>
      <c r="AB18" s="130">
        <f ca="1">IF($C18="S",IF($Z18="OU",ROUND($X18,2),0),SomaAgrup)</f>
        <v>0</v>
      </c>
      <c r="AC18" s="131" t="str">
        <f ca="1">IF($N18="","",IF(ORÇAMENTO.Descricao="","DESCRIÇÃO",IF(AND($C18="S",ORÇAMENTO.Unidade=""),"UNIDADE",IF($X18&lt;0,"VALOR NEGATIVO",IF(OR(AND(TIPOORCAMENTO="Proposto",$AG18&lt;&gt;"",$AG18&gt;0,ORÇAMENTO.CustoUnitario&gt;$AG18),AND(TIPOORCAMENTO="LICITADO",ORÇAMENTO.PrecoUnitarioLicitado&gt;$AN18)),"ACIMA REF.","")))))</f>
        <v/>
      </c>
      <c r="AD18" t="str">
        <f ca="1">IF(C18&lt;=CRONO.NivelExibicao,MAX($AD$15:OFFSET(AD18,-1,0))+IF($C18&lt;&gt;1,1,MAX(1,COUNTIF(QCI!$A$13:$A$24,OFFSET($E18,-1,0)))),"")</f>
        <v/>
      </c>
      <c r="AE18" s="7" t="str">
        <f ca="1">IF(AND($C18="S",ORÇAMENTO.CodBarra&lt;&gt;""),IF(ORÇAMENTO.Fonte="",ORÇAMENTO.CodBarra,CONCATENATE(ORÇAMENTO.Fonte," ",ORÇAMENTO.CodBarra)))</f>
        <v>SINAPI 103689</v>
      </c>
      <c r="AF18" s="13" t="str">
        <f ca="1">IF(ISERROR(INDIRECT(ORÇAMENTO.BancoRef)),"(abra o arquivo 'Referência "&amp;Excel_BuiltIn_Database&amp;".xlsm)",IF(OR($C18&lt;&gt;"S",ORÇAMENTO.CodBarra=""),"(Sem Código)",IF(ISERROR(MATCH($AE18,INDIRECT(ORÇAMENTO.BancoRef),0)),"(Código não identificado nas referências)",MATCH($AE18,INDIRECT(ORÇAMENTO.BancoRef),0))))</f>
        <v>(abra o arquivo 'Referência 05-Friday.xlsm)</v>
      </c>
      <c r="AG18" s="485">
        <f ca="1">ROUND(IF(DESONERACAO="sim",REFERENCIA.Desonerado,REFERENCIA.NaoDesonerado),2)</f>
        <v>0</v>
      </c>
      <c r="AH18" s="486">
        <f ca="1">ROUND(IF(ISNUMBER(ORÇAMENTO.OpcaoBDI),ORÇAMENTO.OpcaoBDI,IF(LEFT(ORÇAMENTO.OpcaoBDI,3)="BDI",HLOOKUP(ORÇAMENTO.OpcaoBDI,$F$4:$H$5,2,FALSE),0)),15-11*$AF$9)</f>
        <v>0.23760000000000001</v>
      </c>
      <c r="AJ18" s="488">
        <v>4.5</v>
      </c>
      <c r="AL18" s="505"/>
      <c r="AM18" s="379">
        <f t="shared" ca="1" si="0"/>
        <v>0</v>
      </c>
      <c r="AN18" s="543">
        <f ca="1">ROUND(ORÇAMENTO.CustoUnitario*(1+$AH18),2)</f>
        <v>0</v>
      </c>
    </row>
    <row r="19" spans="1:40" x14ac:dyDescent="0.2">
      <c r="A19" t="str">
        <f>CHOOSE(1+LOG(1+2*(ORÇAMENTO.Nivel="Meta")+4*(ORÇAMENTO.Nivel="Nível 2")+8*(ORÇAMENTO.Nivel="Nível 3")+16*(ORÇAMENTO.Nivel="Nível 4")+32*(ORÇAMENTO.Nivel="Serviço"),2),0,1,2,3,4,"S")</f>
        <v>S</v>
      </c>
      <c r="B19">
        <f ca="1">IF(OR(C19="s",C19=0),OFFSET(B19,-1,0),C19)</f>
        <v>2</v>
      </c>
      <c r="C19" t="str">
        <f ca="1">IF(OFFSET(C19,-1,0)="L",1,IF(OFFSET(C19,-1,0)=1,2,IF(OR(A19="s",A19=0),"S",IF(AND(OFFSET(C19,-1,0)=2,A19=4),3,IF(AND(OR(OFFSET(C19,-1,0)="s",OFFSET(C19,-1,0)=0),A19&lt;&gt;"s",A19&gt;OFFSET(B19,-1,0)),OFFSET(B19,-1,0),A19)))))</f>
        <v>S</v>
      </c>
      <c r="D19">
        <f ca="1">IF(OR(C19="S",C19=0),0,IF(ISERROR(K19),J19,SMALL(J19:K19,1)))</f>
        <v>0</v>
      </c>
      <c r="E19">
        <f ca="1">IF($C19=1,OFFSET(E19,-1,0)+MAX(1,COUNTIF(QCI!$A$13:$A$24,OFFSET(ORÇAMENTO!E19,-1,0))),OFFSET(E19,-1,0))</f>
        <v>1</v>
      </c>
      <c r="F19">
        <f ca="1">IF($C19=1,0,IF($C19=2,OFFSET(F19,-1,0)+1,OFFSET(F19,-1,0)))</f>
        <v>1</v>
      </c>
      <c r="G19">
        <f ca="1">IF(AND($C19&lt;=2,$C19&lt;&gt;0),0,IF($C19=3,OFFSET(G19,-1,0)+1,OFFSET(G19,-1,0)))</f>
        <v>0</v>
      </c>
      <c r="H19">
        <f ca="1">IF(AND($C19&lt;=3,$C19&lt;&gt;0),0,IF($C19=4,OFFSET(H19,-1,0)+1,OFFSET(H19,-1,0)))</f>
        <v>0</v>
      </c>
      <c r="I19">
        <f ca="1">IF(AND($C19&lt;=4,$C19&lt;&gt;0),0,IF(AND($C19="S",$X19&gt;0),OFFSET(I19,-1,0)+1,OFFSET(I19,-1,0)))</f>
        <v>0</v>
      </c>
      <c r="J19">
        <f t="shared" ca="1" si="9"/>
        <v>0</v>
      </c>
      <c r="K19">
        <f ca="1">IF(OR($C19="S",$C19=0),0,MATCH(OFFSET($D19,0,$C19)+IF($C19&lt;&gt;1,1,COUNTIF(QCI!$A$13:$A$24,ORÇAMENTO!E19)),OFFSET($D19,1,$C19,ROW($C$51)-ROW($C19)),0))</f>
        <v>0</v>
      </c>
      <c r="L19" s="116" t="str">
        <f ca="1">IF(OR($X19&gt;0,$C19=1,$C19=2,$C19=3,$C19=4),"F","")</f>
        <v/>
      </c>
      <c r="M19" s="117" t="s">
        <v>198</v>
      </c>
      <c r="N19" s="118" t="str">
        <f ca="1">CHOOSE(1+LOG(1+2*(C19=1)+4*(C19=2)+8*(C19=3)+16*(C19=4)+32*(C19="S"),2),"","Meta","Nível 2","Nível 3","Nível 4","Serviço")</f>
        <v>Serviço</v>
      </c>
      <c r="O19" s="119" t="str">
        <f ca="1">IF(OR($C19=0,$L19=""),"-",CONCATENATE(E19&amp;".",IF(AND($A$5&gt;=2,$C19&gt;=2),F19&amp;".",""),IF(AND($A$5&gt;=3,$C19&gt;=3),G19&amp;".",""),IF(AND($A$5&gt;=4,$C19&gt;=4),H19&amp;".",""),IF($C19="S",I19&amp;".","")))</f>
        <v>-</v>
      </c>
      <c r="P19" s="120" t="s">
        <v>486</v>
      </c>
      <c r="Q19" s="121" t="s">
        <v>535</v>
      </c>
      <c r="R19" s="122" t="str">
        <f ca="1">IF($C19="S",REFERENCIA.Descricao,"(digite a descrição aqui)")</f>
        <v>(abra o arquivo 'Referência 05-Friday.xlsm)</v>
      </c>
      <c r="S19" s="123" t="str">
        <f ca="1">REFERENCIA.Unidade</f>
        <v>-</v>
      </c>
      <c r="T19" s="124">
        <f ca="1">OFFSET(CÁLCULO!H$15,ROW($T19)-ROW(T$15),0)</f>
        <v>2</v>
      </c>
      <c r="U19" s="125">
        <f t="shared" ca="1" si="17"/>
        <v>0</v>
      </c>
      <c r="V19" s="126" t="s">
        <v>156</v>
      </c>
      <c r="W19" s="124">
        <f ca="1">IF($C19="S",ROUND(IF(TIPOORCAMENTO="Proposto",ORÇAMENTO.CustoUnitario*(1+$AH19),ORÇAMENTO.PrecoUnitarioLicitado),15-13*$AF$10),0)</f>
        <v>0</v>
      </c>
      <c r="X19" s="127">
        <f ca="1">IF($C19="S",IF(Import.TipoArredondamento&lt;&gt;"TransfereGOV",VTOTAL1,SUM(OFFSET(CÁLCULO!$AA$15,ROW($X19)-ROW($X$15),1):OFFSET(CÁLCULO!$AL$15,ROW($X19)-ROW($X$15),-1))),IF($C19=0,0,ROUND(SomaAgrup,15-13*$AF$11)))</f>
        <v>0</v>
      </c>
      <c r="Y19" s="128" t="s">
        <v>244</v>
      </c>
      <c r="Z19" t="str">
        <f ca="1">IF(AND($C19="S",$X19&gt;0),IF(ISBLANK($Y19),"RA",LEFT($Y19,2)),"")</f>
        <v/>
      </c>
      <c r="AA19" s="129">
        <f ca="1">IF($C19="S",IF($Z19="CP",$X19,IF($Z19="RA",(($X19)*QCI!$AA$3),0)),SomaAgrup)</f>
        <v>0</v>
      </c>
      <c r="AB19" s="130">
        <f ca="1">IF($C19="S",IF($Z19="OU",ROUND($X19,2),0),SomaAgrup)</f>
        <v>0</v>
      </c>
      <c r="AC19" s="131" t="str">
        <f ca="1">IF($N19="","",IF(ORÇAMENTO.Descricao="","DESCRIÇÃO",IF(AND($C19="S",ORÇAMENTO.Unidade=""),"UNIDADE",IF($X19&lt;0,"VALOR NEGATIVO",IF(OR(AND(TIPOORCAMENTO="Proposto",$AG19&lt;&gt;"",$AG19&gt;0,ORÇAMENTO.CustoUnitario&gt;$AG19),AND(TIPOORCAMENTO="LICITADO",ORÇAMENTO.PrecoUnitarioLicitado&gt;$AN19)),"ACIMA REF.","")))))</f>
        <v/>
      </c>
      <c r="AD19" t="str">
        <f ca="1">IF(C19&lt;=CRONO.NivelExibicao,MAX($AD$15:OFFSET(AD19,-1,0))+IF($C19&lt;&gt;1,1,MAX(1,COUNTIF(QCI!$A$13:$A$24,OFFSET($E19,-1,0)))),"")</f>
        <v/>
      </c>
      <c r="AE19" s="7" t="str">
        <f ca="1">IF(AND($C19="S",ORÇAMENTO.CodBarra&lt;&gt;""),IF(ORÇAMENTO.Fonte="",ORÇAMENTO.CodBarra,CONCATENATE(ORÇAMENTO.Fonte," ",ORÇAMENTO.CodBarra)))</f>
        <v>Composição 39</v>
      </c>
      <c r="AF19" s="13" t="str">
        <f ca="1">IF(ISERROR(INDIRECT(ORÇAMENTO.BancoRef)),"(abra o arquivo 'Referência "&amp;Excel_BuiltIn_Database&amp;".xlsm)",IF(OR($C19&lt;&gt;"S",ORÇAMENTO.CodBarra=""),"(Sem Código)",IF(ISERROR(MATCH($AE19,INDIRECT(ORÇAMENTO.BancoRef),0)),"(Código não identificado nas referências)",MATCH($AE19,INDIRECT(ORÇAMENTO.BancoRef),0))))</f>
        <v>(abra o arquivo 'Referência 05-Friday.xlsm)</v>
      </c>
      <c r="AG19" s="485">
        <f ca="1">ROUND(IF(DESONERACAO="sim",REFERENCIA.Desonerado,REFERENCIA.NaoDesonerado),2)</f>
        <v>0</v>
      </c>
      <c r="AH19" s="486">
        <f ca="1">ROUND(IF(ISNUMBER(ORÇAMENTO.OpcaoBDI),ORÇAMENTO.OpcaoBDI,IF(LEFT(ORÇAMENTO.OpcaoBDI,3)="BDI",HLOOKUP(ORÇAMENTO.OpcaoBDI,$F$4:$H$5,2,FALSE),0)),15-11*$AF$9)</f>
        <v>0.23760000000000001</v>
      </c>
      <c r="AJ19" s="488">
        <v>40</v>
      </c>
      <c r="AL19" s="505"/>
      <c r="AM19" s="379">
        <f t="shared" ca="1" si="0"/>
        <v>0</v>
      </c>
      <c r="AN19" s="543">
        <f ca="1">ROUND(ORÇAMENTO.CustoUnitario*(1+$AH19),2)</f>
        <v>0</v>
      </c>
    </row>
    <row r="20" spans="1:40" x14ac:dyDescent="0.2">
      <c r="A20" t="str">
        <f>CHOOSE(1+LOG(1+2*(ORÇAMENTO.Nivel="Meta")+4*(ORÇAMENTO.Nivel="Nível 2")+8*(ORÇAMENTO.Nivel="Nível 3")+16*(ORÇAMENTO.Nivel="Nível 4")+32*(ORÇAMENTO.Nivel="Serviço"),2),0,1,2,3,4,"S")</f>
        <v>S</v>
      </c>
      <c r="B20">
        <f ca="1">IF(OR(C20="s",C20=0),OFFSET(B20,-1,0),C20)</f>
        <v>2</v>
      </c>
      <c r="C20" t="str">
        <f ca="1">IF(OFFSET(C20,-1,0)="L",1,IF(OFFSET(C20,-1,0)=1,2,IF(OR(A20="s",A20=0),"S",IF(AND(OFFSET(C20,-1,0)=2,A20=4),3,IF(AND(OR(OFFSET(C20,-1,0)="s",OFFSET(C20,-1,0)=0),A20&lt;&gt;"s",A20&gt;OFFSET(B20,-1,0)),OFFSET(B20,-1,0),A20)))))</f>
        <v>S</v>
      </c>
      <c r="D20">
        <f ca="1">IF(OR(C20="S",C20=0),0,IF(ISERROR(K20),J20,SMALL(J20:K20,1)))</f>
        <v>0</v>
      </c>
      <c r="E20">
        <f ca="1">IF($C20=1,OFFSET(E20,-1,0)+MAX(1,COUNTIF(QCI!$A$13:$A$24,OFFSET(ORÇAMENTO!E20,-1,0))),OFFSET(E20,-1,0))</f>
        <v>1</v>
      </c>
      <c r="F20">
        <f ca="1">IF($C20=1,0,IF($C20=2,OFFSET(F20,-1,0)+1,OFFSET(F20,-1,0)))</f>
        <v>1</v>
      </c>
      <c r="G20">
        <f ca="1">IF(AND($C20&lt;=2,$C20&lt;&gt;0),0,IF($C20=3,OFFSET(G20,-1,0)+1,OFFSET(G20,-1,0)))</f>
        <v>0</v>
      </c>
      <c r="H20">
        <f ca="1">IF(AND($C20&lt;=3,$C20&lt;&gt;0),0,IF($C20=4,OFFSET(H20,-1,0)+1,OFFSET(H20,-1,0)))</f>
        <v>0</v>
      </c>
      <c r="I20">
        <f ca="1">IF(AND($C20&lt;=4,$C20&lt;&gt;0),0,IF(AND($C20="S",$X20&gt;0),OFFSET(I20,-1,0)+1,OFFSET(I20,-1,0)))</f>
        <v>0</v>
      </c>
      <c r="J20">
        <f t="shared" ca="1" si="9"/>
        <v>0</v>
      </c>
      <c r="K20">
        <f ca="1">IF(OR($C20="S",$C20=0),0,MATCH(OFFSET($D20,0,$C20)+IF($C20&lt;&gt;1,1,COUNTIF(QCI!$A$13:$A$24,ORÇAMENTO!E20)),OFFSET($D20,1,$C20,ROW($C$51)-ROW($C20)),0))</f>
        <v>0</v>
      </c>
      <c r="L20" s="116" t="str">
        <f ca="1">IF(OR($X20&gt;0,$C20=1,$C20=2,$C20=3,$C20=4),"F","")</f>
        <v/>
      </c>
      <c r="M20" s="117" t="s">
        <v>198</v>
      </c>
      <c r="N20" s="118" t="str">
        <f ca="1">CHOOSE(1+LOG(1+2*(C20=1)+4*(C20=2)+8*(C20=3)+16*(C20=4)+32*(C20="S"),2),"","Meta","Nível 2","Nível 3","Nível 4","Serviço")</f>
        <v>Serviço</v>
      </c>
      <c r="O20" s="119" t="str">
        <f ca="1">IF(OR($C20=0,$L20=""),"-",CONCATENATE(E20&amp;".",IF(AND($A$5&gt;=2,$C20&gt;=2),F20&amp;".",""),IF(AND($A$5&gt;=3,$C20&gt;=3),G20&amp;".",""),IF(AND($A$5&gt;=4,$C20&gt;=4),H20&amp;".",""),IF($C20="S",I20&amp;".","")))</f>
        <v>-</v>
      </c>
      <c r="P20" s="120" t="s">
        <v>486</v>
      </c>
      <c r="Q20" s="121" t="s">
        <v>495</v>
      </c>
      <c r="R20" s="122" t="str">
        <f ca="1">IF($C20="S",REFERENCIA.Descricao,"(digite a descrição aqui)")</f>
        <v>(abra o arquivo 'Referência 05-Friday.xlsm)</v>
      </c>
      <c r="S20" s="123" t="str">
        <f ca="1">REFERENCIA.Unidade</f>
        <v>-</v>
      </c>
      <c r="T20" s="124">
        <f ca="1">OFFSET(CÁLCULO!H$15,ROW($T20)-ROW(T$15),0)</f>
        <v>1</v>
      </c>
      <c r="U20" s="125">
        <f t="shared" ca="1" si="17"/>
        <v>0</v>
      </c>
      <c r="V20" s="126" t="s">
        <v>156</v>
      </c>
      <c r="W20" s="124">
        <f ca="1">IF($C20="S",ROUND(IF(TIPOORCAMENTO="Proposto",ORÇAMENTO.CustoUnitario*(1+$AH20),ORÇAMENTO.PrecoUnitarioLicitado),15-13*$AF$10),0)</f>
        <v>0</v>
      </c>
      <c r="X20" s="127">
        <f ca="1">IF($C20="S",IF(Import.TipoArredondamento&lt;&gt;"TransfereGOV",VTOTAL1,SUM(OFFSET(CÁLCULO!$AA$15,ROW($X20)-ROW($X$15),1):OFFSET(CÁLCULO!$AL$15,ROW($X20)-ROW($X$15),-1))),IF($C20=0,0,ROUND(SomaAgrup,15-13*$AF$11)))</f>
        <v>0</v>
      </c>
      <c r="Y20" s="128" t="s">
        <v>244</v>
      </c>
      <c r="Z20" t="str">
        <f ca="1">IF(AND($C20="S",$X20&gt;0),IF(ISBLANK($Y20),"RA",LEFT($Y20,2)),"")</f>
        <v/>
      </c>
      <c r="AA20" s="129">
        <f ca="1">IF($C20="S",IF($Z20="CP",$X20,IF($Z20="RA",(($X20)*QCI!$AA$3),0)),SomaAgrup)</f>
        <v>0</v>
      </c>
      <c r="AB20" s="130">
        <f ca="1">IF($C20="S",IF($Z20="OU",ROUND($X20,2),0),SomaAgrup)</f>
        <v>0</v>
      </c>
      <c r="AC20" s="131" t="str">
        <f ca="1">IF($N20="","",IF(ORÇAMENTO.Descricao="","DESCRIÇÃO",IF(AND($C20="S",ORÇAMENTO.Unidade=""),"UNIDADE",IF($X20&lt;0,"VALOR NEGATIVO",IF(OR(AND(TIPOORCAMENTO="Proposto",$AG20&lt;&gt;"",$AG20&gt;0,ORÇAMENTO.CustoUnitario&gt;$AG20),AND(TIPOORCAMENTO="LICITADO",ORÇAMENTO.PrecoUnitarioLicitado&gt;$AN20)),"ACIMA REF.","")))))</f>
        <v/>
      </c>
      <c r="AD20" t="str">
        <f ca="1">IF(C20&lt;=CRONO.NivelExibicao,MAX($AD$15:OFFSET(AD20,-1,0))+IF($C20&lt;&gt;1,1,MAX(1,COUNTIF(QCI!$A$13:$A$24,OFFSET($E20,-1,0)))),"")</f>
        <v/>
      </c>
      <c r="AE20" s="7" t="str">
        <f ca="1">IF(AND($C20="S",ORÇAMENTO.CodBarra&lt;&gt;""),IF(ORÇAMENTO.Fonte="",ORÇAMENTO.CodBarra,CONCATENATE(ORÇAMENTO.Fonte," ",ORÇAMENTO.CodBarra)))</f>
        <v>Composição 01</v>
      </c>
      <c r="AF20" s="13" t="str">
        <f ca="1">IF(ISERROR(INDIRECT(ORÇAMENTO.BancoRef)),"(abra o arquivo 'Referência "&amp;Excel_BuiltIn_Database&amp;".xlsm)",IF(OR($C20&lt;&gt;"S",ORÇAMENTO.CodBarra=""),"(Sem Código)",IF(ISERROR(MATCH($AE20,INDIRECT(ORÇAMENTO.BancoRef),0)),"(Código não identificado nas referências)",MATCH($AE20,INDIRECT(ORÇAMENTO.BancoRef),0))))</f>
        <v>(abra o arquivo 'Referência 05-Friday.xlsm)</v>
      </c>
      <c r="AG20" s="485">
        <f ca="1">ROUND(IF(DESONERACAO="sim",REFERENCIA.Desonerado,REFERENCIA.NaoDesonerado),2)</f>
        <v>0</v>
      </c>
      <c r="AH20" s="486">
        <f ca="1">ROUND(IF(ISNUMBER(ORÇAMENTO.OpcaoBDI),ORÇAMENTO.OpcaoBDI,IF(LEFT(ORÇAMENTO.OpcaoBDI,3)="BDI",HLOOKUP(ORÇAMENTO.OpcaoBDI,$F$4:$H$5,2,FALSE),0)),15-11*$AF$9)</f>
        <v>0.23760000000000001</v>
      </c>
      <c r="AJ20" s="488">
        <v>1</v>
      </c>
      <c r="AL20" s="505"/>
      <c r="AM20" s="379">
        <f t="shared" ca="1" si="0"/>
        <v>0</v>
      </c>
      <c r="AN20" s="543">
        <f ca="1">ROUND(ORÇAMENTO.CustoUnitario*(1+$AH20),2)</f>
        <v>0</v>
      </c>
    </row>
    <row r="21" spans="1:40" ht="25.5" x14ac:dyDescent="0.2">
      <c r="A21" t="str">
        <f>CHOOSE(1+LOG(1+2*(ORÇAMENTO.Nivel="Meta")+4*(ORÇAMENTO.Nivel="Nível 2")+8*(ORÇAMENTO.Nivel="Nível 3")+16*(ORÇAMENTO.Nivel="Nível 4")+32*(ORÇAMENTO.Nivel="Serviço"),2),0,1,2,3,4,"S")</f>
        <v>S</v>
      </c>
      <c r="B21">
        <f ca="1">IF(OR(C21="s",C21=0),OFFSET(B21,-1,0),C21)</f>
        <v>2</v>
      </c>
      <c r="C21" t="str">
        <f ca="1">IF(OFFSET(C21,-1,0)="L",1,IF(OFFSET(C21,-1,0)=1,2,IF(OR(A21="s",A21=0),"S",IF(AND(OFFSET(C21,-1,0)=2,A21=4),3,IF(AND(OR(OFFSET(C21,-1,0)="s",OFFSET(C21,-1,0)=0),A21&lt;&gt;"s",A21&gt;OFFSET(B21,-1,0)),OFFSET(B21,-1,0),A21)))))</f>
        <v>S</v>
      </c>
      <c r="D21">
        <f ca="1">IF(OR(C21="S",C21=0),0,IF(ISERROR(K21),J21,SMALL(J21:K21,1)))</f>
        <v>0</v>
      </c>
      <c r="E21">
        <f ca="1">IF($C21=1,OFFSET(E21,-1,0)+MAX(1,COUNTIF(QCI!$A$13:$A$24,OFFSET(ORÇAMENTO!E21,-1,0))),OFFSET(E21,-1,0))</f>
        <v>1</v>
      </c>
      <c r="F21">
        <f ca="1">IF($C21=1,0,IF($C21=2,OFFSET(F21,-1,0)+1,OFFSET(F21,-1,0)))</f>
        <v>1</v>
      </c>
      <c r="G21">
        <f ca="1">IF(AND($C21&lt;=2,$C21&lt;&gt;0),0,IF($C21=3,OFFSET(G21,-1,0)+1,OFFSET(G21,-1,0)))</f>
        <v>0</v>
      </c>
      <c r="H21">
        <f ca="1">IF(AND($C21&lt;=3,$C21&lt;&gt;0),0,IF($C21=4,OFFSET(H21,-1,0)+1,OFFSET(H21,-1,0)))</f>
        <v>0</v>
      </c>
      <c r="I21">
        <f ca="1">IF(AND($C21&lt;=4,$C21&lt;&gt;0),0,IF(AND($C21="S",$X21&gt;0),OFFSET(I21,-1,0)+1,OFFSET(I21,-1,0)))</f>
        <v>0</v>
      </c>
      <c r="J21">
        <f t="shared" ca="1" si="9"/>
        <v>0</v>
      </c>
      <c r="K21">
        <f ca="1">IF(OR($C21="S",$C21=0),0,MATCH(OFFSET($D21,0,$C21)+IF($C21&lt;&gt;1,1,COUNTIF(QCI!$A$13:$A$24,ORÇAMENTO!E21)),OFFSET($D21,1,$C21,ROW($C$51)-ROW($C21)),0))</f>
        <v>0</v>
      </c>
      <c r="L21" s="116" t="str">
        <f ca="1">IF(OR($X21&gt;0,$C21=1,$C21=2,$C21=3,$C21=4),"F","")</f>
        <v/>
      </c>
      <c r="M21" s="117" t="s">
        <v>198</v>
      </c>
      <c r="N21" s="118" t="str">
        <f ca="1">CHOOSE(1+LOG(1+2*(C21=1)+4*(C21=2)+8*(C21=3)+16*(C21=4)+32*(C21="S"),2),"","Meta","Nível 2","Nível 3","Nível 4","Serviço")</f>
        <v>Serviço</v>
      </c>
      <c r="O21" s="119" t="str">
        <f ca="1">IF(OR($C21=0,$L21=""),"-",CONCATENATE(E21&amp;".",IF(AND($A$5&gt;=2,$C21&gt;=2),F21&amp;".",""),IF(AND($A$5&gt;=3,$C21&gt;=3),G21&amp;".",""),IF(AND($A$5&gt;=4,$C21&gt;=4),H21&amp;".",""),IF($C21="S",I21&amp;".","")))</f>
        <v>-</v>
      </c>
      <c r="P21" s="120" t="s">
        <v>486</v>
      </c>
      <c r="Q21" s="121" t="s">
        <v>496</v>
      </c>
      <c r="R21" s="122" t="str">
        <f ca="1">IF($C21="S",REFERENCIA.Descricao,"(digite a descrição aqui)")</f>
        <v>(abra o arquivo 'Referência 05-Friday.xlsm)</v>
      </c>
      <c r="S21" s="123" t="str">
        <f ca="1">REFERENCIA.Unidade</f>
        <v>-</v>
      </c>
      <c r="T21" s="124">
        <f ca="1">OFFSET(CÁLCULO!H$15,ROW($T21)-ROW(T$15),0)</f>
        <v>142</v>
      </c>
      <c r="U21" s="125">
        <f t="shared" ca="1" si="17"/>
        <v>0</v>
      </c>
      <c r="V21" s="126" t="s">
        <v>156</v>
      </c>
      <c r="W21" s="124">
        <f ca="1">IF($C21="S",ROUND(IF(TIPOORCAMENTO="Proposto",ORÇAMENTO.CustoUnitario*(1+$AH21),ORÇAMENTO.PrecoUnitarioLicitado),15-13*$AF$10),0)</f>
        <v>0</v>
      </c>
      <c r="X21" s="127">
        <f ca="1">IF($C21="S",IF(Import.TipoArredondamento&lt;&gt;"TransfereGOV",VTOTAL1,SUM(OFFSET(CÁLCULO!$AA$15,ROW($X21)-ROW($X$15),1):OFFSET(CÁLCULO!$AL$15,ROW($X21)-ROW($X$15),-1))),IF($C21=0,0,ROUND(SomaAgrup,15-13*$AF$11)))</f>
        <v>0</v>
      </c>
      <c r="Y21" s="128" t="s">
        <v>244</v>
      </c>
      <c r="Z21" t="str">
        <f ca="1">IF(AND($C21="S",$X21&gt;0),IF(ISBLANK($Y21),"RA",LEFT($Y21,2)),"")</f>
        <v/>
      </c>
      <c r="AA21" s="129">
        <f ca="1">IF($C21="S",IF($Z21="CP",$X21,IF($Z21="RA",(($X21)*QCI!$AA$3),0)),SomaAgrup)</f>
        <v>0</v>
      </c>
      <c r="AB21" s="130">
        <f ca="1">IF($C21="S",IF($Z21="OU",ROUND($X21,2),0),SomaAgrup)</f>
        <v>0</v>
      </c>
      <c r="AC21" s="131" t="str">
        <f ca="1">IF($N21="","",IF(ORÇAMENTO.Descricao="","DESCRIÇÃO",IF(AND($C21="S",ORÇAMENTO.Unidade=""),"UNIDADE",IF($X21&lt;0,"VALOR NEGATIVO",IF(OR(AND(TIPOORCAMENTO="Proposto",$AG21&lt;&gt;"",$AG21&gt;0,ORÇAMENTO.CustoUnitario&gt;$AG21),AND(TIPOORCAMENTO="LICITADO",ORÇAMENTO.PrecoUnitarioLicitado&gt;$AN21)),"ACIMA REF.","")))))</f>
        <v/>
      </c>
      <c r="AD21" t="str">
        <f ca="1">IF(C21&lt;=CRONO.NivelExibicao,MAX($AD$15:OFFSET(AD21,-1,0))+IF($C21&lt;&gt;1,1,MAX(1,COUNTIF(QCI!$A$13:$A$24,OFFSET($E21,-1,0)))),"")</f>
        <v/>
      </c>
      <c r="AE21" s="7" t="str">
        <f ca="1">IF(AND($C21="S",ORÇAMENTO.CodBarra&lt;&gt;""),IF(ORÇAMENTO.Fonte="",ORÇAMENTO.CodBarra,CONCATENATE(ORÇAMENTO.Fonte," ",ORÇAMENTO.CodBarra)))</f>
        <v>Composição 02</v>
      </c>
      <c r="AF21" s="13" t="str">
        <f ca="1">IF(ISERROR(INDIRECT(ORÇAMENTO.BancoRef)),"(abra o arquivo 'Referência "&amp;Excel_BuiltIn_Database&amp;".xlsm)",IF(OR($C21&lt;&gt;"S",ORÇAMENTO.CodBarra=""),"(Sem Código)",IF(ISERROR(MATCH($AE21,INDIRECT(ORÇAMENTO.BancoRef),0)),"(Código não identificado nas referências)",MATCH($AE21,INDIRECT(ORÇAMENTO.BancoRef),0))))</f>
        <v>(abra o arquivo 'Referência 05-Friday.xlsm)</v>
      </c>
      <c r="AG21" s="485">
        <f ca="1">ROUND(IF(DESONERACAO="sim",REFERENCIA.Desonerado,REFERENCIA.NaoDesonerado),2)</f>
        <v>0</v>
      </c>
      <c r="AH21" s="486">
        <f ca="1">ROUND(IF(ISNUMBER(ORÇAMENTO.OpcaoBDI),ORÇAMENTO.OpcaoBDI,IF(LEFT(ORÇAMENTO.OpcaoBDI,3)="BDI",HLOOKUP(ORÇAMENTO.OpcaoBDI,$F$4:$H$5,2,FALSE),0)),15-11*$AF$9)</f>
        <v>0.23760000000000001</v>
      </c>
      <c r="AJ21" s="488"/>
      <c r="AL21" s="505"/>
      <c r="AM21" s="379">
        <f t="shared" ca="1" si="0"/>
        <v>0</v>
      </c>
      <c r="AN21" s="543">
        <f ca="1">ROUND(ORÇAMENTO.CustoUnitario*(1+$AH21),2)</f>
        <v>0</v>
      </c>
    </row>
    <row r="22" spans="1:40" x14ac:dyDescent="0.2">
      <c r="A22">
        <f t="shared" ref="A22:A37" si="18">CHOOSE(1+LOG(1+2*(ORÇAMENTO.Nivel="Meta")+4*(ORÇAMENTO.Nivel="Nível 2")+8*(ORÇAMENTO.Nivel="Nível 3")+16*(ORÇAMENTO.Nivel="Nível 4")+32*(ORÇAMENTO.Nivel="Serviço"),2),0,1,2,3,4,"S")</f>
        <v>2</v>
      </c>
      <c r="B22">
        <f t="shared" ref="B22:B37" ca="1" si="19">IF(OR(C22="s",C22=0),OFFSET(B22,-1,0),C22)</f>
        <v>2</v>
      </c>
      <c r="C22">
        <f t="shared" ref="C22:C37" ca="1" si="20">IF(OFFSET(C22,-1,0)="L",1,IF(OFFSET(C22,-1,0)=1,2,IF(OR(A22="s",A22=0),"S",IF(AND(OFFSET(C22,-1,0)=2,A22=4),3,IF(AND(OR(OFFSET(C22,-1,0)="s",OFFSET(C22,-1,0)=0),A22&lt;&gt;"s",A22&gt;OFFSET(B22,-1,0)),OFFSET(B22,-1,0),A22)))))</f>
        <v>2</v>
      </c>
      <c r="D22">
        <f t="shared" ref="D22:D37" ca="1" si="21">IF(OR(C22="S",C22=0),0,IF(ISERROR(K22),J22,SMALL(J22:K22,1)))</f>
        <v>11</v>
      </c>
      <c r="E22">
        <f ca="1">IF($C22=1,OFFSET(E22,-1,0)+MAX(1,COUNTIF(QCI!$A$13:$A$24,OFFSET(ORÇAMENTO!E22,-1,0))),OFFSET(E22,-1,0))</f>
        <v>1</v>
      </c>
      <c r="F22">
        <f t="shared" ref="F22:F37" ca="1" si="22">IF($C22=1,0,IF($C22=2,OFFSET(F22,-1,0)+1,OFFSET(F22,-1,0)))</f>
        <v>2</v>
      </c>
      <c r="G22">
        <f t="shared" ref="G22:G37" ca="1" si="23">IF(AND($C22&lt;=2,$C22&lt;&gt;0),0,IF($C22=3,OFFSET(G22,-1,0)+1,OFFSET(G22,-1,0)))</f>
        <v>0</v>
      </c>
      <c r="H22">
        <f t="shared" ref="H22:H37" ca="1" si="24">IF(AND($C22&lt;=3,$C22&lt;&gt;0),0,IF($C22=4,OFFSET(H22,-1,0)+1,OFFSET(H22,-1,0)))</f>
        <v>0</v>
      </c>
      <c r="I22">
        <f t="shared" ref="I22:I37" ca="1" si="25">IF(AND($C22&lt;=4,$C22&lt;&gt;0),0,IF(AND($C22="S",$X22&gt;0),OFFSET(I22,-1,0)+1,OFFSET(I22,-1,0)))</f>
        <v>0</v>
      </c>
      <c r="J22">
        <f t="shared" ca="1" si="9"/>
        <v>29</v>
      </c>
      <c r="K22">
        <f ca="1">IF(OR($C22="S",$C22=0),0,MATCH(OFFSET($D22,0,$C22)+IF($C22&lt;&gt;1,1,COUNTIF(QCI!$A$13:$A$24,ORÇAMENTO!E22)),OFFSET($D22,1,$C22,ROW($C$51)-ROW($C22)),0))</f>
        <v>11</v>
      </c>
      <c r="L22" s="116" t="str">
        <f t="shared" ref="L22:L37" ca="1" si="26">IF(OR($X22&gt;0,$C22=1,$C22=2,$C22=3,$C22=4),"F","")</f>
        <v>F</v>
      </c>
      <c r="M22" s="117" t="s">
        <v>195</v>
      </c>
      <c r="N22" s="118" t="str">
        <f t="shared" ref="N22:N37" ca="1" si="27">CHOOSE(1+LOG(1+2*(C22=1)+4*(C22=2)+8*(C22=3)+16*(C22=4)+32*(C22="S"),2),"","Meta","Nível 2","Nível 3","Nível 4","Serviço")</f>
        <v>Nível 2</v>
      </c>
      <c r="O22" s="119" t="str">
        <f t="shared" ref="O22:O37" ca="1" si="28">IF(OR($C22=0,$L22=""),"-",CONCATENATE(E22&amp;".",IF(AND($A$5&gt;=2,$C22&gt;=2),F22&amp;".",""),IF(AND($A$5&gt;=3,$C22&gt;=3),G22&amp;".",""),IF(AND($A$5&gt;=4,$C22&gt;=4),H22&amp;".",""),IF($C22="S",I22&amp;".","")))</f>
        <v>1.2.</v>
      </c>
      <c r="P22" s="120" t="s">
        <v>246</v>
      </c>
      <c r="Q22" s="121"/>
      <c r="R22" s="122" t="s">
        <v>497</v>
      </c>
      <c r="S22" s="123" t="str">
        <f ca="1">REFERENCIA.Unidade</f>
        <v>-</v>
      </c>
      <c r="T22" s="124">
        <f ca="1">OFFSET(CÁLCULO!H$15,ROW($T22)-ROW(T$15),0)</f>
        <v>0</v>
      </c>
      <c r="U22" s="125">
        <f t="shared" ca="1" si="17"/>
        <v>0</v>
      </c>
      <c r="V22" s="126" t="s">
        <v>156</v>
      </c>
      <c r="W22" s="124">
        <f ca="1">IF($C22="S",ROUND(IF(TIPOORCAMENTO="Proposto",ORÇAMENTO.CustoUnitario*(1+$AH22),ORÇAMENTO.PrecoUnitarioLicitado),15-13*$AF$10),0)</f>
        <v>0</v>
      </c>
      <c r="X22" s="127">
        <f ca="1">IF($C22="S",IF(Import.TipoArredondamento&lt;&gt;"TransfereGOV",VTOTAL1,SUM(OFFSET(CÁLCULO!$AA$15,ROW($X22)-ROW($X$15),1):OFFSET(CÁLCULO!$AL$15,ROW($X22)-ROW($X$15),-1))),IF($C22=0,0,ROUND(SomaAgrup,15-13*$AF$11)))</f>
        <v>0</v>
      </c>
      <c r="Y22" s="128" t="s">
        <v>244</v>
      </c>
      <c r="Z22" t="str">
        <f t="shared" ref="Z22:Z37" ca="1" si="29">IF(AND($C22="S",$X22&gt;0),IF(ISBLANK($Y22),"RA",LEFT($Y22,2)),"")</f>
        <v/>
      </c>
      <c r="AA22" s="129">
        <f ca="1">IF($C22="S",IF($Z22="CP",$X22,IF($Z22="RA",(($X22)*QCI!$AA$3),0)),SomaAgrup)</f>
        <v>0</v>
      </c>
      <c r="AB22" s="130">
        <f t="shared" ref="AB22:AB37" ca="1" si="30">IF($C22="S",IF($Z22="OU",ROUND($X22,2),0),SomaAgrup)</f>
        <v>0</v>
      </c>
      <c r="AC22" s="131" t="str">
        <f ca="1">IF($N22="","",IF(ORÇAMENTO.Descricao="","DESCRIÇÃO",IF(AND($C22="S",ORÇAMENTO.Unidade=""),"UNIDADE",IF($X22&lt;0,"VALOR NEGATIVO",IF(OR(AND(TIPOORCAMENTO="Proposto",$AG22&lt;&gt;"",$AG22&gt;0,ORÇAMENTO.CustoUnitario&gt;$AG22),AND(TIPOORCAMENTO="LICITADO",ORÇAMENTO.PrecoUnitarioLicitado&gt;$AN22)),"ACIMA REF.","")))))</f>
        <v/>
      </c>
      <c r="AD22">
        <f ca="1">IF(C22&lt;=CRONO.NivelExibicao,MAX($AD$15:OFFSET(AD22,-1,0))+IF($C22&lt;&gt;1,1,MAX(1,COUNTIF(QCI!$A$13:$A$24,OFFSET($E22,-1,0)))),"")</f>
        <v>3</v>
      </c>
      <c r="AE22" s="7" t="b">
        <f ca="1">IF(AND($C22="S",ORÇAMENTO.CodBarra&lt;&gt;""),IF(ORÇAMENTO.Fonte="",ORÇAMENTO.CodBarra,CONCATENATE(ORÇAMENTO.Fonte," ",ORÇAMENTO.CodBarra)))</f>
        <v>0</v>
      </c>
      <c r="AF22" s="13" t="str">
        <f ca="1">IF(ISERROR(INDIRECT(ORÇAMENTO.BancoRef)),"(abra o arquivo 'Referência "&amp;Excel_BuiltIn_Database&amp;".xlsm)",IF(OR($C22&lt;&gt;"S",ORÇAMENTO.CodBarra=""),"(Sem Código)",IF(ISERROR(MATCH($AE22,INDIRECT(ORÇAMENTO.BancoRef),0)),"(Código não identificado nas referências)",MATCH($AE22,INDIRECT(ORÇAMENTO.BancoRef),0))))</f>
        <v>(abra o arquivo 'Referência 05-Friday.xlsm)</v>
      </c>
      <c r="AG22" s="485">
        <f ca="1">ROUND(IF(DESONERACAO="sim",REFERENCIA.Desonerado,REFERENCIA.NaoDesonerado),2)</f>
        <v>0</v>
      </c>
      <c r="AH22" s="486">
        <f t="shared" ref="AH22:AH37" ca="1" si="31">ROUND(IF(ISNUMBER(ORÇAMENTO.OpcaoBDI),ORÇAMENTO.OpcaoBDI,IF(LEFT(ORÇAMENTO.OpcaoBDI,3)="BDI",HLOOKUP(ORÇAMENTO.OpcaoBDI,$F$4:$H$5,2,FALSE),0)),15-11*$AF$9)</f>
        <v>0.23760000000000001</v>
      </c>
      <c r="AJ22" s="488"/>
      <c r="AL22" s="505"/>
      <c r="AM22" s="379">
        <f t="shared" ca="1" si="0"/>
        <v>0</v>
      </c>
      <c r="AN22" s="543">
        <f t="shared" ref="AN22:AN37" ca="1" si="32">ROUND(ORÇAMENTO.CustoUnitario*(1+$AH22),2)</f>
        <v>0</v>
      </c>
    </row>
    <row r="23" spans="1:40" ht="63.75" x14ac:dyDescent="0.2">
      <c r="A23" t="str">
        <f t="shared" si="18"/>
        <v>S</v>
      </c>
      <c r="B23">
        <f t="shared" ca="1" si="19"/>
        <v>2</v>
      </c>
      <c r="C23" t="str">
        <f t="shared" ca="1" si="20"/>
        <v>S</v>
      </c>
      <c r="D23">
        <f t="shared" ca="1" si="21"/>
        <v>0</v>
      </c>
      <c r="E23">
        <f ca="1">IF($C23=1,OFFSET(E23,-1,0)+MAX(1,COUNTIF(QCI!$A$13:$A$24,OFFSET(ORÇAMENTO!E23,-1,0))),OFFSET(E23,-1,0))</f>
        <v>1</v>
      </c>
      <c r="F23">
        <f t="shared" ca="1" si="22"/>
        <v>2</v>
      </c>
      <c r="G23">
        <f t="shared" ca="1" si="23"/>
        <v>0</v>
      </c>
      <c r="H23">
        <f t="shared" ca="1" si="24"/>
        <v>0</v>
      </c>
      <c r="I23">
        <f t="shared" ca="1" si="25"/>
        <v>0</v>
      </c>
      <c r="J23">
        <f t="shared" ca="1" si="9"/>
        <v>0</v>
      </c>
      <c r="K23">
        <f ca="1">IF(OR($C23="S",$C23=0),0,MATCH(OFFSET($D23,0,$C23)+IF($C23&lt;&gt;1,1,COUNTIF(QCI!$A$13:$A$24,ORÇAMENTO!E23)),OFFSET($D23,1,$C23,ROW($C$51)-ROW($C23)),0))</f>
        <v>0</v>
      </c>
      <c r="L23" s="116" t="str">
        <f t="shared" ca="1" si="26"/>
        <v/>
      </c>
      <c r="M23" s="117" t="s">
        <v>198</v>
      </c>
      <c r="N23" s="118" t="str">
        <f t="shared" ca="1" si="27"/>
        <v>Serviço</v>
      </c>
      <c r="O23" s="119" t="str">
        <f t="shared" ca="1" si="28"/>
        <v>-</v>
      </c>
      <c r="P23" s="120" t="s">
        <v>246</v>
      </c>
      <c r="Q23" s="121" t="s">
        <v>498</v>
      </c>
      <c r="R23" s="122" t="str">
        <f ca="1">IF($C23="S",REFERENCIA.Descricao,"(digite a descrição aqui)")</f>
        <v>(abra o arquivo 'Referência 05-Friday.xlsm)</v>
      </c>
      <c r="S23" s="123" t="str">
        <f ca="1">REFERENCIA.Unidade</f>
        <v>-</v>
      </c>
      <c r="T23" s="124">
        <f ca="1">OFFSET(CÁLCULO!H$15,ROW($T23)-ROW(T$15),0)</f>
        <v>64.05</v>
      </c>
      <c r="U23" s="125">
        <f t="shared" ca="1" si="17"/>
        <v>0</v>
      </c>
      <c r="V23" s="126" t="s">
        <v>156</v>
      </c>
      <c r="W23" s="124">
        <f ca="1">IF($C23="S",ROUND(IF(TIPOORCAMENTO="Proposto",ORÇAMENTO.CustoUnitario*(1+$AH23),ORÇAMENTO.PrecoUnitarioLicitado),15-13*$AF$10),0)</f>
        <v>0</v>
      </c>
      <c r="X23" s="127">
        <f ca="1">IF($C23="S",IF(Import.TipoArredondamento&lt;&gt;"TransfereGOV",VTOTAL1,SUM(OFFSET(CÁLCULO!$AA$15,ROW($X23)-ROW($X$15),1):OFFSET(CÁLCULO!$AL$15,ROW($X23)-ROW($X$15),-1))),IF($C23=0,0,ROUND(SomaAgrup,15-13*$AF$11)))</f>
        <v>0</v>
      </c>
      <c r="Y23" s="128" t="s">
        <v>244</v>
      </c>
      <c r="Z23" t="str">
        <f t="shared" ca="1" si="29"/>
        <v/>
      </c>
      <c r="AA23" s="129">
        <f ca="1">IF($C23="S",IF($Z23="CP",$X23,IF($Z23="RA",(($X23)*QCI!$AA$3),0)),SomaAgrup)</f>
        <v>0</v>
      </c>
      <c r="AB23" s="130">
        <f t="shared" ca="1" si="30"/>
        <v>0</v>
      </c>
      <c r="AC23" s="131" t="str">
        <f ca="1">IF($N23="","",IF(ORÇAMENTO.Descricao="","DESCRIÇÃO",IF(AND($C23="S",ORÇAMENTO.Unidade=""),"UNIDADE",IF($X23&lt;0,"VALOR NEGATIVO",IF(OR(AND(TIPOORCAMENTO="Proposto",$AG23&lt;&gt;"",$AG23&gt;0,ORÇAMENTO.CustoUnitario&gt;$AG23),AND(TIPOORCAMENTO="LICITADO",ORÇAMENTO.PrecoUnitarioLicitado&gt;$AN23)),"ACIMA REF.","")))))</f>
        <v/>
      </c>
      <c r="AD23" t="str">
        <f ca="1">IF(C23&lt;=CRONO.NivelExibicao,MAX($AD$15:OFFSET(AD23,-1,0))+IF($C23&lt;&gt;1,1,MAX(1,COUNTIF(QCI!$A$13:$A$24,OFFSET($E23,-1,0)))),"")</f>
        <v/>
      </c>
      <c r="AE23" s="7" t="str">
        <f ca="1">IF(AND($C23="S",ORÇAMENTO.CodBarra&lt;&gt;""),IF(ORÇAMENTO.Fonte="",ORÇAMENTO.CodBarra,CONCATENATE(ORÇAMENTO.Fonte," ",ORÇAMENTO.CodBarra)))</f>
        <v>SINAPI 90082</v>
      </c>
      <c r="AF23" s="13" t="str">
        <f ca="1">IF(ISERROR(INDIRECT(ORÇAMENTO.BancoRef)),"(abra o arquivo 'Referência "&amp;Excel_BuiltIn_Database&amp;".xlsm)",IF(OR($C23&lt;&gt;"S",ORÇAMENTO.CodBarra=""),"(Sem Código)",IF(ISERROR(MATCH($AE23,INDIRECT(ORÇAMENTO.BancoRef),0)),"(Código não identificado nas referências)",MATCH($AE23,INDIRECT(ORÇAMENTO.BancoRef),0))))</f>
        <v>(abra o arquivo 'Referência 05-Friday.xlsm)</v>
      </c>
      <c r="AG23" s="485">
        <f ca="1">ROUND(IF(DESONERACAO="sim",REFERENCIA.Desonerado,REFERENCIA.NaoDesonerado),2)</f>
        <v>0</v>
      </c>
      <c r="AH23" s="486">
        <f t="shared" ca="1" si="31"/>
        <v>0.23760000000000001</v>
      </c>
      <c r="AJ23" s="488">
        <v>74.55</v>
      </c>
      <c r="AL23" s="505"/>
      <c r="AM23" s="379">
        <f t="shared" ca="1" si="0"/>
        <v>0</v>
      </c>
      <c r="AN23" s="543">
        <f t="shared" ca="1" si="32"/>
        <v>0</v>
      </c>
    </row>
    <row r="24" spans="1:40" ht="38.25" x14ac:dyDescent="0.2">
      <c r="A24" t="str">
        <f>CHOOSE(1+LOG(1+2*(ORÇAMENTO.Nivel="Meta")+4*(ORÇAMENTO.Nivel="Nível 2")+8*(ORÇAMENTO.Nivel="Nível 3")+16*(ORÇAMENTO.Nivel="Nível 4")+32*(ORÇAMENTO.Nivel="Serviço"),2),0,1,2,3,4,"S")</f>
        <v>S</v>
      </c>
      <c r="B24">
        <f ca="1">IF(OR(C24="s",C24=0),OFFSET(B24,-1,0),C24)</f>
        <v>2</v>
      </c>
      <c r="C24" t="str">
        <f ca="1">IF(OFFSET(C24,-1,0)="L",1,IF(OFFSET(C24,-1,0)=1,2,IF(OR(A24="s",A24=0),"S",IF(AND(OFFSET(C24,-1,0)=2,A24=4),3,IF(AND(OR(OFFSET(C24,-1,0)="s",OFFSET(C24,-1,0)=0),A24&lt;&gt;"s",A24&gt;OFFSET(B24,-1,0)),OFFSET(B24,-1,0),A24)))))</f>
        <v>S</v>
      </c>
      <c r="D24">
        <f ca="1">IF(OR(C24="S",C24=0),0,IF(ISERROR(K24),J24,SMALL(J24:K24,1)))</f>
        <v>0</v>
      </c>
      <c r="E24">
        <f ca="1">IF($C24=1,OFFSET(E24,-1,0)+MAX(1,COUNTIF(QCI!$A$13:$A$24,OFFSET(ORÇAMENTO!E24,-1,0))),OFFSET(E24,-1,0))</f>
        <v>1</v>
      </c>
      <c r="F24">
        <f ca="1">IF($C24=1,0,IF($C24=2,OFFSET(F24,-1,0)+1,OFFSET(F24,-1,0)))</f>
        <v>2</v>
      </c>
      <c r="G24">
        <f ca="1">IF(AND($C24&lt;=2,$C24&lt;&gt;0),0,IF($C24=3,OFFSET(G24,-1,0)+1,OFFSET(G24,-1,0)))</f>
        <v>0</v>
      </c>
      <c r="H24">
        <f ca="1">IF(AND($C24&lt;=3,$C24&lt;&gt;0),0,IF($C24=4,OFFSET(H24,-1,0)+1,OFFSET(H24,-1,0)))</f>
        <v>0</v>
      </c>
      <c r="I24">
        <f ca="1">IF(AND($C24&lt;=4,$C24&lt;&gt;0),0,IF(AND($C24="S",$X24&gt;0),OFFSET(I24,-1,0)+1,OFFSET(I24,-1,0)))</f>
        <v>0</v>
      </c>
      <c r="J24">
        <f t="shared" ca="1" si="9"/>
        <v>0</v>
      </c>
      <c r="K24">
        <f ca="1">IF(OR($C24="S",$C24=0),0,MATCH(OFFSET($D24,0,$C24)+IF($C24&lt;&gt;1,1,COUNTIF(QCI!$A$13:$A$24,ORÇAMENTO!E24)),OFFSET($D24,1,$C24,ROW($C$51)-ROW($C24)),0))</f>
        <v>0</v>
      </c>
      <c r="L24" s="116" t="str">
        <f ca="1">IF(OR($X24&gt;0,$C24=1,$C24=2,$C24=3,$C24=4),"F","")</f>
        <v/>
      </c>
      <c r="M24" s="117" t="s">
        <v>198</v>
      </c>
      <c r="N24" s="118" t="str">
        <f ca="1">CHOOSE(1+LOG(1+2*(C24=1)+4*(C24=2)+8*(C24=3)+16*(C24=4)+32*(C24="S"),2),"","Meta","Nível 2","Nível 3","Nível 4","Serviço")</f>
        <v>Serviço</v>
      </c>
      <c r="O24" s="119" t="str">
        <f ca="1">IF(OR($C24=0,$L24=""),"-",CONCATENATE(E24&amp;".",IF(AND($A$5&gt;=2,$C24&gt;=2),F24&amp;".",""),IF(AND($A$5&gt;=3,$C24&gt;=3),G24&amp;".",""),IF(AND($A$5&gt;=4,$C24&gt;=4),H24&amp;".",""),IF($C24="S",I24&amp;".","")))</f>
        <v>-</v>
      </c>
      <c r="P24" s="120" t="s">
        <v>486</v>
      </c>
      <c r="Q24" s="121" t="s">
        <v>506</v>
      </c>
      <c r="R24" s="122" t="str">
        <f ca="1">IF($C24="S",REFERENCIA.Descricao,"(digite a descrição aqui)")</f>
        <v>(abra o arquivo 'Referência 05-Friday.xlsm)</v>
      </c>
      <c r="S24" s="123" t="str">
        <f ca="1">REFERENCIA.Unidade</f>
        <v>-</v>
      </c>
      <c r="T24" s="124">
        <f ca="1">OFFSET(CÁLCULO!H$15,ROW($T24)-ROW(T$15),0)</f>
        <v>61</v>
      </c>
      <c r="U24" s="125">
        <f t="shared" ca="1" si="17"/>
        <v>0</v>
      </c>
      <c r="V24" s="126" t="s">
        <v>156</v>
      </c>
      <c r="W24" s="124">
        <f ca="1">IF($C24="S",ROUND(IF(TIPOORCAMENTO="Proposto",ORÇAMENTO.CustoUnitario*(1+$AH24),ORÇAMENTO.PrecoUnitarioLicitado),15-13*$AF$10),0)</f>
        <v>0</v>
      </c>
      <c r="X24" s="127">
        <f ca="1">IF($C24="S",IF(Import.TipoArredondamento&lt;&gt;"TransfereGOV",VTOTAL1,SUM(OFFSET(CÁLCULO!$AA$15,ROW($X24)-ROW($X$15),1):OFFSET(CÁLCULO!$AL$15,ROW($X24)-ROW($X$15),-1))),IF($C24=0,0,ROUND(SomaAgrup,15-13*$AF$11)))</f>
        <v>0</v>
      </c>
      <c r="Y24" s="128" t="s">
        <v>244</v>
      </c>
      <c r="Z24" t="str">
        <f ca="1">IF(AND($C24="S",$X24&gt;0),IF(ISBLANK($Y24),"RA",LEFT($Y24,2)),"")</f>
        <v/>
      </c>
      <c r="AA24" s="129">
        <f ca="1">IF($C24="S",IF($Z24="CP",$X24,IF($Z24="RA",(($X24)*QCI!$AA$3),0)),SomaAgrup)</f>
        <v>0</v>
      </c>
      <c r="AB24" s="130">
        <f ca="1">IF($C24="S",IF($Z24="OU",ROUND($X24,2),0),SomaAgrup)</f>
        <v>0</v>
      </c>
      <c r="AC24" s="131" t="str">
        <f ca="1">IF($N24="","",IF(ORÇAMENTO.Descricao="","DESCRIÇÃO",IF(AND($C24="S",ORÇAMENTO.Unidade=""),"UNIDADE",IF($X24&lt;0,"VALOR NEGATIVO",IF(OR(AND(TIPOORCAMENTO="Proposto",$AG24&lt;&gt;"",$AG24&gt;0,ORÇAMENTO.CustoUnitario&gt;$AG24),AND(TIPOORCAMENTO="LICITADO",ORÇAMENTO.PrecoUnitarioLicitado&gt;$AN24)),"ACIMA REF.","")))))</f>
        <v/>
      </c>
      <c r="AD24" t="str">
        <f ca="1">IF(C24&lt;=CRONO.NivelExibicao,MAX($AD$15:OFFSET(AD24,-1,0))+IF($C24&lt;&gt;1,1,MAX(1,COUNTIF(QCI!$A$13:$A$24,OFFSET($E24,-1,0)))),"")</f>
        <v/>
      </c>
      <c r="AE24" s="7" t="str">
        <f ca="1">IF(AND($C24="S",ORÇAMENTO.CodBarra&lt;&gt;""),IF(ORÇAMENTO.Fonte="",ORÇAMENTO.CodBarra,CONCATENATE(ORÇAMENTO.Fonte," ",ORÇAMENTO.CodBarra)))</f>
        <v>Composição 35</v>
      </c>
      <c r="AF24" s="13" t="str">
        <f ca="1">IF(ISERROR(INDIRECT(ORÇAMENTO.BancoRef)),"(abra o arquivo 'Referência "&amp;Excel_BuiltIn_Database&amp;".xlsm)",IF(OR($C24&lt;&gt;"S",ORÇAMENTO.CodBarra=""),"(Sem Código)",IF(ISERROR(MATCH($AE24,INDIRECT(ORÇAMENTO.BancoRef),0)),"(Código não identificado nas referências)",MATCH($AE24,INDIRECT(ORÇAMENTO.BancoRef),0))))</f>
        <v>(abra o arquivo 'Referência 05-Friday.xlsm)</v>
      </c>
      <c r="AG24" s="485">
        <f ca="1">ROUND(IF(DESONERACAO="sim",REFERENCIA.Desonerado,REFERENCIA.NaoDesonerado),2)</f>
        <v>0</v>
      </c>
      <c r="AH24" s="486">
        <f ca="1">ROUND(IF(ISNUMBER(ORÇAMENTO.OpcaoBDI),ORÇAMENTO.OpcaoBDI,IF(LEFT(ORÇAMENTO.OpcaoBDI,3)="BDI",HLOOKUP(ORÇAMENTO.OpcaoBDI,$F$4:$H$5,2,FALSE),0)),15-11*$AF$9)</f>
        <v>0.23760000000000001</v>
      </c>
      <c r="AJ24" s="488">
        <v>71</v>
      </c>
      <c r="AL24" s="505"/>
      <c r="AM24" s="379">
        <f t="shared" ca="1" si="0"/>
        <v>0</v>
      </c>
      <c r="AN24" s="543">
        <f ca="1">ROUND(ORÇAMENTO.CustoUnitario*(1+$AH24),2)</f>
        <v>0</v>
      </c>
    </row>
    <row r="25" spans="1:40" ht="25.5" x14ac:dyDescent="0.2">
      <c r="A25" t="str">
        <f>CHOOSE(1+LOG(1+2*(ORÇAMENTO.Nivel="Meta")+4*(ORÇAMENTO.Nivel="Nível 2")+8*(ORÇAMENTO.Nivel="Nível 3")+16*(ORÇAMENTO.Nivel="Nível 4")+32*(ORÇAMENTO.Nivel="Serviço"),2),0,1,2,3,4,"S")</f>
        <v>S</v>
      </c>
      <c r="B25">
        <f ca="1">IF(OR(C25="s",C25=0),OFFSET(B25,-1,0),C25)</f>
        <v>2</v>
      </c>
      <c r="C25" t="str">
        <f ca="1">IF(OFFSET(C25,-1,0)="L",1,IF(OFFSET(C25,-1,0)=1,2,IF(OR(A25="s",A25=0),"S",IF(AND(OFFSET(C25,-1,0)=2,A25=4),3,IF(AND(OR(OFFSET(C25,-1,0)="s",OFFSET(C25,-1,0)=0),A25&lt;&gt;"s",A25&gt;OFFSET(B25,-1,0)),OFFSET(B25,-1,0),A25)))))</f>
        <v>S</v>
      </c>
      <c r="D25">
        <f ca="1">IF(OR(C25="S",C25=0),0,IF(ISERROR(K25),J25,SMALL(J25:K25,1)))</f>
        <v>0</v>
      </c>
      <c r="E25">
        <f ca="1">IF($C25=1,OFFSET(E25,-1,0)+MAX(1,COUNTIF(QCI!$A$13:$A$24,OFFSET(ORÇAMENTO!E25,-1,0))),OFFSET(E25,-1,0))</f>
        <v>1</v>
      </c>
      <c r="F25">
        <f ca="1">IF($C25=1,0,IF($C25=2,OFFSET(F25,-1,0)+1,OFFSET(F25,-1,0)))</f>
        <v>2</v>
      </c>
      <c r="G25">
        <f ca="1">IF(AND($C25&lt;=2,$C25&lt;&gt;0),0,IF($C25=3,OFFSET(G25,-1,0)+1,OFFSET(G25,-1,0)))</f>
        <v>0</v>
      </c>
      <c r="H25">
        <f ca="1">IF(AND($C25&lt;=3,$C25&lt;&gt;0),0,IF($C25=4,OFFSET(H25,-1,0)+1,OFFSET(H25,-1,0)))</f>
        <v>0</v>
      </c>
      <c r="I25">
        <f ca="1">IF(AND($C25&lt;=4,$C25&lt;&gt;0),0,IF(AND($C25="S",$X25&gt;0),OFFSET(I25,-1,0)+1,OFFSET(I25,-1,0)))</f>
        <v>0</v>
      </c>
      <c r="J25">
        <f t="shared" ca="1" si="9"/>
        <v>0</v>
      </c>
      <c r="K25">
        <f ca="1">IF(OR($C25="S",$C25=0),0,MATCH(OFFSET($D25,0,$C25)+IF($C25&lt;&gt;1,1,COUNTIF(QCI!$A$13:$A$24,ORÇAMENTO!E25)),OFFSET($D25,1,$C25,ROW($C$51)-ROW($C25)),0))</f>
        <v>0</v>
      </c>
      <c r="L25" s="116" t="str">
        <f ca="1">IF(OR($X25&gt;0,$C25=1,$C25=2,$C25=3,$C25=4),"F","")</f>
        <v/>
      </c>
      <c r="M25" s="117" t="s">
        <v>198</v>
      </c>
      <c r="N25" s="118" t="str">
        <f ca="1">CHOOSE(1+LOG(1+2*(C25=1)+4*(C25=2)+8*(C25=3)+16*(C25=4)+32*(C25="S"),2),"","Meta","Nível 2","Nível 3","Nível 4","Serviço")</f>
        <v>Serviço</v>
      </c>
      <c r="O25" s="119" t="str">
        <f ca="1">IF(OR($C25=0,$L25=""),"-",CONCATENATE(E25&amp;".",IF(AND($A$5&gt;=2,$C25&gt;=2),F25&amp;".",""),IF(AND($A$5&gt;=3,$C25&gt;=3),G25&amp;".",""),IF(AND($A$5&gt;=4,$C25&gt;=4),H25&amp;".",""),IF($C25="S",I25&amp;".","")))</f>
        <v>-</v>
      </c>
      <c r="P25" s="120" t="s">
        <v>499</v>
      </c>
      <c r="Q25" s="121" t="s">
        <v>507</v>
      </c>
      <c r="R25" s="122" t="str">
        <f ca="1">IF($C25="S",REFERENCIA.Descricao,"(digite a descrição aqui)")</f>
        <v>(abra o arquivo 'Referência 05-Friday.xlsm)</v>
      </c>
      <c r="S25" s="123" t="str">
        <f ca="1">REFERENCIA.Unidade</f>
        <v>-</v>
      </c>
      <c r="T25" s="124">
        <f ca="1">OFFSET(CÁLCULO!H$15,ROW($T25)-ROW(T$15),0)</f>
        <v>27.45</v>
      </c>
      <c r="U25" s="125">
        <f t="shared" ca="1" si="17"/>
        <v>0</v>
      </c>
      <c r="V25" s="126" t="s">
        <v>156</v>
      </c>
      <c r="W25" s="124">
        <f ca="1">IF($C25="S",ROUND(IF(TIPOORCAMENTO="Proposto",ORÇAMENTO.CustoUnitario*(1+$AH25),ORÇAMENTO.PrecoUnitarioLicitado),15-13*$AF$10),0)</f>
        <v>0</v>
      </c>
      <c r="X25" s="127">
        <f ca="1">IF($C25="S",IF(Import.TipoArredondamento&lt;&gt;"TransfereGOV",VTOTAL1,SUM(OFFSET(CÁLCULO!$AA$15,ROW($X25)-ROW($X$15),1):OFFSET(CÁLCULO!$AL$15,ROW($X25)-ROW($X$15),-1))),IF($C25=0,0,ROUND(SomaAgrup,15-13*$AF$11)))</f>
        <v>0</v>
      </c>
      <c r="Y25" s="128" t="s">
        <v>244</v>
      </c>
      <c r="Z25" t="str">
        <f ca="1">IF(AND($C25="S",$X25&gt;0),IF(ISBLANK($Y25),"RA",LEFT($Y25,2)),"")</f>
        <v/>
      </c>
      <c r="AA25" s="129">
        <f ca="1">IF($C25="S",IF($Z25="CP",$X25,IF($Z25="RA",(($X25)*QCI!$AA$3),0)),SomaAgrup)</f>
        <v>0</v>
      </c>
      <c r="AB25" s="130">
        <f ca="1">IF($C25="S",IF($Z25="OU",ROUND($X25,2),0),SomaAgrup)</f>
        <v>0</v>
      </c>
      <c r="AC25" s="131" t="str">
        <f ca="1">IF($N25="","",IF(ORÇAMENTO.Descricao="","DESCRIÇÃO",IF(AND($C25="S",ORÇAMENTO.Unidade=""),"UNIDADE",IF($X25&lt;0,"VALOR NEGATIVO",IF(OR(AND(TIPOORCAMENTO="Proposto",$AG25&lt;&gt;"",$AG25&gt;0,ORÇAMENTO.CustoUnitario&gt;$AG25),AND(TIPOORCAMENTO="LICITADO",ORÇAMENTO.PrecoUnitarioLicitado&gt;$AN25)),"ACIMA REF.","")))))</f>
        <v/>
      </c>
      <c r="AD25" t="str">
        <f ca="1">IF(C25&lt;=CRONO.NivelExibicao,MAX($AD$15:OFFSET(AD25,-1,0))+IF($C25&lt;&gt;1,1,MAX(1,COUNTIF(QCI!$A$13:$A$24,OFFSET($E25,-1,0)))),"")</f>
        <v/>
      </c>
      <c r="AE25" s="7" t="str">
        <f ca="1">IF(AND($C25="S",ORÇAMENTO.CodBarra&lt;&gt;""),IF(ORÇAMENTO.Fonte="",ORÇAMENTO.CodBarra,CONCATENATE(ORÇAMENTO.Fonte," ",ORÇAMENTO.CodBarra)))</f>
        <v>SICRO 5502970</v>
      </c>
      <c r="AF25" s="13" t="str">
        <f ca="1">IF(ISERROR(INDIRECT(ORÇAMENTO.BancoRef)),"(abra o arquivo 'Referência "&amp;Excel_BuiltIn_Database&amp;".xlsm)",IF(OR($C25&lt;&gt;"S",ORÇAMENTO.CodBarra=""),"(Sem Código)",IF(ISERROR(MATCH($AE25,INDIRECT(ORÇAMENTO.BancoRef),0)),"(Código não identificado nas referências)",MATCH($AE25,INDIRECT(ORÇAMENTO.BancoRef),0))))</f>
        <v>(abra o arquivo 'Referência 05-Friday.xlsm)</v>
      </c>
      <c r="AG25" s="485">
        <f ca="1">ROUND(IF(DESONERACAO="sim",REFERENCIA.Desonerado,REFERENCIA.NaoDesonerado),2)</f>
        <v>0</v>
      </c>
      <c r="AH25" s="486">
        <f ca="1">ROUND(IF(ISNUMBER(ORÇAMENTO.OpcaoBDI),ORÇAMENTO.OpcaoBDI,IF(LEFT(ORÇAMENTO.OpcaoBDI,3)="BDI",HLOOKUP(ORÇAMENTO.OpcaoBDI,$F$4:$H$5,2,FALSE),0)),15-11*$AF$9)</f>
        <v>0.23760000000000001</v>
      </c>
      <c r="AJ25" s="488">
        <v>32</v>
      </c>
      <c r="AL25" s="505"/>
      <c r="AM25" s="379">
        <f t="shared" ca="1" si="0"/>
        <v>0</v>
      </c>
      <c r="AN25" s="543">
        <f ca="1">ROUND(ORÇAMENTO.CustoUnitario*(1+$AH25),2)</f>
        <v>0</v>
      </c>
    </row>
    <row r="26" spans="1:40" x14ac:dyDescent="0.2">
      <c r="A26" t="str">
        <f t="shared" si="18"/>
        <v>S</v>
      </c>
      <c r="B26">
        <f t="shared" ca="1" si="19"/>
        <v>2</v>
      </c>
      <c r="C26" t="str">
        <f t="shared" ca="1" si="20"/>
        <v>S</v>
      </c>
      <c r="D26">
        <f t="shared" ca="1" si="21"/>
        <v>0</v>
      </c>
      <c r="E26">
        <f ca="1">IF($C26=1,OFFSET(E26,-1,0)+MAX(1,COUNTIF(QCI!$A$13:$A$24,OFFSET(ORÇAMENTO!E26,-1,0))),OFFSET(E26,-1,0))</f>
        <v>1</v>
      </c>
      <c r="F26">
        <f t="shared" ca="1" si="22"/>
        <v>2</v>
      </c>
      <c r="G26">
        <f t="shared" ca="1" si="23"/>
        <v>0</v>
      </c>
      <c r="H26">
        <f t="shared" ca="1" si="24"/>
        <v>0</v>
      </c>
      <c r="I26">
        <f t="shared" ca="1" si="25"/>
        <v>0</v>
      </c>
      <c r="J26">
        <f t="shared" ca="1" si="9"/>
        <v>0</v>
      </c>
      <c r="K26">
        <f ca="1">IF(OR($C26="S",$C26=0),0,MATCH(OFFSET($D26,0,$C26)+IF($C26&lt;&gt;1,1,COUNTIF(QCI!$A$13:$A$24,ORÇAMENTO!E26)),OFFSET($D26,1,$C26,ROW($C$51)-ROW($C26)),0))</f>
        <v>0</v>
      </c>
      <c r="L26" s="116" t="str">
        <f t="shared" ca="1" si="26"/>
        <v/>
      </c>
      <c r="M26" s="117" t="s">
        <v>198</v>
      </c>
      <c r="N26" s="118" t="str">
        <f t="shared" ca="1" si="27"/>
        <v>Serviço</v>
      </c>
      <c r="O26" s="119" t="str">
        <f t="shared" ca="1" si="28"/>
        <v>-</v>
      </c>
      <c r="P26" s="120" t="s">
        <v>499</v>
      </c>
      <c r="Q26" s="121" t="s">
        <v>500</v>
      </c>
      <c r="R26" s="122" t="str">
        <f ca="1">IF($C26="S",REFERENCIA.Descricao,"(digite a descrição aqui)")</f>
        <v>(abra o arquivo 'Referência 05-Friday.xlsm)</v>
      </c>
      <c r="S26" s="123" t="str">
        <f ca="1">REFERENCIA.Unidade</f>
        <v>-</v>
      </c>
      <c r="T26" s="124">
        <f ca="1">OFFSET(CÁLCULO!H$15,ROW($T26)-ROW(T$15),0)</f>
        <v>6.1</v>
      </c>
      <c r="U26" s="125">
        <f t="shared" ca="1" si="17"/>
        <v>0</v>
      </c>
      <c r="V26" s="126" t="s">
        <v>156</v>
      </c>
      <c r="W26" s="124">
        <f ca="1">IF($C26="S",ROUND(IF(TIPOORCAMENTO="Proposto",ORÇAMENTO.CustoUnitario*(1+$AH26),ORÇAMENTO.PrecoUnitarioLicitado),15-13*$AF$10),0)</f>
        <v>0</v>
      </c>
      <c r="X26" s="127">
        <f ca="1">IF($C26="S",IF(Import.TipoArredondamento&lt;&gt;"TransfereGOV",VTOTAL1,SUM(OFFSET(CÁLCULO!$AA$15,ROW($X26)-ROW($X$15),1):OFFSET(CÁLCULO!$AL$15,ROW($X26)-ROW($X$15),-1))),IF($C26=0,0,ROUND(SomaAgrup,15-13*$AF$11)))</f>
        <v>0</v>
      </c>
      <c r="Y26" s="128" t="s">
        <v>244</v>
      </c>
      <c r="Z26" t="str">
        <f t="shared" ca="1" si="29"/>
        <v/>
      </c>
      <c r="AA26" s="129">
        <f ca="1">IF($C26="S",IF($Z26="CP",$X26,IF($Z26="RA",(($X26)*QCI!$AA$3),0)),SomaAgrup)</f>
        <v>0</v>
      </c>
      <c r="AB26" s="130">
        <f t="shared" ca="1" si="30"/>
        <v>0</v>
      </c>
      <c r="AC26" s="131" t="str">
        <f ca="1">IF($N26="","",IF(ORÇAMENTO.Descricao="","DESCRIÇÃO",IF(AND($C26="S",ORÇAMENTO.Unidade=""),"UNIDADE",IF($X26&lt;0,"VALOR NEGATIVO",IF(OR(AND(TIPOORCAMENTO="Proposto",$AG26&lt;&gt;"",$AG26&gt;0,ORÇAMENTO.CustoUnitario&gt;$AG26),AND(TIPOORCAMENTO="LICITADO",ORÇAMENTO.PrecoUnitarioLicitado&gt;$AN26)),"ACIMA REF.","")))))</f>
        <v/>
      </c>
      <c r="AD26" t="str">
        <f ca="1">IF(C26&lt;=CRONO.NivelExibicao,MAX($AD$15:OFFSET(AD26,-1,0))+IF($C26&lt;&gt;1,1,MAX(1,COUNTIF(QCI!$A$13:$A$24,OFFSET($E26,-1,0)))),"")</f>
        <v/>
      </c>
      <c r="AE26" s="7" t="str">
        <f ca="1">IF(AND($C26="S",ORÇAMENTO.CodBarra&lt;&gt;""),IF(ORÇAMENTO.Fonte="",ORÇAMENTO.CodBarra,CONCATENATE(ORÇAMENTO.Fonte," ",ORÇAMENTO.CodBarra)))</f>
        <v>SICRO 2003844</v>
      </c>
      <c r="AF26" s="13" t="str">
        <f ca="1">IF(ISERROR(INDIRECT(ORÇAMENTO.BancoRef)),"(abra o arquivo 'Referência "&amp;Excel_BuiltIn_Database&amp;".xlsm)",IF(OR($C26&lt;&gt;"S",ORÇAMENTO.CodBarra=""),"(Sem Código)",IF(ISERROR(MATCH($AE26,INDIRECT(ORÇAMENTO.BancoRef),0)),"(Código não identificado nas referências)",MATCH($AE26,INDIRECT(ORÇAMENTO.BancoRef),0))))</f>
        <v>(abra o arquivo 'Referência 05-Friday.xlsm)</v>
      </c>
      <c r="AG26" s="485">
        <f ca="1">ROUND(IF(DESONERACAO="sim",REFERENCIA.Desonerado,REFERENCIA.NaoDesonerado),2)</f>
        <v>0</v>
      </c>
      <c r="AH26" s="486">
        <f t="shared" ca="1" si="31"/>
        <v>0.23760000000000001</v>
      </c>
      <c r="AJ26" s="488">
        <v>7.1</v>
      </c>
      <c r="AL26" s="505"/>
      <c r="AM26" s="379">
        <f t="shared" ca="1" si="0"/>
        <v>0</v>
      </c>
      <c r="AN26" s="543">
        <f t="shared" ca="1" si="32"/>
        <v>0</v>
      </c>
    </row>
    <row r="27" spans="1:40" ht="51" x14ac:dyDescent="0.2">
      <c r="A27" t="str">
        <f t="shared" si="18"/>
        <v>S</v>
      </c>
      <c r="B27">
        <f t="shared" ca="1" si="19"/>
        <v>2</v>
      </c>
      <c r="C27" t="str">
        <f t="shared" ca="1" si="20"/>
        <v>S</v>
      </c>
      <c r="D27">
        <f t="shared" ca="1" si="21"/>
        <v>0</v>
      </c>
      <c r="E27">
        <f ca="1">IF($C27=1,OFFSET(E27,-1,0)+MAX(1,COUNTIF(QCI!$A$13:$A$24,OFFSET(ORÇAMENTO!E27,-1,0))),OFFSET(E27,-1,0))</f>
        <v>1</v>
      </c>
      <c r="F27">
        <f t="shared" ca="1" si="22"/>
        <v>2</v>
      </c>
      <c r="G27">
        <f t="shared" ca="1" si="23"/>
        <v>0</v>
      </c>
      <c r="H27">
        <f t="shared" ca="1" si="24"/>
        <v>0</v>
      </c>
      <c r="I27">
        <f t="shared" ca="1" si="25"/>
        <v>0</v>
      </c>
      <c r="J27">
        <f t="shared" ca="1" si="9"/>
        <v>0</v>
      </c>
      <c r="K27">
        <f ca="1">IF(OR($C27="S",$C27=0),0,MATCH(OFFSET($D27,0,$C27)+IF($C27&lt;&gt;1,1,COUNTIF(QCI!$A$13:$A$24,ORÇAMENTO!E27)),OFFSET($D27,1,$C27,ROW($C$51)-ROW($C27)),0))</f>
        <v>0</v>
      </c>
      <c r="L27" s="116" t="str">
        <f t="shared" ca="1" si="26"/>
        <v/>
      </c>
      <c r="M27" s="117" t="s">
        <v>198</v>
      </c>
      <c r="N27" s="118" t="str">
        <f t="shared" ca="1" si="27"/>
        <v>Serviço</v>
      </c>
      <c r="O27" s="119" t="str">
        <f t="shared" ca="1" si="28"/>
        <v>-</v>
      </c>
      <c r="P27" s="120" t="s">
        <v>246</v>
      </c>
      <c r="Q27" s="121" t="s">
        <v>501</v>
      </c>
      <c r="R27" s="122" t="str">
        <f ca="1">IF($C27="S",REFERENCIA.Descricao,"(digite a descrição aqui)")</f>
        <v>(abra o arquivo 'Referência 05-Friday.xlsm)</v>
      </c>
      <c r="S27" s="123" t="str">
        <f ca="1">REFERENCIA.Unidade</f>
        <v>-</v>
      </c>
      <c r="T27" s="124">
        <f ca="1">OFFSET(CÁLCULO!H$15,ROW($T27)-ROW(T$15),0)</f>
        <v>12</v>
      </c>
      <c r="U27" s="125">
        <f t="shared" ca="1" si="17"/>
        <v>0</v>
      </c>
      <c r="V27" s="126" t="s">
        <v>156</v>
      </c>
      <c r="W27" s="124">
        <f ca="1">IF($C27="S",ROUND(IF(TIPOORCAMENTO="Proposto",ORÇAMENTO.CustoUnitario*(1+$AH27),ORÇAMENTO.PrecoUnitarioLicitado),15-13*$AF$10),0)</f>
        <v>0</v>
      </c>
      <c r="X27" s="127">
        <f ca="1">IF($C27="S",IF(Import.TipoArredondamento&lt;&gt;"TransfereGOV",VTOTAL1,SUM(OFFSET(CÁLCULO!$AA$15,ROW($X27)-ROW($X$15),1):OFFSET(CÁLCULO!$AL$15,ROW($X27)-ROW($X$15),-1))),IF($C27=0,0,ROUND(SomaAgrup,15-13*$AF$11)))</f>
        <v>0</v>
      </c>
      <c r="Y27" s="128" t="s">
        <v>244</v>
      </c>
      <c r="Z27" t="str">
        <f t="shared" ca="1" si="29"/>
        <v/>
      </c>
      <c r="AA27" s="129">
        <f ca="1">IF($C27="S",IF($Z27="CP",$X27,IF($Z27="RA",(($X27)*QCI!$AA$3),0)),SomaAgrup)</f>
        <v>0</v>
      </c>
      <c r="AB27" s="130">
        <f t="shared" ca="1" si="30"/>
        <v>0</v>
      </c>
      <c r="AC27" s="131" t="str">
        <f ca="1">IF($N27="","",IF(ORÇAMENTO.Descricao="","DESCRIÇÃO",IF(AND($C27="S",ORÇAMENTO.Unidade=""),"UNIDADE",IF($X27&lt;0,"VALOR NEGATIVO",IF(OR(AND(TIPOORCAMENTO="Proposto",$AG27&lt;&gt;"",$AG27&gt;0,ORÇAMENTO.CustoUnitario&gt;$AG27),AND(TIPOORCAMENTO="LICITADO",ORÇAMENTO.PrecoUnitarioLicitado&gt;$AN27)),"ACIMA REF.","")))))</f>
        <v/>
      </c>
      <c r="AD27" t="str">
        <f ca="1">IF(C27&lt;=CRONO.NivelExibicao,MAX($AD$15:OFFSET(AD27,-1,0))+IF($C27&lt;&gt;1,1,MAX(1,COUNTIF(QCI!$A$13:$A$24,OFFSET($E27,-1,0)))),"")</f>
        <v/>
      </c>
      <c r="AE27" s="7" t="str">
        <f ca="1">IF(AND($C27="S",ORÇAMENTO.CodBarra&lt;&gt;""),IF(ORÇAMENTO.Fonte="",ORÇAMENTO.CodBarra,CONCATENATE(ORÇAMENTO.Fonte," ",ORÇAMENTO.CodBarra)))</f>
        <v>SINAPI 95565</v>
      </c>
      <c r="AF27" s="13" t="str">
        <f ca="1">IF(ISERROR(INDIRECT(ORÇAMENTO.BancoRef)),"(abra o arquivo 'Referência "&amp;Excel_BuiltIn_Database&amp;".xlsm)",IF(OR($C27&lt;&gt;"S",ORÇAMENTO.CodBarra=""),"(Sem Código)",IF(ISERROR(MATCH($AE27,INDIRECT(ORÇAMENTO.BancoRef),0)),"(Código não identificado nas referências)",MATCH($AE27,INDIRECT(ORÇAMENTO.BancoRef),0))))</f>
        <v>(abra o arquivo 'Referência 05-Friday.xlsm)</v>
      </c>
      <c r="AG27" s="485">
        <f ca="1">ROUND(IF(DESONERACAO="sim",REFERENCIA.Desonerado,REFERENCIA.NaoDesonerado),2)</f>
        <v>0</v>
      </c>
      <c r="AH27" s="486">
        <f t="shared" ca="1" si="31"/>
        <v>0.23760000000000001</v>
      </c>
      <c r="AJ27" s="488">
        <v>46</v>
      </c>
      <c r="AL27" s="505"/>
      <c r="AM27" s="379">
        <f t="shared" ca="1" si="0"/>
        <v>0</v>
      </c>
      <c r="AN27" s="543">
        <f t="shared" ca="1" si="32"/>
        <v>0</v>
      </c>
    </row>
    <row r="28" spans="1:40" ht="51" x14ac:dyDescent="0.2">
      <c r="A28" t="str">
        <f t="shared" si="18"/>
        <v>S</v>
      </c>
      <c r="B28">
        <f t="shared" ca="1" si="19"/>
        <v>2</v>
      </c>
      <c r="C28" t="str">
        <f t="shared" ca="1" si="20"/>
        <v>S</v>
      </c>
      <c r="D28">
        <f t="shared" ca="1" si="21"/>
        <v>0</v>
      </c>
      <c r="E28">
        <f ca="1">IF($C28=1,OFFSET(E28,-1,0)+MAX(1,COUNTIF(QCI!$A$13:$A$24,OFFSET(ORÇAMENTO!E28,-1,0))),OFFSET(E28,-1,0))</f>
        <v>1</v>
      </c>
      <c r="F28">
        <f t="shared" ca="1" si="22"/>
        <v>2</v>
      </c>
      <c r="G28">
        <f t="shared" ca="1" si="23"/>
        <v>0</v>
      </c>
      <c r="H28">
        <f t="shared" ca="1" si="24"/>
        <v>0</v>
      </c>
      <c r="I28">
        <f t="shared" ca="1" si="25"/>
        <v>0</v>
      </c>
      <c r="J28">
        <f t="shared" ca="1" si="9"/>
        <v>0</v>
      </c>
      <c r="K28">
        <f ca="1">IF(OR($C28="S",$C28=0),0,MATCH(OFFSET($D28,0,$C28)+IF($C28&lt;&gt;1,1,COUNTIF(QCI!$A$13:$A$24,ORÇAMENTO!E28)),OFFSET($D28,1,$C28,ROW($C$51)-ROW($C28)),0))</f>
        <v>0</v>
      </c>
      <c r="L28" s="116" t="str">
        <f t="shared" ca="1" si="26"/>
        <v/>
      </c>
      <c r="M28" s="117" t="s">
        <v>198</v>
      </c>
      <c r="N28" s="118" t="str">
        <f t="shared" ca="1" si="27"/>
        <v>Serviço</v>
      </c>
      <c r="O28" s="119" t="str">
        <f t="shared" ca="1" si="28"/>
        <v>-</v>
      </c>
      <c r="P28" s="120" t="s">
        <v>246</v>
      </c>
      <c r="Q28" s="121" t="s">
        <v>502</v>
      </c>
      <c r="R28" s="122" t="str">
        <f ca="1">IF($C28="S",REFERENCIA.Descricao,"(digite a descrição aqui)")</f>
        <v>(abra o arquivo 'Referência 05-Friday.xlsm)</v>
      </c>
      <c r="S28" s="123" t="str">
        <f ca="1">REFERENCIA.Unidade</f>
        <v>-</v>
      </c>
      <c r="T28" s="124">
        <f ca="1">OFFSET(CÁLCULO!H$15,ROW($T28)-ROW(T$15),0)</f>
        <v>49</v>
      </c>
      <c r="U28" s="125">
        <f t="shared" ca="1" si="17"/>
        <v>0</v>
      </c>
      <c r="V28" s="126" t="s">
        <v>156</v>
      </c>
      <c r="W28" s="124">
        <f ca="1">IF($C28="S",ROUND(IF(TIPOORCAMENTO="Proposto",ORÇAMENTO.CustoUnitario*(1+$AH28),ORÇAMENTO.PrecoUnitarioLicitado),15-13*$AF$10),0)</f>
        <v>0</v>
      </c>
      <c r="X28" s="127">
        <f ca="1">IF($C28="S",IF(Import.TipoArredondamento&lt;&gt;"TransfereGOV",VTOTAL1,SUM(OFFSET(CÁLCULO!$AA$15,ROW($X28)-ROW($X$15),1):OFFSET(CÁLCULO!$AL$15,ROW($X28)-ROW($X$15),-1))),IF($C28=0,0,ROUND(SomaAgrup,15-13*$AF$11)))</f>
        <v>0</v>
      </c>
      <c r="Y28" s="128" t="s">
        <v>244</v>
      </c>
      <c r="Z28" t="str">
        <f t="shared" ca="1" si="29"/>
        <v/>
      </c>
      <c r="AA28" s="129">
        <f ca="1">IF($C28="S",IF($Z28="CP",$X28,IF($Z28="RA",(($X28)*QCI!$AA$3),0)),SomaAgrup)</f>
        <v>0</v>
      </c>
      <c r="AB28" s="130">
        <f t="shared" ca="1" si="30"/>
        <v>0</v>
      </c>
      <c r="AC28" s="131" t="str">
        <f ca="1">IF($N28="","",IF(ORÇAMENTO.Descricao="","DESCRIÇÃO",IF(AND($C28="S",ORÇAMENTO.Unidade=""),"UNIDADE",IF($X28&lt;0,"VALOR NEGATIVO",IF(OR(AND(TIPOORCAMENTO="Proposto",$AG28&lt;&gt;"",$AG28&gt;0,ORÇAMENTO.CustoUnitario&gt;$AG28),AND(TIPOORCAMENTO="LICITADO",ORÇAMENTO.PrecoUnitarioLicitado&gt;$AN28)),"ACIMA REF.","")))))</f>
        <v/>
      </c>
      <c r="AD28" t="str">
        <f ca="1">IF(C28&lt;=CRONO.NivelExibicao,MAX($AD$15:OFFSET(AD28,-1,0))+IF($C28&lt;&gt;1,1,MAX(1,COUNTIF(QCI!$A$13:$A$24,OFFSET($E28,-1,0)))),"")</f>
        <v/>
      </c>
      <c r="AE28" s="7" t="str">
        <f ca="1">IF(AND($C28="S",ORÇAMENTO.CodBarra&lt;&gt;""),IF(ORÇAMENTO.Fonte="",ORÇAMENTO.CodBarra,CONCATENATE(ORÇAMENTO.Fonte," ",ORÇAMENTO.CodBarra)))</f>
        <v>SINAPI 92210</v>
      </c>
      <c r="AF28" s="13" t="str">
        <f ca="1">IF(ISERROR(INDIRECT(ORÇAMENTO.BancoRef)),"(abra o arquivo 'Referência "&amp;Excel_BuiltIn_Database&amp;".xlsm)",IF(OR($C28&lt;&gt;"S",ORÇAMENTO.CodBarra=""),"(Sem Código)",IF(ISERROR(MATCH($AE28,INDIRECT(ORÇAMENTO.BancoRef),0)),"(Código não identificado nas referências)",MATCH($AE28,INDIRECT(ORÇAMENTO.BancoRef),0))))</f>
        <v>(abra o arquivo 'Referência 05-Friday.xlsm)</v>
      </c>
      <c r="AG28" s="485">
        <f ca="1">ROUND(IF(DESONERACAO="sim",REFERENCIA.Desonerado,REFERENCIA.NaoDesonerado),2)</f>
        <v>0</v>
      </c>
      <c r="AH28" s="486">
        <f t="shared" ca="1" si="31"/>
        <v>0.23760000000000001</v>
      </c>
      <c r="AJ28" s="488">
        <v>25</v>
      </c>
      <c r="AL28" s="505"/>
      <c r="AM28" s="379">
        <f t="shared" ca="1" si="0"/>
        <v>0</v>
      </c>
      <c r="AN28" s="543">
        <f t="shared" ca="1" si="32"/>
        <v>0</v>
      </c>
    </row>
    <row r="29" spans="1:40" ht="38.25" x14ac:dyDescent="0.2">
      <c r="A29" t="str">
        <f t="shared" si="18"/>
        <v>S</v>
      </c>
      <c r="B29">
        <f t="shared" ca="1" si="19"/>
        <v>2</v>
      </c>
      <c r="C29" t="str">
        <f t="shared" ca="1" si="20"/>
        <v>S</v>
      </c>
      <c r="D29">
        <f t="shared" ca="1" si="21"/>
        <v>0</v>
      </c>
      <c r="E29">
        <f ca="1">IF($C29=1,OFFSET(E29,-1,0)+MAX(1,COUNTIF(QCI!$A$13:$A$24,OFFSET(ORÇAMENTO!E29,-1,0))),OFFSET(E29,-1,0))</f>
        <v>1</v>
      </c>
      <c r="F29">
        <f t="shared" ca="1" si="22"/>
        <v>2</v>
      </c>
      <c r="G29">
        <f t="shared" ca="1" si="23"/>
        <v>0</v>
      </c>
      <c r="H29">
        <f t="shared" ca="1" si="24"/>
        <v>0</v>
      </c>
      <c r="I29">
        <f t="shared" ca="1" si="25"/>
        <v>0</v>
      </c>
      <c r="J29">
        <f t="shared" ca="1" si="9"/>
        <v>0</v>
      </c>
      <c r="K29">
        <f ca="1">IF(OR($C29="S",$C29=0),0,MATCH(OFFSET($D29,0,$C29)+IF($C29&lt;&gt;1,1,COUNTIF(QCI!$A$13:$A$24,ORÇAMENTO!E29)),OFFSET($D29,1,$C29,ROW($C$51)-ROW($C29)),0))</f>
        <v>0</v>
      </c>
      <c r="L29" s="116" t="str">
        <f t="shared" ca="1" si="26"/>
        <v/>
      </c>
      <c r="M29" s="117" t="s">
        <v>198</v>
      </c>
      <c r="N29" s="118" t="str">
        <f t="shared" ca="1" si="27"/>
        <v>Serviço</v>
      </c>
      <c r="O29" s="119" t="str">
        <f t="shared" ca="1" si="28"/>
        <v>-</v>
      </c>
      <c r="P29" s="120" t="s">
        <v>246</v>
      </c>
      <c r="Q29" s="121" t="s">
        <v>503</v>
      </c>
      <c r="R29" s="122" t="str">
        <f ca="1">IF($C29="S",REFERENCIA.Descricao,"(digite a descrição aqui)")</f>
        <v>(abra o arquivo 'Referência 05-Friday.xlsm)</v>
      </c>
      <c r="S29" s="123" t="str">
        <f ca="1">REFERENCIA.Unidade</f>
        <v>-</v>
      </c>
      <c r="T29" s="124">
        <f ca="1">OFFSET(CÁLCULO!H$15,ROW($T29)-ROW(T$15),0)</f>
        <v>2</v>
      </c>
      <c r="U29" s="125">
        <f t="shared" ca="1" si="17"/>
        <v>0</v>
      </c>
      <c r="V29" s="126" t="s">
        <v>156</v>
      </c>
      <c r="W29" s="124">
        <f ca="1">IF($C29="S",ROUND(IF(TIPOORCAMENTO="Proposto",ORÇAMENTO.CustoUnitario*(1+$AH29),ORÇAMENTO.PrecoUnitarioLicitado),15-13*$AF$10),0)</f>
        <v>0</v>
      </c>
      <c r="X29" s="127">
        <f ca="1">IF($C29="S",IF(Import.TipoArredondamento&lt;&gt;"TransfereGOV",VTOTAL1,SUM(OFFSET(CÁLCULO!$AA$15,ROW($X29)-ROW($X$15),1):OFFSET(CÁLCULO!$AL$15,ROW($X29)-ROW($X$15),-1))),IF($C29=0,0,ROUND(SomaAgrup,15-13*$AF$11)))</f>
        <v>0</v>
      </c>
      <c r="Y29" s="128" t="s">
        <v>244</v>
      </c>
      <c r="Z29" t="str">
        <f t="shared" ca="1" si="29"/>
        <v/>
      </c>
      <c r="AA29" s="129">
        <f ca="1">IF($C29="S",IF($Z29="CP",$X29,IF($Z29="RA",(($X29)*QCI!$AA$3),0)),SomaAgrup)</f>
        <v>0</v>
      </c>
      <c r="AB29" s="130">
        <f t="shared" ca="1" si="30"/>
        <v>0</v>
      </c>
      <c r="AC29" s="131" t="str">
        <f ca="1">IF($N29="","",IF(ORÇAMENTO.Descricao="","DESCRIÇÃO",IF(AND($C29="S",ORÇAMENTO.Unidade=""),"UNIDADE",IF($X29&lt;0,"VALOR NEGATIVO",IF(OR(AND(TIPOORCAMENTO="Proposto",$AG29&lt;&gt;"",$AG29&gt;0,ORÇAMENTO.CustoUnitario&gt;$AG29),AND(TIPOORCAMENTO="LICITADO",ORÇAMENTO.PrecoUnitarioLicitado&gt;$AN29)),"ACIMA REF.","")))))</f>
        <v/>
      </c>
      <c r="AD29" t="str">
        <f ca="1">IF(C29&lt;=CRONO.NivelExibicao,MAX($AD$15:OFFSET(AD29,-1,0))+IF($C29&lt;&gt;1,1,MAX(1,COUNTIF(QCI!$A$13:$A$24,OFFSET($E29,-1,0)))),"")</f>
        <v/>
      </c>
      <c r="AE29" s="7" t="str">
        <f ca="1">IF(AND($C29="S",ORÇAMENTO.CodBarra&lt;&gt;""),IF(ORÇAMENTO.Fonte="",ORÇAMENTO.CodBarra,CONCATENATE(ORÇAMENTO.Fonte," ",ORÇAMENTO.CodBarra)))</f>
        <v>SINAPI 97951</v>
      </c>
      <c r="AF29" s="13" t="str">
        <f ca="1">IF(ISERROR(INDIRECT(ORÇAMENTO.BancoRef)),"(abra o arquivo 'Referência "&amp;Excel_BuiltIn_Database&amp;".xlsm)",IF(OR($C29&lt;&gt;"S",ORÇAMENTO.CodBarra=""),"(Sem Código)",IF(ISERROR(MATCH($AE29,INDIRECT(ORÇAMENTO.BancoRef),0)),"(Código não identificado nas referências)",MATCH($AE29,INDIRECT(ORÇAMENTO.BancoRef),0))))</f>
        <v>(abra o arquivo 'Referência 05-Friday.xlsm)</v>
      </c>
      <c r="AG29" s="485">
        <f ca="1">ROUND(IF(DESONERACAO="sim",REFERENCIA.Desonerado,REFERENCIA.NaoDesonerado),2)</f>
        <v>0</v>
      </c>
      <c r="AH29" s="486">
        <f t="shared" ca="1" si="31"/>
        <v>0.23760000000000001</v>
      </c>
      <c r="AJ29" s="488">
        <v>3</v>
      </c>
      <c r="AL29" s="505"/>
      <c r="AM29" s="379">
        <f t="shared" ca="1" si="0"/>
        <v>0</v>
      </c>
      <c r="AN29" s="543">
        <f t="shared" ca="1" si="32"/>
        <v>0</v>
      </c>
    </row>
    <row r="30" spans="1:40" ht="38.25" x14ac:dyDescent="0.2">
      <c r="A30" t="str">
        <f t="shared" si="18"/>
        <v>S</v>
      </c>
      <c r="B30">
        <f t="shared" ca="1" si="19"/>
        <v>2</v>
      </c>
      <c r="C30" t="str">
        <f t="shared" ca="1" si="20"/>
        <v>S</v>
      </c>
      <c r="D30">
        <f t="shared" ca="1" si="21"/>
        <v>0</v>
      </c>
      <c r="E30">
        <f ca="1">IF($C30=1,OFFSET(E30,-1,0)+MAX(1,COUNTIF(QCI!$A$13:$A$24,OFFSET(ORÇAMENTO!E30,-1,0))),OFFSET(E30,-1,0))</f>
        <v>1</v>
      </c>
      <c r="F30">
        <f t="shared" ca="1" si="22"/>
        <v>2</v>
      </c>
      <c r="G30">
        <f t="shared" ca="1" si="23"/>
        <v>0</v>
      </c>
      <c r="H30">
        <f t="shared" ca="1" si="24"/>
        <v>0</v>
      </c>
      <c r="I30">
        <f t="shared" ca="1" si="25"/>
        <v>0</v>
      </c>
      <c r="J30">
        <f t="shared" ca="1" si="9"/>
        <v>0</v>
      </c>
      <c r="K30">
        <f ca="1">IF(OR($C30="S",$C30=0),0,MATCH(OFFSET($D30,0,$C30)+IF($C30&lt;&gt;1,1,COUNTIF(QCI!$A$13:$A$24,ORÇAMENTO!E30)),OFFSET($D30,1,$C30,ROW($C$51)-ROW($C30)),0))</f>
        <v>0</v>
      </c>
      <c r="L30" s="116" t="str">
        <f t="shared" ca="1" si="26"/>
        <v/>
      </c>
      <c r="M30" s="117" t="s">
        <v>198</v>
      </c>
      <c r="N30" s="118" t="str">
        <f t="shared" ca="1" si="27"/>
        <v>Serviço</v>
      </c>
      <c r="O30" s="119" t="str">
        <f t="shared" ca="1" si="28"/>
        <v>-</v>
      </c>
      <c r="P30" s="120" t="s">
        <v>486</v>
      </c>
      <c r="Q30" s="121" t="s">
        <v>504</v>
      </c>
      <c r="R30" s="122" t="str">
        <f ca="1">IF($C30="S",REFERENCIA.Descricao,"(digite a descrição aqui)")</f>
        <v>(abra o arquivo 'Referência 05-Friday.xlsm)</v>
      </c>
      <c r="S30" s="123" t="str">
        <f ca="1">REFERENCIA.Unidade</f>
        <v>-</v>
      </c>
      <c r="T30" s="124">
        <f ca="1">OFFSET(CÁLCULO!H$15,ROW($T30)-ROW(T$15),0)</f>
        <v>3</v>
      </c>
      <c r="U30" s="125">
        <f t="shared" ca="1" si="17"/>
        <v>0</v>
      </c>
      <c r="V30" s="126" t="s">
        <v>156</v>
      </c>
      <c r="W30" s="124">
        <f ca="1">IF($C30="S",ROUND(IF(TIPOORCAMENTO="Proposto",ORÇAMENTO.CustoUnitario*(1+$AH30),ORÇAMENTO.PrecoUnitarioLicitado),15-13*$AF$10),0)</f>
        <v>0</v>
      </c>
      <c r="X30" s="127">
        <f ca="1">IF($C30="S",IF(Import.TipoArredondamento&lt;&gt;"TransfereGOV",VTOTAL1,SUM(OFFSET(CÁLCULO!$AA$15,ROW($X30)-ROW($X$15),1):OFFSET(CÁLCULO!$AL$15,ROW($X30)-ROW($X$15),-1))),IF($C30=0,0,ROUND(SomaAgrup,15-13*$AF$11)))</f>
        <v>0</v>
      </c>
      <c r="Y30" s="128" t="s">
        <v>244</v>
      </c>
      <c r="Z30" t="str">
        <f t="shared" ca="1" si="29"/>
        <v/>
      </c>
      <c r="AA30" s="129">
        <f ca="1">IF($C30="S",IF($Z30="CP",$X30,IF($Z30="RA",(($X30)*QCI!$AA$3),0)),SomaAgrup)</f>
        <v>0</v>
      </c>
      <c r="AB30" s="130">
        <f t="shared" ca="1" si="30"/>
        <v>0</v>
      </c>
      <c r="AC30" s="131" t="str">
        <f ca="1">IF($N30="","",IF(ORÇAMENTO.Descricao="","DESCRIÇÃO",IF(AND($C30="S",ORÇAMENTO.Unidade=""),"UNIDADE",IF($X30&lt;0,"VALOR NEGATIVO",IF(OR(AND(TIPOORCAMENTO="Proposto",$AG30&lt;&gt;"",$AG30&gt;0,ORÇAMENTO.CustoUnitario&gt;$AG30),AND(TIPOORCAMENTO="LICITADO",ORÇAMENTO.PrecoUnitarioLicitado&gt;$AN30)),"ACIMA REF.","")))))</f>
        <v/>
      </c>
      <c r="AD30" t="str">
        <f ca="1">IF(C30&lt;=CRONO.NivelExibicao,MAX($AD$15:OFFSET(AD30,-1,0))+IF($C30&lt;&gt;1,1,MAX(1,COUNTIF(QCI!$A$13:$A$24,OFFSET($E30,-1,0)))),"")</f>
        <v/>
      </c>
      <c r="AE30" s="7" t="str">
        <f ca="1">IF(AND($C30="S",ORÇAMENTO.CodBarra&lt;&gt;""),IF(ORÇAMENTO.Fonte="",ORÇAMENTO.CodBarra,CONCATENATE(ORÇAMENTO.Fonte," ",ORÇAMENTO.CodBarra)))</f>
        <v>Composição 33</v>
      </c>
      <c r="AF30" s="13" t="str">
        <f ca="1">IF(ISERROR(INDIRECT(ORÇAMENTO.BancoRef)),"(abra o arquivo 'Referência "&amp;Excel_BuiltIn_Database&amp;".xlsm)",IF(OR($C30&lt;&gt;"S",ORÇAMENTO.CodBarra=""),"(Sem Código)",IF(ISERROR(MATCH($AE30,INDIRECT(ORÇAMENTO.BancoRef),0)),"(Código não identificado nas referências)",MATCH($AE30,INDIRECT(ORÇAMENTO.BancoRef),0))))</f>
        <v>(abra o arquivo 'Referência 05-Friday.xlsm)</v>
      </c>
      <c r="AG30" s="485">
        <f ca="1">ROUND(IF(DESONERACAO="sim",REFERENCIA.Desonerado,REFERENCIA.NaoDesonerado),2)</f>
        <v>0</v>
      </c>
      <c r="AH30" s="486">
        <f t="shared" ca="1" si="31"/>
        <v>0.23760000000000001</v>
      </c>
      <c r="AJ30" s="488">
        <v>2</v>
      </c>
      <c r="AL30" s="505"/>
      <c r="AM30" s="379">
        <f t="shared" ca="1" si="0"/>
        <v>0</v>
      </c>
      <c r="AN30" s="543">
        <f t="shared" ca="1" si="32"/>
        <v>0</v>
      </c>
    </row>
    <row r="31" spans="1:40" ht="25.5" x14ac:dyDescent="0.2">
      <c r="A31" t="str">
        <f t="shared" si="18"/>
        <v>S</v>
      </c>
      <c r="B31">
        <f t="shared" ca="1" si="19"/>
        <v>2</v>
      </c>
      <c r="C31" t="str">
        <f t="shared" ca="1" si="20"/>
        <v>S</v>
      </c>
      <c r="D31">
        <f t="shared" ca="1" si="21"/>
        <v>0</v>
      </c>
      <c r="E31">
        <f ca="1">IF($C31=1,OFFSET(E31,-1,0)+MAX(1,COUNTIF(QCI!$A$13:$A$24,OFFSET(ORÇAMENTO!E31,-1,0))),OFFSET(E31,-1,0))</f>
        <v>1</v>
      </c>
      <c r="F31">
        <f t="shared" ca="1" si="22"/>
        <v>2</v>
      </c>
      <c r="G31">
        <f t="shared" ca="1" si="23"/>
        <v>0</v>
      </c>
      <c r="H31">
        <f t="shared" ca="1" si="24"/>
        <v>0</v>
      </c>
      <c r="I31">
        <f t="shared" ca="1" si="25"/>
        <v>0</v>
      </c>
      <c r="J31">
        <f t="shared" ca="1" si="9"/>
        <v>0</v>
      </c>
      <c r="K31">
        <f ca="1">IF(OR($C31="S",$C31=0),0,MATCH(OFFSET($D31,0,$C31)+IF($C31&lt;&gt;1,1,COUNTIF(QCI!$A$13:$A$24,ORÇAMENTO!E31)),OFFSET($D31,1,$C31,ROW($C$51)-ROW($C31)),0))</f>
        <v>0</v>
      </c>
      <c r="L31" s="116" t="str">
        <f t="shared" ca="1" si="26"/>
        <v/>
      </c>
      <c r="M31" s="117" t="s">
        <v>198</v>
      </c>
      <c r="N31" s="118" t="str">
        <f t="shared" ca="1" si="27"/>
        <v>Serviço</v>
      </c>
      <c r="O31" s="119" t="str">
        <f t="shared" ca="1" si="28"/>
        <v>-</v>
      </c>
      <c r="P31" s="120" t="s">
        <v>486</v>
      </c>
      <c r="Q31" s="121" t="s">
        <v>492</v>
      </c>
      <c r="R31" s="122" t="str">
        <f ca="1">IF($C31="S",REFERENCIA.Descricao,"(digite a descrição aqui)")</f>
        <v>(abra o arquivo 'Referência 05-Friday.xlsm)</v>
      </c>
      <c r="S31" s="123" t="str">
        <f ca="1">REFERENCIA.Unidade</f>
        <v>-</v>
      </c>
      <c r="T31" s="124">
        <f ca="1">OFFSET(CÁLCULO!H$15,ROW($T31)-ROW(T$15),0)</f>
        <v>5</v>
      </c>
      <c r="U31" s="125">
        <f t="shared" ca="1" si="17"/>
        <v>0</v>
      </c>
      <c r="V31" s="126" t="s">
        <v>156</v>
      </c>
      <c r="W31" s="124">
        <f ca="1">IF($C31="S",ROUND(IF(TIPOORCAMENTO="Proposto",ORÇAMENTO.CustoUnitario*(1+$AH31),ORÇAMENTO.PrecoUnitarioLicitado),15-13*$AF$10),0)</f>
        <v>0</v>
      </c>
      <c r="X31" s="127">
        <f ca="1">IF($C31="S",IF(Import.TipoArredondamento&lt;&gt;"TransfereGOV",VTOTAL1,SUM(OFFSET(CÁLCULO!$AA$15,ROW($X31)-ROW($X$15),1):OFFSET(CÁLCULO!$AL$15,ROW($X31)-ROW($X$15),-1))),IF($C31=0,0,ROUND(SomaAgrup,15-13*$AF$11)))</f>
        <v>0</v>
      </c>
      <c r="Y31" s="128" t="s">
        <v>244</v>
      </c>
      <c r="Z31" t="str">
        <f t="shared" ca="1" si="29"/>
        <v/>
      </c>
      <c r="AA31" s="129">
        <f ca="1">IF($C31="S",IF($Z31="CP",$X31,IF($Z31="RA",(($X31)*QCI!$AA$3),0)),SomaAgrup)</f>
        <v>0</v>
      </c>
      <c r="AB31" s="130">
        <f t="shared" ca="1" si="30"/>
        <v>0</v>
      </c>
      <c r="AC31" s="131" t="str">
        <f ca="1">IF($N31="","",IF(ORÇAMENTO.Descricao="","DESCRIÇÃO",IF(AND($C31="S",ORÇAMENTO.Unidade=""),"UNIDADE",IF($X31&lt;0,"VALOR NEGATIVO",IF(OR(AND(TIPOORCAMENTO="Proposto",$AG31&lt;&gt;"",$AG31&gt;0,ORÇAMENTO.CustoUnitario&gt;$AG31),AND(TIPOORCAMENTO="LICITADO",ORÇAMENTO.PrecoUnitarioLicitado&gt;$AN31)),"ACIMA REF.","")))))</f>
        <v/>
      </c>
      <c r="AD31" t="str">
        <f ca="1">IF(C31&lt;=CRONO.NivelExibicao,MAX($AD$15:OFFSET(AD31,-1,0))+IF($C31&lt;&gt;1,1,MAX(1,COUNTIF(QCI!$A$13:$A$24,OFFSET($E31,-1,0)))),"")</f>
        <v/>
      </c>
      <c r="AE31" s="7" t="str">
        <f ca="1">IF(AND($C31="S",ORÇAMENTO.CodBarra&lt;&gt;""),IF(ORÇAMENTO.Fonte="",ORÇAMENTO.CodBarra,CONCATENATE(ORÇAMENTO.Fonte," ",ORÇAMENTO.CodBarra)))</f>
        <v>Composição 30</v>
      </c>
      <c r="AF31" s="13" t="str">
        <f ca="1">IF(ISERROR(INDIRECT(ORÇAMENTO.BancoRef)),"(abra o arquivo 'Referência "&amp;Excel_BuiltIn_Database&amp;".xlsm)",IF(OR($C31&lt;&gt;"S",ORÇAMENTO.CodBarra=""),"(Sem Código)",IF(ISERROR(MATCH($AE31,INDIRECT(ORÇAMENTO.BancoRef),0)),"(Código não identificado nas referências)",MATCH($AE31,INDIRECT(ORÇAMENTO.BancoRef),0))))</f>
        <v>(abra o arquivo 'Referência 05-Friday.xlsm)</v>
      </c>
      <c r="AG31" s="485">
        <f ca="1">ROUND(IF(DESONERACAO="sim",REFERENCIA.Desonerado,REFERENCIA.NaoDesonerado),2)</f>
        <v>0</v>
      </c>
      <c r="AH31" s="486">
        <f t="shared" ca="1" si="31"/>
        <v>0.23760000000000001</v>
      </c>
      <c r="AJ31" s="488">
        <v>14</v>
      </c>
      <c r="AL31" s="505"/>
      <c r="AM31" s="379">
        <f t="shared" ca="1" si="0"/>
        <v>0</v>
      </c>
      <c r="AN31" s="543">
        <f t="shared" ca="1" si="32"/>
        <v>0</v>
      </c>
    </row>
    <row r="32" spans="1:40" ht="63.75" x14ac:dyDescent="0.2">
      <c r="A32" t="str">
        <f t="shared" si="18"/>
        <v>S</v>
      </c>
      <c r="B32">
        <f t="shared" ca="1" si="19"/>
        <v>2</v>
      </c>
      <c r="C32" t="str">
        <f t="shared" ca="1" si="20"/>
        <v>S</v>
      </c>
      <c r="D32">
        <f t="shared" ca="1" si="21"/>
        <v>0</v>
      </c>
      <c r="E32">
        <f ca="1">IF($C32=1,OFFSET(E32,-1,0)+MAX(1,COUNTIF(QCI!$A$13:$A$24,OFFSET(ORÇAMENTO!E32,-1,0))),OFFSET(E32,-1,0))</f>
        <v>1</v>
      </c>
      <c r="F32">
        <f t="shared" ca="1" si="22"/>
        <v>2</v>
      </c>
      <c r="G32">
        <f t="shared" ca="1" si="23"/>
        <v>0</v>
      </c>
      <c r="H32">
        <f t="shared" ca="1" si="24"/>
        <v>0</v>
      </c>
      <c r="I32">
        <f t="shared" ca="1" si="25"/>
        <v>0</v>
      </c>
      <c r="J32">
        <f t="shared" ca="1" si="9"/>
        <v>0</v>
      </c>
      <c r="K32">
        <f ca="1">IF(OR($C32="S",$C32=0),0,MATCH(OFFSET($D32,0,$C32)+IF($C32&lt;&gt;1,1,COUNTIF(QCI!$A$13:$A$24,ORÇAMENTO!E32)),OFFSET($D32,1,$C32,ROW($C$51)-ROW($C32)),0))</f>
        <v>0</v>
      </c>
      <c r="L32" s="116" t="str">
        <f t="shared" ca="1" si="26"/>
        <v/>
      </c>
      <c r="M32" s="117" t="s">
        <v>198</v>
      </c>
      <c r="N32" s="118" t="str">
        <f t="shared" ca="1" si="27"/>
        <v>Serviço</v>
      </c>
      <c r="O32" s="119" t="str">
        <f t="shared" ca="1" si="28"/>
        <v>-</v>
      </c>
      <c r="P32" s="120" t="s">
        <v>246</v>
      </c>
      <c r="Q32" s="121" t="s">
        <v>505</v>
      </c>
      <c r="R32" s="122" t="str">
        <f ca="1">IF($C32="S",REFERENCIA.Descricao,"(digite a descrição aqui)")</f>
        <v>(abra o arquivo 'Referência 05-Friday.xlsm)</v>
      </c>
      <c r="S32" s="123" t="str">
        <f ca="1">REFERENCIA.Unidade</f>
        <v>-</v>
      </c>
      <c r="T32" s="124">
        <f ca="1">OFFSET(CÁLCULO!H$15,ROW($T32)-ROW(T$15),0)</f>
        <v>80.98</v>
      </c>
      <c r="U32" s="125">
        <f t="shared" ca="1" si="17"/>
        <v>0</v>
      </c>
      <c r="V32" s="126" t="s">
        <v>156</v>
      </c>
      <c r="W32" s="124">
        <f ca="1">IF($C32="S",ROUND(IF(TIPOORCAMENTO="Proposto",ORÇAMENTO.CustoUnitario*(1+$AH32),ORÇAMENTO.PrecoUnitarioLicitado),15-13*$AF$10),0)</f>
        <v>0</v>
      </c>
      <c r="X32" s="127">
        <f ca="1">IF($C32="S",IF(Import.TipoArredondamento&lt;&gt;"TransfereGOV",VTOTAL1,SUM(OFFSET(CÁLCULO!$AA$15,ROW($X32)-ROW($X$15),1):OFFSET(CÁLCULO!$AL$15,ROW($X32)-ROW($X$15),-1))),IF($C32=0,0,ROUND(SomaAgrup,15-13*$AF$11)))</f>
        <v>0</v>
      </c>
      <c r="Y32" s="128" t="s">
        <v>244</v>
      </c>
      <c r="Z32" t="str">
        <f t="shared" ca="1" si="29"/>
        <v/>
      </c>
      <c r="AA32" s="129">
        <f ca="1">IF($C32="S",IF($Z32="CP",$X32,IF($Z32="RA",(($X32)*QCI!$AA$3),0)),SomaAgrup)</f>
        <v>0</v>
      </c>
      <c r="AB32" s="130">
        <f t="shared" ca="1" si="30"/>
        <v>0</v>
      </c>
      <c r="AC32" s="131" t="str">
        <f ca="1">IF($N32="","",IF(ORÇAMENTO.Descricao="","DESCRIÇÃO",IF(AND($C32="S",ORÇAMENTO.Unidade=""),"UNIDADE",IF($X32&lt;0,"VALOR NEGATIVO",IF(OR(AND(TIPOORCAMENTO="Proposto",$AG32&lt;&gt;"",$AG32&gt;0,ORÇAMENTO.CustoUnitario&gt;$AG32),AND(TIPOORCAMENTO="LICITADO",ORÇAMENTO.PrecoUnitarioLicitado&gt;$AN32)),"ACIMA REF.","")))))</f>
        <v/>
      </c>
      <c r="AD32" t="str">
        <f ca="1">IF(C32&lt;=CRONO.NivelExibicao,MAX($AD$15:OFFSET(AD32,-1,0))+IF($C32&lt;&gt;1,1,MAX(1,COUNTIF(QCI!$A$13:$A$24,OFFSET($E32,-1,0)))),"")</f>
        <v/>
      </c>
      <c r="AE32" s="7" t="str">
        <f ca="1">IF(AND($C32="S",ORÇAMENTO.CodBarra&lt;&gt;""),IF(ORÇAMENTO.Fonte="",ORÇAMENTO.CodBarra,CONCATENATE(ORÇAMENTO.Fonte," ",ORÇAMENTO.CodBarra)))</f>
        <v>SINAPI 93379</v>
      </c>
      <c r="AF32" s="13" t="str">
        <f ca="1">IF(ISERROR(INDIRECT(ORÇAMENTO.BancoRef)),"(abra o arquivo 'Referência "&amp;Excel_BuiltIn_Database&amp;".xlsm)",IF(OR($C32&lt;&gt;"S",ORÇAMENTO.CodBarra=""),"(Sem Código)",IF(ISERROR(MATCH($AE32,INDIRECT(ORÇAMENTO.BancoRef),0)),"(Código não identificado nas referências)",MATCH($AE32,INDIRECT(ORÇAMENTO.BancoRef),0))))</f>
        <v>(abra o arquivo 'Referência 05-Friday.xlsm)</v>
      </c>
      <c r="AG32" s="485">
        <f ca="1">ROUND(IF(DESONERACAO="sim",REFERENCIA.Desonerado,REFERENCIA.NaoDesonerado),2)</f>
        <v>0</v>
      </c>
      <c r="AH32" s="486">
        <f t="shared" ca="1" si="31"/>
        <v>0.23760000000000001</v>
      </c>
      <c r="AJ32" s="488">
        <v>100.11</v>
      </c>
      <c r="AL32" s="505"/>
      <c r="AM32" s="379">
        <f t="shared" ca="1" si="0"/>
        <v>0</v>
      </c>
      <c r="AN32" s="543">
        <f t="shared" ca="1" si="32"/>
        <v>0</v>
      </c>
    </row>
    <row r="33" spans="1:40" x14ac:dyDescent="0.2">
      <c r="A33">
        <f t="shared" si="18"/>
        <v>2</v>
      </c>
      <c r="B33">
        <f t="shared" ca="1" si="19"/>
        <v>2</v>
      </c>
      <c r="C33">
        <f t="shared" ca="1" si="20"/>
        <v>2</v>
      </c>
      <c r="D33">
        <f t="shared" ca="1" si="21"/>
        <v>10</v>
      </c>
      <c r="E33">
        <f ca="1">IF($C33=1,OFFSET(E33,-1,0)+MAX(1,COUNTIF(QCI!$A$13:$A$24,OFFSET(ORÇAMENTO!E33,-1,0))),OFFSET(E33,-1,0))</f>
        <v>1</v>
      </c>
      <c r="F33">
        <f t="shared" ca="1" si="22"/>
        <v>3</v>
      </c>
      <c r="G33">
        <f t="shared" ca="1" si="23"/>
        <v>0</v>
      </c>
      <c r="H33">
        <f t="shared" ca="1" si="24"/>
        <v>0</v>
      </c>
      <c r="I33">
        <f t="shared" ca="1" si="25"/>
        <v>0</v>
      </c>
      <c r="J33">
        <f t="shared" ca="1" si="9"/>
        <v>18</v>
      </c>
      <c r="K33">
        <f ca="1">IF(OR($C33="S",$C33=0),0,MATCH(OFFSET($D33,0,$C33)+IF($C33&lt;&gt;1,1,COUNTIF(QCI!$A$13:$A$24,ORÇAMENTO!E33)),OFFSET($D33,1,$C33,ROW($C$51)-ROW($C33)),0))</f>
        <v>10</v>
      </c>
      <c r="L33" s="116" t="str">
        <f t="shared" ca="1" si="26"/>
        <v>F</v>
      </c>
      <c r="M33" s="117" t="s">
        <v>195</v>
      </c>
      <c r="N33" s="118" t="str">
        <f t="shared" ca="1" si="27"/>
        <v>Nível 2</v>
      </c>
      <c r="O33" s="119" t="str">
        <f t="shared" ca="1" si="28"/>
        <v>1.3.</v>
      </c>
      <c r="P33" s="120" t="s">
        <v>246</v>
      </c>
      <c r="Q33" s="121"/>
      <c r="R33" s="122" t="s">
        <v>491</v>
      </c>
      <c r="S33" s="123" t="str">
        <f ca="1">REFERENCIA.Unidade</f>
        <v>-</v>
      </c>
      <c r="T33" s="124">
        <f ca="1">OFFSET(CÁLCULO!H$15,ROW($T33)-ROW(T$15),0)</f>
        <v>0</v>
      </c>
      <c r="U33" s="125">
        <f t="shared" ca="1" si="17"/>
        <v>0</v>
      </c>
      <c r="V33" s="126" t="s">
        <v>156</v>
      </c>
      <c r="W33" s="124">
        <f ca="1">IF($C33="S",ROUND(IF(TIPOORCAMENTO="Proposto",ORÇAMENTO.CustoUnitario*(1+$AH33),ORÇAMENTO.PrecoUnitarioLicitado),15-13*$AF$10),0)</f>
        <v>0</v>
      </c>
      <c r="X33" s="127">
        <f ca="1">IF($C33="S",IF(Import.TipoArredondamento&lt;&gt;"TransfereGOV",VTOTAL1,SUM(OFFSET(CÁLCULO!$AA$15,ROW($X33)-ROW($X$15),1):OFFSET(CÁLCULO!$AL$15,ROW($X33)-ROW($X$15),-1))),IF($C33=0,0,ROUND(SomaAgrup,15-13*$AF$11)))</f>
        <v>0</v>
      </c>
      <c r="Y33" s="128" t="s">
        <v>244</v>
      </c>
      <c r="Z33" t="str">
        <f t="shared" ca="1" si="29"/>
        <v/>
      </c>
      <c r="AA33" s="129">
        <f ca="1">IF($C33="S",IF($Z33="CP",$X33,IF($Z33="RA",(($X33)*QCI!$AA$3),0)),SomaAgrup)</f>
        <v>0</v>
      </c>
      <c r="AB33" s="130">
        <f t="shared" ca="1" si="30"/>
        <v>0</v>
      </c>
      <c r="AC33" s="131" t="str">
        <f ca="1">IF($N33="","",IF(ORÇAMENTO.Descricao="","DESCRIÇÃO",IF(AND($C33="S",ORÇAMENTO.Unidade=""),"UNIDADE",IF($X33&lt;0,"VALOR NEGATIVO",IF(OR(AND(TIPOORCAMENTO="Proposto",$AG33&lt;&gt;"",$AG33&gt;0,ORÇAMENTO.CustoUnitario&gt;$AG33),AND(TIPOORCAMENTO="LICITADO",ORÇAMENTO.PrecoUnitarioLicitado&gt;$AN33)),"ACIMA REF.","")))))</f>
        <v/>
      </c>
      <c r="AD33">
        <f ca="1">IF(C33&lt;=CRONO.NivelExibicao,MAX($AD$15:OFFSET(AD33,-1,0))+IF($C33&lt;&gt;1,1,MAX(1,COUNTIF(QCI!$A$13:$A$24,OFFSET($E33,-1,0)))),"")</f>
        <v>4</v>
      </c>
      <c r="AE33" s="7" t="b">
        <f ca="1">IF(AND($C33="S",ORÇAMENTO.CodBarra&lt;&gt;""),IF(ORÇAMENTO.Fonte="",ORÇAMENTO.CodBarra,CONCATENATE(ORÇAMENTO.Fonte," ",ORÇAMENTO.CodBarra)))</f>
        <v>0</v>
      </c>
      <c r="AF33" s="13" t="str">
        <f ca="1">IF(ISERROR(INDIRECT(ORÇAMENTO.BancoRef)),"(abra o arquivo 'Referência "&amp;Excel_BuiltIn_Database&amp;".xlsm)",IF(OR($C33&lt;&gt;"S",ORÇAMENTO.CodBarra=""),"(Sem Código)",IF(ISERROR(MATCH($AE33,INDIRECT(ORÇAMENTO.BancoRef),0)),"(Código não identificado nas referências)",MATCH($AE33,INDIRECT(ORÇAMENTO.BancoRef),0))))</f>
        <v>(abra o arquivo 'Referência 05-Friday.xlsm)</v>
      </c>
      <c r="AG33" s="485">
        <f ca="1">ROUND(IF(DESONERACAO="sim",REFERENCIA.Desonerado,REFERENCIA.NaoDesonerado),2)</f>
        <v>0</v>
      </c>
      <c r="AH33" s="486">
        <f t="shared" ca="1" si="31"/>
        <v>0.23760000000000001</v>
      </c>
      <c r="AJ33" s="488"/>
      <c r="AL33" s="505"/>
      <c r="AM33" s="379">
        <f t="shared" ca="1" si="0"/>
        <v>0</v>
      </c>
      <c r="AN33" s="543">
        <f t="shared" ca="1" si="32"/>
        <v>0</v>
      </c>
    </row>
    <row r="34" spans="1:40" ht="51" x14ac:dyDescent="0.2">
      <c r="A34" t="str">
        <f t="shared" si="18"/>
        <v>S</v>
      </c>
      <c r="B34">
        <f t="shared" ca="1" si="19"/>
        <v>2</v>
      </c>
      <c r="C34" t="str">
        <f t="shared" ca="1" si="20"/>
        <v>S</v>
      </c>
      <c r="D34">
        <f t="shared" ca="1" si="21"/>
        <v>0</v>
      </c>
      <c r="E34">
        <f ca="1">IF($C34=1,OFFSET(E34,-1,0)+MAX(1,COUNTIF(QCI!$A$13:$A$24,OFFSET(ORÇAMENTO!E34,-1,0))),OFFSET(E34,-1,0))</f>
        <v>1</v>
      </c>
      <c r="F34">
        <f t="shared" ca="1" si="22"/>
        <v>3</v>
      </c>
      <c r="G34">
        <f t="shared" ca="1" si="23"/>
        <v>0</v>
      </c>
      <c r="H34">
        <f t="shared" ca="1" si="24"/>
        <v>0</v>
      </c>
      <c r="I34">
        <f t="shared" ca="1" si="25"/>
        <v>0</v>
      </c>
      <c r="J34">
        <f t="shared" ca="1" si="9"/>
        <v>0</v>
      </c>
      <c r="K34">
        <f ca="1">IF(OR($C34="S",$C34=0),0,MATCH(OFFSET($D34,0,$C34)+IF($C34&lt;&gt;1,1,COUNTIF(QCI!$A$13:$A$24,ORÇAMENTO!E34)),OFFSET($D34,1,$C34,ROW($C$51)-ROW($C34)),0))</f>
        <v>0</v>
      </c>
      <c r="L34" s="116" t="str">
        <f t="shared" ca="1" si="26"/>
        <v/>
      </c>
      <c r="M34" s="117" t="s">
        <v>198</v>
      </c>
      <c r="N34" s="118" t="str">
        <f t="shared" ca="1" si="27"/>
        <v>Serviço</v>
      </c>
      <c r="O34" s="119" t="str">
        <f t="shared" ca="1" si="28"/>
        <v>-</v>
      </c>
      <c r="P34" s="120" t="s">
        <v>246</v>
      </c>
      <c r="Q34" s="121" t="s">
        <v>512</v>
      </c>
      <c r="R34" s="122" t="str">
        <f ca="1">IF($C34="S",REFERENCIA.Descricao,"(digite a descrição aqui)")</f>
        <v>(abra o arquivo 'Referência 05-Friday.xlsm)</v>
      </c>
      <c r="S34" s="123" t="str">
        <f ca="1">REFERENCIA.Unidade</f>
        <v>-</v>
      </c>
      <c r="T34" s="124">
        <f ca="1">OFFSET(CÁLCULO!H$15,ROW($T34)-ROW(T$15),0)</f>
        <v>22</v>
      </c>
      <c r="U34" s="125">
        <f t="shared" ca="1" si="17"/>
        <v>0</v>
      </c>
      <c r="V34" s="126" t="s">
        <v>156</v>
      </c>
      <c r="W34" s="124">
        <f ca="1">IF($C34="S",ROUND(IF(TIPOORCAMENTO="Proposto",ORÇAMENTO.CustoUnitario*(1+$AH34),ORÇAMENTO.PrecoUnitarioLicitado),15-13*$AF$10),0)</f>
        <v>0</v>
      </c>
      <c r="X34" s="127">
        <f ca="1">IF($C34="S",IF(Import.TipoArredondamento&lt;&gt;"TransfereGOV",VTOTAL1,SUM(OFFSET(CÁLCULO!$AA$15,ROW($X34)-ROW($X$15),1):OFFSET(CÁLCULO!$AL$15,ROW($X34)-ROW($X$15),-1))),IF($C34=0,0,ROUND(SomaAgrup,15-13*$AF$11)))</f>
        <v>0</v>
      </c>
      <c r="Y34" s="128" t="s">
        <v>244</v>
      </c>
      <c r="Z34" t="str">
        <f t="shared" ca="1" si="29"/>
        <v/>
      </c>
      <c r="AA34" s="129">
        <f ca="1">IF($C34="S",IF($Z34="CP",$X34,IF($Z34="RA",(($X34)*QCI!$AA$3),0)),SomaAgrup)</f>
        <v>0</v>
      </c>
      <c r="AB34" s="130">
        <f t="shared" ca="1" si="30"/>
        <v>0</v>
      </c>
      <c r="AC34" s="131" t="str">
        <f ca="1">IF($N34="","",IF(ORÇAMENTO.Descricao="","DESCRIÇÃO",IF(AND($C34="S",ORÇAMENTO.Unidade=""),"UNIDADE",IF($X34&lt;0,"VALOR NEGATIVO",IF(OR(AND(TIPOORCAMENTO="Proposto",$AG34&lt;&gt;"",$AG34&gt;0,ORÇAMENTO.CustoUnitario&gt;$AG34),AND(TIPOORCAMENTO="LICITADO",ORÇAMENTO.PrecoUnitarioLicitado&gt;$AN34)),"ACIMA REF.","")))))</f>
        <v/>
      </c>
      <c r="AD34" t="str">
        <f ca="1">IF(C34&lt;=CRONO.NivelExibicao,MAX($AD$15:OFFSET(AD34,-1,0))+IF($C34&lt;&gt;1,1,MAX(1,COUNTIF(QCI!$A$13:$A$24,OFFSET($E34,-1,0)))),"")</f>
        <v/>
      </c>
      <c r="AE34" s="7" t="str">
        <f ca="1">IF(AND($C34="S",ORÇAMENTO.CodBarra&lt;&gt;""),IF(ORÇAMENTO.Fonte="",ORÇAMENTO.CodBarra,CONCATENATE(ORÇAMENTO.Fonte," ",ORÇAMENTO.CodBarra)))</f>
        <v>SINAPI 94275</v>
      </c>
      <c r="AF34" s="13" t="str">
        <f ca="1">IF(ISERROR(INDIRECT(ORÇAMENTO.BancoRef)),"(abra o arquivo 'Referência "&amp;Excel_BuiltIn_Database&amp;".xlsm)",IF(OR($C34&lt;&gt;"S",ORÇAMENTO.CodBarra=""),"(Sem Código)",IF(ISERROR(MATCH($AE34,INDIRECT(ORÇAMENTO.BancoRef),0)),"(Código não identificado nas referências)",MATCH($AE34,INDIRECT(ORÇAMENTO.BancoRef),0))))</f>
        <v>(abra o arquivo 'Referência 05-Friday.xlsm)</v>
      </c>
      <c r="AG34" s="485">
        <f ca="1">ROUND(IF(DESONERACAO="sim",REFERENCIA.Desonerado,REFERENCIA.NaoDesonerado),2)</f>
        <v>0</v>
      </c>
      <c r="AH34" s="486">
        <f t="shared" ca="1" si="31"/>
        <v>0.23760000000000001</v>
      </c>
      <c r="AJ34" s="488">
        <v>32.5</v>
      </c>
      <c r="AL34" s="505"/>
      <c r="AM34" s="379">
        <f t="shared" ca="1" si="0"/>
        <v>0</v>
      </c>
      <c r="AN34" s="543">
        <f t="shared" ca="1" si="32"/>
        <v>0</v>
      </c>
    </row>
    <row r="35" spans="1:40" ht="51" x14ac:dyDescent="0.2">
      <c r="A35" t="str">
        <f>CHOOSE(1+LOG(1+2*(ORÇAMENTO.Nivel="Meta")+4*(ORÇAMENTO.Nivel="Nível 2")+8*(ORÇAMENTO.Nivel="Nível 3")+16*(ORÇAMENTO.Nivel="Nível 4")+32*(ORÇAMENTO.Nivel="Serviço"),2),0,1,2,3,4,"S")</f>
        <v>S</v>
      </c>
      <c r="B35">
        <f ca="1">IF(OR(C35="s",C35=0),OFFSET(B35,-1,0),C35)</f>
        <v>2</v>
      </c>
      <c r="C35" t="str">
        <f ca="1">IF(OFFSET(C35,-1,0)="L",1,IF(OFFSET(C35,-1,0)=1,2,IF(OR(A35="s",A35=0),"S",IF(AND(OFFSET(C35,-1,0)=2,A35=4),3,IF(AND(OR(OFFSET(C35,-1,0)="s",OFFSET(C35,-1,0)=0),A35&lt;&gt;"s",A35&gt;OFFSET(B35,-1,0)),OFFSET(B35,-1,0),A35)))))</f>
        <v>S</v>
      </c>
      <c r="D35">
        <f ca="1">IF(OR(C35="S",C35=0),0,IF(ISERROR(K35),J35,SMALL(J35:K35,1)))</f>
        <v>0</v>
      </c>
      <c r="E35">
        <f ca="1">IF($C35=1,OFFSET(E35,-1,0)+MAX(1,COUNTIF(QCI!$A$13:$A$24,OFFSET(ORÇAMENTO!E35,-1,0))),OFFSET(E35,-1,0))</f>
        <v>1</v>
      </c>
      <c r="F35">
        <f ca="1">IF($C35=1,0,IF($C35=2,OFFSET(F35,-1,0)+1,OFFSET(F35,-1,0)))</f>
        <v>3</v>
      </c>
      <c r="G35">
        <f ca="1">IF(AND($C35&lt;=2,$C35&lt;&gt;0),0,IF($C35=3,OFFSET(G35,-1,0)+1,OFFSET(G35,-1,0)))</f>
        <v>0</v>
      </c>
      <c r="H35">
        <f ca="1">IF(AND($C35&lt;=3,$C35&lt;&gt;0),0,IF($C35=4,OFFSET(H35,-1,0)+1,OFFSET(H35,-1,0)))</f>
        <v>0</v>
      </c>
      <c r="I35">
        <f ca="1">IF(AND($C35&lt;=4,$C35&lt;&gt;0),0,IF(AND($C35="S",$X35&gt;0),OFFSET(I35,-1,0)+1,OFFSET(I35,-1,0)))</f>
        <v>0</v>
      </c>
      <c r="J35">
        <f t="shared" ca="1" si="9"/>
        <v>0</v>
      </c>
      <c r="K35">
        <f ca="1">IF(OR($C35="S",$C35=0),0,MATCH(OFFSET($D35,0,$C35)+IF($C35&lt;&gt;1,1,COUNTIF(QCI!$A$13:$A$24,ORÇAMENTO!E35)),OFFSET($D35,1,$C35,ROW($C$51)-ROW($C35)),0))</f>
        <v>0</v>
      </c>
      <c r="L35" s="116" t="str">
        <f ca="1">IF(OR($X35&gt;0,$C35=1,$C35=2,$C35=3,$C35=4),"F","")</f>
        <v/>
      </c>
      <c r="M35" s="117" t="s">
        <v>198</v>
      </c>
      <c r="N35" s="118" t="str">
        <f ca="1">CHOOSE(1+LOG(1+2*(C35=1)+4*(C35=2)+8*(C35=3)+16*(C35=4)+32*(C35="S"),2),"","Meta","Nível 2","Nível 3","Nível 4","Serviço")</f>
        <v>Serviço</v>
      </c>
      <c r="O35" s="119" t="str">
        <f ca="1">IF(OR($C35=0,$L35=""),"-",CONCATENATE(E35&amp;".",IF(AND($A$5&gt;=2,$C35&gt;=2),F35&amp;".",""),IF(AND($A$5&gt;=3,$C35&gt;=3),G35&amp;".",""),IF(AND($A$5&gt;=4,$C35&gt;=4),H35&amp;".",""),IF($C35="S",I35&amp;".","")))</f>
        <v>-</v>
      </c>
      <c r="P35" s="120" t="s">
        <v>246</v>
      </c>
      <c r="Q35" s="121" t="s">
        <v>508</v>
      </c>
      <c r="R35" s="122" t="str">
        <f ca="1">IF($C35="S",REFERENCIA.Descricao,"(digite a descrição aqui)")</f>
        <v>(abra o arquivo 'Referência 05-Friday.xlsm)</v>
      </c>
      <c r="S35" s="123" t="str">
        <f ca="1">REFERENCIA.Unidade</f>
        <v>-</v>
      </c>
      <c r="T35" s="124">
        <f ca="1">OFFSET(CÁLCULO!H$15,ROW($T35)-ROW(T$15),0)</f>
        <v>12.2</v>
      </c>
      <c r="U35" s="125">
        <f t="shared" ca="1" si="17"/>
        <v>0</v>
      </c>
      <c r="V35" s="126" t="s">
        <v>156</v>
      </c>
      <c r="W35" s="124">
        <f ca="1">IF($C35="S",ROUND(IF(TIPOORCAMENTO="Proposto",ORÇAMENTO.CustoUnitario*(1+$AH35),ORÇAMENTO.PrecoUnitarioLicitado),15-13*$AF$10),0)</f>
        <v>0</v>
      </c>
      <c r="X35" s="127">
        <f ca="1">IF($C35="S",IF(Import.TipoArredondamento&lt;&gt;"TransfereGOV",VTOTAL1,SUM(OFFSET(CÁLCULO!$AA$15,ROW($X35)-ROW($X$15),1):OFFSET(CÁLCULO!$AL$15,ROW($X35)-ROW($X$15),-1))),IF($C35=0,0,ROUND(SomaAgrup,15-13*$AF$11)))</f>
        <v>0</v>
      </c>
      <c r="Y35" s="128" t="s">
        <v>244</v>
      </c>
      <c r="Z35" t="str">
        <f ca="1">IF(AND($C35="S",$X35&gt;0),IF(ISBLANK($Y35),"RA",LEFT($Y35,2)),"")</f>
        <v/>
      </c>
      <c r="AA35" s="129">
        <f ca="1">IF($C35="S",IF($Z35="CP",$X35,IF($Z35="RA",(($X35)*QCI!$AA$3),0)),SomaAgrup)</f>
        <v>0</v>
      </c>
      <c r="AB35" s="130">
        <f ca="1">IF($C35="S",IF($Z35="OU",ROUND($X35,2),0),SomaAgrup)</f>
        <v>0</v>
      </c>
      <c r="AC35" s="131" t="str">
        <f ca="1">IF($N35="","",IF(ORÇAMENTO.Descricao="","DESCRIÇÃO",IF(AND($C35="S",ORÇAMENTO.Unidade=""),"UNIDADE",IF($X35&lt;0,"VALOR NEGATIVO",IF(OR(AND(TIPOORCAMENTO="Proposto",$AG35&lt;&gt;"",$AG35&gt;0,ORÇAMENTO.CustoUnitario&gt;$AG35),AND(TIPOORCAMENTO="LICITADO",ORÇAMENTO.PrecoUnitarioLicitado&gt;$AN35)),"ACIMA REF.","")))))</f>
        <v/>
      </c>
      <c r="AD35" t="str">
        <f ca="1">IF(C35&lt;=CRONO.NivelExibicao,MAX($AD$15:OFFSET(AD35,-1,0))+IF($C35&lt;&gt;1,1,MAX(1,COUNTIF(QCI!$A$13:$A$24,OFFSET($E35,-1,0)))),"")</f>
        <v/>
      </c>
      <c r="AE35" s="7" t="str">
        <f ca="1">IF(AND($C35="S",ORÇAMENTO.CodBarra&lt;&gt;""),IF(ORÇAMENTO.Fonte="",ORÇAMENTO.CodBarra,CONCATENATE(ORÇAMENTO.Fonte," ",ORÇAMENTO.CodBarra)))</f>
        <v>SINAPI 96392</v>
      </c>
      <c r="AF35" s="13" t="str">
        <f ca="1">IF(ISERROR(INDIRECT(ORÇAMENTO.BancoRef)),"(abra o arquivo 'Referência "&amp;Excel_BuiltIn_Database&amp;".xlsm)",IF(OR($C35&lt;&gt;"S",ORÇAMENTO.CodBarra=""),"(Sem Código)",IF(ISERROR(MATCH($AE35,INDIRECT(ORÇAMENTO.BancoRef),0)),"(Código não identificado nas referências)",MATCH($AE35,INDIRECT(ORÇAMENTO.BancoRef),0))))</f>
        <v>(abra o arquivo 'Referência 05-Friday.xlsm)</v>
      </c>
      <c r="AG35" s="485">
        <f ca="1">ROUND(IF(DESONERACAO="sim",REFERENCIA.Desonerado,REFERENCIA.NaoDesonerado),2)</f>
        <v>0</v>
      </c>
      <c r="AH35" s="486">
        <f ca="1">ROUND(IF(ISNUMBER(ORÇAMENTO.OpcaoBDI),ORÇAMENTO.OpcaoBDI,IF(LEFT(ORÇAMENTO.OpcaoBDI,3)="BDI",HLOOKUP(ORÇAMENTO.OpcaoBDI,$F$4:$H$5,2,FALSE),0)),15-11*$AF$9)</f>
        <v>0.23760000000000001</v>
      </c>
      <c r="AJ35" s="488">
        <v>14.2</v>
      </c>
      <c r="AL35" s="505"/>
      <c r="AM35" s="379">
        <f t="shared" ca="1" si="0"/>
        <v>0</v>
      </c>
      <c r="AN35" s="543">
        <f ca="1">ROUND(ORÇAMENTO.CustoUnitario*(1+$AH35),2)</f>
        <v>0</v>
      </c>
    </row>
    <row r="36" spans="1:40" ht="38.25" x14ac:dyDescent="0.2">
      <c r="A36" t="str">
        <f t="shared" si="18"/>
        <v>S</v>
      </c>
      <c r="B36">
        <f t="shared" ca="1" si="19"/>
        <v>2</v>
      </c>
      <c r="C36" t="str">
        <f t="shared" ca="1" si="20"/>
        <v>S</v>
      </c>
      <c r="D36">
        <f t="shared" ca="1" si="21"/>
        <v>0</v>
      </c>
      <c r="E36">
        <f ca="1">IF($C36=1,OFFSET(E36,-1,0)+MAX(1,COUNTIF(QCI!$A$13:$A$24,OFFSET(ORÇAMENTO!E36,-1,0))),OFFSET(E36,-1,0))</f>
        <v>1</v>
      </c>
      <c r="F36">
        <f t="shared" ca="1" si="22"/>
        <v>3</v>
      </c>
      <c r="G36">
        <f t="shared" ca="1" si="23"/>
        <v>0</v>
      </c>
      <c r="H36">
        <f t="shared" ca="1" si="24"/>
        <v>0</v>
      </c>
      <c r="I36">
        <f t="shared" ca="1" si="25"/>
        <v>0</v>
      </c>
      <c r="J36">
        <f t="shared" ca="1" si="9"/>
        <v>0</v>
      </c>
      <c r="K36">
        <f ca="1">IF(OR($C36="S",$C36=0),0,MATCH(OFFSET($D36,0,$C36)+IF($C36&lt;&gt;1,1,COUNTIF(QCI!$A$13:$A$24,ORÇAMENTO!E36)),OFFSET($D36,1,$C36,ROW($C$51)-ROW($C36)),0))</f>
        <v>0</v>
      </c>
      <c r="L36" s="116" t="str">
        <f t="shared" ca="1" si="26"/>
        <v/>
      </c>
      <c r="M36" s="117" t="s">
        <v>198</v>
      </c>
      <c r="N36" s="118" t="str">
        <f t="shared" ca="1" si="27"/>
        <v>Serviço</v>
      </c>
      <c r="O36" s="119" t="str">
        <f t="shared" ca="1" si="28"/>
        <v>-</v>
      </c>
      <c r="P36" s="120" t="s">
        <v>246</v>
      </c>
      <c r="Q36" s="121" t="s">
        <v>509</v>
      </c>
      <c r="R36" s="122" t="str">
        <f ca="1">IF($C36="S",REFERENCIA.Descricao,"(digite a descrição aqui)")</f>
        <v>(abra o arquivo 'Referência 05-Friday.xlsm)</v>
      </c>
      <c r="S36" s="123" t="str">
        <f ca="1">REFERENCIA.Unidade</f>
        <v>-</v>
      </c>
      <c r="T36" s="124">
        <f ca="1">OFFSET(CÁLCULO!H$15,ROW($T36)-ROW(T$15),0)</f>
        <v>61</v>
      </c>
      <c r="U36" s="125">
        <f t="shared" ca="1" si="17"/>
        <v>0</v>
      </c>
      <c r="V36" s="126" t="s">
        <v>156</v>
      </c>
      <c r="W36" s="124">
        <f ca="1">IF($C36="S",ROUND(IF(TIPOORCAMENTO="Proposto",ORÇAMENTO.CustoUnitario*(1+$AH36),ORÇAMENTO.PrecoUnitarioLicitado),15-13*$AF$10),0)</f>
        <v>0</v>
      </c>
      <c r="X36" s="127">
        <f ca="1">IF($C36="S",IF(Import.TipoArredondamento&lt;&gt;"TransfereGOV",VTOTAL1,SUM(OFFSET(CÁLCULO!$AA$15,ROW($X36)-ROW($X$15),1):OFFSET(CÁLCULO!$AL$15,ROW($X36)-ROW($X$15),-1))),IF($C36=0,0,ROUND(SomaAgrup,15-13*$AF$11)))</f>
        <v>0</v>
      </c>
      <c r="Y36" s="128" t="s">
        <v>244</v>
      </c>
      <c r="Z36" t="str">
        <f t="shared" ca="1" si="29"/>
        <v/>
      </c>
      <c r="AA36" s="129">
        <f ca="1">IF($C36="S",IF($Z36="CP",$X36,IF($Z36="RA",(($X36)*QCI!$AA$3),0)),SomaAgrup)</f>
        <v>0</v>
      </c>
      <c r="AB36" s="130">
        <f t="shared" ca="1" si="30"/>
        <v>0</v>
      </c>
      <c r="AC36" s="131" t="str">
        <f ca="1">IF($N36="","",IF(ORÇAMENTO.Descricao="","DESCRIÇÃO",IF(AND($C36="S",ORÇAMENTO.Unidade=""),"UNIDADE",IF($X36&lt;0,"VALOR NEGATIVO",IF(OR(AND(TIPOORCAMENTO="Proposto",$AG36&lt;&gt;"",$AG36&gt;0,ORÇAMENTO.CustoUnitario&gt;$AG36),AND(TIPOORCAMENTO="LICITADO",ORÇAMENTO.PrecoUnitarioLicitado&gt;$AN36)),"ACIMA REF.","")))))</f>
        <v/>
      </c>
      <c r="AD36" t="str">
        <f ca="1">IF(C36&lt;=CRONO.NivelExibicao,MAX($AD$15:OFFSET(AD36,-1,0))+IF($C36&lt;&gt;1,1,MAX(1,COUNTIF(QCI!$A$13:$A$24,OFFSET($E36,-1,0)))),"")</f>
        <v/>
      </c>
      <c r="AE36" s="7" t="str">
        <f ca="1">IF(AND($C36="S",ORÇAMENTO.CodBarra&lt;&gt;""),IF(ORÇAMENTO.Fonte="",ORÇAMENTO.CodBarra,CONCATENATE(ORÇAMENTO.Fonte," ",ORÇAMENTO.CodBarra)))</f>
        <v>SINAPI 95875</v>
      </c>
      <c r="AF36" s="13" t="str">
        <f ca="1">IF(ISERROR(INDIRECT(ORÇAMENTO.BancoRef)),"(abra o arquivo 'Referência "&amp;Excel_BuiltIn_Database&amp;".xlsm)",IF(OR($C36&lt;&gt;"S",ORÇAMENTO.CodBarra=""),"(Sem Código)",IF(ISERROR(MATCH($AE36,INDIRECT(ORÇAMENTO.BancoRef),0)),"(Código não identificado nas referências)",MATCH($AE36,INDIRECT(ORÇAMENTO.BancoRef),0))))</f>
        <v>(abra o arquivo 'Referência 05-Friday.xlsm)</v>
      </c>
      <c r="AG36" s="485">
        <f ca="1">ROUND(IF(DESONERACAO="sim",REFERENCIA.Desonerado,REFERENCIA.NaoDesonerado),2)</f>
        <v>0</v>
      </c>
      <c r="AH36" s="486">
        <f t="shared" ca="1" si="31"/>
        <v>0.23760000000000001</v>
      </c>
      <c r="AJ36" s="488">
        <v>71</v>
      </c>
      <c r="AL36" s="505"/>
      <c r="AM36" s="379">
        <f t="shared" ca="1" si="0"/>
        <v>0</v>
      </c>
      <c r="AN36" s="543">
        <f t="shared" ca="1" si="32"/>
        <v>0</v>
      </c>
    </row>
    <row r="37" spans="1:40" ht="25.5" x14ac:dyDescent="0.2">
      <c r="A37" t="str">
        <f t="shared" si="18"/>
        <v>S</v>
      </c>
      <c r="B37">
        <f t="shared" ca="1" si="19"/>
        <v>2</v>
      </c>
      <c r="C37" t="str">
        <f t="shared" ca="1" si="20"/>
        <v>S</v>
      </c>
      <c r="D37">
        <f t="shared" ca="1" si="21"/>
        <v>0</v>
      </c>
      <c r="E37">
        <f ca="1">IF($C37=1,OFFSET(E37,-1,0)+MAX(1,COUNTIF(QCI!$A$13:$A$24,OFFSET(ORÇAMENTO!E37,-1,0))),OFFSET(E37,-1,0))</f>
        <v>1</v>
      </c>
      <c r="F37">
        <f t="shared" ca="1" si="22"/>
        <v>3</v>
      </c>
      <c r="G37">
        <f t="shared" ca="1" si="23"/>
        <v>0</v>
      </c>
      <c r="H37">
        <f t="shared" ca="1" si="24"/>
        <v>0</v>
      </c>
      <c r="I37">
        <f t="shared" ca="1" si="25"/>
        <v>0</v>
      </c>
      <c r="J37">
        <f t="shared" ca="1" si="9"/>
        <v>0</v>
      </c>
      <c r="K37">
        <f ca="1">IF(OR($C37="S",$C37=0),0,MATCH(OFFSET($D37,0,$C37)+IF($C37&lt;&gt;1,1,COUNTIF(QCI!$A$13:$A$24,ORÇAMENTO!E37)),OFFSET($D37,1,$C37,ROW($C$51)-ROW($C37)),0))</f>
        <v>0</v>
      </c>
      <c r="L37" s="116" t="str">
        <f t="shared" ca="1" si="26"/>
        <v/>
      </c>
      <c r="M37" s="117" t="s">
        <v>198</v>
      </c>
      <c r="N37" s="118" t="str">
        <f t="shared" ca="1" si="27"/>
        <v>Serviço</v>
      </c>
      <c r="O37" s="119" t="str">
        <f t="shared" ca="1" si="28"/>
        <v>-</v>
      </c>
      <c r="P37" s="120" t="s">
        <v>246</v>
      </c>
      <c r="Q37" s="121" t="s">
        <v>488</v>
      </c>
      <c r="R37" s="122" t="str">
        <f ca="1">IF($C37="S",REFERENCIA.Descricao,"(digite a descrição aqui)")</f>
        <v>(abra o arquivo 'Referência 05-Friday.xlsm)</v>
      </c>
      <c r="S37" s="123" t="str">
        <f ca="1">REFERENCIA.Unidade</f>
        <v>-</v>
      </c>
      <c r="T37" s="124">
        <f ca="1">OFFSET(CÁLCULO!H$15,ROW($T37)-ROW(T$15),0)</f>
        <v>1536</v>
      </c>
      <c r="U37" s="125">
        <f t="shared" ca="1" si="17"/>
        <v>0</v>
      </c>
      <c r="V37" s="126" t="s">
        <v>156</v>
      </c>
      <c r="W37" s="124">
        <f ca="1">IF($C37="S",ROUND(IF(TIPOORCAMENTO="Proposto",ORÇAMENTO.CustoUnitario*(1+$AH37),ORÇAMENTO.PrecoUnitarioLicitado),15-13*$AF$10),0)</f>
        <v>0</v>
      </c>
      <c r="X37" s="127">
        <f ca="1">IF($C37="S",IF(Import.TipoArredondamento&lt;&gt;"TransfereGOV",VTOTAL1,SUM(OFFSET(CÁLCULO!$AA$15,ROW($X37)-ROW($X$15),1):OFFSET(CÁLCULO!$AL$15,ROW($X37)-ROW($X$15),-1))),IF($C37=0,0,ROUND(SomaAgrup,15-13*$AF$11)))</f>
        <v>0</v>
      </c>
      <c r="Y37" s="128" t="s">
        <v>244</v>
      </c>
      <c r="Z37" t="str">
        <f t="shared" ca="1" si="29"/>
        <v/>
      </c>
      <c r="AA37" s="129">
        <f ca="1">IF($C37="S",IF($Z37="CP",$X37,IF($Z37="RA",(($X37)*QCI!$AA$3),0)),SomaAgrup)</f>
        <v>0</v>
      </c>
      <c r="AB37" s="130">
        <f t="shared" ca="1" si="30"/>
        <v>0</v>
      </c>
      <c r="AC37" s="131" t="str">
        <f ca="1">IF($N37="","",IF(ORÇAMENTO.Descricao="","DESCRIÇÃO",IF(AND($C37="S",ORÇAMENTO.Unidade=""),"UNIDADE",IF($X37&lt;0,"VALOR NEGATIVO",IF(OR(AND(TIPOORCAMENTO="Proposto",$AG37&lt;&gt;"",$AG37&gt;0,ORÇAMENTO.CustoUnitario&gt;$AG37),AND(TIPOORCAMENTO="LICITADO",ORÇAMENTO.PrecoUnitarioLicitado&gt;$AN37)),"ACIMA REF.","")))))</f>
        <v/>
      </c>
      <c r="AD37" t="str">
        <f ca="1">IF(C37&lt;=CRONO.NivelExibicao,MAX($AD$15:OFFSET(AD37,-1,0))+IF($C37&lt;&gt;1,1,MAX(1,COUNTIF(QCI!$A$13:$A$24,OFFSET($E37,-1,0)))),"")</f>
        <v/>
      </c>
      <c r="AE37" s="7" t="str">
        <f ca="1">IF(AND($C37="S",ORÇAMENTO.CodBarra&lt;&gt;""),IF(ORÇAMENTO.Fonte="",ORÇAMENTO.CodBarra,CONCATENATE(ORÇAMENTO.Fonte," ",ORÇAMENTO.CodBarra)))</f>
        <v>SINAPI 99814</v>
      </c>
      <c r="AF37" s="13" t="str">
        <f ca="1">IF(ISERROR(INDIRECT(ORÇAMENTO.BancoRef)),"(abra o arquivo 'Referência "&amp;Excel_BuiltIn_Database&amp;".xlsm)",IF(OR($C37&lt;&gt;"S",ORÇAMENTO.CodBarra=""),"(Sem Código)",IF(ISERROR(MATCH($AE37,INDIRECT(ORÇAMENTO.BancoRef),0)),"(Código não identificado nas referências)",MATCH($AE37,INDIRECT(ORÇAMENTO.BancoRef),0))))</f>
        <v>(abra o arquivo 'Referência 05-Friday.xlsm)</v>
      </c>
      <c r="AG37" s="485">
        <f ca="1">ROUND(IF(DESONERACAO="sim",REFERENCIA.Desonerado,REFERENCIA.NaoDesonerado),2)</f>
        <v>0</v>
      </c>
      <c r="AH37" s="486">
        <f t="shared" ca="1" si="31"/>
        <v>0.23760000000000001</v>
      </c>
      <c r="AJ37" s="488">
        <v>1790</v>
      </c>
      <c r="AL37" s="505"/>
      <c r="AM37" s="379">
        <f t="shared" ca="1" si="0"/>
        <v>0</v>
      </c>
      <c r="AN37" s="543">
        <f t="shared" ca="1" si="32"/>
        <v>0</v>
      </c>
    </row>
    <row r="38" spans="1:40" x14ac:dyDescent="0.2">
      <c r="A38" t="str">
        <f>CHOOSE(1+LOG(1+2*(ORÇAMENTO.Nivel="Meta")+4*(ORÇAMENTO.Nivel="Nível 2")+8*(ORÇAMENTO.Nivel="Nível 3")+16*(ORÇAMENTO.Nivel="Nível 4")+32*(ORÇAMENTO.Nivel="Serviço"),2),0,1,2,3,4,"S")</f>
        <v>S</v>
      </c>
      <c r="B38">
        <f ca="1">IF(OR(C38="s",C38=0),OFFSET(B38,-1,0),C38)</f>
        <v>2</v>
      </c>
      <c r="C38" t="str">
        <f ca="1">IF(OFFSET(C38,-1,0)="L",1,IF(OFFSET(C38,-1,0)=1,2,IF(OR(A38="s",A38=0),"S",IF(AND(OFFSET(C38,-1,0)=2,A38=4),3,IF(AND(OR(OFFSET(C38,-1,0)="s",OFFSET(C38,-1,0)=0),A38&lt;&gt;"s",A38&gt;OFFSET(B38,-1,0)),OFFSET(B38,-1,0),A38)))))</f>
        <v>S</v>
      </c>
      <c r="D38">
        <f ca="1">IF(OR(C38="S",C38=0),0,IF(ISERROR(K38),J38,SMALL(J38:K38,1)))</f>
        <v>0</v>
      </c>
      <c r="E38">
        <f ca="1">IF($C38=1,OFFSET(E38,-1,0)+MAX(1,COUNTIF(QCI!$A$13:$A$24,OFFSET(ORÇAMENTO!E38,-1,0))),OFFSET(E38,-1,0))</f>
        <v>1</v>
      </c>
      <c r="F38">
        <f ca="1">IF($C38=1,0,IF($C38=2,OFFSET(F38,-1,0)+1,OFFSET(F38,-1,0)))</f>
        <v>3</v>
      </c>
      <c r="G38">
        <f ca="1">IF(AND($C38&lt;=2,$C38&lt;&gt;0),0,IF($C38=3,OFFSET(G38,-1,0)+1,OFFSET(G38,-1,0)))</f>
        <v>0</v>
      </c>
      <c r="H38">
        <f ca="1">IF(AND($C38&lt;=3,$C38&lt;&gt;0),0,IF($C38=4,OFFSET(H38,-1,0)+1,OFFSET(H38,-1,0)))</f>
        <v>0</v>
      </c>
      <c r="I38">
        <f ca="1">IF(AND($C38&lt;=4,$C38&lt;&gt;0),0,IF(AND($C38="S",$X38&gt;0),OFFSET(I38,-1,0)+1,OFFSET(I38,-1,0)))</f>
        <v>0</v>
      </c>
      <c r="J38">
        <f t="shared" ca="1" si="9"/>
        <v>0</v>
      </c>
      <c r="K38">
        <f ca="1">IF(OR($C38="S",$C38=0),0,MATCH(OFFSET($D38,0,$C38)+IF($C38&lt;&gt;1,1,COUNTIF(QCI!$A$13:$A$24,ORÇAMENTO!E38)),OFFSET($D38,1,$C38,ROW($C$51)-ROW($C38)),0))</f>
        <v>0</v>
      </c>
      <c r="L38" s="116" t="str">
        <f ca="1">IF(OR($X38&gt;0,$C38=1,$C38=2,$C38=3,$C38=4),"F","")</f>
        <v/>
      </c>
      <c r="M38" s="117" t="s">
        <v>198</v>
      </c>
      <c r="N38" s="118" t="str">
        <f ca="1">CHOOSE(1+LOG(1+2*(C38=1)+4*(C38=2)+8*(C38=3)+16*(C38=4)+32*(C38="S"),2),"","Meta","Nível 2","Nível 3","Nível 4","Serviço")</f>
        <v>Serviço</v>
      </c>
      <c r="O38" s="119" t="str">
        <f ca="1">IF(OR($C38=0,$L38=""),"-",CONCATENATE(E38&amp;".",IF(AND($A$5&gt;=2,$C38&gt;=2),F38&amp;".",""),IF(AND($A$5&gt;=3,$C38&gt;=3),G38&amp;".",""),IF(AND($A$5&gt;=4,$C38&gt;=4),H38&amp;".",""),IF($C38="S",I38&amp;".","")))</f>
        <v>-</v>
      </c>
      <c r="P38" s="120" t="s">
        <v>499</v>
      </c>
      <c r="Q38" s="121" t="s">
        <v>517</v>
      </c>
      <c r="R38" s="122" t="str">
        <f ca="1">IF($C38="S",REFERENCIA.Descricao,"(digite a descrição aqui)")</f>
        <v>(abra o arquivo 'Referência 05-Friday.xlsm)</v>
      </c>
      <c r="S38" s="123" t="str">
        <f ca="1">REFERENCIA.Unidade</f>
        <v>-</v>
      </c>
      <c r="T38" s="124">
        <f ca="1">OFFSET(CÁLCULO!H$15,ROW($T38)-ROW(T$15),0)</f>
        <v>61</v>
      </c>
      <c r="U38" s="125">
        <f t="shared" ca="1" si="17"/>
        <v>0</v>
      </c>
      <c r="V38" s="126" t="s">
        <v>156</v>
      </c>
      <c r="W38" s="124">
        <f ca="1">IF($C38="S",ROUND(IF(TIPOORCAMENTO="Proposto",ORÇAMENTO.CustoUnitario*(1+$AH38),ORÇAMENTO.PrecoUnitarioLicitado),15-13*$AF$10),0)</f>
        <v>0</v>
      </c>
      <c r="X38" s="127">
        <f ca="1">IF($C38="S",IF(Import.TipoArredondamento&lt;&gt;"TransfereGOV",VTOTAL1,SUM(OFFSET(CÁLCULO!$AA$15,ROW($X38)-ROW($X$15),1):OFFSET(CÁLCULO!$AL$15,ROW($X38)-ROW($X$15),-1))),IF($C38=0,0,ROUND(SomaAgrup,15-13*$AF$11)))</f>
        <v>0</v>
      </c>
      <c r="Y38" s="128" t="s">
        <v>244</v>
      </c>
      <c r="Z38" t="str">
        <f ca="1">IF(AND($C38="S",$X38&gt;0),IF(ISBLANK($Y38),"RA",LEFT($Y38,2)),"")</f>
        <v/>
      </c>
      <c r="AA38" s="129">
        <f ca="1">IF($C38="S",IF($Z38="CP",$X38,IF($Z38="RA",(($X38)*QCI!$AA$3),0)),SomaAgrup)</f>
        <v>0</v>
      </c>
      <c r="AB38" s="130">
        <f ca="1">IF($C38="S",IF($Z38="OU",ROUND($X38,2),0),SomaAgrup)</f>
        <v>0</v>
      </c>
      <c r="AC38" s="131" t="str">
        <f ca="1">IF($N38="","",IF(ORÇAMENTO.Descricao="","DESCRIÇÃO",IF(AND($C38="S",ORÇAMENTO.Unidade=""),"UNIDADE",IF($X38&lt;0,"VALOR NEGATIVO",IF(OR(AND(TIPOORCAMENTO="Proposto",$AG38&lt;&gt;"",$AG38&gt;0,ORÇAMENTO.CustoUnitario&gt;$AG38),AND(TIPOORCAMENTO="LICITADO",ORÇAMENTO.PrecoUnitarioLicitado&gt;$AN38)),"ACIMA REF.","")))))</f>
        <v/>
      </c>
      <c r="AD38" t="str">
        <f ca="1">IF(C38&lt;=CRONO.NivelExibicao,MAX($AD$15:OFFSET(AD38,-1,0))+IF($C38&lt;&gt;1,1,MAX(1,COUNTIF(QCI!$A$13:$A$24,OFFSET($E38,-1,0)))),"")</f>
        <v/>
      </c>
      <c r="AE38" s="7" t="str">
        <f ca="1">IF(AND($C38="S",ORÇAMENTO.CodBarra&lt;&gt;""),IF(ORÇAMENTO.Fonte="",ORÇAMENTO.CodBarra,CONCATENATE(ORÇAMENTO.Fonte," ",ORÇAMENTO.CodBarra)))</f>
        <v>SICRO 4011352</v>
      </c>
      <c r="AF38" s="13" t="str">
        <f ca="1">IF(ISERROR(INDIRECT(ORÇAMENTO.BancoRef)),"(abra o arquivo 'Referência "&amp;Excel_BuiltIn_Database&amp;".xlsm)",IF(OR($C38&lt;&gt;"S",ORÇAMENTO.CodBarra=""),"(Sem Código)",IF(ISERROR(MATCH($AE38,INDIRECT(ORÇAMENTO.BancoRef),0)),"(Código não identificado nas referências)",MATCH($AE38,INDIRECT(ORÇAMENTO.BancoRef),0))))</f>
        <v>(abra o arquivo 'Referência 05-Friday.xlsm)</v>
      </c>
      <c r="AG38" s="485">
        <f ca="1">ROUND(IF(DESONERACAO="sim",REFERENCIA.Desonerado,REFERENCIA.NaoDesonerado),2)</f>
        <v>0</v>
      </c>
      <c r="AH38" s="486">
        <f ca="1">ROUND(IF(ISNUMBER(ORÇAMENTO.OpcaoBDI),ORÇAMENTO.OpcaoBDI,IF(LEFT(ORÇAMENTO.OpcaoBDI,3)="BDI",HLOOKUP(ORÇAMENTO.OpcaoBDI,$F$4:$H$5,2,FALSE),0)),15-11*$AF$9)</f>
        <v>0.23760000000000001</v>
      </c>
      <c r="AJ38" s="488"/>
      <c r="AL38" s="505"/>
      <c r="AM38" s="379">
        <f t="shared" ca="1" si="0"/>
        <v>0</v>
      </c>
      <c r="AN38" s="543">
        <f ca="1">ROUND(ORÇAMENTO.CustoUnitario*(1+$AH38),2)</f>
        <v>0</v>
      </c>
    </row>
    <row r="39" spans="1:40" x14ac:dyDescent="0.2">
      <c r="A39" t="str">
        <f>CHOOSE(1+LOG(1+2*(ORÇAMENTO.Nivel="Meta")+4*(ORÇAMENTO.Nivel="Nível 2")+8*(ORÇAMENTO.Nivel="Nível 3")+16*(ORÇAMENTO.Nivel="Nível 4")+32*(ORÇAMENTO.Nivel="Serviço"),2),0,1,2,3,4,"S")</f>
        <v>S</v>
      </c>
      <c r="B39">
        <f ca="1">IF(OR(C39="s",C39=0),OFFSET(B39,-1,0),C39)</f>
        <v>2</v>
      </c>
      <c r="C39" t="str">
        <f ca="1">IF(OFFSET(C39,-1,0)="L",1,IF(OFFSET(C39,-1,0)=1,2,IF(OR(A39="s",A39=0),"S",IF(AND(OFFSET(C39,-1,0)=2,A39=4),3,IF(AND(OR(OFFSET(C39,-1,0)="s",OFFSET(C39,-1,0)=0),A39&lt;&gt;"s",A39&gt;OFFSET(B39,-1,0)),OFFSET(B39,-1,0),A39)))))</f>
        <v>S</v>
      </c>
      <c r="D39">
        <f ca="1">IF(OR(C39="S",C39=0),0,IF(ISERROR(K39),J39,SMALL(J39:K39,1)))</f>
        <v>0</v>
      </c>
      <c r="E39">
        <f ca="1">IF($C39=1,OFFSET(E39,-1,0)+MAX(1,COUNTIF(QCI!$A$13:$A$24,OFFSET(ORÇAMENTO!E39,-1,0))),OFFSET(E39,-1,0))</f>
        <v>1</v>
      </c>
      <c r="F39">
        <f ca="1">IF($C39=1,0,IF($C39=2,OFFSET(F39,-1,0)+1,OFFSET(F39,-1,0)))</f>
        <v>3</v>
      </c>
      <c r="G39">
        <f ca="1">IF(AND($C39&lt;=2,$C39&lt;&gt;0),0,IF($C39=3,OFFSET(G39,-1,0)+1,OFFSET(G39,-1,0)))</f>
        <v>0</v>
      </c>
      <c r="H39">
        <f ca="1">IF(AND($C39&lt;=3,$C39&lt;&gt;0),0,IF($C39=4,OFFSET(H39,-1,0)+1,OFFSET(H39,-1,0)))</f>
        <v>0</v>
      </c>
      <c r="I39">
        <f ca="1">IF(AND($C39&lt;=4,$C39&lt;&gt;0),0,IF(AND($C39="S",$X39&gt;0),OFFSET(I39,-1,0)+1,OFFSET(I39,-1,0)))</f>
        <v>0</v>
      </c>
      <c r="J39">
        <f t="shared" ca="1" si="9"/>
        <v>0</v>
      </c>
      <c r="K39">
        <f ca="1">IF(OR($C39="S",$C39=0),0,MATCH(OFFSET($D39,0,$C39)+IF($C39&lt;&gt;1,1,COUNTIF(QCI!$A$13:$A$24,ORÇAMENTO!E39)),OFFSET($D39,1,$C39,ROW($C$51)-ROW($C39)),0))</f>
        <v>0</v>
      </c>
      <c r="L39" s="116" t="str">
        <f ca="1">IF(OR($X39&gt;0,$C39=1,$C39=2,$C39=3,$C39=4),"F","")</f>
        <v/>
      </c>
      <c r="M39" s="117" t="s">
        <v>198</v>
      </c>
      <c r="N39" s="118" t="str">
        <f ca="1">CHOOSE(1+LOG(1+2*(C39=1)+4*(C39=2)+8*(C39=3)+16*(C39=4)+32*(C39="S"),2),"","Meta","Nível 2","Nível 3","Nível 4","Serviço")</f>
        <v>Serviço</v>
      </c>
      <c r="O39" s="119" t="str">
        <f ca="1">IF(OR($C39=0,$L39=""),"-",CONCATENATE(E39&amp;".",IF(AND($A$5&gt;=2,$C39&gt;=2),F39&amp;".",""),IF(AND($A$5&gt;=3,$C39&gt;=3),G39&amp;".",""),IF(AND($A$5&gt;=4,$C39&gt;=4),H39&amp;".",""),IF($C39="S",I39&amp;".","")))</f>
        <v>-</v>
      </c>
      <c r="P39" s="120" t="s">
        <v>532</v>
      </c>
      <c r="Q39" s="121" t="s">
        <v>533</v>
      </c>
      <c r="R39" s="122" t="str">
        <f ca="1">IF($C39="S",REFERENCIA.Descricao,"(digite a descrição aqui)")</f>
        <v>(abra o arquivo 'Referência 05-Friday.xlsm)</v>
      </c>
      <c r="S39" s="123" t="str">
        <f ca="1">REFERENCIA.Unidade</f>
        <v>-</v>
      </c>
      <c r="T39" s="124">
        <f ca="1">OFFSET(CÁLCULO!H$15,ROW($T39)-ROW(T$15),0)</f>
        <v>73.81</v>
      </c>
      <c r="U39" s="125">
        <f t="shared" ca="1" si="17"/>
        <v>0</v>
      </c>
      <c r="V39" s="126" t="s">
        <v>156</v>
      </c>
      <c r="W39" s="124">
        <f ca="1">IF($C39="S",ROUND(IF(TIPOORCAMENTO="Proposto",ORÇAMENTO.CustoUnitario*(1+$AH39),ORÇAMENTO.PrecoUnitarioLicitado),15-13*$AF$10),0)</f>
        <v>0</v>
      </c>
      <c r="X39" s="127">
        <f ca="1">IF($C39="S",IF(Import.TipoArredondamento&lt;&gt;"TransfereGOV",VTOTAL1,SUM(OFFSET(CÁLCULO!$AA$15,ROW($X39)-ROW($X$15),1):OFFSET(CÁLCULO!$AL$15,ROW($X39)-ROW($X$15),-1))),IF($C39=0,0,ROUND(SomaAgrup,15-13*$AF$11)))</f>
        <v>0</v>
      </c>
      <c r="Y39" s="128" t="s">
        <v>244</v>
      </c>
      <c r="Z39" t="str">
        <f ca="1">IF(AND($C39="S",$X39&gt;0),IF(ISBLANK($Y39),"RA",LEFT($Y39,2)),"")</f>
        <v/>
      </c>
      <c r="AA39" s="129">
        <f ca="1">IF($C39="S",IF($Z39="CP",$X39,IF($Z39="RA",(($X39)*QCI!$AA$3),0)),SomaAgrup)</f>
        <v>0</v>
      </c>
      <c r="AB39" s="130">
        <f ca="1">IF($C39="S",IF($Z39="OU",ROUND($X39,2),0),SomaAgrup)</f>
        <v>0</v>
      </c>
      <c r="AC39" s="131" t="str">
        <f ca="1">IF($N39="","",IF(ORÇAMENTO.Descricao="","DESCRIÇÃO",IF(AND($C39="S",ORÇAMENTO.Unidade=""),"UNIDADE",IF($X39&lt;0,"VALOR NEGATIVO",IF(OR(AND(TIPOORCAMENTO="Proposto",$AG39&lt;&gt;"",$AG39&gt;0,ORÇAMENTO.CustoUnitario&gt;$AG39),AND(TIPOORCAMENTO="LICITADO",ORÇAMENTO.PrecoUnitarioLicitado&gt;$AN39)),"ACIMA REF.","")))))</f>
        <v/>
      </c>
      <c r="AD39" t="str">
        <f ca="1">IF(C39&lt;=CRONO.NivelExibicao,MAX($AD$15:OFFSET(AD39,-1,0))+IF($C39&lt;&gt;1,1,MAX(1,COUNTIF(QCI!$A$13:$A$24,OFFSET($E39,-1,0)))),"")</f>
        <v/>
      </c>
      <c r="AE39" s="7" t="str">
        <f ca="1">IF(AND($C39="S",ORÇAMENTO.CodBarra&lt;&gt;""),IF(ORÇAMENTO.Fonte="",ORÇAMENTO.CodBarra,CONCATENATE(ORÇAMENTO.Fonte," ",ORÇAMENTO.CodBarra)))</f>
        <v>Cotação 001</v>
      </c>
      <c r="AF39" s="13" t="str">
        <f ca="1">IF(ISERROR(INDIRECT(ORÇAMENTO.BancoRef)),"(abra o arquivo 'Referência "&amp;Excel_BuiltIn_Database&amp;".xlsm)",IF(OR($C39&lt;&gt;"S",ORÇAMENTO.CodBarra=""),"(Sem Código)",IF(ISERROR(MATCH($AE39,INDIRECT(ORÇAMENTO.BancoRef),0)),"(Código não identificado nas referências)",MATCH($AE39,INDIRECT(ORÇAMENTO.BancoRef),0))))</f>
        <v>(abra o arquivo 'Referência 05-Friday.xlsm)</v>
      </c>
      <c r="AG39" s="485">
        <f ca="1">ROUND(IF(DESONERACAO="sim",REFERENCIA.Desonerado,REFERENCIA.NaoDesonerado),2)</f>
        <v>0</v>
      </c>
      <c r="AH39" s="486">
        <f ca="1">ROUND(IF(ISNUMBER(ORÇAMENTO.OpcaoBDI),ORÇAMENTO.OpcaoBDI,IF(LEFT(ORÇAMENTO.OpcaoBDI,3)="BDI",HLOOKUP(ORÇAMENTO.OpcaoBDI,$F$4:$H$5,2,FALSE),0)),15-11*$AF$9)</f>
        <v>0.23760000000000001</v>
      </c>
      <c r="AJ39" s="488"/>
      <c r="AL39" s="505"/>
      <c r="AM39" s="379">
        <f t="shared" ca="1" si="0"/>
        <v>0</v>
      </c>
      <c r="AN39" s="543">
        <f ca="1">ROUND(ORÇAMENTO.CustoUnitario*(1+$AH39),2)</f>
        <v>0</v>
      </c>
    </row>
    <row r="40" spans="1:40" ht="38.25" x14ac:dyDescent="0.2">
      <c r="A40" t="str">
        <f>CHOOSE(1+LOG(1+2*(ORÇAMENTO.Nivel="Meta")+4*(ORÇAMENTO.Nivel="Nível 2")+8*(ORÇAMENTO.Nivel="Nível 3")+16*(ORÇAMENTO.Nivel="Nível 4")+32*(ORÇAMENTO.Nivel="Serviço"),2),0,1,2,3,4,"S")</f>
        <v>S</v>
      </c>
      <c r="B40">
        <f ca="1">IF(OR(C40="s",C40=0),OFFSET(B40,-1,0),C40)</f>
        <v>2</v>
      </c>
      <c r="C40" t="str">
        <f ca="1">IF(OFFSET(C40,-1,0)="L",1,IF(OFFSET(C40,-1,0)=1,2,IF(OR(A40="s",A40=0),"S",IF(AND(OFFSET(C40,-1,0)=2,A40=4),3,IF(AND(OR(OFFSET(C40,-1,0)="s",OFFSET(C40,-1,0)=0),A40&lt;&gt;"s",A40&gt;OFFSET(B40,-1,0)),OFFSET(B40,-1,0),A40)))))</f>
        <v>S</v>
      </c>
      <c r="D40">
        <f ca="1">IF(OR(C40="S",C40=0),0,IF(ISERROR(K40),J40,SMALL(J40:K40,1)))</f>
        <v>0</v>
      </c>
      <c r="E40">
        <f ca="1">IF($C40=1,OFFSET(E40,-1,0)+MAX(1,COUNTIF(QCI!$A$13:$A$24,OFFSET(ORÇAMENTO!E40,-1,0))),OFFSET(E40,-1,0))</f>
        <v>1</v>
      </c>
      <c r="F40">
        <f ca="1">IF($C40=1,0,IF($C40=2,OFFSET(F40,-1,0)+1,OFFSET(F40,-1,0)))</f>
        <v>3</v>
      </c>
      <c r="G40">
        <f ca="1">IF(AND($C40&lt;=2,$C40&lt;&gt;0),0,IF($C40=3,OFFSET(G40,-1,0)+1,OFFSET(G40,-1,0)))</f>
        <v>0</v>
      </c>
      <c r="H40">
        <f ca="1">IF(AND($C40&lt;=3,$C40&lt;&gt;0),0,IF($C40=4,OFFSET(H40,-1,0)+1,OFFSET(H40,-1,0)))</f>
        <v>0</v>
      </c>
      <c r="I40">
        <f ca="1">IF(AND($C40&lt;=4,$C40&lt;&gt;0),0,IF(AND($C40="S",$X40&gt;0),OFFSET(I40,-1,0)+1,OFFSET(I40,-1,0)))</f>
        <v>0</v>
      </c>
      <c r="J40">
        <f t="shared" ca="1" si="9"/>
        <v>0</v>
      </c>
      <c r="K40">
        <f ca="1">IF(OR($C40="S",$C40=0),0,MATCH(OFFSET($D40,0,$C40)+IF($C40&lt;&gt;1,1,COUNTIF(QCI!$A$13:$A$24,ORÇAMENTO!E40)),OFFSET($D40,1,$C40,ROW($C$51)-ROW($C40)),0))</f>
        <v>0</v>
      </c>
      <c r="L40" s="116" t="str">
        <f ca="1">IF(OR($X40&gt;0,$C40=1,$C40=2,$C40=3,$C40=4),"F","")</f>
        <v/>
      </c>
      <c r="M40" s="117" t="s">
        <v>198</v>
      </c>
      <c r="N40" s="118" t="str">
        <f ca="1">CHOOSE(1+LOG(1+2*(C40=1)+4*(C40=2)+8*(C40=3)+16*(C40=4)+32*(C40="S"),2),"","Meta","Nível 2","Nível 3","Nível 4","Serviço")</f>
        <v>Serviço</v>
      </c>
      <c r="O40" s="119" t="str">
        <f ca="1">IF(OR($C40=0,$L40=""),"-",CONCATENATE(E40&amp;".",IF(AND($A$5&gt;=2,$C40&gt;=2),F40&amp;".",""),IF(AND($A$5&gt;=3,$C40&gt;=3),G40&amp;".",""),IF(AND($A$5&gt;=4,$C40&gt;=4),H40&amp;".",""),IF($C40="S",I40&amp;".","")))</f>
        <v>-</v>
      </c>
      <c r="P40" s="120" t="s">
        <v>486</v>
      </c>
      <c r="Q40" s="121" t="s">
        <v>483</v>
      </c>
      <c r="R40" s="122" t="str">
        <f ca="1">IF($C40="S",REFERENCIA.Descricao,"(digite a descrição aqui)")</f>
        <v>(abra o arquivo 'Referência 05-Friday.xlsm)</v>
      </c>
      <c r="S40" s="123" t="str">
        <f ca="1">REFERENCIA.Unidade</f>
        <v>-</v>
      </c>
      <c r="T40" s="124">
        <f ca="1">OFFSET(CÁLCULO!H$15,ROW($T40)-ROW(T$15),0)</f>
        <v>107.52</v>
      </c>
      <c r="U40" s="125">
        <f t="shared" ca="1" si="17"/>
        <v>0</v>
      </c>
      <c r="V40" s="126" t="s">
        <v>156</v>
      </c>
      <c r="W40" s="124">
        <f ca="1">IF($C40="S",ROUND(IF(TIPOORCAMENTO="Proposto",ORÇAMENTO.CustoUnitario*(1+$AH40),ORÇAMENTO.PrecoUnitarioLicitado),15-13*$AF$10),0)</f>
        <v>0</v>
      </c>
      <c r="X40" s="127">
        <f ca="1">IF($C40="S",IF(Import.TipoArredondamento&lt;&gt;"TransfereGOV",VTOTAL1,SUM(OFFSET(CÁLCULO!$AA$15,ROW($X40)-ROW($X$15),1):OFFSET(CÁLCULO!$AL$15,ROW($X40)-ROW($X$15),-1))),IF($C40=0,0,ROUND(SomaAgrup,15-13*$AF$11)))</f>
        <v>0</v>
      </c>
      <c r="Y40" s="128" t="s">
        <v>244</v>
      </c>
      <c r="Z40" t="str">
        <f ca="1">IF(AND($C40="S",$X40&gt;0),IF(ISBLANK($Y40),"RA",LEFT($Y40,2)),"")</f>
        <v/>
      </c>
      <c r="AA40" s="129">
        <f ca="1">IF($C40="S",IF($Z40="CP",$X40,IF($Z40="RA",(($X40)*QCI!$AA$3),0)),SomaAgrup)</f>
        <v>0</v>
      </c>
      <c r="AB40" s="130">
        <f ca="1">IF($C40="S",IF($Z40="OU",ROUND($X40,2),0),SomaAgrup)</f>
        <v>0</v>
      </c>
      <c r="AC40" s="131" t="str">
        <f ca="1">IF($N40="","",IF(ORÇAMENTO.Descricao="","DESCRIÇÃO",IF(AND($C40="S",ORÇAMENTO.Unidade=""),"UNIDADE",IF($X40&lt;0,"VALOR NEGATIVO",IF(OR(AND(TIPOORCAMENTO="Proposto",$AG40&lt;&gt;"",$AG40&gt;0,ORÇAMENTO.CustoUnitario&gt;$AG40),AND(TIPOORCAMENTO="LICITADO",ORÇAMENTO.PrecoUnitarioLicitado&gt;$AN40)),"ACIMA REF.","")))))</f>
        <v/>
      </c>
      <c r="AD40" t="str">
        <f ca="1">IF(C40&lt;=CRONO.NivelExibicao,MAX($AD$15:OFFSET(AD40,-1,0))+IF($C40&lt;&gt;1,1,MAX(1,COUNTIF(QCI!$A$13:$A$24,OFFSET($E40,-1,0)))),"")</f>
        <v/>
      </c>
      <c r="AE40" s="7" t="str">
        <f ca="1">IF(AND($C40="S",ORÇAMENTO.CodBarra&lt;&gt;""),IF(ORÇAMENTO.Fonte="",ORÇAMENTO.CodBarra,CONCATENATE(ORÇAMENTO.Fonte," ",ORÇAMENTO.CodBarra)))</f>
        <v>Composição 15</v>
      </c>
      <c r="AF40" s="13" t="str">
        <f ca="1">IF(ISERROR(INDIRECT(ORÇAMENTO.BancoRef)),"(abra o arquivo 'Referência "&amp;Excel_BuiltIn_Database&amp;".xlsm)",IF(OR($C40&lt;&gt;"S",ORÇAMENTO.CodBarra=""),"(Sem Código)",IF(ISERROR(MATCH($AE40,INDIRECT(ORÇAMENTO.BancoRef),0)),"(Código não identificado nas referências)",MATCH($AE40,INDIRECT(ORÇAMENTO.BancoRef),0))))</f>
        <v>(abra o arquivo 'Referência 05-Friday.xlsm)</v>
      </c>
      <c r="AG40" s="485">
        <f ca="1">ROUND(IF(DESONERACAO="sim",REFERENCIA.Desonerado,REFERENCIA.NaoDesonerado),2)</f>
        <v>0</v>
      </c>
      <c r="AH40" s="486">
        <f ca="1">ROUND(IF(ISNUMBER(ORÇAMENTO.OpcaoBDI),ORÇAMENTO.OpcaoBDI,IF(LEFT(ORÇAMENTO.OpcaoBDI,3)="BDI",HLOOKUP(ORÇAMENTO.OpcaoBDI,$F$4:$H$5,2,FALSE),0)),15-11*$AF$9)</f>
        <v>0.23760000000000001</v>
      </c>
      <c r="AJ40" s="488">
        <v>125.3</v>
      </c>
      <c r="AL40" s="505"/>
      <c r="AM40" s="379">
        <f t="shared" ca="1" si="0"/>
        <v>0</v>
      </c>
      <c r="AN40" s="543">
        <f ca="1">ROUND(ORÇAMENTO.CustoUnitario*(1+$AH40),2)</f>
        <v>0</v>
      </c>
    </row>
    <row r="41" spans="1:40" ht="25.5" x14ac:dyDescent="0.2">
      <c r="A41" t="str">
        <f>CHOOSE(1+LOG(1+2*(ORÇAMENTO.Nivel="Meta")+4*(ORÇAMENTO.Nivel="Nível 2")+8*(ORÇAMENTO.Nivel="Nível 3")+16*(ORÇAMENTO.Nivel="Nível 4")+32*(ORÇAMENTO.Nivel="Serviço"),2),0,1,2,3,4,"S")</f>
        <v>S</v>
      </c>
      <c r="B41">
        <f ca="1">IF(OR(C41="s",C41=0),OFFSET(B41,-1,0),C41)</f>
        <v>2</v>
      </c>
      <c r="C41" t="str">
        <f ca="1">IF(OFFSET(C41,-1,0)="L",1,IF(OFFSET(C41,-1,0)=1,2,IF(OR(A41="s",A41=0),"S",IF(AND(OFFSET(C41,-1,0)=2,A41=4),3,IF(AND(OR(OFFSET(C41,-1,0)="s",OFFSET(C41,-1,0)=0),A41&lt;&gt;"s",A41&gt;OFFSET(B41,-1,0)),OFFSET(B41,-1,0),A41)))))</f>
        <v>S</v>
      </c>
      <c r="D41">
        <f ca="1">IF(OR(C41="S",C41=0),0,IF(ISERROR(K41),J41,SMALL(J41:K41,1)))</f>
        <v>0</v>
      </c>
      <c r="E41">
        <f ca="1">IF($C41=1,OFFSET(E41,-1,0)+MAX(1,COUNTIF(QCI!$A$13:$A$24,OFFSET(ORÇAMENTO!E41,-1,0))),OFFSET(E41,-1,0))</f>
        <v>1</v>
      </c>
      <c r="F41">
        <f ca="1">IF($C41=1,0,IF($C41=2,OFFSET(F41,-1,0)+1,OFFSET(F41,-1,0)))</f>
        <v>3</v>
      </c>
      <c r="G41">
        <f ca="1">IF(AND($C41&lt;=2,$C41&lt;&gt;0),0,IF($C41=3,OFFSET(G41,-1,0)+1,OFFSET(G41,-1,0)))</f>
        <v>0</v>
      </c>
      <c r="H41">
        <f ca="1">IF(AND($C41&lt;=3,$C41&lt;&gt;0),0,IF($C41=4,OFFSET(H41,-1,0)+1,OFFSET(H41,-1,0)))</f>
        <v>0</v>
      </c>
      <c r="I41">
        <f ca="1">IF(AND($C41&lt;=4,$C41&lt;&gt;0),0,IF(AND($C41="S",$X41&gt;0),OFFSET(I41,-1,0)+1,OFFSET(I41,-1,0)))</f>
        <v>0</v>
      </c>
      <c r="J41">
        <f t="shared" ca="1" si="9"/>
        <v>0</v>
      </c>
      <c r="K41">
        <f ca="1">IF(OR($C41="S",$C41=0),0,MATCH(OFFSET($D41,0,$C41)+IF($C41&lt;&gt;1,1,COUNTIF(QCI!$A$13:$A$24,ORÇAMENTO!E41)),OFFSET($D41,1,$C41,ROW($C$51)-ROW($C41)),0))</f>
        <v>0</v>
      </c>
      <c r="L41" s="116" t="str">
        <f ca="1">IF(OR($X41&gt;0,$C41=1,$C41=2,$C41=3,$C41=4),"F","")</f>
        <v/>
      </c>
      <c r="M41" s="117" t="s">
        <v>198</v>
      </c>
      <c r="N41" s="118" t="str">
        <f ca="1">CHOOSE(1+LOG(1+2*(C41=1)+4*(C41=2)+8*(C41=3)+16*(C41=4)+32*(C41="S"),2),"","Meta","Nível 2","Nível 3","Nível 4","Serviço")</f>
        <v>Serviço</v>
      </c>
      <c r="O41" s="119" t="str">
        <f ca="1">IF(OR($C41=0,$L41=""),"-",CONCATENATE(E41&amp;".",IF(AND($A$5&gt;=2,$C41&gt;=2),F41&amp;".",""),IF(AND($A$5&gt;=3,$C41&gt;=3),G41&amp;".",""),IF(AND($A$5&gt;=4,$C41&gt;=4),H41&amp;".",""),IF($C41="S",I41&amp;".","")))</f>
        <v>-</v>
      </c>
      <c r="P41" s="120" t="s">
        <v>486</v>
      </c>
      <c r="Q41" s="121" t="s">
        <v>514</v>
      </c>
      <c r="R41" s="122" t="str">
        <f ca="1">IF($C41="S",REFERENCIA.Descricao,"(digite a descrição aqui)")</f>
        <v>(abra o arquivo 'Referência 05-Friday.xlsm)</v>
      </c>
      <c r="S41" s="123" t="str">
        <f ca="1">REFERENCIA.Unidade</f>
        <v>-</v>
      </c>
      <c r="T41" s="124">
        <f ca="1">OFFSET(CÁLCULO!H$15,ROW($T41)-ROW(T$15),0)</f>
        <v>3072</v>
      </c>
      <c r="U41" s="125">
        <f t="shared" ca="1" si="17"/>
        <v>0</v>
      </c>
      <c r="V41" s="126" t="s">
        <v>156</v>
      </c>
      <c r="W41" s="124">
        <f ca="1">IF($C41="S",ROUND(IF(TIPOORCAMENTO="Proposto",ORÇAMENTO.CustoUnitario*(1+$AH41),ORÇAMENTO.PrecoUnitarioLicitado),15-13*$AF$10),0)</f>
        <v>0</v>
      </c>
      <c r="X41" s="127">
        <f ca="1">IF($C41="S",IF(Import.TipoArredondamento&lt;&gt;"TransfereGOV",VTOTAL1,SUM(OFFSET(CÁLCULO!$AA$15,ROW($X41)-ROW($X$15),1):OFFSET(CÁLCULO!$AL$15,ROW($X41)-ROW($X$15),-1))),IF($C41=0,0,ROUND(SomaAgrup,15-13*$AF$11)))</f>
        <v>0</v>
      </c>
      <c r="Y41" s="128" t="s">
        <v>244</v>
      </c>
      <c r="Z41" t="str">
        <f ca="1">IF(AND($C41="S",$X41&gt;0),IF(ISBLANK($Y41),"RA",LEFT($Y41,2)),"")</f>
        <v/>
      </c>
      <c r="AA41" s="129">
        <f ca="1">IF($C41="S",IF($Z41="CP",$X41,IF($Z41="RA",(($X41)*QCI!$AA$3),0)),SomaAgrup)</f>
        <v>0</v>
      </c>
      <c r="AB41" s="130">
        <f ca="1">IF($C41="S",IF($Z41="OU",ROUND($X41,2),0),SomaAgrup)</f>
        <v>0</v>
      </c>
      <c r="AC41" s="131" t="str">
        <f ca="1">IF($N41="","",IF(ORÇAMENTO.Descricao="","DESCRIÇÃO",IF(AND($C41="S",ORÇAMENTO.Unidade=""),"UNIDADE",IF($X41&lt;0,"VALOR NEGATIVO",IF(OR(AND(TIPOORCAMENTO="Proposto",$AG41&lt;&gt;"",$AG41&gt;0,ORÇAMENTO.CustoUnitario&gt;$AG41),AND(TIPOORCAMENTO="LICITADO",ORÇAMENTO.PrecoUnitarioLicitado&gt;$AN41)),"ACIMA REF.","")))))</f>
        <v/>
      </c>
      <c r="AD41" t="str">
        <f ca="1">IF(C41&lt;=CRONO.NivelExibicao,MAX($AD$15:OFFSET(AD41,-1,0))+IF($C41&lt;&gt;1,1,MAX(1,COUNTIF(QCI!$A$13:$A$24,OFFSET($E41,-1,0)))),"")</f>
        <v/>
      </c>
      <c r="AE41" s="7" t="str">
        <f ca="1">IF(AND($C41="S",ORÇAMENTO.CodBarra&lt;&gt;""),IF(ORÇAMENTO.Fonte="",ORÇAMENTO.CodBarra,CONCATENATE(ORÇAMENTO.Fonte," ",ORÇAMENTO.CodBarra)))</f>
        <v>Composição 14</v>
      </c>
      <c r="AF41" s="13" t="str">
        <f ca="1">IF(ISERROR(INDIRECT(ORÇAMENTO.BancoRef)),"(abra o arquivo 'Referência "&amp;Excel_BuiltIn_Database&amp;".xlsm)",IF(OR($C41&lt;&gt;"S",ORÇAMENTO.CodBarra=""),"(Sem Código)",IF(ISERROR(MATCH($AE41,INDIRECT(ORÇAMENTO.BancoRef),0)),"(Código não identificado nas referências)",MATCH($AE41,INDIRECT(ORÇAMENTO.BancoRef),0))))</f>
        <v>(abra o arquivo 'Referência 05-Friday.xlsm)</v>
      </c>
      <c r="AG41" s="485">
        <f ca="1">ROUND(IF(DESONERACAO="sim",REFERENCIA.Desonerado,REFERENCIA.NaoDesonerado),2)</f>
        <v>0</v>
      </c>
      <c r="AH41" s="486">
        <f ca="1">ROUND(IF(ISNUMBER(ORÇAMENTO.OpcaoBDI),ORÇAMENTO.OpcaoBDI,IF(LEFT(ORÇAMENTO.OpcaoBDI,3)="BDI",HLOOKUP(ORÇAMENTO.OpcaoBDI,$F$4:$H$5,2,FALSE),0)),15-11*$AF$9)</f>
        <v>0.23760000000000001</v>
      </c>
      <c r="AJ41" s="488"/>
      <c r="AL41" s="505"/>
      <c r="AM41" s="379">
        <f t="shared" ca="1" si="0"/>
        <v>0</v>
      </c>
      <c r="AN41" s="543">
        <f ca="1">ROUND(ORÇAMENTO.CustoUnitario*(1+$AH41),2)</f>
        <v>0</v>
      </c>
    </row>
    <row r="42" spans="1:40" x14ac:dyDescent="0.2">
      <c r="A42" t="str">
        <f>CHOOSE(1+LOG(1+2*(ORÇAMENTO.Nivel="Meta")+4*(ORÇAMENTO.Nivel="Nível 2")+8*(ORÇAMENTO.Nivel="Nível 3")+16*(ORÇAMENTO.Nivel="Nível 4")+32*(ORÇAMENTO.Nivel="Serviço"),2),0,1,2,3,4,"S")</f>
        <v>S</v>
      </c>
      <c r="B42">
        <f ca="1">IF(OR(C42="s",C42=0),OFFSET(B42,-1,0),C42)</f>
        <v>2</v>
      </c>
      <c r="C42" t="str">
        <f ca="1">IF(OFFSET(C42,-1,0)="L",1,IF(OFFSET(C42,-1,0)=1,2,IF(OR(A42="s",A42=0),"S",IF(AND(OFFSET(C42,-1,0)=2,A42=4),3,IF(AND(OR(OFFSET(C42,-1,0)="s",OFFSET(C42,-1,0)=0),A42&lt;&gt;"s",A42&gt;OFFSET(B42,-1,0)),OFFSET(B42,-1,0),A42)))))</f>
        <v>S</v>
      </c>
      <c r="D42">
        <f ca="1">IF(OR(C42="S",C42=0),0,IF(ISERROR(K42),J42,SMALL(J42:K42,1)))</f>
        <v>0</v>
      </c>
      <c r="E42">
        <f ca="1">IF($C42=1,OFFSET(E42,-1,0)+MAX(1,COUNTIF(QCI!$A$13:$A$24,OFFSET(ORÇAMENTO!E42,-1,0))),OFFSET(E42,-1,0))</f>
        <v>1</v>
      </c>
      <c r="F42">
        <f ca="1">IF($C42=1,0,IF($C42=2,OFFSET(F42,-1,0)+1,OFFSET(F42,-1,0)))</f>
        <v>3</v>
      </c>
      <c r="G42">
        <f ca="1">IF(AND($C42&lt;=2,$C42&lt;&gt;0),0,IF($C42=3,OFFSET(G42,-1,0)+1,OFFSET(G42,-1,0)))</f>
        <v>0</v>
      </c>
      <c r="H42">
        <f ca="1">IF(AND($C42&lt;=3,$C42&lt;&gt;0),0,IF($C42=4,OFFSET(H42,-1,0)+1,OFFSET(H42,-1,0)))</f>
        <v>0</v>
      </c>
      <c r="I42">
        <f ca="1">IF(AND($C42&lt;=4,$C42&lt;&gt;0),0,IF(AND($C42="S",$X42&gt;0),OFFSET(I42,-1,0)+1,OFFSET(I42,-1,0)))</f>
        <v>0</v>
      </c>
      <c r="J42">
        <f t="shared" ca="1" si="9"/>
        <v>0</v>
      </c>
      <c r="K42">
        <f ca="1">IF(OR($C42="S",$C42=0),0,MATCH(OFFSET($D42,0,$C42)+IF($C42&lt;&gt;1,1,COUNTIF(QCI!$A$13:$A$24,ORÇAMENTO!E42)),OFFSET($D42,1,$C42,ROW($C$51)-ROW($C42)),0))</f>
        <v>0</v>
      </c>
      <c r="L42" s="116" t="str">
        <f ca="1">IF(OR($X42&gt;0,$C42=1,$C42=2,$C42=3,$C42=4),"F","")</f>
        <v/>
      </c>
      <c r="M42" s="117" t="s">
        <v>198</v>
      </c>
      <c r="N42" s="118" t="str">
        <f ca="1">CHOOSE(1+LOG(1+2*(C42=1)+4*(C42=2)+8*(C42=3)+16*(C42=4)+32*(C42="S"),2),"","Meta","Nível 2","Nível 3","Nível 4","Serviço")</f>
        <v>Serviço</v>
      </c>
      <c r="O42" s="119" t="str">
        <f ca="1">IF(OR($C42=0,$L42=""),"-",CONCATENATE(E42&amp;".",IF(AND($A$5&gt;=2,$C42&gt;=2),F42&amp;".",""),IF(AND($A$5&gt;=3,$C42&gt;=3),G42&amp;".",""),IF(AND($A$5&gt;=4,$C42&gt;=4),H42&amp;".",""),IF($C42="S",I42&amp;".","")))</f>
        <v>-</v>
      </c>
      <c r="P42" s="120" t="s">
        <v>486</v>
      </c>
      <c r="Q42" s="121" t="s">
        <v>536</v>
      </c>
      <c r="R42" s="122" t="str">
        <f ca="1">IF($C42="S",REFERENCIA.Descricao,"(digite a descrição aqui)")</f>
        <v>(abra o arquivo 'Referência 05-Friday.xlsm)</v>
      </c>
      <c r="S42" s="123" t="str">
        <f ca="1">REFERENCIA.Unidade</f>
        <v>-</v>
      </c>
      <c r="T42" s="124">
        <f ca="1">OFFSET(CÁLCULO!H$15,ROW($T42)-ROW(T$15),0)</f>
        <v>1</v>
      </c>
      <c r="U42" s="125">
        <f ca="1">AG42</f>
        <v>0</v>
      </c>
      <c r="V42" s="126" t="s">
        <v>156</v>
      </c>
      <c r="W42" s="124">
        <f ca="1">IF($C42="S",ROUND(IF(TIPOORCAMENTO="Proposto",ORÇAMENTO.CustoUnitario*(1+$AH42),ORÇAMENTO.PrecoUnitarioLicitado),15-13*$AF$10),0)</f>
        <v>0</v>
      </c>
      <c r="X42" s="127">
        <f ca="1">IF($C42="S",IF(Import.TipoArredondamento&lt;&gt;"TransfereGOV",VTOTAL1,SUM(OFFSET(CÁLCULO!$AA$15,ROW($X42)-ROW($X$15),1):OFFSET(CÁLCULO!$AL$15,ROW($X42)-ROW($X$15),-1))),IF($C42=0,0,ROUND(SomaAgrup,15-13*$AF$11)))</f>
        <v>0</v>
      </c>
      <c r="Y42" s="128" t="s">
        <v>244</v>
      </c>
      <c r="Z42" t="str">
        <f ca="1">IF(AND($C42="S",$X42&gt;0),IF(ISBLANK($Y42),"RA",LEFT($Y42,2)),"")</f>
        <v/>
      </c>
      <c r="AA42" s="129">
        <f ca="1">IF($C42="S",IF($Z42="CP",$X42,IF($Z42="RA",(($X42)*QCI!$AA$3),0)),SomaAgrup)</f>
        <v>0</v>
      </c>
      <c r="AB42" s="130">
        <f ca="1">IF($C42="S",IF($Z42="OU",ROUND($X42,2),0),SomaAgrup)</f>
        <v>0</v>
      </c>
      <c r="AC42" s="131" t="str">
        <f ca="1">IF($N42="","",IF(ORÇAMENTO.Descricao="","DESCRIÇÃO",IF(AND($C42="S",ORÇAMENTO.Unidade=""),"UNIDADE",IF($X42&lt;0,"VALOR NEGATIVO",IF(OR(AND(TIPOORCAMENTO="Proposto",$AG42&lt;&gt;"",$AG42&gt;0,ORÇAMENTO.CustoUnitario&gt;$AG42),AND(TIPOORCAMENTO="LICITADO",ORÇAMENTO.PrecoUnitarioLicitado&gt;$AN42)),"ACIMA REF.","")))))</f>
        <v/>
      </c>
      <c r="AD42" t="str">
        <f ca="1">IF(C42&lt;=CRONO.NivelExibicao,MAX($AD$15:OFFSET(AD42,-1,0))+IF($C42&lt;&gt;1,1,MAX(1,COUNTIF(QCI!$A$13:$A$24,OFFSET($E42,-1,0)))),"")</f>
        <v/>
      </c>
      <c r="AE42" s="7" t="str">
        <f ca="1">IF(AND($C42="S",ORÇAMENTO.CodBarra&lt;&gt;""),IF(ORÇAMENTO.Fonte="",ORÇAMENTO.CodBarra,CONCATENATE(ORÇAMENTO.Fonte," ",ORÇAMENTO.CodBarra)))</f>
        <v>Composição 22</v>
      </c>
      <c r="AF42" s="13" t="str">
        <f ca="1">IF(ISERROR(INDIRECT(ORÇAMENTO.BancoRef)),"(abra o arquivo 'Referência "&amp;Excel_BuiltIn_Database&amp;".xlsm)",IF(OR($C42&lt;&gt;"S",ORÇAMENTO.CodBarra=""),"(Sem Código)",IF(ISERROR(MATCH($AE42,INDIRECT(ORÇAMENTO.BancoRef),0)),"(Código não identificado nas referências)",MATCH($AE42,INDIRECT(ORÇAMENTO.BancoRef),0))))</f>
        <v>(abra o arquivo 'Referência 05-Friday.xlsm)</v>
      </c>
      <c r="AG42" s="485">
        <f ca="1">ROUND(IF(DESONERACAO="sim",REFERENCIA.Desonerado,REFERENCIA.NaoDesonerado),2)</f>
        <v>0</v>
      </c>
      <c r="AH42" s="486">
        <f ca="1">ROUND(IF(ISNUMBER(ORÇAMENTO.OpcaoBDI),ORÇAMENTO.OpcaoBDI,IF(LEFT(ORÇAMENTO.OpcaoBDI,3)="BDI",HLOOKUP(ORÇAMENTO.OpcaoBDI,$F$4:$H$5,2,FALSE),0)),15-11*$AF$9)</f>
        <v>0.23760000000000001</v>
      </c>
      <c r="AJ42" s="488"/>
      <c r="AL42" s="505"/>
      <c r="AM42" s="379">
        <f t="shared" ca="1" si="0"/>
        <v>0</v>
      </c>
      <c r="AN42" s="543">
        <f ca="1">ROUND(ORÇAMENTO.CustoUnitario*(1+$AH42),2)</f>
        <v>0</v>
      </c>
    </row>
    <row r="43" spans="1:40" x14ac:dyDescent="0.2">
      <c r="A43">
        <f t="shared" ref="A43:A49" si="33">CHOOSE(1+LOG(1+2*(ORÇAMENTO.Nivel="Meta")+4*(ORÇAMENTO.Nivel="Nível 2")+8*(ORÇAMENTO.Nivel="Nível 3")+16*(ORÇAMENTO.Nivel="Nível 4")+32*(ORÇAMENTO.Nivel="Serviço"),2),0,1,2,3,4,"S")</f>
        <v>2</v>
      </c>
      <c r="B43">
        <f t="shared" ref="B43:B49" ca="1" si="34">IF(OR(C43="s",C43=0),OFFSET(B43,-1,0),C43)</f>
        <v>2</v>
      </c>
      <c r="C43">
        <f t="shared" ref="C43:C49" ca="1" si="35">IF(OFFSET(C43,-1,0)="L",1,IF(OFFSET(C43,-1,0)=1,2,IF(OR(A43="s",A43=0),"S",IF(AND(OFFSET(C43,-1,0)=2,A43=4),3,IF(AND(OR(OFFSET(C43,-1,0)="s",OFFSET(C43,-1,0)=0),A43&lt;&gt;"s",A43&gt;OFFSET(B43,-1,0)),OFFSET(B43,-1,0),A43)))))</f>
        <v>2</v>
      </c>
      <c r="D43">
        <f t="shared" ref="D43:D49" ca="1" si="36">IF(OR(C43="S",C43=0),0,IF(ISERROR(K43),J43,SMALL(J43:K43,1)))</f>
        <v>4</v>
      </c>
      <c r="E43">
        <f ca="1">IF($C43=1,OFFSET(E43,-1,0)+MAX(1,COUNTIF(QCI!$A$13:$A$24,OFFSET(ORÇAMENTO!E43,-1,0))),OFFSET(E43,-1,0))</f>
        <v>1</v>
      </c>
      <c r="F43">
        <f t="shared" ref="F43:F49" ca="1" si="37">IF($C43=1,0,IF($C43=2,OFFSET(F43,-1,0)+1,OFFSET(F43,-1,0)))</f>
        <v>4</v>
      </c>
      <c r="G43">
        <f t="shared" ref="G43:G49" ca="1" si="38">IF(AND($C43&lt;=2,$C43&lt;&gt;0),0,IF($C43=3,OFFSET(G43,-1,0)+1,OFFSET(G43,-1,0)))</f>
        <v>0</v>
      </c>
      <c r="H43">
        <f t="shared" ref="H43:H49" ca="1" si="39">IF(AND($C43&lt;=3,$C43&lt;&gt;0),0,IF($C43=4,OFFSET(H43,-1,0)+1,OFFSET(H43,-1,0)))</f>
        <v>0</v>
      </c>
      <c r="I43">
        <f t="shared" ref="I43:I49" ca="1" si="40">IF(AND($C43&lt;=4,$C43&lt;&gt;0),0,IF(AND($C43="S",$X43&gt;0),OFFSET(I43,-1,0)+1,OFFSET(I43,-1,0)))</f>
        <v>0</v>
      </c>
      <c r="J43">
        <f t="shared" ca="1" si="9"/>
        <v>8</v>
      </c>
      <c r="K43">
        <f ca="1">IF(OR($C43="S",$C43=0),0,MATCH(OFFSET($D43,0,$C43)+IF($C43&lt;&gt;1,1,COUNTIF(QCI!$A$13:$A$24,ORÇAMENTO!E43)),OFFSET($D43,1,$C43,ROW($C$51)-ROW($C43)),0))</f>
        <v>4</v>
      </c>
      <c r="L43" s="116" t="str">
        <f t="shared" ref="L43:L49" ca="1" si="41">IF(OR($X43&gt;0,$C43=1,$C43=2,$C43=3,$C43=4),"F","")</f>
        <v>F</v>
      </c>
      <c r="M43" s="117" t="s">
        <v>195</v>
      </c>
      <c r="N43" s="118" t="str">
        <f t="shared" ref="N43:N49" ca="1" si="42">CHOOSE(1+LOG(1+2*(C43=1)+4*(C43=2)+8*(C43=3)+16*(C43=4)+32*(C43="S"),2),"","Meta","Nível 2","Nível 3","Nível 4","Serviço")</f>
        <v>Nível 2</v>
      </c>
      <c r="O43" s="119" t="str">
        <f t="shared" ref="O43:O49" ca="1" si="43">IF(OR($C43=0,$L43=""),"-",CONCATENATE(E43&amp;".",IF(AND($A$5&gt;=2,$C43&gt;=2),F43&amp;".",""),IF(AND($A$5&gt;=3,$C43&gt;=3),G43&amp;".",""),IF(AND($A$5&gt;=4,$C43&gt;=4),H43&amp;".",""),IF($C43="S",I43&amp;".","")))</f>
        <v>1.4.</v>
      </c>
      <c r="P43" s="120" t="s">
        <v>246</v>
      </c>
      <c r="Q43" s="121"/>
      <c r="R43" s="122" t="s">
        <v>510</v>
      </c>
      <c r="S43" s="123" t="str">
        <f ca="1">REFERENCIA.Unidade</f>
        <v>-</v>
      </c>
      <c r="T43" s="124">
        <f ca="1">OFFSET(CÁLCULO!H$15,ROW($T43)-ROW(T$15),0)</f>
        <v>0</v>
      </c>
      <c r="U43" s="125">
        <f t="shared" ca="1" si="17"/>
        <v>0</v>
      </c>
      <c r="V43" s="126" t="s">
        <v>156</v>
      </c>
      <c r="W43" s="124">
        <f ca="1">IF($C43="S",ROUND(IF(TIPOORCAMENTO="Proposto",ORÇAMENTO.CustoUnitario*(1+$AH43),ORÇAMENTO.PrecoUnitarioLicitado),15-13*$AF$10),0)</f>
        <v>0</v>
      </c>
      <c r="X43" s="127">
        <f ca="1">IF($C43="S",IF(Import.TipoArredondamento&lt;&gt;"TransfereGOV",VTOTAL1,SUM(OFFSET(CÁLCULO!$AA$15,ROW($X43)-ROW($X$15),1):OFFSET(CÁLCULO!$AL$15,ROW($X43)-ROW($X$15),-1))),IF($C43=0,0,ROUND(SomaAgrup,15-13*$AF$11)))</f>
        <v>0</v>
      </c>
      <c r="Y43" s="128" t="s">
        <v>244</v>
      </c>
      <c r="Z43" t="str">
        <f t="shared" ref="Z43:Z49" ca="1" si="44">IF(AND($C43="S",$X43&gt;0),IF(ISBLANK($Y43),"RA",LEFT($Y43,2)),"")</f>
        <v/>
      </c>
      <c r="AA43" s="129">
        <f ca="1">IF($C43="S",IF($Z43="CP",$X43,IF($Z43="RA",(($X43)*QCI!$AA$3),0)),SomaAgrup)</f>
        <v>0</v>
      </c>
      <c r="AB43" s="130">
        <f t="shared" ref="AB43:AB49" ca="1" si="45">IF($C43="S",IF($Z43="OU",ROUND($X43,2),0),SomaAgrup)</f>
        <v>0</v>
      </c>
      <c r="AC43" s="131" t="str">
        <f ca="1">IF($N43="","",IF(ORÇAMENTO.Descricao="","DESCRIÇÃO",IF(AND($C43="S",ORÇAMENTO.Unidade=""),"UNIDADE",IF($X43&lt;0,"VALOR NEGATIVO",IF(OR(AND(TIPOORCAMENTO="Proposto",$AG43&lt;&gt;"",$AG43&gt;0,ORÇAMENTO.CustoUnitario&gt;$AG43),AND(TIPOORCAMENTO="LICITADO",ORÇAMENTO.PrecoUnitarioLicitado&gt;$AN43)),"ACIMA REF.","")))))</f>
        <v/>
      </c>
      <c r="AD43">
        <f ca="1">IF(C43&lt;=CRONO.NivelExibicao,MAX($AD$15:OFFSET(AD43,-1,0))+IF($C43&lt;&gt;1,1,MAX(1,COUNTIF(QCI!$A$13:$A$24,OFFSET($E43,-1,0)))),"")</f>
        <v>5</v>
      </c>
      <c r="AE43" s="7" t="b">
        <f ca="1">IF(AND($C43="S",ORÇAMENTO.CodBarra&lt;&gt;""),IF(ORÇAMENTO.Fonte="",ORÇAMENTO.CodBarra,CONCATENATE(ORÇAMENTO.Fonte," ",ORÇAMENTO.CodBarra)))</f>
        <v>0</v>
      </c>
      <c r="AF43" s="13" t="str">
        <f ca="1">IF(ISERROR(INDIRECT(ORÇAMENTO.BancoRef)),"(abra o arquivo 'Referência "&amp;Excel_BuiltIn_Database&amp;".xlsm)",IF(OR($C43&lt;&gt;"S",ORÇAMENTO.CodBarra=""),"(Sem Código)",IF(ISERROR(MATCH($AE43,INDIRECT(ORÇAMENTO.BancoRef),0)),"(Código não identificado nas referências)",MATCH($AE43,INDIRECT(ORÇAMENTO.BancoRef),0))))</f>
        <v>(abra o arquivo 'Referência 05-Friday.xlsm)</v>
      </c>
      <c r="AG43" s="485">
        <f ca="1">ROUND(IF(DESONERACAO="sim",REFERENCIA.Desonerado,REFERENCIA.NaoDesonerado),2)</f>
        <v>0</v>
      </c>
      <c r="AH43" s="486">
        <f t="shared" ref="AH43:AH49" ca="1" si="46">ROUND(IF(ISNUMBER(ORÇAMENTO.OpcaoBDI),ORÇAMENTO.OpcaoBDI,IF(LEFT(ORÇAMENTO.OpcaoBDI,3)="BDI",HLOOKUP(ORÇAMENTO.OpcaoBDI,$F$4:$H$5,2,FALSE),0)),15-11*$AF$9)</f>
        <v>0.23760000000000001</v>
      </c>
      <c r="AJ43" s="488"/>
      <c r="AL43" s="505"/>
      <c r="AM43" s="379">
        <f t="shared" ca="1" si="0"/>
        <v>0</v>
      </c>
      <c r="AN43" s="543">
        <f t="shared" ref="AN43:AN49" ca="1" si="47">ROUND(ORÇAMENTO.CustoUnitario*(1+$AH43),2)</f>
        <v>0</v>
      </c>
    </row>
    <row r="44" spans="1:40" ht="38.25" x14ac:dyDescent="0.2">
      <c r="A44" t="str">
        <f t="shared" si="33"/>
        <v>S</v>
      </c>
      <c r="B44">
        <f t="shared" ca="1" si="34"/>
        <v>2</v>
      </c>
      <c r="C44" t="str">
        <f t="shared" ca="1" si="35"/>
        <v>S</v>
      </c>
      <c r="D44">
        <f t="shared" ca="1" si="36"/>
        <v>0</v>
      </c>
      <c r="E44">
        <f ca="1">IF($C44=1,OFFSET(E44,-1,0)+MAX(1,COUNTIF(QCI!$A$13:$A$24,OFFSET(ORÇAMENTO!E44,-1,0))),OFFSET(E44,-1,0))</f>
        <v>1</v>
      </c>
      <c r="F44">
        <f t="shared" ca="1" si="37"/>
        <v>4</v>
      </c>
      <c r="G44">
        <f t="shared" ca="1" si="38"/>
        <v>0</v>
      </c>
      <c r="H44">
        <f t="shared" ca="1" si="39"/>
        <v>0</v>
      </c>
      <c r="I44">
        <f t="shared" ca="1" si="40"/>
        <v>0</v>
      </c>
      <c r="J44">
        <f t="shared" ca="1" si="9"/>
        <v>0</v>
      </c>
      <c r="K44">
        <f ca="1">IF(OR($C44="S",$C44=0),0,MATCH(OFFSET($D44,0,$C44)+IF($C44&lt;&gt;1,1,COUNTIF(QCI!$A$13:$A$24,ORÇAMENTO!E44)),OFFSET($D44,1,$C44,ROW($C$51)-ROW($C44)),0))</f>
        <v>0</v>
      </c>
      <c r="L44" s="116" t="str">
        <f t="shared" ca="1" si="41"/>
        <v/>
      </c>
      <c r="M44" s="117" t="s">
        <v>198</v>
      </c>
      <c r="N44" s="118" t="str">
        <f t="shared" ca="1" si="42"/>
        <v>Serviço</v>
      </c>
      <c r="O44" s="119" t="str">
        <f t="shared" ca="1" si="43"/>
        <v>-</v>
      </c>
      <c r="P44" s="120" t="s">
        <v>246</v>
      </c>
      <c r="Q44" s="121" t="s">
        <v>513</v>
      </c>
      <c r="R44" s="122" t="str">
        <f ca="1">IF($C44="S",REFERENCIA.Descricao,"(digite a descrição aqui)")</f>
        <v>(abra o arquivo 'Referência 05-Friday.xlsm)</v>
      </c>
      <c r="S44" s="123" t="str">
        <f ca="1">REFERENCIA.Unidade</f>
        <v>-</v>
      </c>
      <c r="T44" s="124">
        <f ca="1">OFFSET(CÁLCULO!H$15,ROW($T44)-ROW(T$15),0)</f>
        <v>151.5</v>
      </c>
      <c r="U44" s="125">
        <f ca="1">AG44</f>
        <v>0</v>
      </c>
      <c r="V44" s="126" t="s">
        <v>156</v>
      </c>
      <c r="W44" s="124">
        <f ca="1">IF($C44="S",ROUND(IF(TIPOORCAMENTO="Proposto",ORÇAMENTO.CustoUnitario*(1+$AH44),ORÇAMENTO.PrecoUnitarioLicitado),15-13*$AF$10),0)</f>
        <v>0</v>
      </c>
      <c r="X44" s="127">
        <f ca="1">IF($C44="S",IF(Import.TipoArredondamento&lt;&gt;"TransfereGOV",VTOTAL1,SUM(OFFSET(CÁLCULO!$AA$15,ROW($X44)-ROW($X$15),1):OFFSET(CÁLCULO!$AL$15,ROW($X44)-ROW($X$15),-1))),IF($C44=0,0,ROUND(SomaAgrup,15-13*$AF$11)))</f>
        <v>0</v>
      </c>
      <c r="Y44" s="128" t="s">
        <v>244</v>
      </c>
      <c r="Z44" t="str">
        <f t="shared" ca="1" si="44"/>
        <v/>
      </c>
      <c r="AA44" s="129">
        <f ca="1">IF($C44="S",IF($Z44="CP",$X44,IF($Z44="RA",(($X44)*QCI!$AA$3),0)),SomaAgrup)</f>
        <v>0</v>
      </c>
      <c r="AB44" s="130">
        <f t="shared" ca="1" si="45"/>
        <v>0</v>
      </c>
      <c r="AC44" s="131" t="str">
        <f ca="1">IF($N44="","",IF(ORÇAMENTO.Descricao="","DESCRIÇÃO",IF(AND($C44="S",ORÇAMENTO.Unidade=""),"UNIDADE",IF($X44&lt;0,"VALOR NEGATIVO",IF(OR(AND(TIPOORCAMENTO="Proposto",$AG44&lt;&gt;"",$AG44&gt;0,ORÇAMENTO.CustoUnitario&gt;$AG44),AND(TIPOORCAMENTO="LICITADO",ORÇAMENTO.PrecoUnitarioLicitado&gt;$AN44)),"ACIMA REF.","")))))</f>
        <v/>
      </c>
      <c r="AD44" t="str">
        <f ca="1">IF(C44&lt;=CRONO.NivelExibicao,MAX($AD$15:OFFSET(AD44,-1,0))+IF($C44&lt;&gt;1,1,MAX(1,COUNTIF(QCI!$A$13:$A$24,OFFSET($E44,-1,0)))),"")</f>
        <v/>
      </c>
      <c r="AE44" s="7" t="str">
        <f ca="1">IF(AND($C44="S",ORÇAMENTO.CodBarra&lt;&gt;""),IF(ORÇAMENTO.Fonte="",ORÇAMENTO.CodBarra,CONCATENATE(ORÇAMENTO.Fonte," ",ORÇAMENTO.CodBarra)))</f>
        <v>SINAPI 94994</v>
      </c>
      <c r="AF44" s="13" t="str">
        <f ca="1">IF(ISERROR(INDIRECT(ORÇAMENTO.BancoRef)),"(abra o arquivo 'Referência "&amp;Excel_BuiltIn_Database&amp;".xlsm)",IF(OR($C44&lt;&gt;"S",ORÇAMENTO.CodBarra=""),"(Sem Código)",IF(ISERROR(MATCH($AE44,INDIRECT(ORÇAMENTO.BancoRef),0)),"(Código não identificado nas referências)",MATCH($AE44,INDIRECT(ORÇAMENTO.BancoRef),0))))</f>
        <v>(abra o arquivo 'Referência 05-Friday.xlsm)</v>
      </c>
      <c r="AG44" s="485">
        <f ca="1">ROUND(IF(DESONERACAO="sim",REFERENCIA.Desonerado,REFERENCIA.NaoDesonerado),2)</f>
        <v>0</v>
      </c>
      <c r="AH44" s="486">
        <f t="shared" ca="1" si="46"/>
        <v>0.23760000000000001</v>
      </c>
      <c r="AJ44" s="488"/>
      <c r="AL44" s="505"/>
      <c r="AM44" s="379">
        <f t="shared" ca="1" si="0"/>
        <v>0</v>
      </c>
      <c r="AN44" s="543">
        <f t="shared" ca="1" si="47"/>
        <v>0</v>
      </c>
    </row>
    <row r="45" spans="1:40" ht="25.5" x14ac:dyDescent="0.2">
      <c r="A45" t="str">
        <f>CHOOSE(1+LOG(1+2*(ORÇAMENTO.Nivel="Meta")+4*(ORÇAMENTO.Nivel="Nível 2")+8*(ORÇAMENTO.Nivel="Nível 3")+16*(ORÇAMENTO.Nivel="Nível 4")+32*(ORÇAMENTO.Nivel="Serviço"),2),0,1,2,3,4,"S")</f>
        <v>S</v>
      </c>
      <c r="B45">
        <f ca="1">IF(OR(C45="s",C45=0),OFFSET(B45,-1,0),C45)</f>
        <v>2</v>
      </c>
      <c r="C45" t="str">
        <f ca="1">IF(OFFSET(C45,-1,0)="L",1,IF(OFFSET(C45,-1,0)=1,2,IF(OR(A45="s",A45=0),"S",IF(AND(OFFSET(C45,-1,0)=2,A45=4),3,IF(AND(OR(OFFSET(C45,-1,0)="s",OFFSET(C45,-1,0)=0),A45&lt;&gt;"s",A45&gt;OFFSET(B45,-1,0)),OFFSET(B45,-1,0),A45)))))</f>
        <v>S</v>
      </c>
      <c r="D45">
        <f ca="1">IF(OR(C45="S",C45=0),0,IF(ISERROR(K45),J45,SMALL(J45:K45,1)))</f>
        <v>0</v>
      </c>
      <c r="E45">
        <f ca="1">IF($C45=1,OFFSET(E45,-1,0)+MAX(1,COUNTIF(QCI!$A$13:$A$24,OFFSET(ORÇAMENTO!E45,-1,0))),OFFSET(E45,-1,0))</f>
        <v>1</v>
      </c>
      <c r="F45">
        <f ca="1">IF($C45=1,0,IF($C45=2,OFFSET(F45,-1,0)+1,OFFSET(F45,-1,0)))</f>
        <v>4</v>
      </c>
      <c r="G45">
        <f ca="1">IF(AND($C45&lt;=2,$C45&lt;&gt;0),0,IF($C45=3,OFFSET(G45,-1,0)+1,OFFSET(G45,-1,0)))</f>
        <v>0</v>
      </c>
      <c r="H45">
        <f ca="1">IF(AND($C45&lt;=3,$C45&lt;&gt;0),0,IF($C45=4,OFFSET(H45,-1,0)+1,OFFSET(H45,-1,0)))</f>
        <v>0</v>
      </c>
      <c r="I45">
        <f ca="1">IF(AND($C45&lt;=4,$C45&lt;&gt;0),0,IF(AND($C45="S",$X45&gt;0),OFFSET(I45,-1,0)+1,OFFSET(I45,-1,0)))</f>
        <v>0</v>
      </c>
      <c r="J45">
        <f t="shared" ca="1" si="9"/>
        <v>0</v>
      </c>
      <c r="K45">
        <f ca="1">IF(OR($C45="S",$C45=0),0,MATCH(OFFSET($D45,0,$C45)+IF($C45&lt;&gt;1,1,COUNTIF(QCI!$A$13:$A$24,ORÇAMENTO!E45)),OFFSET($D45,1,$C45,ROW($C$51)-ROW($C45)),0))</f>
        <v>0</v>
      </c>
      <c r="L45" s="116" t="str">
        <f ca="1">IF(OR($X45&gt;0,$C45=1,$C45=2,$C45=3,$C45=4),"F","")</f>
        <v/>
      </c>
      <c r="M45" s="117" t="s">
        <v>198</v>
      </c>
      <c r="N45" s="118" t="str">
        <f ca="1">CHOOSE(1+LOG(1+2*(C45=1)+4*(C45=2)+8*(C45=3)+16*(C45=4)+32*(C45="S"),2),"","Meta","Nível 2","Nível 3","Nível 4","Serviço")</f>
        <v>Serviço</v>
      </c>
      <c r="O45" s="119" t="str">
        <f ca="1">IF(OR($C45=0,$L45=""),"-",CONCATENATE(E45&amp;".",IF(AND($A$5&gt;=2,$C45&gt;=2),F45&amp;".",""),IF(AND($A$5&gt;=3,$C45&gt;=3),G45&amp;".",""),IF(AND($A$5&gt;=4,$C45&gt;=4),H45&amp;".",""),IF($C45="S",I45&amp;".","")))</f>
        <v>-</v>
      </c>
      <c r="P45" s="120" t="s">
        <v>246</v>
      </c>
      <c r="Q45" s="121" t="s">
        <v>530</v>
      </c>
      <c r="R45" s="122" t="str">
        <f ca="1">IF($C45="S",REFERENCIA.Descricao,"(digite a descrição aqui)")</f>
        <v>(abra o arquivo 'Referência 05-Friday.xlsm)</v>
      </c>
      <c r="S45" s="123" t="str">
        <f ca="1">REFERENCIA.Unidade</f>
        <v>-</v>
      </c>
      <c r="T45" s="124">
        <f ca="1">OFFSET(CÁLCULO!H$15,ROW($T45)-ROW(T$15),0)</f>
        <v>43</v>
      </c>
      <c r="U45" s="125">
        <f ca="1">AG45</f>
        <v>0</v>
      </c>
      <c r="V45" s="126" t="s">
        <v>156</v>
      </c>
      <c r="W45" s="124">
        <f ca="1">IF($C45="S",ROUND(IF(TIPOORCAMENTO="Proposto",ORÇAMENTO.CustoUnitario*(1+$AH45),ORÇAMENTO.PrecoUnitarioLicitado),15-13*$AF$10),0)</f>
        <v>0</v>
      </c>
      <c r="X45" s="127">
        <f ca="1">IF($C45="S",IF(Import.TipoArredondamento&lt;&gt;"TransfereGOV",VTOTAL1,SUM(OFFSET(CÁLCULO!$AA$15,ROW($X45)-ROW($X$15),1):OFFSET(CÁLCULO!$AL$15,ROW($X45)-ROW($X$15),-1))),IF($C45=0,0,ROUND(SomaAgrup,15-13*$AF$11)))</f>
        <v>0</v>
      </c>
      <c r="Y45" s="128" t="s">
        <v>244</v>
      </c>
      <c r="Z45" t="str">
        <f ca="1">IF(AND($C45="S",$X45&gt;0),IF(ISBLANK($Y45),"RA",LEFT($Y45,2)),"")</f>
        <v/>
      </c>
      <c r="AA45" s="129">
        <f ca="1">IF($C45="S",IF($Z45="CP",$X45,IF($Z45="RA",(($X45)*QCI!$AA$3),0)),SomaAgrup)</f>
        <v>0</v>
      </c>
      <c r="AB45" s="130">
        <f ca="1">IF($C45="S",IF($Z45="OU",ROUND($X45,2),0),SomaAgrup)</f>
        <v>0</v>
      </c>
      <c r="AC45" s="131" t="str">
        <f ca="1">IF($N45="","",IF(ORÇAMENTO.Descricao="","DESCRIÇÃO",IF(AND($C45="S",ORÇAMENTO.Unidade=""),"UNIDADE",IF($X45&lt;0,"VALOR NEGATIVO",IF(OR(AND(TIPOORCAMENTO="Proposto",$AG45&lt;&gt;"",$AG45&gt;0,ORÇAMENTO.CustoUnitario&gt;$AG45),AND(TIPOORCAMENTO="LICITADO",ORÇAMENTO.PrecoUnitarioLicitado&gt;$AN45)),"ACIMA REF.","")))))</f>
        <v/>
      </c>
      <c r="AD45" t="str">
        <f ca="1">IF(C45&lt;=CRONO.NivelExibicao,MAX($AD$15:OFFSET(AD45,-1,0))+IF($C45&lt;&gt;1,1,MAX(1,COUNTIF(QCI!$A$13:$A$24,OFFSET($E45,-1,0)))),"")</f>
        <v/>
      </c>
      <c r="AE45" s="7" t="str">
        <f ca="1">IF(AND($C45="S",ORÇAMENTO.CodBarra&lt;&gt;""),IF(ORÇAMENTO.Fonte="",ORÇAMENTO.CodBarra,CONCATENATE(ORÇAMENTO.Fonte," ",ORÇAMENTO.CodBarra)))</f>
        <v>SINAPI 104658</v>
      </c>
      <c r="AF45" s="13" t="str">
        <f ca="1">IF(ISERROR(INDIRECT(ORÇAMENTO.BancoRef)),"(abra o arquivo 'Referência "&amp;Excel_BuiltIn_Database&amp;".xlsm)",IF(OR($C45&lt;&gt;"S",ORÇAMENTO.CodBarra=""),"(Sem Código)",IF(ISERROR(MATCH($AE45,INDIRECT(ORÇAMENTO.BancoRef),0)),"(Código não identificado nas referências)",MATCH($AE45,INDIRECT(ORÇAMENTO.BancoRef),0))))</f>
        <v>(abra o arquivo 'Referência 05-Friday.xlsm)</v>
      </c>
      <c r="AG45" s="485">
        <f ca="1">ROUND(IF(DESONERACAO="sim",REFERENCIA.Desonerado,REFERENCIA.NaoDesonerado),2)</f>
        <v>0</v>
      </c>
      <c r="AH45" s="486">
        <f ca="1">ROUND(IF(ISNUMBER(ORÇAMENTO.OpcaoBDI),ORÇAMENTO.OpcaoBDI,IF(LEFT(ORÇAMENTO.OpcaoBDI,3)="BDI",HLOOKUP(ORÇAMENTO.OpcaoBDI,$F$4:$H$5,2,FALSE),0)),15-11*$AF$9)</f>
        <v>0.23760000000000001</v>
      </c>
      <c r="AJ45" s="488"/>
      <c r="AL45" s="505"/>
      <c r="AM45" s="379">
        <f t="shared" ca="1" si="0"/>
        <v>0</v>
      </c>
      <c r="AN45" s="543">
        <f ca="1">ROUND(ORÇAMENTO.CustoUnitario*(1+$AH45),2)</f>
        <v>0</v>
      </c>
    </row>
    <row r="46" spans="1:40" x14ac:dyDescent="0.2">
      <c r="A46" t="str">
        <f>CHOOSE(1+LOG(1+2*(ORÇAMENTO.Nivel="Meta")+4*(ORÇAMENTO.Nivel="Nível 2")+8*(ORÇAMENTO.Nivel="Nível 3")+16*(ORÇAMENTO.Nivel="Nível 4")+32*(ORÇAMENTO.Nivel="Serviço"),2),0,1,2,3,4,"S")</f>
        <v>S</v>
      </c>
      <c r="B46">
        <f ca="1">IF(OR(C46="s",C46=0),OFFSET(B46,-1,0),C46)</f>
        <v>2</v>
      </c>
      <c r="C46" t="str">
        <f ca="1">IF(OFFSET(C46,-1,0)="L",1,IF(OFFSET(C46,-1,0)=1,2,IF(OR(A46="s",A46=0),"S",IF(AND(OFFSET(C46,-1,0)=2,A46=4),3,IF(AND(OR(OFFSET(C46,-1,0)="s",OFFSET(C46,-1,0)=0),A46&lt;&gt;"s",A46&gt;OFFSET(B46,-1,0)),OFFSET(B46,-1,0),A46)))))</f>
        <v>S</v>
      </c>
      <c r="D46">
        <f ca="1">IF(OR(C46="S",C46=0),0,IF(ISERROR(K46),J46,SMALL(J46:K46,1)))</f>
        <v>0</v>
      </c>
      <c r="E46">
        <f ca="1">IF($C46=1,OFFSET(E46,-1,0)+MAX(1,COUNTIF(QCI!$A$13:$A$24,OFFSET(ORÇAMENTO!E46,-1,0))),OFFSET(E46,-1,0))</f>
        <v>1</v>
      </c>
      <c r="F46">
        <f ca="1">IF($C46=1,0,IF($C46=2,OFFSET(F46,-1,0)+1,OFFSET(F46,-1,0)))</f>
        <v>4</v>
      </c>
      <c r="G46">
        <f ca="1">IF(AND($C46&lt;=2,$C46&lt;&gt;0),0,IF($C46=3,OFFSET(G46,-1,0)+1,OFFSET(G46,-1,0)))</f>
        <v>0</v>
      </c>
      <c r="H46">
        <f ca="1">IF(AND($C46&lt;=3,$C46&lt;&gt;0),0,IF($C46=4,OFFSET(H46,-1,0)+1,OFFSET(H46,-1,0)))</f>
        <v>0</v>
      </c>
      <c r="I46">
        <f ca="1">IF(AND($C46&lt;=4,$C46&lt;&gt;0),0,IF(AND($C46="S",$X46&gt;0),OFFSET(I46,-1,0)+1,OFFSET(I46,-1,0)))</f>
        <v>0</v>
      </c>
      <c r="J46">
        <f t="shared" ca="1" si="9"/>
        <v>0</v>
      </c>
      <c r="K46">
        <f ca="1">IF(OR($C46="S",$C46=0),0,MATCH(OFFSET($D46,0,$C46)+IF($C46&lt;&gt;1,1,COUNTIF(QCI!$A$13:$A$24,ORÇAMENTO!E46)),OFFSET($D46,1,$C46,ROW($C$51)-ROW($C46)),0))</f>
        <v>0</v>
      </c>
      <c r="L46" s="116" t="str">
        <f ca="1">IF(OR($X46&gt;0,$C46=1,$C46=2,$C46=3,$C46=4),"F","")</f>
        <v/>
      </c>
      <c r="M46" s="117" t="s">
        <v>198</v>
      </c>
      <c r="N46" s="118" t="str">
        <f ca="1">CHOOSE(1+LOG(1+2*(C46=1)+4*(C46=2)+8*(C46=3)+16*(C46=4)+32*(C46="S"),2),"","Meta","Nível 2","Nível 3","Nível 4","Serviço")</f>
        <v>Serviço</v>
      </c>
      <c r="O46" s="119" t="str">
        <f ca="1">IF(OR($C46=0,$L46=""),"-",CONCATENATE(E46&amp;".",IF(AND($A$5&gt;=2,$C46&gt;=2),F46&amp;".",""),IF(AND($A$5&gt;=3,$C46&gt;=3),G46&amp;".",""),IF(AND($A$5&gt;=4,$C46&gt;=4),H46&amp;".",""),IF($C46="S",I46&amp;".","")))</f>
        <v>-</v>
      </c>
      <c r="P46" s="120" t="s">
        <v>486</v>
      </c>
      <c r="Q46" s="121" t="s">
        <v>511</v>
      </c>
      <c r="R46" s="122" t="str">
        <f ca="1">IF($C46="S",REFERENCIA.Descricao,"(digite a descrição aqui)")</f>
        <v>(abra o arquivo 'Referência 05-Friday.xlsm)</v>
      </c>
      <c r="S46" s="123" t="str">
        <f ca="1">REFERENCIA.Unidade</f>
        <v>-</v>
      </c>
      <c r="T46" s="124">
        <f ca="1">OFFSET(CÁLCULO!H$15,ROW($T46)-ROW(T$15),0)</f>
        <v>4</v>
      </c>
      <c r="U46" s="125">
        <f t="shared" ca="1" si="17"/>
        <v>0</v>
      </c>
      <c r="V46" s="126" t="s">
        <v>156</v>
      </c>
      <c r="W46" s="124">
        <f ca="1">IF($C46="S",ROUND(IF(TIPOORCAMENTO="Proposto",ORÇAMENTO.CustoUnitario*(1+$AH46),ORÇAMENTO.PrecoUnitarioLicitado),15-13*$AF$10),0)</f>
        <v>0</v>
      </c>
      <c r="X46" s="127">
        <f ca="1">IF($C46="S",IF(Import.TipoArredondamento&lt;&gt;"TransfereGOV",VTOTAL1,SUM(OFFSET(CÁLCULO!$AA$15,ROW($X46)-ROW($X$15),1):OFFSET(CÁLCULO!$AL$15,ROW($X46)-ROW($X$15),-1))),IF($C46=0,0,ROUND(SomaAgrup,15-13*$AF$11)))</f>
        <v>0</v>
      </c>
      <c r="Y46" s="128" t="s">
        <v>244</v>
      </c>
      <c r="Z46" t="str">
        <f ca="1">IF(AND($C46="S",$X46&gt;0),IF(ISBLANK($Y46),"RA",LEFT($Y46,2)),"")</f>
        <v/>
      </c>
      <c r="AA46" s="129">
        <f ca="1">IF($C46="S",IF($Z46="CP",$X46,IF($Z46="RA",(($X46)*QCI!$AA$3),0)),SomaAgrup)</f>
        <v>0</v>
      </c>
      <c r="AB46" s="130">
        <f ca="1">IF($C46="S",IF($Z46="OU",ROUND($X46,2),0),SomaAgrup)</f>
        <v>0</v>
      </c>
      <c r="AC46" s="131" t="str">
        <f ca="1">IF($N46="","",IF(ORÇAMENTO.Descricao="","DESCRIÇÃO",IF(AND($C46="S",ORÇAMENTO.Unidade=""),"UNIDADE",IF($X46&lt;0,"VALOR NEGATIVO",IF(OR(AND(TIPOORCAMENTO="Proposto",$AG46&lt;&gt;"",$AG46&gt;0,ORÇAMENTO.CustoUnitario&gt;$AG46),AND(TIPOORCAMENTO="LICITADO",ORÇAMENTO.PrecoUnitarioLicitado&gt;$AN46)),"ACIMA REF.","")))))</f>
        <v/>
      </c>
      <c r="AD46" t="str">
        <f ca="1">IF(C46&lt;=CRONO.NivelExibicao,MAX($AD$15:OFFSET(AD46,-1,0))+IF($C46&lt;&gt;1,1,MAX(1,COUNTIF(QCI!$A$13:$A$24,OFFSET($E46,-1,0)))),"")</f>
        <v/>
      </c>
      <c r="AE46" s="7" t="str">
        <f ca="1">IF(AND($C46="S",ORÇAMENTO.CodBarra&lt;&gt;""),IF(ORÇAMENTO.Fonte="",ORÇAMENTO.CodBarra,CONCATENATE(ORÇAMENTO.Fonte," ",ORÇAMENTO.CodBarra)))</f>
        <v>Composição 37</v>
      </c>
      <c r="AF46" s="13" t="str">
        <f ca="1">IF(ISERROR(INDIRECT(ORÇAMENTO.BancoRef)),"(abra o arquivo 'Referência "&amp;Excel_BuiltIn_Database&amp;".xlsm)",IF(OR($C46&lt;&gt;"S",ORÇAMENTO.CodBarra=""),"(Sem Código)",IF(ISERROR(MATCH($AE46,INDIRECT(ORÇAMENTO.BancoRef),0)),"(Código não identificado nas referências)",MATCH($AE46,INDIRECT(ORÇAMENTO.BancoRef),0))))</f>
        <v>(abra o arquivo 'Referência 05-Friday.xlsm)</v>
      </c>
      <c r="AG46" s="485">
        <f ca="1">ROUND(IF(DESONERACAO="sim",REFERENCIA.Desonerado,REFERENCIA.NaoDesonerado),2)</f>
        <v>0</v>
      </c>
      <c r="AH46" s="486">
        <f ca="1">ROUND(IF(ISNUMBER(ORÇAMENTO.OpcaoBDI),ORÇAMENTO.OpcaoBDI,IF(LEFT(ORÇAMENTO.OpcaoBDI,3)="BDI",HLOOKUP(ORÇAMENTO.OpcaoBDI,$F$4:$H$5,2,FALSE),0)),15-11*$AF$9)</f>
        <v>0.23760000000000001</v>
      </c>
      <c r="AJ46" s="488"/>
      <c r="AL46" s="505"/>
      <c r="AM46" s="379">
        <f t="shared" ca="1" si="0"/>
        <v>0</v>
      </c>
      <c r="AN46" s="543">
        <f ca="1">ROUND(ORÇAMENTO.CustoUnitario*(1+$AH46),2)</f>
        <v>0</v>
      </c>
    </row>
    <row r="47" spans="1:40" x14ac:dyDescent="0.2">
      <c r="A47">
        <f t="shared" si="33"/>
        <v>2</v>
      </c>
      <c r="B47">
        <f t="shared" ca="1" si="34"/>
        <v>2</v>
      </c>
      <c r="C47">
        <f t="shared" ca="1" si="35"/>
        <v>2</v>
      </c>
      <c r="D47">
        <f t="shared" ca="1" si="36"/>
        <v>4</v>
      </c>
      <c r="E47">
        <f ca="1">IF($C47=1,OFFSET(E47,-1,0)+MAX(1,COUNTIF(QCI!$A$13:$A$24,OFFSET(ORÇAMENTO!E47,-1,0))),OFFSET(E47,-1,0))</f>
        <v>1</v>
      </c>
      <c r="F47">
        <f t="shared" ca="1" si="37"/>
        <v>5</v>
      </c>
      <c r="G47">
        <f t="shared" ca="1" si="38"/>
        <v>0</v>
      </c>
      <c r="H47">
        <f t="shared" ca="1" si="39"/>
        <v>0</v>
      </c>
      <c r="I47">
        <f t="shared" ca="1" si="40"/>
        <v>0</v>
      </c>
      <c r="J47">
        <f t="shared" ca="1" si="9"/>
        <v>4</v>
      </c>
      <c r="K47" t="e">
        <f ca="1">IF(OR($C47="S",$C47=0),0,MATCH(OFFSET($D47,0,$C47)+IF($C47&lt;&gt;1,1,COUNTIF(QCI!$A$13:$A$24,ORÇAMENTO!E47)),OFFSET($D47,1,$C47,ROW($C$51)-ROW($C47)),0))</f>
        <v>#N/A</v>
      </c>
      <c r="L47" s="116" t="str">
        <f t="shared" ca="1" si="41"/>
        <v>F</v>
      </c>
      <c r="M47" s="117" t="s">
        <v>195</v>
      </c>
      <c r="N47" s="118" t="str">
        <f t="shared" ca="1" si="42"/>
        <v>Nível 2</v>
      </c>
      <c r="O47" s="119" t="str">
        <f t="shared" ca="1" si="43"/>
        <v>1.5.</v>
      </c>
      <c r="P47" s="120" t="s">
        <v>246</v>
      </c>
      <c r="Q47" s="121"/>
      <c r="R47" s="122" t="str">
        <f ca="1">IF($C47="S",REFERENCIA.Descricao,"SINALIZAÇÃO")</f>
        <v>SINALIZAÇÃO</v>
      </c>
      <c r="S47" s="123" t="str">
        <f ca="1">REFERENCIA.Unidade</f>
        <v>-</v>
      </c>
      <c r="T47" s="124">
        <f ca="1">OFFSET(CÁLCULO!H$15,ROW($T47)-ROW(T$15),0)</f>
        <v>0</v>
      </c>
      <c r="U47" s="125">
        <f t="shared" ca="1" si="17"/>
        <v>0</v>
      </c>
      <c r="V47" s="126" t="s">
        <v>156</v>
      </c>
      <c r="W47" s="124">
        <f ca="1">IF($C47="S",ROUND(IF(TIPOORCAMENTO="Proposto",ORÇAMENTO.CustoUnitario*(1+$AH47),ORÇAMENTO.PrecoUnitarioLicitado),15-13*$AF$10),0)</f>
        <v>0</v>
      </c>
      <c r="X47" s="127">
        <f ca="1">IF($C47="S",IF(Import.TipoArredondamento&lt;&gt;"TransfereGOV",VTOTAL1,SUM(OFFSET(CÁLCULO!$AA$15,ROW($X47)-ROW($X$15),1):OFFSET(CÁLCULO!$AL$15,ROW($X47)-ROW($X$15),-1))),IF($C47=0,0,ROUND(SomaAgrup,15-13*$AF$11)))</f>
        <v>0</v>
      </c>
      <c r="Y47" s="128" t="s">
        <v>244</v>
      </c>
      <c r="Z47" t="str">
        <f t="shared" ca="1" si="44"/>
        <v/>
      </c>
      <c r="AA47" s="129">
        <f ca="1">IF($C47="S",IF($Z47="CP",$X47,IF($Z47="RA",(($X47)*QCI!$AA$3),0)),SomaAgrup)</f>
        <v>0</v>
      </c>
      <c r="AB47" s="130">
        <f t="shared" ca="1" si="45"/>
        <v>0</v>
      </c>
      <c r="AC47" s="131" t="str">
        <f ca="1">IF($N47="","",IF(ORÇAMENTO.Descricao="","DESCRIÇÃO",IF(AND($C47="S",ORÇAMENTO.Unidade=""),"UNIDADE",IF($X47&lt;0,"VALOR NEGATIVO",IF(OR(AND(TIPOORCAMENTO="Proposto",$AG47&lt;&gt;"",$AG47&gt;0,ORÇAMENTO.CustoUnitario&gt;$AG47),AND(TIPOORCAMENTO="LICITADO",ORÇAMENTO.PrecoUnitarioLicitado&gt;$AN47)),"ACIMA REF.","")))))</f>
        <v/>
      </c>
      <c r="AD47">
        <f ca="1">IF(C47&lt;=CRONO.NivelExibicao,MAX($AD$15:OFFSET(AD47,-1,0))+IF($C47&lt;&gt;1,1,MAX(1,COUNTIF(QCI!$A$13:$A$24,OFFSET($E47,-1,0)))),"")</f>
        <v>6</v>
      </c>
      <c r="AE47" s="7" t="b">
        <f ca="1">IF(AND($C47="S",ORÇAMENTO.CodBarra&lt;&gt;""),IF(ORÇAMENTO.Fonte="",ORÇAMENTO.CodBarra,CONCATENATE(ORÇAMENTO.Fonte," ",ORÇAMENTO.CodBarra)))</f>
        <v>0</v>
      </c>
      <c r="AF47" s="13" t="str">
        <f ca="1">IF(ISERROR(INDIRECT(ORÇAMENTO.BancoRef)),"(abra o arquivo 'Referência "&amp;Excel_BuiltIn_Database&amp;".xlsm)",IF(OR($C47&lt;&gt;"S",ORÇAMENTO.CodBarra=""),"(Sem Código)",IF(ISERROR(MATCH($AE47,INDIRECT(ORÇAMENTO.BancoRef),0)),"(Código não identificado nas referências)",MATCH($AE47,INDIRECT(ORÇAMENTO.BancoRef),0))))</f>
        <v>(abra o arquivo 'Referência 05-Friday.xlsm)</v>
      </c>
      <c r="AG47" s="485">
        <f ca="1">ROUND(IF(DESONERACAO="sim",REFERENCIA.Desonerado,REFERENCIA.NaoDesonerado),2)</f>
        <v>0</v>
      </c>
      <c r="AH47" s="486">
        <f t="shared" ca="1" si="46"/>
        <v>0.23760000000000001</v>
      </c>
      <c r="AJ47" s="488"/>
      <c r="AL47" s="505"/>
      <c r="AM47" s="379">
        <f t="shared" ca="1" si="0"/>
        <v>0</v>
      </c>
      <c r="AN47" s="543">
        <f t="shared" ca="1" si="47"/>
        <v>0</v>
      </c>
    </row>
    <row r="48" spans="1:40" ht="38.25" x14ac:dyDescent="0.2">
      <c r="A48" t="str">
        <f t="shared" si="33"/>
        <v>S</v>
      </c>
      <c r="B48">
        <f t="shared" ca="1" si="34"/>
        <v>2</v>
      </c>
      <c r="C48" t="str">
        <f t="shared" ca="1" si="35"/>
        <v>S</v>
      </c>
      <c r="D48">
        <f t="shared" ca="1" si="36"/>
        <v>0</v>
      </c>
      <c r="E48">
        <f ca="1">IF($C48=1,OFFSET(E48,-1,0)+MAX(1,COUNTIF(QCI!$A$13:$A$24,OFFSET(ORÇAMENTO!E48,-1,0))),OFFSET(E48,-1,0))</f>
        <v>1</v>
      </c>
      <c r="F48">
        <f t="shared" ca="1" si="37"/>
        <v>5</v>
      </c>
      <c r="G48">
        <f t="shared" ca="1" si="38"/>
        <v>0</v>
      </c>
      <c r="H48">
        <f t="shared" ca="1" si="39"/>
        <v>0</v>
      </c>
      <c r="I48">
        <f t="shared" ca="1" si="40"/>
        <v>0</v>
      </c>
      <c r="J48">
        <f t="shared" ca="1" si="9"/>
        <v>0</v>
      </c>
      <c r="K48">
        <f ca="1">IF(OR($C48="S",$C48=0),0,MATCH(OFFSET($D48,0,$C48)+IF($C48&lt;&gt;1,1,COUNTIF(QCI!$A$13:$A$24,ORÇAMENTO!E48)),OFFSET($D48,1,$C48,ROW($C$51)-ROW($C48)),0))</f>
        <v>0</v>
      </c>
      <c r="L48" s="116" t="str">
        <f t="shared" ca="1" si="41"/>
        <v/>
      </c>
      <c r="M48" s="117" t="s">
        <v>198</v>
      </c>
      <c r="N48" s="118" t="str">
        <f t="shared" ca="1" si="42"/>
        <v>Serviço</v>
      </c>
      <c r="O48" s="119" t="str">
        <f t="shared" ca="1" si="43"/>
        <v>-</v>
      </c>
      <c r="P48" s="120" t="s">
        <v>486</v>
      </c>
      <c r="Q48" s="121" t="s">
        <v>493</v>
      </c>
      <c r="R48" s="122" t="str">
        <f ca="1">IF($C48="S",REFERENCIA.Descricao,"(digite a descrição aqui)")</f>
        <v>(abra o arquivo 'Referência 05-Friday.xlsm)</v>
      </c>
      <c r="S48" s="123" t="str">
        <f ca="1">REFERENCIA.Unidade</f>
        <v>-</v>
      </c>
      <c r="T48" s="124">
        <f ca="1">OFFSET(CÁLCULO!H$15,ROW($T48)-ROW(T$15),0)</f>
        <v>44.4</v>
      </c>
      <c r="U48" s="125">
        <f t="shared" ca="1" si="17"/>
        <v>0</v>
      </c>
      <c r="V48" s="126" t="s">
        <v>156</v>
      </c>
      <c r="W48" s="124">
        <f ca="1">IF($C48="S",ROUND(IF(TIPOORCAMENTO="Proposto",ORÇAMENTO.CustoUnitario*(1+$AH48),ORÇAMENTO.PrecoUnitarioLicitado),15-13*$AF$10),0)</f>
        <v>0</v>
      </c>
      <c r="X48" s="127">
        <f ca="1">IF($C48="S",IF(Import.TipoArredondamento&lt;&gt;"TransfereGOV",VTOTAL1,SUM(OFFSET(CÁLCULO!$AA$15,ROW($X48)-ROW($X$15),1):OFFSET(CÁLCULO!$AL$15,ROW($X48)-ROW($X$15),-1))),IF($C48=0,0,ROUND(SomaAgrup,15-13*$AF$11)))</f>
        <v>0</v>
      </c>
      <c r="Y48" s="128" t="s">
        <v>244</v>
      </c>
      <c r="Z48" t="str">
        <f t="shared" ca="1" si="44"/>
        <v/>
      </c>
      <c r="AA48" s="129">
        <f ca="1">IF($C48="S",IF($Z48="CP",$X48,IF($Z48="RA",(($X48)*QCI!$AA$3),0)),SomaAgrup)</f>
        <v>0</v>
      </c>
      <c r="AB48" s="130">
        <f t="shared" ca="1" si="45"/>
        <v>0</v>
      </c>
      <c r="AC48" s="131" t="str">
        <f ca="1">IF($N48="","",IF(ORÇAMENTO.Descricao="","DESCRIÇÃO",IF(AND($C48="S",ORÇAMENTO.Unidade=""),"UNIDADE",IF($X48&lt;0,"VALOR NEGATIVO",IF(OR(AND(TIPOORCAMENTO="Proposto",$AG48&lt;&gt;"",$AG48&gt;0,ORÇAMENTO.CustoUnitario&gt;$AG48),AND(TIPOORCAMENTO="LICITADO",ORÇAMENTO.PrecoUnitarioLicitado&gt;$AN48)),"ACIMA REF.","")))))</f>
        <v/>
      </c>
      <c r="AD48" t="str">
        <f ca="1">IF(C48&lt;=CRONO.NivelExibicao,MAX($AD$15:OFFSET(AD48,-1,0))+IF($C48&lt;&gt;1,1,MAX(1,COUNTIF(QCI!$A$13:$A$24,OFFSET($E48,-1,0)))),"")</f>
        <v/>
      </c>
      <c r="AE48" s="7" t="str">
        <f ca="1">IF(AND($C48="S",ORÇAMENTO.CodBarra&lt;&gt;""),IF(ORÇAMENTO.Fonte="",ORÇAMENTO.CodBarra,CONCATENATE(ORÇAMENTO.Fonte," ",ORÇAMENTO.CodBarra)))</f>
        <v>Composição 31</v>
      </c>
      <c r="AF48" s="13" t="str">
        <f ca="1">IF(ISERROR(INDIRECT(ORÇAMENTO.BancoRef)),"(abra o arquivo 'Referência "&amp;Excel_BuiltIn_Database&amp;".xlsm)",IF(OR($C48&lt;&gt;"S",ORÇAMENTO.CodBarra=""),"(Sem Código)",IF(ISERROR(MATCH($AE48,INDIRECT(ORÇAMENTO.BancoRef),0)),"(Código não identificado nas referências)",MATCH($AE48,INDIRECT(ORÇAMENTO.BancoRef),0))))</f>
        <v>(abra o arquivo 'Referência 05-Friday.xlsm)</v>
      </c>
      <c r="AG48" s="485">
        <f ca="1">ROUND(IF(DESONERACAO="sim",REFERENCIA.Desonerado,REFERENCIA.NaoDesonerado),2)</f>
        <v>0</v>
      </c>
      <c r="AH48" s="486">
        <f t="shared" ca="1" si="46"/>
        <v>0.23760000000000001</v>
      </c>
      <c r="AJ48" s="488"/>
      <c r="AL48" s="505"/>
      <c r="AM48" s="379">
        <f t="shared" ca="1" si="0"/>
        <v>0</v>
      </c>
      <c r="AN48" s="543">
        <f t="shared" ca="1" si="47"/>
        <v>0</v>
      </c>
    </row>
    <row r="49" spans="1:40" ht="25.5" x14ac:dyDescent="0.2">
      <c r="A49" t="str">
        <f t="shared" si="33"/>
        <v>S</v>
      </c>
      <c r="B49">
        <f t="shared" ca="1" si="34"/>
        <v>2</v>
      </c>
      <c r="C49" t="str">
        <f t="shared" ca="1" si="35"/>
        <v>S</v>
      </c>
      <c r="D49">
        <f t="shared" ca="1" si="36"/>
        <v>0</v>
      </c>
      <c r="E49">
        <f ca="1">IF($C49=1,OFFSET(E49,-1,0)+MAX(1,COUNTIF(QCI!$A$13:$A$24,OFFSET(ORÇAMENTO!E49,-1,0))),OFFSET(E49,-1,0))</f>
        <v>1</v>
      </c>
      <c r="F49">
        <f t="shared" ca="1" si="37"/>
        <v>5</v>
      </c>
      <c r="G49">
        <f t="shared" ca="1" si="38"/>
        <v>0</v>
      </c>
      <c r="H49">
        <f t="shared" ca="1" si="39"/>
        <v>0</v>
      </c>
      <c r="I49">
        <f t="shared" ca="1" si="40"/>
        <v>0</v>
      </c>
      <c r="J49">
        <f t="shared" ca="1" si="9"/>
        <v>0</v>
      </c>
      <c r="K49">
        <f ca="1">IF(OR($C49="S",$C49=0),0,MATCH(OFFSET($D49,0,$C49)+IF($C49&lt;&gt;1,1,COUNTIF(QCI!$A$13:$A$24,ORÇAMENTO!E49)),OFFSET($D49,1,$C49,ROW($C$51)-ROW($C49)),0))</f>
        <v>0</v>
      </c>
      <c r="L49" s="116" t="str">
        <f t="shared" ca="1" si="41"/>
        <v/>
      </c>
      <c r="M49" s="117" t="s">
        <v>198</v>
      </c>
      <c r="N49" s="118" t="str">
        <f t="shared" ca="1" si="42"/>
        <v>Serviço</v>
      </c>
      <c r="O49" s="119" t="str">
        <f t="shared" ca="1" si="43"/>
        <v>-</v>
      </c>
      <c r="P49" s="120" t="s">
        <v>246</v>
      </c>
      <c r="Q49" s="121" t="s">
        <v>494</v>
      </c>
      <c r="R49" s="122" t="str">
        <f ca="1">IF($C49="S",REFERENCIA.Descricao,"(digite a descrição aqui)")</f>
        <v>(abra o arquivo 'Referência 05-Friday.xlsm)</v>
      </c>
      <c r="S49" s="123" t="str">
        <f ca="1">REFERENCIA.Unidade</f>
        <v>-</v>
      </c>
      <c r="T49" s="124">
        <f ca="1">OFFSET(CÁLCULO!H$15,ROW($T49)-ROW(T$15),0)</f>
        <v>284</v>
      </c>
      <c r="U49" s="125">
        <f t="shared" ca="1" si="17"/>
        <v>0</v>
      </c>
      <c r="V49" s="126" t="s">
        <v>156</v>
      </c>
      <c r="W49" s="124">
        <f ca="1">IF($C49="S",ROUND(IF(TIPOORCAMENTO="Proposto",ORÇAMENTO.CustoUnitario*(1+$AH49),ORÇAMENTO.PrecoUnitarioLicitado),15-13*$AF$10),0)</f>
        <v>0</v>
      </c>
      <c r="X49" s="127">
        <f ca="1">IF($C49="S",IF(Import.TipoArredondamento&lt;&gt;"TransfereGOV",VTOTAL1,SUM(OFFSET(CÁLCULO!$AA$15,ROW($X49)-ROW($X$15),1):OFFSET(CÁLCULO!$AL$15,ROW($X49)-ROW($X$15),-1))),IF($C49=0,0,ROUND(SomaAgrup,15-13*$AF$11)))</f>
        <v>0</v>
      </c>
      <c r="Y49" s="128" t="s">
        <v>244</v>
      </c>
      <c r="Z49" t="str">
        <f t="shared" ca="1" si="44"/>
        <v/>
      </c>
      <c r="AA49" s="129">
        <f ca="1">IF($C49="S",IF($Z49="CP",$X49,IF($Z49="RA",(($X49)*QCI!$AA$3),0)),SomaAgrup)</f>
        <v>0</v>
      </c>
      <c r="AB49" s="130">
        <f t="shared" ca="1" si="45"/>
        <v>0</v>
      </c>
      <c r="AC49" s="131" t="str">
        <f ca="1">IF($N49="","",IF(ORÇAMENTO.Descricao="","DESCRIÇÃO",IF(AND($C49="S",ORÇAMENTO.Unidade=""),"UNIDADE",IF($X49&lt;0,"VALOR NEGATIVO",IF(OR(AND(TIPOORCAMENTO="Proposto",$AG49&lt;&gt;"",$AG49&gt;0,ORÇAMENTO.CustoUnitario&gt;$AG49),AND(TIPOORCAMENTO="LICITADO",ORÇAMENTO.PrecoUnitarioLicitado&gt;$AN49)),"ACIMA REF.","")))))</f>
        <v/>
      </c>
      <c r="AD49" t="str">
        <f ca="1">IF(C49&lt;=CRONO.NivelExibicao,MAX($AD$15:OFFSET(AD49,-1,0))+IF($C49&lt;&gt;1,1,MAX(1,COUNTIF(QCI!$A$13:$A$24,OFFSET($E49,-1,0)))),"")</f>
        <v/>
      </c>
      <c r="AE49" s="7" t="str">
        <f ca="1">IF(AND($C49="S",ORÇAMENTO.CodBarra&lt;&gt;""),IF(ORÇAMENTO.Fonte="",ORÇAMENTO.CodBarra,CONCATENATE(ORÇAMENTO.Fonte," ",ORÇAMENTO.CodBarra)))</f>
        <v>SINAPI 102498</v>
      </c>
      <c r="AF49" s="13" t="str">
        <f ca="1">IF(ISERROR(INDIRECT(ORÇAMENTO.BancoRef)),"(abra o arquivo 'Referência "&amp;Excel_BuiltIn_Database&amp;".xlsm)",IF(OR($C49&lt;&gt;"S",ORÇAMENTO.CodBarra=""),"(Sem Código)",IF(ISERROR(MATCH($AE49,INDIRECT(ORÇAMENTO.BancoRef),0)),"(Código não identificado nas referências)",MATCH($AE49,INDIRECT(ORÇAMENTO.BancoRef),0))))</f>
        <v>(abra o arquivo 'Referência 05-Friday.xlsm)</v>
      </c>
      <c r="AG49" s="485">
        <f ca="1">ROUND(IF(DESONERACAO="sim",REFERENCIA.Desonerado,REFERENCIA.NaoDesonerado),2)</f>
        <v>0</v>
      </c>
      <c r="AH49" s="486">
        <f t="shared" ca="1" si="46"/>
        <v>0.23760000000000001</v>
      </c>
      <c r="AJ49" s="488"/>
      <c r="AL49" s="505"/>
      <c r="AM49" s="379">
        <f t="shared" ca="1" si="0"/>
        <v>0</v>
      </c>
      <c r="AN49" s="543">
        <f t="shared" ca="1" si="47"/>
        <v>0</v>
      </c>
    </row>
    <row r="50" spans="1:40" ht="25.5" x14ac:dyDescent="0.2">
      <c r="A50" t="str">
        <f>CHOOSE(1+LOG(1+2*(ORÇAMENTO.Nivel="Meta")+4*(ORÇAMENTO.Nivel="Nível 2")+8*(ORÇAMENTO.Nivel="Nível 3")+16*(ORÇAMENTO.Nivel="Nível 4")+32*(ORÇAMENTO.Nivel="Serviço"),2),0,1,2,3,4,"S")</f>
        <v>S</v>
      </c>
      <c r="B50">
        <f ca="1">IF(OR(C50="s",C50=0),OFFSET(B50,-1,0),C50)</f>
        <v>2</v>
      </c>
      <c r="C50" t="str">
        <f ca="1">IF(OFFSET(C50,-1,0)="L",1,IF(OFFSET(C50,-1,0)=1,2,IF(OR(A50="s",A50=0),"S",IF(AND(OFFSET(C50,-1,0)=2,A50=4),3,IF(AND(OR(OFFSET(C50,-1,0)="s",OFFSET(C50,-1,0)=0),A50&lt;&gt;"s",A50&gt;OFFSET(B50,-1,0)),OFFSET(B50,-1,0),A50)))))</f>
        <v>S</v>
      </c>
      <c r="D50">
        <f ca="1">IF(OR(C50="S",C50=0),0,IF(ISERROR(K50),J50,SMALL(J50:K50,1)))</f>
        <v>0</v>
      </c>
      <c r="E50">
        <f ca="1">IF($C50=1,OFFSET(E50,-1,0)+MAX(1,COUNTIF(QCI!$A$13:$A$24,OFFSET(ORÇAMENTO!E50,-1,0))),OFFSET(E50,-1,0))</f>
        <v>1</v>
      </c>
      <c r="F50">
        <f ca="1">IF($C50=1,0,IF($C50=2,OFFSET(F50,-1,0)+1,OFFSET(F50,-1,0)))</f>
        <v>5</v>
      </c>
      <c r="G50">
        <f ca="1">IF(AND($C50&lt;=2,$C50&lt;&gt;0),0,IF($C50=3,OFFSET(G50,-1,0)+1,OFFSET(G50,-1,0)))</f>
        <v>0</v>
      </c>
      <c r="H50">
        <f ca="1">IF(AND($C50&lt;=3,$C50&lt;&gt;0),0,IF($C50=4,OFFSET(H50,-1,0)+1,OFFSET(H50,-1,0)))</f>
        <v>0</v>
      </c>
      <c r="I50">
        <f ca="1">IF(AND($C50&lt;=4,$C50&lt;&gt;0),0,IF(AND($C50="S",$X50&gt;0),OFFSET(I50,-1,0)+1,OFFSET(I50,-1,0)))</f>
        <v>0</v>
      </c>
      <c r="J50">
        <f t="shared" ca="1" si="9"/>
        <v>0</v>
      </c>
      <c r="K50">
        <f ca="1">IF(OR($C50="S",$C50=0),0,MATCH(OFFSET($D50,0,$C50)+IF($C50&lt;&gt;1,1,COUNTIF(QCI!$A$13:$A$24,ORÇAMENTO!E50)),OFFSET($D50,1,$C50,ROW($C$51)-ROW($C50)),0))</f>
        <v>0</v>
      </c>
      <c r="L50" s="116" t="str">
        <f ca="1">IF(OR($X50&gt;0,$C50=1,$C50=2,$C50=3,$C50=4),"F","")</f>
        <v/>
      </c>
      <c r="M50" s="117" t="s">
        <v>198</v>
      </c>
      <c r="N50" s="118" t="str">
        <f ca="1">CHOOSE(1+LOG(1+2*(C50=1)+4*(C50=2)+8*(C50=3)+16*(C50=4)+32*(C50="S"),2),"","Meta","Nível 2","Nível 3","Nível 4","Serviço")</f>
        <v>Serviço</v>
      </c>
      <c r="O50" s="119" t="str">
        <f ca="1">IF(OR($C50=0,$L50=""),"-",CONCATENATE(E50&amp;".",IF(AND($A$5&gt;=2,$C50&gt;=2),F50&amp;".",""),IF(AND($A$5&gt;=3,$C50&gt;=3),G50&amp;".",""),IF(AND($A$5&gt;=4,$C50&gt;=4),H50&amp;".",""),IF($C50="S",I50&amp;".","")))</f>
        <v>-</v>
      </c>
      <c r="P50" s="120" t="s">
        <v>499</v>
      </c>
      <c r="Q50" s="121" t="s">
        <v>515</v>
      </c>
      <c r="R50" s="122" t="str">
        <f ca="1">IF($C50="S",REFERENCIA.Descricao,"(digite a descrição aqui)")</f>
        <v>(abra o arquivo 'Referência 05-Friday.xlsm)</v>
      </c>
      <c r="S50" s="123" t="str">
        <f ca="1">REFERENCIA.Unidade</f>
        <v>-</v>
      </c>
      <c r="T50" s="124">
        <f ca="1">OFFSET(CÁLCULO!H$15,ROW($T50)-ROW(T$15),0)</f>
        <v>4</v>
      </c>
      <c r="U50" s="125">
        <f t="shared" ca="1" si="17"/>
        <v>0</v>
      </c>
      <c r="V50" s="126" t="s">
        <v>156</v>
      </c>
      <c r="W50" s="124">
        <f ca="1">IF($C50="S",ROUND(IF(TIPOORCAMENTO="Proposto",ORÇAMENTO.CustoUnitario*(1+$AH50),ORÇAMENTO.PrecoUnitarioLicitado),15-13*$AF$10),0)</f>
        <v>0</v>
      </c>
      <c r="X50" s="127">
        <f ca="1">IF($C50="S",IF(Import.TipoArredondamento&lt;&gt;"TransfereGOV",VTOTAL1,SUM(OFFSET(CÁLCULO!$AA$15,ROW($X50)-ROW($X$15),1):OFFSET(CÁLCULO!$AL$15,ROW($X50)-ROW($X$15),-1))),IF($C50=0,0,ROUND(SomaAgrup,15-13*$AF$11)))</f>
        <v>0</v>
      </c>
      <c r="Y50" s="128" t="s">
        <v>244</v>
      </c>
      <c r="Z50" t="str">
        <f ca="1">IF(AND($C50="S",$X50&gt;0),IF(ISBLANK($Y50),"RA",LEFT($Y50,2)),"")</f>
        <v/>
      </c>
      <c r="AA50" s="129">
        <f ca="1">IF($C50="S",IF($Z50="CP",$X50,IF($Z50="RA",(($X50)*QCI!$AA$3),0)),SomaAgrup)</f>
        <v>0</v>
      </c>
      <c r="AB50" s="130">
        <f ca="1">IF($C50="S",IF($Z50="OU",ROUND($X50,2),0),SomaAgrup)</f>
        <v>0</v>
      </c>
      <c r="AC50" s="131" t="str">
        <f ca="1">IF($N50="","",IF(ORÇAMENTO.Descricao="","DESCRIÇÃO",IF(AND($C50="S",ORÇAMENTO.Unidade=""),"UNIDADE",IF($X50&lt;0,"VALOR NEGATIVO",IF(OR(AND(TIPOORCAMENTO="Proposto",$AG50&lt;&gt;"",$AG50&gt;0,ORÇAMENTO.CustoUnitario&gt;$AG50),AND(TIPOORCAMENTO="LICITADO",ORÇAMENTO.PrecoUnitarioLicitado&gt;$AN50)),"ACIMA REF.","")))))</f>
        <v/>
      </c>
      <c r="AD50" t="str">
        <f ca="1">IF(C50&lt;=CRONO.NivelExibicao,MAX($AD$15:OFFSET(AD50,-1,0))+IF($C50&lt;&gt;1,1,MAX(1,COUNTIF(QCI!$A$13:$A$24,OFFSET($E50,-1,0)))),"")</f>
        <v/>
      </c>
      <c r="AE50" s="7" t="str">
        <f ca="1">IF(AND($C50="S",ORÇAMENTO.CodBarra&lt;&gt;""),IF(ORÇAMENTO.Fonte="",ORÇAMENTO.CodBarra,CONCATENATE(ORÇAMENTO.Fonte," ",ORÇAMENTO.CodBarra)))</f>
        <v>SICRO 5213440</v>
      </c>
      <c r="AF50" s="13" t="str">
        <f ca="1">IF(ISERROR(INDIRECT(ORÇAMENTO.BancoRef)),"(abra o arquivo 'Referência "&amp;Excel_BuiltIn_Database&amp;".xlsm)",IF(OR($C50&lt;&gt;"S",ORÇAMENTO.CodBarra=""),"(Sem Código)",IF(ISERROR(MATCH($AE50,INDIRECT(ORÇAMENTO.BancoRef),0)),"(Código não identificado nas referências)",MATCH($AE50,INDIRECT(ORÇAMENTO.BancoRef),0))))</f>
        <v>(abra o arquivo 'Referência 05-Friday.xlsm)</v>
      </c>
      <c r="AG50" s="485">
        <f ca="1">ROUND(IF(DESONERACAO="sim",REFERENCIA.Desonerado,REFERENCIA.NaoDesonerado),2)</f>
        <v>0</v>
      </c>
      <c r="AH50" s="486">
        <f ca="1">ROUND(IF(ISNUMBER(ORÇAMENTO.OpcaoBDI),ORÇAMENTO.OpcaoBDI,IF(LEFT(ORÇAMENTO.OpcaoBDI,3)="BDI",HLOOKUP(ORÇAMENTO.OpcaoBDI,$F$4:$H$5,2,FALSE),0)),15-11*$AF$9)</f>
        <v>0.23760000000000001</v>
      </c>
      <c r="AJ50" s="488"/>
      <c r="AL50" s="505"/>
      <c r="AM50" s="379">
        <f t="shared" ca="1" si="0"/>
        <v>0</v>
      </c>
      <c r="AN50" s="543">
        <f ca="1">ROUND(ORÇAMENTO.CustoUnitario*(1+$AH50),2)</f>
        <v>0</v>
      </c>
    </row>
    <row r="51" spans="1:40" ht="5.0999999999999996" customHeight="1" x14ac:dyDescent="0.2">
      <c r="A51">
        <v>-1</v>
      </c>
      <c r="C51">
        <v>-1</v>
      </c>
      <c r="E51">
        <v>0</v>
      </c>
      <c r="F51">
        <v>0</v>
      </c>
      <c r="G51">
        <v>0</v>
      </c>
      <c r="H51">
        <v>0</v>
      </c>
      <c r="I51">
        <v>0</v>
      </c>
      <c r="L51" s="116" t="s">
        <v>245</v>
      </c>
      <c r="M51" s="479"/>
      <c r="N51" s="480"/>
      <c r="O51" s="479"/>
      <c r="P51" s="481"/>
      <c r="Q51" s="481"/>
      <c r="R51" s="481"/>
      <c r="S51" s="481"/>
      <c r="T51" s="481"/>
      <c r="U51" s="481"/>
      <c r="V51" s="481"/>
      <c r="W51" s="481"/>
      <c r="X51" s="480"/>
      <c r="AG51" s="471"/>
      <c r="AH51" s="473"/>
      <c r="AJ51" s="482"/>
      <c r="AL51" s="471"/>
      <c r="AM51" s="472"/>
      <c r="AN51" s="473"/>
    </row>
    <row r="54" spans="1:40" ht="14.25" x14ac:dyDescent="0.2">
      <c r="O54" s="140" t="s">
        <v>247</v>
      </c>
      <c r="Q54" s="641" t="s">
        <v>248</v>
      </c>
      <c r="R54" s="641"/>
      <c r="S54" s="641"/>
      <c r="T54" s="641"/>
      <c r="U54" s="641"/>
      <c r="V54" s="641"/>
      <c r="W54" s="641"/>
      <c r="X54" s="641"/>
    </row>
    <row r="56" spans="1:40" ht="14.25" x14ac:dyDescent="0.2">
      <c r="O56" s="141" t="s">
        <v>186</v>
      </c>
      <c r="X56" s="4"/>
    </row>
    <row r="57" spans="1:40" ht="12.75" customHeight="1" x14ac:dyDescent="0.2">
      <c r="O57" s="642"/>
      <c r="P57" s="642"/>
      <c r="Q57" s="642"/>
      <c r="R57" s="642"/>
      <c r="S57" s="642"/>
      <c r="T57" s="642"/>
      <c r="U57" s="642"/>
      <c r="V57" s="642"/>
      <c r="W57" s="642"/>
      <c r="X57" s="642"/>
    </row>
    <row r="58" spans="1:40" x14ac:dyDescent="0.2">
      <c r="O58" s="642"/>
      <c r="P58" s="642"/>
      <c r="Q58" s="642"/>
      <c r="R58" s="642"/>
      <c r="S58" s="642"/>
      <c r="T58" s="642"/>
      <c r="U58" s="642"/>
      <c r="V58" s="642"/>
      <c r="W58" s="642"/>
      <c r="X58" s="642"/>
    </row>
    <row r="59" spans="1:40" x14ac:dyDescent="0.2">
      <c r="O59" s="642"/>
      <c r="P59" s="642"/>
      <c r="Q59" s="642"/>
      <c r="R59" s="642"/>
      <c r="S59" s="642"/>
      <c r="T59" s="642"/>
      <c r="U59" s="642"/>
      <c r="V59" s="642"/>
      <c r="W59" s="642"/>
      <c r="X59" s="642"/>
    </row>
    <row r="60" spans="1:40" ht="14.25" x14ac:dyDescent="0.2">
      <c r="O60" s="512"/>
      <c r="P60" s="512"/>
      <c r="Q60" s="512"/>
      <c r="R60" s="512"/>
      <c r="S60" s="512"/>
      <c r="T60" s="512"/>
      <c r="U60" s="512"/>
      <c r="V60" s="512"/>
      <c r="W60" s="512"/>
      <c r="X60" s="512"/>
      <c r="Y60" s="512"/>
      <c r="Z60" s="142"/>
      <c r="AA60" s="142"/>
      <c r="AB60" s="142"/>
    </row>
    <row r="61" spans="1:40" ht="15" x14ac:dyDescent="0.25">
      <c r="O61" s="643"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61" s="643"/>
      <c r="Q61" s="643"/>
      <c r="R61" s="643"/>
      <c r="S61" s="643"/>
      <c r="T61" s="643"/>
      <c r="U61" s="643"/>
      <c r="V61" s="643"/>
      <c r="W61" s="643"/>
      <c r="X61" s="643"/>
      <c r="Y61" s="143"/>
      <c r="Z61" s="143"/>
      <c r="AA61" s="143"/>
      <c r="AB61" s="143"/>
    </row>
    <row r="62" spans="1:40" ht="15" customHeight="1" x14ac:dyDescent="0.25">
      <c r="O62" s="645" t="s">
        <v>249</v>
      </c>
      <c r="P62" s="645"/>
      <c r="Q62" s="645"/>
      <c r="R62" s="645"/>
      <c r="S62" s="645"/>
      <c r="T62" s="645"/>
      <c r="U62" s="645"/>
      <c r="V62" s="645"/>
      <c r="W62" s="645"/>
      <c r="X62" s="645"/>
      <c r="Y62" s="143"/>
      <c r="Z62" s="143"/>
      <c r="AA62" s="143"/>
      <c r="AB62" s="143"/>
    </row>
    <row r="64" spans="1:40" ht="30" customHeight="1" x14ac:dyDescent="0.2">
      <c r="O64" s="644" t="str">
        <f>Import.Município</f>
        <v>BENTO GONÇALVES/RS</v>
      </c>
      <c r="P64" s="644"/>
      <c r="Q64" s="644"/>
      <c r="S64" s="531"/>
      <c r="T64" s="531"/>
      <c r="U64" s="531"/>
      <c r="V64" s="531"/>
      <c r="W64" s="466"/>
    </row>
    <row r="65" spans="15:22" x14ac:dyDescent="0.2">
      <c r="O65" s="10" t="s">
        <v>187</v>
      </c>
      <c r="S65" s="195" t="s">
        <v>189</v>
      </c>
      <c r="T65" s="195"/>
      <c r="U65" s="195"/>
      <c r="V65" s="195"/>
    </row>
    <row r="66" spans="15:22" x14ac:dyDescent="0.2">
      <c r="S66" s="78" t="s">
        <v>108</v>
      </c>
      <c r="T66" s="79" t="str">
        <f t="array" ref="T66:T68">Import.RespOrçamento</f>
        <v>Eng. Bruna de Oliveira Pelizza</v>
      </c>
      <c r="V66" s="80"/>
    </row>
    <row r="67" spans="15:22" x14ac:dyDescent="0.2">
      <c r="O67" s="639">
        <f>DADOS!$F$25</f>
        <v>46199</v>
      </c>
      <c r="P67" s="639"/>
      <c r="Q67" s="639"/>
      <c r="S67" s="78" t="s">
        <v>109</v>
      </c>
      <c r="T67" s="79" t="str">
        <v>RS230174</v>
      </c>
      <c r="U67" s="80"/>
      <c r="V67" s="80"/>
    </row>
    <row r="68" spans="15:22" x14ac:dyDescent="0.2">
      <c r="O68" s="146" t="s">
        <v>188</v>
      </c>
      <c r="P68" s="1"/>
      <c r="Q68" s="1"/>
      <c r="S68" s="78" t="s">
        <v>110</v>
      </c>
      <c r="T68" s="79" t="str">
        <v/>
      </c>
      <c r="U68" s="80"/>
      <c r="V68" s="80"/>
    </row>
  </sheetData>
  <sheetProtection algorithmName="SHA-512" hashValue="Wm2CruO1xjg1OIKKRZLjIZY6uyE/W9B3gcPVawjvmrDI+lnqdMliyeHbzVUrq9zwWgDoHu+ApmwKuSYOP24qLw==" saltValue="atIJ3dAnnwN0eWDdvjIAKg==" spinCount="100000" sheet="1" objects="1" scenarios="1" autoFilter="0"/>
  <autoFilter ref="L15:L51" xr:uid="{00000000-0009-0000-0000-000004000000}"/>
  <mergeCells count="24">
    <mergeCell ref="O67:Q67"/>
    <mergeCell ref="O15:R15"/>
    <mergeCell ref="Q54:X54"/>
    <mergeCell ref="O57:X59"/>
    <mergeCell ref="O61:X61"/>
    <mergeCell ref="O64:Q64"/>
    <mergeCell ref="O62:X62"/>
    <mergeCell ref="O4:P4"/>
    <mergeCell ref="S4:X4"/>
    <mergeCell ref="O5:P5"/>
    <mergeCell ref="S5:X5"/>
    <mergeCell ref="F8:K8"/>
    <mergeCell ref="L8:L12"/>
    <mergeCell ref="O8:P8"/>
    <mergeCell ref="S8:U8"/>
    <mergeCell ref="F9:K9"/>
    <mergeCell ref="AE5:AF5"/>
    <mergeCell ref="O7:P7"/>
    <mergeCell ref="S7:U7"/>
    <mergeCell ref="AL7:AL11"/>
    <mergeCell ref="Y8:Y12"/>
    <mergeCell ref="Z8:Z12"/>
    <mergeCell ref="AA12:AB12"/>
    <mergeCell ref="AJ7:AJ11"/>
  </mergeCells>
  <phoneticPr fontId="38" type="noConversion"/>
  <conditionalFormatting sqref="M14 M16 M36:M37 M43:M44 M22:M23 M26:M34">
    <cfRule type="cellIs" dxfId="590" priority="13000" stopIfTrue="1" operator="notEqual">
      <formula>$N14</formula>
    </cfRule>
  </conditionalFormatting>
  <conditionalFormatting sqref="N14:O14 R14 W14:X14 N16:O16 R16 W16:X16 W36:X37 R36:R37 N36:O37 N43:O44 R43 W43:X44 N22:O23 R22:R23 W22:X23 W26:X34 R26:R33 N26:O34">
    <cfRule type="expression" dxfId="589" priority="13001" stopIfTrue="1">
      <formula>$C14=1</formula>
    </cfRule>
    <cfRule type="expression" dxfId="588" priority="13002" stopIfTrue="1">
      <formula>OR($C14=0,$C14=2,$C14=3,$C14=4)</formula>
    </cfRule>
  </conditionalFormatting>
  <conditionalFormatting sqref="U14:V14 U16:V16 V36:V37 U43:V44 V22:V23 V26:V34 U45:U50 U17:U42">
    <cfRule type="expression" dxfId="587" priority="13003" stopIfTrue="1">
      <formula>$C14=1</formula>
    </cfRule>
    <cfRule type="expression" dxfId="586" priority="13004" stopIfTrue="1">
      <formula>OR($C14=0,$C14=2,$C14=3,$C14=4)</formula>
    </cfRule>
    <cfRule type="expression" dxfId="585" priority="13005" stopIfTrue="1">
      <formula>AND(TIPOORCAMENTO="Licitado",$C14&lt;&gt;"L",$C14&lt;&gt;-1)</formula>
    </cfRule>
  </conditionalFormatting>
  <conditionalFormatting sqref="P14:Q14 S14:T14 Y14 AG14:AH14 P16:Q16 S16:T16 Y16 AG16:AH16 AG36:AH37 Y36:Y37 S36:T37 P36:Q37 P43:Q43 S43:T44 Y43:Y44 AG43:AH44 P22:Q23 S22:T23 Y22:Y23 AG22:AH23 AG26:AH34 Y26:Y34 S26:T33 P26:Q34 P44 T34">
    <cfRule type="expression" dxfId="584" priority="13006" stopIfTrue="1">
      <formula>$C14=1</formula>
    </cfRule>
    <cfRule type="expression" dxfId="583" priority="13007" stopIfTrue="1">
      <formula>OR($C14=0,$C14=2,$C14=3,$C14=4)</formula>
    </cfRule>
  </conditionalFormatting>
  <conditionalFormatting sqref="AJ7:AJ16 AJ36:AJ37 AJ51 AJ43:AJ44 AJ22:AJ23 AJ26:AJ34 AJ19">
    <cfRule type="expression" dxfId="582" priority="13008" stopIfTrue="1">
      <formula>OR(ACOMPANHAMENTO&lt;&gt;"BM",TIPOORCAMENTO="Licitado")</formula>
    </cfRule>
    <cfRule type="expression" dxfId="581" priority="13009" stopIfTrue="1">
      <formula>$C7=1</formula>
    </cfRule>
    <cfRule type="expression" dxfId="580" priority="13010" stopIfTrue="1">
      <formula>OR(AND(ISNUMBER($C7),$C7=0),$C7=2,$C7=3,$C7=4)</formula>
    </cfRule>
  </conditionalFormatting>
  <conditionalFormatting sqref="AL7:AL16 AL36:AL37 AL51 AL43:AL44 AL22:AL23 AL26:AL34">
    <cfRule type="expression" dxfId="579" priority="13011" stopIfTrue="1">
      <formula>TIPOORCAMENTO="PROPOSTO"</formula>
    </cfRule>
    <cfRule type="expression" dxfId="578" priority="13012" stopIfTrue="1">
      <formula>$C7=1</formula>
    </cfRule>
    <cfRule type="expression" dxfId="577" priority="13013" stopIfTrue="1">
      <formula>OR(AND(ISNUMBER($C7),$C7=0),$C7=2,$C7=3,$C7=4)</formula>
    </cfRule>
  </conditionalFormatting>
  <conditionalFormatting sqref="O8:P8">
    <cfRule type="expression" dxfId="576" priority="13017" stopIfTrue="1">
      <formula>ISERROR(INDIRECT($F$9))</formula>
    </cfRule>
  </conditionalFormatting>
  <conditionalFormatting sqref="S7:V8">
    <cfRule type="expression" dxfId="575" priority="13018" stopIfTrue="1">
      <formula>TIPOORCAMENTO="Proposto"</formula>
    </cfRule>
  </conditionalFormatting>
  <conditionalFormatting sqref="S9:V9">
    <cfRule type="expression" dxfId="574" priority="12965" stopIfTrue="1">
      <formula>TIPOORCAMENTO="Proposto"</formula>
    </cfRule>
  </conditionalFormatting>
  <conditionalFormatting sqref="AM7:AN16 AM36:AN37 AM51:AN51 AM43:AN44 AM22:AN23 AM26:AN34">
    <cfRule type="expression" dxfId="573" priority="13014" stopIfTrue="1">
      <formula>TIPOORCAMENTO="PROPOSTO"</formula>
    </cfRule>
    <cfRule type="expression" dxfId="572" priority="13015" stopIfTrue="1">
      <formula>$C7=1</formula>
    </cfRule>
    <cfRule type="expression" dxfId="571" priority="13016" stopIfTrue="1">
      <formula>OR(AND(ISNUMBER($C7),$C7=0),$C7=2,$C7=3,$C7=4)</formula>
    </cfRule>
  </conditionalFormatting>
  <conditionalFormatting sqref="M17">
    <cfRule type="cellIs" dxfId="570" priority="1180" stopIfTrue="1" operator="notEqual">
      <formula>$N17</formula>
    </cfRule>
  </conditionalFormatting>
  <conditionalFormatting sqref="N17:O17 R17 W17:X17">
    <cfRule type="expression" dxfId="569" priority="1181" stopIfTrue="1">
      <formula>$C17=1</formula>
    </cfRule>
    <cfRule type="expression" dxfId="568" priority="1182" stopIfTrue="1">
      <formula>OR($C17=0,$C17=2,$C17=3,$C17=4)</formula>
    </cfRule>
  </conditionalFormatting>
  <conditionalFormatting sqref="V17">
    <cfRule type="expression" dxfId="567" priority="1183" stopIfTrue="1">
      <formula>$C17=1</formula>
    </cfRule>
    <cfRule type="expression" dxfId="566" priority="1184" stopIfTrue="1">
      <formula>OR($C17=0,$C17=2,$C17=3,$C17=4)</formula>
    </cfRule>
    <cfRule type="expression" dxfId="565" priority="1185" stopIfTrue="1">
      <formula>AND(TIPOORCAMENTO="Licitado",$C17&lt;&gt;"L",$C17&lt;&gt;-1)</formula>
    </cfRule>
  </conditionalFormatting>
  <conditionalFormatting sqref="P17:Q17 S17:T17 Y17 AG17:AH17">
    <cfRule type="expression" dxfId="564" priority="1186" stopIfTrue="1">
      <formula>$C17=1</formula>
    </cfRule>
    <cfRule type="expression" dxfId="563" priority="1187" stopIfTrue="1">
      <formula>OR($C17=0,$C17=2,$C17=3,$C17=4)</formula>
    </cfRule>
  </conditionalFormatting>
  <conditionalFormatting sqref="AL17">
    <cfRule type="expression" dxfId="562" priority="1191" stopIfTrue="1">
      <formula>TIPOORCAMENTO="PROPOSTO"</formula>
    </cfRule>
    <cfRule type="expression" dxfId="561" priority="1192" stopIfTrue="1">
      <formula>$C17=1</formula>
    </cfRule>
    <cfRule type="expression" dxfId="560" priority="1193" stopIfTrue="1">
      <formula>OR(AND(ISNUMBER($C17),$C17=0),$C17=2,$C17=3,$C17=4)</formula>
    </cfRule>
  </conditionalFormatting>
  <conditionalFormatting sqref="AM17:AN17">
    <cfRule type="expression" dxfId="559" priority="1194" stopIfTrue="1">
      <formula>TIPOORCAMENTO="PROPOSTO"</formula>
    </cfRule>
    <cfRule type="expression" dxfId="558" priority="1195" stopIfTrue="1">
      <formula>$C17=1</formula>
    </cfRule>
    <cfRule type="expression" dxfId="557" priority="1196" stopIfTrue="1">
      <formula>OR(AND(ISNUMBER($C17),$C17=0),$C17=2,$C17=3,$C17=4)</formula>
    </cfRule>
  </conditionalFormatting>
  <conditionalFormatting sqref="M19">
    <cfRule type="cellIs" dxfId="556" priority="1129" stopIfTrue="1" operator="notEqual">
      <formula>$N19</formula>
    </cfRule>
  </conditionalFormatting>
  <conditionalFormatting sqref="N19:O19 R19 W19:X19">
    <cfRule type="expression" dxfId="555" priority="1130" stopIfTrue="1">
      <formula>$C19=1</formula>
    </cfRule>
    <cfRule type="expression" dxfId="554" priority="1131" stopIfTrue="1">
      <formula>OR($C19=0,$C19=2,$C19=3,$C19=4)</formula>
    </cfRule>
  </conditionalFormatting>
  <conditionalFormatting sqref="V19">
    <cfRule type="expression" dxfId="553" priority="1132" stopIfTrue="1">
      <formula>$C19=1</formula>
    </cfRule>
    <cfRule type="expression" dxfId="552" priority="1133" stopIfTrue="1">
      <formula>OR($C19=0,$C19=2,$C19=3,$C19=4)</formula>
    </cfRule>
    <cfRule type="expression" dxfId="551" priority="1134" stopIfTrue="1">
      <formula>AND(TIPOORCAMENTO="Licitado",$C19&lt;&gt;"L",$C19&lt;&gt;-1)</formula>
    </cfRule>
  </conditionalFormatting>
  <conditionalFormatting sqref="P19:Q19 S19:T19 Y19 AG19:AH19">
    <cfRule type="expression" dxfId="550" priority="1135" stopIfTrue="1">
      <formula>$C19=1</formula>
    </cfRule>
    <cfRule type="expression" dxfId="549" priority="1136" stopIfTrue="1">
      <formula>OR($C19=0,$C19=2,$C19=3,$C19=4)</formula>
    </cfRule>
  </conditionalFormatting>
  <conditionalFormatting sqref="AL19">
    <cfRule type="expression" dxfId="548" priority="1140" stopIfTrue="1">
      <formula>TIPOORCAMENTO="PROPOSTO"</formula>
    </cfRule>
    <cfRule type="expression" dxfId="547" priority="1141" stopIfTrue="1">
      <formula>$C19=1</formula>
    </cfRule>
    <cfRule type="expression" dxfId="546" priority="1142" stopIfTrue="1">
      <formula>OR(AND(ISNUMBER($C19),$C19=0),$C19=2,$C19=3,$C19=4)</formula>
    </cfRule>
  </conditionalFormatting>
  <conditionalFormatting sqref="AM19:AN19">
    <cfRule type="expression" dxfId="545" priority="1143" stopIfTrue="1">
      <formula>TIPOORCAMENTO="PROPOSTO"</formula>
    </cfRule>
    <cfRule type="expression" dxfId="544" priority="1144" stopIfTrue="1">
      <formula>$C19=1</formula>
    </cfRule>
    <cfRule type="expression" dxfId="543" priority="1145" stopIfTrue="1">
      <formula>OR(AND(ISNUMBER($C19),$C19=0),$C19=2,$C19=3,$C19=4)</formula>
    </cfRule>
  </conditionalFormatting>
  <conditionalFormatting sqref="M18">
    <cfRule type="cellIs" dxfId="542" priority="689" stopIfTrue="1" operator="notEqual">
      <formula>$N18</formula>
    </cfRule>
  </conditionalFormatting>
  <conditionalFormatting sqref="N18:O18 R18 W18:X18">
    <cfRule type="expression" dxfId="541" priority="690" stopIfTrue="1">
      <formula>$C18=1</formula>
    </cfRule>
    <cfRule type="expression" dxfId="540" priority="691" stopIfTrue="1">
      <formula>OR($C18=0,$C18=2,$C18=3,$C18=4)</formula>
    </cfRule>
  </conditionalFormatting>
  <conditionalFormatting sqref="V18">
    <cfRule type="expression" dxfId="539" priority="692" stopIfTrue="1">
      <formula>$C18=1</formula>
    </cfRule>
    <cfRule type="expression" dxfId="538" priority="693" stopIfTrue="1">
      <formula>OR($C18=0,$C18=2,$C18=3,$C18=4)</formula>
    </cfRule>
    <cfRule type="expression" dxfId="537" priority="694" stopIfTrue="1">
      <formula>AND(TIPOORCAMENTO="Licitado",$C18&lt;&gt;"L",$C18&lt;&gt;-1)</formula>
    </cfRule>
  </conditionalFormatting>
  <conditionalFormatting sqref="P18:Q18 S18:T18 Y18 AG18:AH18">
    <cfRule type="expression" dxfId="536" priority="695" stopIfTrue="1">
      <formula>$C18=1</formula>
    </cfRule>
    <cfRule type="expression" dxfId="535" priority="696" stopIfTrue="1">
      <formula>OR($C18=0,$C18=2,$C18=3,$C18=4)</formula>
    </cfRule>
  </conditionalFormatting>
  <conditionalFormatting sqref="AJ18">
    <cfRule type="expression" dxfId="534" priority="697" stopIfTrue="1">
      <formula>OR(ACOMPANHAMENTO&lt;&gt;"BM",TIPOORCAMENTO="Licitado")</formula>
    </cfRule>
    <cfRule type="expression" dxfId="533" priority="698" stopIfTrue="1">
      <formula>$C18=1</formula>
    </cfRule>
    <cfRule type="expression" dxfId="532" priority="699" stopIfTrue="1">
      <formula>OR(AND(ISNUMBER($C18),$C18=0),$C18=2,$C18=3,$C18=4)</formula>
    </cfRule>
  </conditionalFormatting>
  <conditionalFormatting sqref="AL18">
    <cfRule type="expression" dxfId="531" priority="700" stopIfTrue="1">
      <formula>TIPOORCAMENTO="PROPOSTO"</formula>
    </cfRule>
    <cfRule type="expression" dxfId="530" priority="701" stopIfTrue="1">
      <formula>$C18=1</formula>
    </cfRule>
    <cfRule type="expression" dxfId="529" priority="702" stopIfTrue="1">
      <formula>OR(AND(ISNUMBER($C18),$C18=0),$C18=2,$C18=3,$C18=4)</formula>
    </cfRule>
  </conditionalFormatting>
  <conditionalFormatting sqref="AM18:AN18">
    <cfRule type="expression" dxfId="528" priority="703" stopIfTrue="1">
      <formula>TIPOORCAMENTO="PROPOSTO"</formula>
    </cfRule>
    <cfRule type="expression" dxfId="527" priority="704" stopIfTrue="1">
      <formula>$C18=1</formula>
    </cfRule>
    <cfRule type="expression" dxfId="526" priority="705" stopIfTrue="1">
      <formula>OR(AND(ISNUMBER($C18),$C18=0),$C18=2,$C18=3,$C18=4)</formula>
    </cfRule>
  </conditionalFormatting>
  <conditionalFormatting sqref="M35">
    <cfRule type="cellIs" dxfId="525" priority="636" stopIfTrue="1" operator="notEqual">
      <formula>$N35</formula>
    </cfRule>
  </conditionalFormatting>
  <conditionalFormatting sqref="N35:O35 W35:X35 R34:R35">
    <cfRule type="expression" dxfId="524" priority="637" stopIfTrue="1">
      <formula>$C34=1</formula>
    </cfRule>
    <cfRule type="expression" dxfId="523" priority="638" stopIfTrue="1">
      <formula>OR($C34=0,$C34=2,$C34=3,$C34=4)</formula>
    </cfRule>
  </conditionalFormatting>
  <conditionalFormatting sqref="V35">
    <cfRule type="expression" dxfId="522" priority="639" stopIfTrue="1">
      <formula>$C35=1</formula>
    </cfRule>
    <cfRule type="expression" dxfId="521" priority="640" stopIfTrue="1">
      <formula>OR($C35=0,$C35=2,$C35=3,$C35=4)</formula>
    </cfRule>
    <cfRule type="expression" dxfId="520" priority="641" stopIfTrue="1">
      <formula>AND(TIPOORCAMENTO="Licitado",$C35&lt;&gt;"L",$C35&lt;&gt;-1)</formula>
    </cfRule>
  </conditionalFormatting>
  <conditionalFormatting sqref="P35:Q35 S35:T35 Y35 AG35:AH35 S34">
    <cfRule type="expression" dxfId="519" priority="642" stopIfTrue="1">
      <formula>$C34=1</formula>
    </cfRule>
    <cfRule type="expression" dxfId="518" priority="643" stopIfTrue="1">
      <formula>OR($C34=0,$C34=2,$C34=3,$C34=4)</formula>
    </cfRule>
  </conditionalFormatting>
  <conditionalFormatting sqref="AJ35">
    <cfRule type="expression" dxfId="517" priority="644" stopIfTrue="1">
      <formula>OR(ACOMPANHAMENTO&lt;&gt;"BM",TIPOORCAMENTO="Licitado")</formula>
    </cfRule>
    <cfRule type="expression" dxfId="516" priority="645" stopIfTrue="1">
      <formula>$C35=1</formula>
    </cfRule>
    <cfRule type="expression" dxfId="515" priority="646" stopIfTrue="1">
      <formula>OR(AND(ISNUMBER($C35),$C35=0),$C35=2,$C35=3,$C35=4)</formula>
    </cfRule>
  </conditionalFormatting>
  <conditionalFormatting sqref="AL35">
    <cfRule type="expression" dxfId="514" priority="647" stopIfTrue="1">
      <formula>TIPOORCAMENTO="PROPOSTO"</formula>
    </cfRule>
    <cfRule type="expression" dxfId="513" priority="648" stopIfTrue="1">
      <formula>$C35=1</formula>
    </cfRule>
    <cfRule type="expression" dxfId="512" priority="649" stopIfTrue="1">
      <formula>OR(AND(ISNUMBER($C35),$C35=0),$C35=2,$C35=3,$C35=4)</formula>
    </cfRule>
  </conditionalFormatting>
  <conditionalFormatting sqref="AM35:AN35">
    <cfRule type="expression" dxfId="511" priority="650" stopIfTrue="1">
      <formula>TIPOORCAMENTO="PROPOSTO"</formula>
    </cfRule>
    <cfRule type="expression" dxfId="510" priority="651" stopIfTrue="1">
      <formula>$C35=1</formula>
    </cfRule>
    <cfRule type="expression" dxfId="509" priority="652" stopIfTrue="1">
      <formula>OR(AND(ISNUMBER($C35),$C35=0),$C35=2,$C35=3,$C35=4)</formula>
    </cfRule>
  </conditionalFormatting>
  <conditionalFormatting sqref="M21">
    <cfRule type="cellIs" dxfId="508" priority="477" stopIfTrue="1" operator="notEqual">
      <formula>$N21</formula>
    </cfRule>
  </conditionalFormatting>
  <conditionalFormatting sqref="N21:O21 R21 W21:X21">
    <cfRule type="expression" dxfId="507" priority="478" stopIfTrue="1">
      <formula>$C21=1</formula>
    </cfRule>
    <cfRule type="expression" dxfId="506" priority="479" stopIfTrue="1">
      <formula>OR($C21=0,$C21=2,$C21=3,$C21=4)</formula>
    </cfRule>
  </conditionalFormatting>
  <conditionalFormatting sqref="V21">
    <cfRule type="expression" dxfId="505" priority="480" stopIfTrue="1">
      <formula>$C21=1</formula>
    </cfRule>
    <cfRule type="expression" dxfId="504" priority="481" stopIfTrue="1">
      <formula>OR($C21=0,$C21=2,$C21=3,$C21=4)</formula>
    </cfRule>
    <cfRule type="expression" dxfId="503" priority="482" stopIfTrue="1">
      <formula>AND(TIPOORCAMENTO="Licitado",$C21&lt;&gt;"L",$C21&lt;&gt;-1)</formula>
    </cfRule>
  </conditionalFormatting>
  <conditionalFormatting sqref="P21:Q21 S21:T21 Y21 AG21:AH21">
    <cfRule type="expression" dxfId="502" priority="483" stopIfTrue="1">
      <formula>$C21=1</formula>
    </cfRule>
    <cfRule type="expression" dxfId="501" priority="484" stopIfTrue="1">
      <formula>OR($C21=0,$C21=2,$C21=3,$C21=4)</formula>
    </cfRule>
  </conditionalFormatting>
  <conditionalFormatting sqref="AJ21">
    <cfRule type="expression" dxfId="500" priority="485" stopIfTrue="1">
      <formula>OR(ACOMPANHAMENTO&lt;&gt;"BM",TIPOORCAMENTO="Licitado")</formula>
    </cfRule>
    <cfRule type="expression" dxfId="499" priority="486" stopIfTrue="1">
      <formula>$C21=1</formula>
    </cfRule>
    <cfRule type="expression" dxfId="498" priority="487" stopIfTrue="1">
      <formula>OR(AND(ISNUMBER($C21),$C21=0),$C21=2,$C21=3,$C21=4)</formula>
    </cfRule>
  </conditionalFormatting>
  <conditionalFormatting sqref="AL21">
    <cfRule type="expression" dxfId="497" priority="488" stopIfTrue="1">
      <formula>TIPOORCAMENTO="PROPOSTO"</formula>
    </cfRule>
    <cfRule type="expression" dxfId="496" priority="489" stopIfTrue="1">
      <formula>$C21=1</formula>
    </cfRule>
    <cfRule type="expression" dxfId="495" priority="490" stopIfTrue="1">
      <formula>OR(AND(ISNUMBER($C21),$C21=0),$C21=2,$C21=3,$C21=4)</formula>
    </cfRule>
  </conditionalFormatting>
  <conditionalFormatting sqref="AM21:AN21">
    <cfRule type="expression" dxfId="494" priority="491" stopIfTrue="1">
      <formula>TIPOORCAMENTO="PROPOSTO"</formula>
    </cfRule>
    <cfRule type="expression" dxfId="493" priority="492" stopIfTrue="1">
      <formula>$C21=1</formula>
    </cfRule>
    <cfRule type="expression" dxfId="492" priority="493" stopIfTrue="1">
      <formula>OR(AND(ISNUMBER($C21),$C21=0),$C21=2,$C21=3,$C21=4)</formula>
    </cfRule>
  </conditionalFormatting>
  <conditionalFormatting sqref="M40">
    <cfRule type="cellIs" dxfId="491" priority="443" stopIfTrue="1" operator="notEqual">
      <formula>$N40</formula>
    </cfRule>
  </conditionalFormatting>
  <conditionalFormatting sqref="N40:O40 R40 W40:X40">
    <cfRule type="expression" dxfId="490" priority="444" stopIfTrue="1">
      <formula>$C40=1</formula>
    </cfRule>
    <cfRule type="expression" dxfId="489" priority="445" stopIfTrue="1">
      <formula>OR($C40=0,$C40=2,$C40=3,$C40=4)</formula>
    </cfRule>
  </conditionalFormatting>
  <conditionalFormatting sqref="V40">
    <cfRule type="expression" dxfId="488" priority="446" stopIfTrue="1">
      <formula>$C40=1</formula>
    </cfRule>
    <cfRule type="expression" dxfId="487" priority="447" stopIfTrue="1">
      <formula>OR($C40=0,$C40=2,$C40=3,$C40=4)</formula>
    </cfRule>
    <cfRule type="expression" dxfId="486" priority="448" stopIfTrue="1">
      <formula>AND(TIPOORCAMENTO="Licitado",$C40&lt;&gt;"L",$C40&lt;&gt;-1)</formula>
    </cfRule>
  </conditionalFormatting>
  <conditionalFormatting sqref="P40:Q40 S40:T40 Y40 AG40:AH40">
    <cfRule type="expression" dxfId="485" priority="449" stopIfTrue="1">
      <formula>$C40=1</formula>
    </cfRule>
    <cfRule type="expression" dxfId="484" priority="450" stopIfTrue="1">
      <formula>OR($C40=0,$C40=2,$C40=3,$C40=4)</formula>
    </cfRule>
  </conditionalFormatting>
  <conditionalFormatting sqref="AJ40">
    <cfRule type="expression" dxfId="483" priority="451" stopIfTrue="1">
      <formula>OR(ACOMPANHAMENTO&lt;&gt;"BM",TIPOORCAMENTO="Licitado")</formula>
    </cfRule>
    <cfRule type="expression" dxfId="482" priority="452" stopIfTrue="1">
      <formula>$C40=1</formula>
    </cfRule>
    <cfRule type="expression" dxfId="481" priority="453" stopIfTrue="1">
      <formula>OR(AND(ISNUMBER($C40),$C40=0),$C40=2,$C40=3,$C40=4)</formula>
    </cfRule>
  </conditionalFormatting>
  <conditionalFormatting sqref="AL40">
    <cfRule type="expression" dxfId="480" priority="454" stopIfTrue="1">
      <formula>TIPOORCAMENTO="PROPOSTO"</formula>
    </cfRule>
    <cfRule type="expression" dxfId="479" priority="455" stopIfTrue="1">
      <formula>$C40=1</formula>
    </cfRule>
    <cfRule type="expression" dxfId="478" priority="456" stopIfTrue="1">
      <formula>OR(AND(ISNUMBER($C40),$C40=0),$C40=2,$C40=3,$C40=4)</formula>
    </cfRule>
  </conditionalFormatting>
  <conditionalFormatting sqref="AM40:AN40">
    <cfRule type="expression" dxfId="477" priority="457" stopIfTrue="1">
      <formula>TIPOORCAMENTO="PROPOSTO"</formula>
    </cfRule>
    <cfRule type="expression" dxfId="476" priority="458" stopIfTrue="1">
      <formula>$C40=1</formula>
    </cfRule>
    <cfRule type="expression" dxfId="475" priority="459" stopIfTrue="1">
      <formula>OR(AND(ISNUMBER($C40),$C40=0),$C40=2,$C40=3,$C40=4)</formula>
    </cfRule>
  </conditionalFormatting>
  <conditionalFormatting sqref="M47:M49">
    <cfRule type="cellIs" dxfId="474" priority="375" stopIfTrue="1" operator="notEqual">
      <formula>$N47</formula>
    </cfRule>
  </conditionalFormatting>
  <conditionalFormatting sqref="N47:O49 R47:R49 W47:X49">
    <cfRule type="expression" dxfId="473" priority="376" stopIfTrue="1">
      <formula>$C47=1</formula>
    </cfRule>
    <cfRule type="expression" dxfId="472" priority="377" stopIfTrue="1">
      <formula>OR($C47=0,$C47=2,$C47=3,$C47=4)</formula>
    </cfRule>
  </conditionalFormatting>
  <conditionalFormatting sqref="V47:V49">
    <cfRule type="expression" dxfId="471" priority="378" stopIfTrue="1">
      <formula>$C47=1</formula>
    </cfRule>
    <cfRule type="expression" dxfId="470" priority="379" stopIfTrue="1">
      <formula>OR($C47=0,$C47=2,$C47=3,$C47=4)</formula>
    </cfRule>
    <cfRule type="expression" dxfId="469" priority="380" stopIfTrue="1">
      <formula>AND(TIPOORCAMENTO="Licitado",$C47&lt;&gt;"L",$C47&lt;&gt;-1)</formula>
    </cfRule>
  </conditionalFormatting>
  <conditionalFormatting sqref="P47:Q49 Y47:Y49 AG47:AH49 T47:T49">
    <cfRule type="expression" dxfId="468" priority="381" stopIfTrue="1">
      <formula>$C47=1</formula>
    </cfRule>
    <cfRule type="expression" dxfId="467" priority="382" stopIfTrue="1">
      <formula>OR($C47=0,$C47=2,$C47=3,$C47=4)</formula>
    </cfRule>
  </conditionalFormatting>
  <conditionalFormatting sqref="AJ47:AJ49">
    <cfRule type="expression" dxfId="466" priority="383" stopIfTrue="1">
      <formula>OR(ACOMPANHAMENTO&lt;&gt;"BM",TIPOORCAMENTO="Licitado")</formula>
    </cfRule>
    <cfRule type="expression" dxfId="465" priority="384" stopIfTrue="1">
      <formula>$C47=1</formula>
    </cfRule>
    <cfRule type="expression" dxfId="464" priority="385" stopIfTrue="1">
      <formula>OR(AND(ISNUMBER($C47),$C47=0),$C47=2,$C47=3,$C47=4)</formula>
    </cfRule>
  </conditionalFormatting>
  <conditionalFormatting sqref="AL47:AL49">
    <cfRule type="expression" dxfId="463" priority="386" stopIfTrue="1">
      <formula>TIPOORCAMENTO="PROPOSTO"</formula>
    </cfRule>
    <cfRule type="expression" dxfId="462" priority="387" stopIfTrue="1">
      <formula>$C47=1</formula>
    </cfRule>
    <cfRule type="expression" dxfId="461" priority="388" stopIfTrue="1">
      <formula>OR(AND(ISNUMBER($C47),$C47=0),$C47=2,$C47=3,$C47=4)</formula>
    </cfRule>
  </conditionalFormatting>
  <conditionalFormatting sqref="AM47:AN49">
    <cfRule type="expression" dxfId="460" priority="389" stopIfTrue="1">
      <formula>TIPOORCAMENTO="PROPOSTO"</formula>
    </cfRule>
    <cfRule type="expression" dxfId="459" priority="390" stopIfTrue="1">
      <formula>$C47=1</formula>
    </cfRule>
    <cfRule type="expression" dxfId="458" priority="391" stopIfTrue="1">
      <formula>OR(AND(ISNUMBER($C47),$C47=0),$C47=2,$C47=3,$C47=4)</formula>
    </cfRule>
  </conditionalFormatting>
  <conditionalFormatting sqref="M20">
    <cfRule type="cellIs" dxfId="457" priority="256" stopIfTrue="1" operator="notEqual">
      <formula>$N20</formula>
    </cfRule>
  </conditionalFormatting>
  <conditionalFormatting sqref="N20:O20 R20 W20:X20">
    <cfRule type="expression" dxfId="456" priority="257" stopIfTrue="1">
      <formula>$C20=1</formula>
    </cfRule>
    <cfRule type="expression" dxfId="455" priority="258" stopIfTrue="1">
      <formula>OR($C20=0,$C20=2,$C20=3,$C20=4)</formula>
    </cfRule>
  </conditionalFormatting>
  <conditionalFormatting sqref="V20">
    <cfRule type="expression" dxfId="454" priority="259" stopIfTrue="1">
      <formula>$C20=1</formula>
    </cfRule>
    <cfRule type="expression" dxfId="453" priority="260" stopIfTrue="1">
      <formula>OR($C20=0,$C20=2,$C20=3,$C20=4)</formula>
    </cfRule>
    <cfRule type="expression" dxfId="452" priority="261" stopIfTrue="1">
      <formula>AND(TIPOORCAMENTO="Licitado",$C20&lt;&gt;"L",$C20&lt;&gt;-1)</formula>
    </cfRule>
  </conditionalFormatting>
  <conditionalFormatting sqref="P20:Q20 S20:T20 Y20 AG20:AH20">
    <cfRule type="expression" dxfId="451" priority="262" stopIfTrue="1">
      <formula>$C20=1</formula>
    </cfRule>
    <cfRule type="expression" dxfId="450" priority="263" stopIfTrue="1">
      <formula>OR($C20=0,$C20=2,$C20=3,$C20=4)</formula>
    </cfRule>
  </conditionalFormatting>
  <conditionalFormatting sqref="AJ20">
    <cfRule type="expression" dxfId="449" priority="264" stopIfTrue="1">
      <formula>OR(ACOMPANHAMENTO&lt;&gt;"BM",TIPOORCAMENTO="Licitado")</formula>
    </cfRule>
    <cfRule type="expression" dxfId="448" priority="265" stopIfTrue="1">
      <formula>$C20=1</formula>
    </cfRule>
    <cfRule type="expression" dxfId="447" priority="266" stopIfTrue="1">
      <formula>OR(AND(ISNUMBER($C20),$C20=0),$C20=2,$C20=3,$C20=4)</formula>
    </cfRule>
  </conditionalFormatting>
  <conditionalFormatting sqref="AL20">
    <cfRule type="expression" dxfId="446" priority="267" stopIfTrue="1">
      <formula>TIPOORCAMENTO="PROPOSTO"</formula>
    </cfRule>
    <cfRule type="expression" dxfId="445" priority="268" stopIfTrue="1">
      <formula>$C20=1</formula>
    </cfRule>
    <cfRule type="expression" dxfId="444" priority="269" stopIfTrue="1">
      <formula>OR(AND(ISNUMBER($C20),$C20=0),$C20=2,$C20=3,$C20=4)</formula>
    </cfRule>
  </conditionalFormatting>
  <conditionalFormatting sqref="AM20:AN20">
    <cfRule type="expression" dxfId="443" priority="270" stopIfTrue="1">
      <formula>TIPOORCAMENTO="PROPOSTO"</formula>
    </cfRule>
    <cfRule type="expression" dxfId="442" priority="271" stopIfTrue="1">
      <formula>$C20=1</formula>
    </cfRule>
    <cfRule type="expression" dxfId="441" priority="272" stopIfTrue="1">
      <formula>OR(AND(ISNUMBER($C20),$C20=0),$C20=2,$C20=3,$C20=4)</formula>
    </cfRule>
  </conditionalFormatting>
  <conditionalFormatting sqref="M24">
    <cfRule type="cellIs" dxfId="440" priority="188" stopIfTrue="1" operator="notEqual">
      <formula>$N24</formula>
    </cfRule>
  </conditionalFormatting>
  <conditionalFormatting sqref="N24:O24 R24 W24:X24">
    <cfRule type="expression" dxfId="439" priority="189" stopIfTrue="1">
      <formula>$C24=1</formula>
    </cfRule>
    <cfRule type="expression" dxfId="438" priority="190" stopIfTrue="1">
      <formula>OR($C24=0,$C24=2,$C24=3,$C24=4)</formula>
    </cfRule>
  </conditionalFormatting>
  <conditionalFormatting sqref="V24">
    <cfRule type="expression" dxfId="437" priority="191" stopIfTrue="1">
      <formula>$C24=1</formula>
    </cfRule>
    <cfRule type="expression" dxfId="436" priority="192" stopIfTrue="1">
      <formula>OR($C24=0,$C24=2,$C24=3,$C24=4)</formula>
    </cfRule>
    <cfRule type="expression" dxfId="435" priority="193" stopIfTrue="1">
      <formula>AND(TIPOORCAMENTO="Licitado",$C24&lt;&gt;"L",$C24&lt;&gt;-1)</formula>
    </cfRule>
  </conditionalFormatting>
  <conditionalFormatting sqref="P24:Q24 S24:T24 Y24 AG24:AH24">
    <cfRule type="expression" dxfId="434" priority="194" stopIfTrue="1">
      <formula>$C24=1</formula>
    </cfRule>
    <cfRule type="expression" dxfId="433" priority="195" stopIfTrue="1">
      <formula>OR($C24=0,$C24=2,$C24=3,$C24=4)</formula>
    </cfRule>
  </conditionalFormatting>
  <conditionalFormatting sqref="AJ24">
    <cfRule type="expression" dxfId="432" priority="196" stopIfTrue="1">
      <formula>OR(ACOMPANHAMENTO&lt;&gt;"BM",TIPOORCAMENTO="Licitado")</formula>
    </cfRule>
    <cfRule type="expression" dxfId="431" priority="197" stopIfTrue="1">
      <formula>$C24=1</formula>
    </cfRule>
    <cfRule type="expression" dxfId="430" priority="198" stopIfTrue="1">
      <formula>OR(AND(ISNUMBER($C24),$C24=0),$C24=2,$C24=3,$C24=4)</formula>
    </cfRule>
  </conditionalFormatting>
  <conditionalFormatting sqref="AL24">
    <cfRule type="expression" dxfId="429" priority="199" stopIfTrue="1">
      <formula>TIPOORCAMENTO="PROPOSTO"</formula>
    </cfRule>
    <cfRule type="expression" dxfId="428" priority="200" stopIfTrue="1">
      <formula>$C24=1</formula>
    </cfRule>
    <cfRule type="expression" dxfId="427" priority="201" stopIfTrue="1">
      <formula>OR(AND(ISNUMBER($C24),$C24=0),$C24=2,$C24=3,$C24=4)</formula>
    </cfRule>
  </conditionalFormatting>
  <conditionalFormatting sqref="AM24:AN24">
    <cfRule type="expression" dxfId="426" priority="202" stopIfTrue="1">
      <formula>TIPOORCAMENTO="PROPOSTO"</formula>
    </cfRule>
    <cfRule type="expression" dxfId="425" priority="203" stopIfTrue="1">
      <formula>$C24=1</formula>
    </cfRule>
    <cfRule type="expression" dxfId="424" priority="204" stopIfTrue="1">
      <formula>OR(AND(ISNUMBER($C24),$C24=0),$C24=2,$C24=3,$C24=4)</formula>
    </cfRule>
  </conditionalFormatting>
  <conditionalFormatting sqref="M25">
    <cfRule type="cellIs" dxfId="423" priority="171" stopIfTrue="1" operator="notEqual">
      <formula>$N25</formula>
    </cfRule>
  </conditionalFormatting>
  <conditionalFormatting sqref="N25:O25 R25 W25:X25">
    <cfRule type="expression" dxfId="422" priority="172" stopIfTrue="1">
      <formula>$C25=1</formula>
    </cfRule>
    <cfRule type="expression" dxfId="421" priority="173" stopIfTrue="1">
      <formula>OR($C25=0,$C25=2,$C25=3,$C25=4)</formula>
    </cfRule>
  </conditionalFormatting>
  <conditionalFormatting sqref="V25">
    <cfRule type="expression" dxfId="420" priority="174" stopIfTrue="1">
      <formula>$C25=1</formula>
    </cfRule>
    <cfRule type="expression" dxfId="419" priority="175" stopIfTrue="1">
      <formula>OR($C25=0,$C25=2,$C25=3,$C25=4)</formula>
    </cfRule>
    <cfRule type="expression" dxfId="418" priority="176" stopIfTrue="1">
      <formula>AND(TIPOORCAMENTO="Licitado",$C25&lt;&gt;"L",$C25&lt;&gt;-1)</formula>
    </cfRule>
  </conditionalFormatting>
  <conditionalFormatting sqref="P25:Q25 S25:T25 Y25 AG25:AH25">
    <cfRule type="expression" dxfId="417" priority="177" stopIfTrue="1">
      <formula>$C25=1</formula>
    </cfRule>
    <cfRule type="expression" dxfId="416" priority="178" stopIfTrue="1">
      <formula>OR($C25=0,$C25=2,$C25=3,$C25=4)</formula>
    </cfRule>
  </conditionalFormatting>
  <conditionalFormatting sqref="AJ25">
    <cfRule type="expression" dxfId="415" priority="179" stopIfTrue="1">
      <formula>OR(ACOMPANHAMENTO&lt;&gt;"BM",TIPOORCAMENTO="Licitado")</formula>
    </cfRule>
    <cfRule type="expression" dxfId="414" priority="180" stopIfTrue="1">
      <formula>$C25=1</formula>
    </cfRule>
    <cfRule type="expression" dxfId="413" priority="181" stopIfTrue="1">
      <formula>OR(AND(ISNUMBER($C25),$C25=0),$C25=2,$C25=3,$C25=4)</formula>
    </cfRule>
  </conditionalFormatting>
  <conditionalFormatting sqref="AL25">
    <cfRule type="expression" dxfId="412" priority="182" stopIfTrue="1">
      <formula>TIPOORCAMENTO="PROPOSTO"</formula>
    </cfRule>
    <cfRule type="expression" dxfId="411" priority="183" stopIfTrue="1">
      <formula>$C25=1</formula>
    </cfRule>
    <cfRule type="expression" dxfId="410" priority="184" stopIfTrue="1">
      <formula>OR(AND(ISNUMBER($C25),$C25=0),$C25=2,$C25=3,$C25=4)</formula>
    </cfRule>
  </conditionalFormatting>
  <conditionalFormatting sqref="AM25:AN25">
    <cfRule type="expression" dxfId="409" priority="185" stopIfTrue="1">
      <formula>TIPOORCAMENTO="PROPOSTO"</formula>
    </cfRule>
    <cfRule type="expression" dxfId="408" priority="186" stopIfTrue="1">
      <formula>$C25=1</formula>
    </cfRule>
    <cfRule type="expression" dxfId="407" priority="187" stopIfTrue="1">
      <formula>OR(AND(ISNUMBER($C25),$C25=0),$C25=2,$C25=3,$C25=4)</formula>
    </cfRule>
  </conditionalFormatting>
  <conditionalFormatting sqref="M46">
    <cfRule type="cellIs" dxfId="406" priority="154" stopIfTrue="1" operator="notEqual">
      <formula>$N46</formula>
    </cfRule>
  </conditionalFormatting>
  <conditionalFormatting sqref="N46:O46 W46:X46 R44 R46">
    <cfRule type="expression" dxfId="405" priority="155" stopIfTrue="1">
      <formula>$C44=1</formula>
    </cfRule>
    <cfRule type="expression" dxfId="404" priority="156" stopIfTrue="1">
      <formula>OR($C44=0,$C44=2,$C44=3,$C44=4)</formula>
    </cfRule>
  </conditionalFormatting>
  <conditionalFormatting sqref="V46">
    <cfRule type="expression" dxfId="403" priority="157" stopIfTrue="1">
      <formula>$C46=1</formula>
    </cfRule>
    <cfRule type="expression" dxfId="402" priority="158" stopIfTrue="1">
      <formula>OR($C46=0,$C46=2,$C46=3,$C46=4)</formula>
    </cfRule>
    <cfRule type="expression" dxfId="401" priority="159" stopIfTrue="1">
      <formula>AND(TIPOORCAMENTO="Licitado",$C46&lt;&gt;"L",$C46&lt;&gt;-1)</formula>
    </cfRule>
  </conditionalFormatting>
  <conditionalFormatting sqref="P46:Q46 S46:T46 Y46 AG46:AH46 Q44 S47:S49">
    <cfRule type="expression" dxfId="400" priority="160" stopIfTrue="1">
      <formula>$C44=1</formula>
    </cfRule>
    <cfRule type="expression" dxfId="399" priority="161" stopIfTrue="1">
      <formula>OR($C44=0,$C44=2,$C44=3,$C44=4)</formula>
    </cfRule>
  </conditionalFormatting>
  <conditionalFormatting sqref="AJ46">
    <cfRule type="expression" dxfId="398" priority="162" stopIfTrue="1">
      <formula>OR(ACOMPANHAMENTO&lt;&gt;"BM",TIPOORCAMENTO="Licitado")</formula>
    </cfRule>
    <cfRule type="expression" dxfId="397" priority="163" stopIfTrue="1">
      <formula>$C46=1</formula>
    </cfRule>
    <cfRule type="expression" dxfId="396" priority="164" stopIfTrue="1">
      <formula>OR(AND(ISNUMBER($C46),$C46=0),$C46=2,$C46=3,$C46=4)</formula>
    </cfRule>
  </conditionalFormatting>
  <conditionalFormatting sqref="AL46">
    <cfRule type="expression" dxfId="395" priority="165" stopIfTrue="1">
      <formula>TIPOORCAMENTO="PROPOSTO"</formula>
    </cfRule>
    <cfRule type="expression" dxfId="394" priority="166" stopIfTrue="1">
      <formula>$C46=1</formula>
    </cfRule>
    <cfRule type="expression" dxfId="393" priority="167" stopIfTrue="1">
      <formula>OR(AND(ISNUMBER($C46),$C46=0),$C46=2,$C46=3,$C46=4)</formula>
    </cfRule>
  </conditionalFormatting>
  <conditionalFormatting sqref="AM46:AN46">
    <cfRule type="expression" dxfId="392" priority="168" stopIfTrue="1">
      <formula>TIPOORCAMENTO="PROPOSTO"</formula>
    </cfRule>
    <cfRule type="expression" dxfId="391" priority="169" stopIfTrue="1">
      <formula>$C46=1</formula>
    </cfRule>
    <cfRule type="expression" dxfId="390" priority="170" stopIfTrue="1">
      <formula>OR(AND(ISNUMBER($C46),$C46=0),$C46=2,$C46=3,$C46=4)</formula>
    </cfRule>
  </conditionalFormatting>
  <conditionalFormatting sqref="M41">
    <cfRule type="cellIs" dxfId="389" priority="103" stopIfTrue="1" operator="notEqual">
      <formula>$N41</formula>
    </cfRule>
  </conditionalFormatting>
  <conditionalFormatting sqref="N41:O41 R41 W41:X41">
    <cfRule type="expression" dxfId="388" priority="104" stopIfTrue="1">
      <formula>$C41=1</formula>
    </cfRule>
    <cfRule type="expression" dxfId="387" priority="105" stopIfTrue="1">
      <formula>OR($C41=0,$C41=2,$C41=3,$C41=4)</formula>
    </cfRule>
  </conditionalFormatting>
  <conditionalFormatting sqref="V41">
    <cfRule type="expression" dxfId="386" priority="106" stopIfTrue="1">
      <formula>$C41=1</formula>
    </cfRule>
    <cfRule type="expression" dxfId="385" priority="107" stopIfTrue="1">
      <formula>OR($C41=0,$C41=2,$C41=3,$C41=4)</formula>
    </cfRule>
    <cfRule type="expression" dxfId="384" priority="108" stopIfTrue="1">
      <formula>AND(TIPOORCAMENTO="Licitado",$C41&lt;&gt;"L",$C41&lt;&gt;-1)</formula>
    </cfRule>
  </conditionalFormatting>
  <conditionalFormatting sqref="P41:Q41 S41:T41 Y41 AG41:AH41">
    <cfRule type="expression" dxfId="383" priority="109" stopIfTrue="1">
      <formula>$C41=1</formula>
    </cfRule>
    <cfRule type="expression" dxfId="382" priority="110" stopIfTrue="1">
      <formula>OR($C41=0,$C41=2,$C41=3,$C41=4)</formula>
    </cfRule>
  </conditionalFormatting>
  <conditionalFormatting sqref="AJ41">
    <cfRule type="expression" dxfId="381" priority="111" stopIfTrue="1">
      <formula>OR(ACOMPANHAMENTO&lt;&gt;"BM",TIPOORCAMENTO="Licitado")</formula>
    </cfRule>
    <cfRule type="expression" dxfId="380" priority="112" stopIfTrue="1">
      <formula>$C41=1</formula>
    </cfRule>
    <cfRule type="expression" dxfId="379" priority="113" stopIfTrue="1">
      <formula>OR(AND(ISNUMBER($C41),$C41=0),$C41=2,$C41=3,$C41=4)</formula>
    </cfRule>
  </conditionalFormatting>
  <conditionalFormatting sqref="AL41">
    <cfRule type="expression" dxfId="378" priority="114" stopIfTrue="1">
      <formula>TIPOORCAMENTO="PROPOSTO"</formula>
    </cfRule>
    <cfRule type="expression" dxfId="377" priority="115" stopIfTrue="1">
      <formula>$C41=1</formula>
    </cfRule>
    <cfRule type="expression" dxfId="376" priority="116" stopIfTrue="1">
      <formula>OR(AND(ISNUMBER($C41),$C41=0),$C41=2,$C41=3,$C41=4)</formula>
    </cfRule>
  </conditionalFormatting>
  <conditionalFormatting sqref="AM41:AN41">
    <cfRule type="expression" dxfId="375" priority="117" stopIfTrue="1">
      <formula>TIPOORCAMENTO="PROPOSTO"</formula>
    </cfRule>
    <cfRule type="expression" dxfId="374" priority="118" stopIfTrue="1">
      <formula>$C41=1</formula>
    </cfRule>
    <cfRule type="expression" dxfId="373" priority="119" stopIfTrue="1">
      <formula>OR(AND(ISNUMBER($C41),$C41=0),$C41=2,$C41=3,$C41=4)</formula>
    </cfRule>
  </conditionalFormatting>
  <conditionalFormatting sqref="M50">
    <cfRule type="cellIs" dxfId="372" priority="86" stopIfTrue="1" operator="notEqual">
      <formula>$N50</formula>
    </cfRule>
  </conditionalFormatting>
  <conditionalFormatting sqref="N50:O50 R50 W50:X50">
    <cfRule type="expression" dxfId="371" priority="87" stopIfTrue="1">
      <formula>$C50=1</formula>
    </cfRule>
    <cfRule type="expression" dxfId="370" priority="88" stopIfTrue="1">
      <formula>OR($C50=0,$C50=2,$C50=3,$C50=4)</formula>
    </cfRule>
  </conditionalFormatting>
  <conditionalFormatting sqref="V50">
    <cfRule type="expression" dxfId="369" priority="89" stopIfTrue="1">
      <formula>$C50=1</formula>
    </cfRule>
    <cfRule type="expression" dxfId="368" priority="90" stopIfTrue="1">
      <formula>OR($C50=0,$C50=2,$C50=3,$C50=4)</formula>
    </cfRule>
    <cfRule type="expression" dxfId="367" priority="91" stopIfTrue="1">
      <formula>AND(TIPOORCAMENTO="Licitado",$C50&lt;&gt;"L",$C50&lt;&gt;-1)</formula>
    </cfRule>
  </conditionalFormatting>
  <conditionalFormatting sqref="P50:Q50 S50:T50 Y50 AG50:AH50">
    <cfRule type="expression" dxfId="366" priority="92" stopIfTrue="1">
      <formula>$C50=1</formula>
    </cfRule>
    <cfRule type="expression" dxfId="365" priority="93" stopIfTrue="1">
      <formula>OR($C50=0,$C50=2,$C50=3,$C50=4)</formula>
    </cfRule>
  </conditionalFormatting>
  <conditionalFormatting sqref="AJ50">
    <cfRule type="expression" dxfId="364" priority="94" stopIfTrue="1">
      <formula>OR(ACOMPANHAMENTO&lt;&gt;"BM",TIPOORCAMENTO="Licitado")</formula>
    </cfRule>
    <cfRule type="expression" dxfId="363" priority="95" stopIfTrue="1">
      <formula>$C50=1</formula>
    </cfRule>
    <cfRule type="expression" dxfId="362" priority="96" stopIfTrue="1">
      <formula>OR(AND(ISNUMBER($C50),$C50=0),$C50=2,$C50=3,$C50=4)</formula>
    </cfRule>
  </conditionalFormatting>
  <conditionalFormatting sqref="AL50">
    <cfRule type="expression" dxfId="361" priority="97" stopIfTrue="1">
      <formula>TIPOORCAMENTO="PROPOSTO"</formula>
    </cfRule>
    <cfRule type="expression" dxfId="360" priority="98" stopIfTrue="1">
      <formula>$C50=1</formula>
    </cfRule>
    <cfRule type="expression" dxfId="359" priority="99" stopIfTrue="1">
      <formula>OR(AND(ISNUMBER($C50),$C50=0),$C50=2,$C50=3,$C50=4)</formula>
    </cfRule>
  </conditionalFormatting>
  <conditionalFormatting sqref="AM50:AN50">
    <cfRule type="expression" dxfId="358" priority="100" stopIfTrue="1">
      <formula>TIPOORCAMENTO="PROPOSTO"</formula>
    </cfRule>
    <cfRule type="expression" dxfId="357" priority="101" stopIfTrue="1">
      <formula>$C50=1</formula>
    </cfRule>
    <cfRule type="expression" dxfId="356" priority="102" stopIfTrue="1">
      <formula>OR(AND(ISNUMBER($C50),$C50=0),$C50=2,$C50=3,$C50=4)</formula>
    </cfRule>
  </conditionalFormatting>
  <conditionalFormatting sqref="M38">
    <cfRule type="cellIs" dxfId="355" priority="69" stopIfTrue="1" operator="notEqual">
      <formula>$N38</formula>
    </cfRule>
  </conditionalFormatting>
  <conditionalFormatting sqref="N38:O38 R38 W38:X38">
    <cfRule type="expression" dxfId="354" priority="70" stopIfTrue="1">
      <formula>$C38=1</formula>
    </cfRule>
    <cfRule type="expression" dxfId="353" priority="71" stopIfTrue="1">
      <formula>OR($C38=0,$C38=2,$C38=3,$C38=4)</formula>
    </cfRule>
  </conditionalFormatting>
  <conditionalFormatting sqref="V38">
    <cfRule type="expression" dxfId="352" priority="72" stopIfTrue="1">
      <formula>$C38=1</formula>
    </cfRule>
    <cfRule type="expression" dxfId="351" priority="73" stopIfTrue="1">
      <formula>OR($C38=0,$C38=2,$C38=3,$C38=4)</formula>
    </cfRule>
    <cfRule type="expression" dxfId="350" priority="74" stopIfTrue="1">
      <formula>AND(TIPOORCAMENTO="Licitado",$C38&lt;&gt;"L",$C38&lt;&gt;-1)</formula>
    </cfRule>
  </conditionalFormatting>
  <conditionalFormatting sqref="P38:Q38 S38:T38 Y38 AG38:AH38">
    <cfRule type="expression" dxfId="349" priority="75" stopIfTrue="1">
      <formula>$C38=1</formula>
    </cfRule>
    <cfRule type="expression" dxfId="348" priority="76" stopIfTrue="1">
      <formula>OR($C38=0,$C38=2,$C38=3,$C38=4)</formula>
    </cfRule>
  </conditionalFormatting>
  <conditionalFormatting sqref="AJ38">
    <cfRule type="expression" dxfId="347" priority="77" stopIfTrue="1">
      <formula>OR(ACOMPANHAMENTO&lt;&gt;"BM",TIPOORCAMENTO="Licitado")</formula>
    </cfRule>
    <cfRule type="expression" dxfId="346" priority="78" stopIfTrue="1">
      <formula>$C38=1</formula>
    </cfRule>
    <cfRule type="expression" dxfId="345" priority="79" stopIfTrue="1">
      <formula>OR(AND(ISNUMBER($C38),$C38=0),$C38=2,$C38=3,$C38=4)</formula>
    </cfRule>
  </conditionalFormatting>
  <conditionalFormatting sqref="AL38">
    <cfRule type="expression" dxfId="344" priority="80" stopIfTrue="1">
      <formula>TIPOORCAMENTO="PROPOSTO"</formula>
    </cfRule>
    <cfRule type="expression" dxfId="343" priority="81" stopIfTrue="1">
      <formula>$C38=1</formula>
    </cfRule>
    <cfRule type="expression" dxfId="342" priority="82" stopIfTrue="1">
      <formula>OR(AND(ISNUMBER($C38),$C38=0),$C38=2,$C38=3,$C38=4)</formula>
    </cfRule>
  </conditionalFormatting>
  <conditionalFormatting sqref="AM38:AN38">
    <cfRule type="expression" dxfId="341" priority="83" stopIfTrue="1">
      <formula>TIPOORCAMENTO="PROPOSTO"</formula>
    </cfRule>
    <cfRule type="expression" dxfId="340" priority="84" stopIfTrue="1">
      <formula>$C38=1</formula>
    </cfRule>
    <cfRule type="expression" dxfId="339" priority="85" stopIfTrue="1">
      <formula>OR(AND(ISNUMBER($C38),$C38=0),$C38=2,$C38=3,$C38=4)</formula>
    </cfRule>
  </conditionalFormatting>
  <conditionalFormatting sqref="M45">
    <cfRule type="cellIs" dxfId="338" priority="52" stopIfTrue="1" operator="notEqual">
      <formula>$N45</formula>
    </cfRule>
  </conditionalFormatting>
  <conditionalFormatting sqref="N45:O45 R45 W45:X45">
    <cfRule type="expression" dxfId="337" priority="53" stopIfTrue="1">
      <formula>$C45=1</formula>
    </cfRule>
    <cfRule type="expression" dxfId="336" priority="54" stopIfTrue="1">
      <formula>OR($C45=0,$C45=2,$C45=3,$C45=4)</formula>
    </cfRule>
  </conditionalFormatting>
  <conditionalFormatting sqref="V45">
    <cfRule type="expression" dxfId="335" priority="55" stopIfTrue="1">
      <formula>$C45=1</formula>
    </cfRule>
    <cfRule type="expression" dxfId="334" priority="56" stopIfTrue="1">
      <formula>OR($C45=0,$C45=2,$C45=3,$C45=4)</formula>
    </cfRule>
    <cfRule type="expression" dxfId="333" priority="57" stopIfTrue="1">
      <formula>AND(TIPOORCAMENTO="Licitado",$C45&lt;&gt;"L",$C45&lt;&gt;-1)</formula>
    </cfRule>
  </conditionalFormatting>
  <conditionalFormatting sqref="P45:Q45 S45:T45 Y45 AG45:AH45">
    <cfRule type="expression" dxfId="332" priority="58" stopIfTrue="1">
      <formula>$C45=1</formula>
    </cfRule>
    <cfRule type="expression" dxfId="331" priority="59" stopIfTrue="1">
      <formula>OR($C45=0,$C45=2,$C45=3,$C45=4)</formula>
    </cfRule>
  </conditionalFormatting>
  <conditionalFormatting sqref="AJ45">
    <cfRule type="expression" dxfId="330" priority="60" stopIfTrue="1">
      <formula>OR(ACOMPANHAMENTO&lt;&gt;"BM",TIPOORCAMENTO="Licitado")</formula>
    </cfRule>
    <cfRule type="expression" dxfId="329" priority="61" stopIfTrue="1">
      <formula>$C45=1</formula>
    </cfRule>
    <cfRule type="expression" dxfId="328" priority="62" stopIfTrue="1">
      <formula>OR(AND(ISNUMBER($C45),$C45=0),$C45=2,$C45=3,$C45=4)</formula>
    </cfRule>
  </conditionalFormatting>
  <conditionalFormatting sqref="AL45">
    <cfRule type="expression" dxfId="327" priority="63" stopIfTrue="1">
      <formula>TIPOORCAMENTO="PROPOSTO"</formula>
    </cfRule>
    <cfRule type="expression" dxfId="326" priority="64" stopIfTrue="1">
      <formula>$C45=1</formula>
    </cfRule>
    <cfRule type="expression" dxfId="325" priority="65" stopIfTrue="1">
      <formula>OR(AND(ISNUMBER($C45),$C45=0),$C45=2,$C45=3,$C45=4)</formula>
    </cfRule>
  </conditionalFormatting>
  <conditionalFormatting sqref="AM45:AN45">
    <cfRule type="expression" dxfId="324" priority="66" stopIfTrue="1">
      <formula>TIPOORCAMENTO="PROPOSTO"</formula>
    </cfRule>
    <cfRule type="expression" dxfId="323" priority="67" stopIfTrue="1">
      <formula>$C45=1</formula>
    </cfRule>
    <cfRule type="expression" dxfId="322" priority="68" stopIfTrue="1">
      <formula>OR(AND(ISNUMBER($C45),$C45=0),$C45=2,$C45=3,$C45=4)</formula>
    </cfRule>
  </conditionalFormatting>
  <conditionalFormatting sqref="M39">
    <cfRule type="cellIs" dxfId="321" priority="35" stopIfTrue="1" operator="notEqual">
      <formula>$N39</formula>
    </cfRule>
  </conditionalFormatting>
  <conditionalFormatting sqref="N39:O39 R39 W39:X39">
    <cfRule type="expression" dxfId="320" priority="36" stopIfTrue="1">
      <formula>$C39=1</formula>
    </cfRule>
    <cfRule type="expression" dxfId="319" priority="37" stopIfTrue="1">
      <formula>OR($C39=0,$C39=2,$C39=3,$C39=4)</formula>
    </cfRule>
  </conditionalFormatting>
  <conditionalFormatting sqref="V39">
    <cfRule type="expression" dxfId="318" priority="38" stopIfTrue="1">
      <formula>$C39=1</formula>
    </cfRule>
    <cfRule type="expression" dxfId="317" priority="39" stopIfTrue="1">
      <formula>OR($C39=0,$C39=2,$C39=3,$C39=4)</formula>
    </cfRule>
    <cfRule type="expression" dxfId="316" priority="40" stopIfTrue="1">
      <formula>AND(TIPOORCAMENTO="Licitado",$C39&lt;&gt;"L",$C39&lt;&gt;-1)</formula>
    </cfRule>
  </conditionalFormatting>
  <conditionalFormatting sqref="P39:Q39 S39:T39 Y39 AG39:AH39">
    <cfRule type="expression" dxfId="315" priority="41" stopIfTrue="1">
      <formula>$C39=1</formula>
    </cfRule>
    <cfRule type="expression" dxfId="314" priority="42" stopIfTrue="1">
      <formula>OR($C39=0,$C39=2,$C39=3,$C39=4)</formula>
    </cfRule>
  </conditionalFormatting>
  <conditionalFormatting sqref="AJ39">
    <cfRule type="expression" dxfId="313" priority="43" stopIfTrue="1">
      <formula>OR(ACOMPANHAMENTO&lt;&gt;"BM",TIPOORCAMENTO="Licitado")</formula>
    </cfRule>
    <cfRule type="expression" dxfId="312" priority="44" stopIfTrue="1">
      <formula>$C39=1</formula>
    </cfRule>
    <cfRule type="expression" dxfId="311" priority="45" stopIfTrue="1">
      <formula>OR(AND(ISNUMBER($C39),$C39=0),$C39=2,$C39=3,$C39=4)</formula>
    </cfRule>
  </conditionalFormatting>
  <conditionalFormatting sqref="AL39">
    <cfRule type="expression" dxfId="310" priority="46" stopIfTrue="1">
      <formula>TIPOORCAMENTO="PROPOSTO"</formula>
    </cfRule>
    <cfRule type="expression" dxfId="309" priority="47" stopIfTrue="1">
      <formula>$C39=1</formula>
    </cfRule>
    <cfRule type="expression" dxfId="308" priority="48" stopIfTrue="1">
      <formula>OR(AND(ISNUMBER($C39),$C39=0),$C39=2,$C39=3,$C39=4)</formula>
    </cfRule>
  </conditionalFormatting>
  <conditionalFormatting sqref="AM39:AN39">
    <cfRule type="expression" dxfId="307" priority="49" stopIfTrue="1">
      <formula>TIPOORCAMENTO="PROPOSTO"</formula>
    </cfRule>
    <cfRule type="expression" dxfId="306" priority="50" stopIfTrue="1">
      <formula>$C39=1</formula>
    </cfRule>
    <cfRule type="expression" dxfId="305" priority="51" stopIfTrue="1">
      <formula>OR(AND(ISNUMBER($C39),$C39=0),$C39=2,$C39=3,$C39=4)</formula>
    </cfRule>
  </conditionalFormatting>
  <conditionalFormatting sqref="AJ17">
    <cfRule type="expression" dxfId="304" priority="13037" stopIfTrue="1">
      <formula>OR(ACOMPANHAMENTO&lt;&gt;"BM",TIPOORCAMENTO="Licitado")</formula>
    </cfRule>
    <cfRule type="expression" dxfId="303" priority="13038" stopIfTrue="1">
      <formula>#REF!=1</formula>
    </cfRule>
    <cfRule type="expression" dxfId="302" priority="13039" stopIfTrue="1">
      <formula>OR(AND(ISNUMBER(#REF!),#REF!=0),#REF!=2,#REF!=3,#REF!=4)</formula>
    </cfRule>
  </conditionalFormatting>
  <conditionalFormatting sqref="M42">
    <cfRule type="cellIs" dxfId="301" priority="1" stopIfTrue="1" operator="notEqual">
      <formula>$N42</formula>
    </cfRule>
  </conditionalFormatting>
  <conditionalFormatting sqref="N42:O42 R42 W42:X42">
    <cfRule type="expression" dxfId="300" priority="2" stopIfTrue="1">
      <formula>$C42=1</formula>
    </cfRule>
    <cfRule type="expression" dxfId="299" priority="3" stopIfTrue="1">
      <formula>OR($C42=0,$C42=2,$C42=3,$C42=4)</formula>
    </cfRule>
  </conditionalFormatting>
  <conditionalFormatting sqref="V42">
    <cfRule type="expression" dxfId="298" priority="4" stopIfTrue="1">
      <formula>$C42=1</formula>
    </cfRule>
    <cfRule type="expression" dxfId="297" priority="5" stopIfTrue="1">
      <formula>OR($C42=0,$C42=2,$C42=3,$C42=4)</formula>
    </cfRule>
    <cfRule type="expression" dxfId="296" priority="6" stopIfTrue="1">
      <formula>AND(TIPOORCAMENTO="Licitado",$C42&lt;&gt;"L",$C42&lt;&gt;-1)</formula>
    </cfRule>
  </conditionalFormatting>
  <conditionalFormatting sqref="P42:Q42 S42:T42 Y42 AG42:AH42">
    <cfRule type="expression" dxfId="295" priority="7" stopIfTrue="1">
      <formula>$C42=1</formula>
    </cfRule>
    <cfRule type="expression" dxfId="294" priority="8" stopIfTrue="1">
      <formula>OR($C42=0,$C42=2,$C42=3,$C42=4)</formula>
    </cfRule>
  </conditionalFormatting>
  <conditionalFormatting sqref="AJ42">
    <cfRule type="expression" dxfId="293" priority="9" stopIfTrue="1">
      <formula>OR(ACOMPANHAMENTO&lt;&gt;"BM",TIPOORCAMENTO="Licitado")</formula>
    </cfRule>
    <cfRule type="expression" dxfId="292" priority="10" stopIfTrue="1">
      <formula>$C42=1</formula>
    </cfRule>
    <cfRule type="expression" dxfId="291" priority="11" stopIfTrue="1">
      <formula>OR(AND(ISNUMBER($C42),$C42=0),$C42=2,$C42=3,$C42=4)</formula>
    </cfRule>
  </conditionalFormatting>
  <conditionalFormatting sqref="AL42">
    <cfRule type="expression" dxfId="290" priority="12" stopIfTrue="1">
      <formula>TIPOORCAMENTO="PROPOSTO"</formula>
    </cfRule>
    <cfRule type="expression" dxfId="289" priority="13" stopIfTrue="1">
      <formula>$C42=1</formula>
    </cfRule>
    <cfRule type="expression" dxfId="288" priority="14" stopIfTrue="1">
      <formula>OR(AND(ISNUMBER($C42),$C42=0),$C42=2,$C42=3,$C42=4)</formula>
    </cfRule>
  </conditionalFormatting>
  <conditionalFormatting sqref="AM42:AN42">
    <cfRule type="expression" dxfId="287" priority="15" stopIfTrue="1">
      <formula>TIPOORCAMENTO="PROPOSTO"</formula>
    </cfRule>
    <cfRule type="expression" dxfId="286" priority="16" stopIfTrue="1">
      <formula>$C42=1</formula>
    </cfRule>
    <cfRule type="expression" dxfId="285" priority="17" stopIfTrue="1">
      <formula>OR(AND(ISNUMBER($C42),$C42=0),$C42=2,$C42=3,$C42=4)</formula>
    </cfRule>
  </conditionalFormatting>
  <dataValidations count="7">
    <dataValidation type="decimal" operator="greaterThan" allowBlank="1" showErrorMessage="1" error="Apenas números decimais maiores que zero." sqref="U14 AL14 AJ14 U16:U50 AL16:AL50 AJ16:AJ50" xr:uid="{00000000-0002-0000-0400-000000000000}">
      <formula1>0</formula1>
      <formula2>0</formula2>
    </dataValidation>
    <dataValidation type="list" allowBlank="1" sqref="P14 P16:P50" xr:uid="{00000000-0002-0000-0400-000001000000}">
      <formula1>"SINAPI,SINAPI-I,SICRO,Composição,Cotação"</formula1>
      <formula2>0</formula2>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50" xr:uid="{00000000-0002-0000-0400-000002000000}">
      <formula1>"RA,RP,CP,OU"</formula1>
      <formula2>0</formula2>
    </dataValidation>
    <dataValidation type="list" errorStyle="warning" allowBlank="1" showErrorMessage="1" errorTitle="Aviso BDI" error="Selecione um dos 3 BDI da lista._x000a__x000a_Caso tenha mais de 3 BDI nesta Planilha Orçamentária digite apenas valor percentual." sqref="V14 V16:V50" xr:uid="{00000000-0002-0000-0400-000003000000}">
      <formula1>"BDI 1,BDI 2,BDI 3,0,00%"</formula1>
      <formula2>0</formula2>
    </dataValidation>
    <dataValidation type="list" showErrorMessage="1" errorTitle="Erro de Entrada" error="Selecione somente os itens da lista." promptTitle="Nível:" prompt="Selecione na lista o nível de itemização da Planilha." sqref="M14 M16:M50" xr:uid="{00000000-0002-0000-0400-000004000000}">
      <formula1>"Meta,Nível 2,Nível 3,Nível 4,Serviço"</formula1>
      <formula2>0</formula2>
    </dataValidation>
    <dataValidation allowBlank="1" showInputMessage="1" showErrorMessage="1" prompt="A entrada de quantidades é feita na coluna AJ se acompanhamento por BM, ou na aba &quot;Memória de Cálculo/PLQ&quot; se acompanhamento por PLE." sqref="T14 T16:T50"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50" xr:uid="{00000000-0002-0000-0400-000006000000}"/>
  </dataValidations>
  <pageMargins left="0.78740157480314998" right="0.78740157480314998" top="0.78740157480314998" bottom="0.78740157480314998" header="0.59055118110236204" footer="0.59055118110236204"/>
  <pageSetup paperSize="9" scale="67" firstPageNumber="0" fitToHeight="0" orientation="landscape" r:id="rId1"/>
  <headerFooter alignWithMargins="0">
    <oddHeader>&amp;C&amp;14I</oddHeader>
    <oddFooter>&amp;LPMv3.07&amp;R&amp;P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457200</xdr:colOff>
                    <xdr:row>9</xdr:row>
                    <xdr:rowOff>123825</xdr:rowOff>
                  </from>
                  <to>
                    <xdr:col>19</xdr:col>
                    <xdr:colOff>895350</xdr:colOff>
                    <xdr:row>11</xdr:row>
                    <xdr:rowOff>38100</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447675</xdr:colOff>
                    <xdr:row>9</xdr:row>
                    <xdr:rowOff>123825</xdr:rowOff>
                  </from>
                  <to>
                    <xdr:col>20</xdr:col>
                    <xdr:colOff>876300</xdr:colOff>
                    <xdr:row>11</xdr:row>
                    <xdr:rowOff>38100</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285750</xdr:colOff>
                    <xdr:row>9</xdr:row>
                    <xdr:rowOff>123825</xdr:rowOff>
                  </from>
                  <to>
                    <xdr:col>21</xdr:col>
                    <xdr:colOff>704850</xdr:colOff>
                    <xdr:row>11</xdr:row>
                    <xdr:rowOff>38100</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361950</xdr:colOff>
                    <xdr:row>9</xdr:row>
                    <xdr:rowOff>123825</xdr:rowOff>
                  </from>
                  <to>
                    <xdr:col>22</xdr:col>
                    <xdr:colOff>790575</xdr:colOff>
                    <xdr:row>11</xdr:row>
                    <xdr:rowOff>38100</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447675</xdr:colOff>
                    <xdr:row>9</xdr:row>
                    <xdr:rowOff>104775</xdr:rowOff>
                  </from>
                  <to>
                    <xdr:col>23</xdr:col>
                    <xdr:colOff>876300</xdr:colOff>
                    <xdr:row>11</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8">
    <pageSetUpPr fitToPage="1"/>
  </sheetPr>
  <dimension ref="A1:Z28"/>
  <sheetViews>
    <sheetView showGridLines="0" zoomScaleNormal="100" workbookViewId="0">
      <pane xSplit="4" ySplit="14" topLeftCell="E15" activePane="bottomRight" state="frozen"/>
      <selection activeCell="A2" sqref="A2"/>
      <selection pane="topRight" activeCell="E2" sqref="E2"/>
      <selection pane="bottomLeft" activeCell="A15" sqref="A15"/>
      <selection pane="bottomRight" activeCell="A25" sqref="A25"/>
    </sheetView>
  </sheetViews>
  <sheetFormatPr defaultRowHeight="12.75" x14ac:dyDescent="0.2"/>
  <cols>
    <col min="1" max="1" width="3.7109375" style="590" customWidth="1"/>
    <col min="2" max="2" width="5.42578125" hidden="1" customWidth="1"/>
    <col min="3" max="3" width="12.7109375" customWidth="1"/>
    <col min="4" max="4" width="50.7109375" customWidth="1"/>
    <col min="5" max="5" width="14.7109375" hidden="1" customWidth="1"/>
    <col min="6" max="6" width="28.7109375" customWidth="1"/>
    <col min="7" max="7" width="14.7109375" hidden="1" customWidth="1"/>
    <col min="8" max="25" width="14.7109375" customWidth="1"/>
    <col min="26" max="26" width="14.7109375" hidden="1" customWidth="1"/>
  </cols>
  <sheetData>
    <row r="1" spans="1:26" hidden="1" x14ac:dyDescent="0.2">
      <c r="A1" s="590" t="str">
        <f t="shared" ref="A1" si="0">IF(D1="","","F")</f>
        <v/>
      </c>
      <c r="B1" t="e">
        <f t="shared" ref="B1" ca="1" si="1">CONCATENATE(C1,".",D1)</f>
        <v>#REF!</v>
      </c>
      <c r="C1" s="197" t="e">
        <f t="shared" ref="C1" ca="1" si="2">OFFSET(C1,-1,0)+1</f>
        <v>#REF!</v>
      </c>
      <c r="D1" s="575"/>
      <c r="E1" s="587" cm="1">
        <f t="array" aca="1" ref="E1" ca="1">IF(AUTOEVENTO="Manual",ROUND(SUMPRODUCT((CÁLCULO!$M$15:$M$51=EVENTOS!$C1)*(OFFSET(CÁLCULO!$AA$15:$AA$51,0,E$13))),2),0)</f>
        <v>0</v>
      </c>
      <c r="F1" s="198">
        <f ca="1">IF(AUTOEVENTO="Manual",ROUND(SUMPRODUCT((CÁLCULO!$M$15:$M$51=EVENTOS!$C1)*(OFFSET(CÁLCULO!$AA$15,0,1):OFFSET(CÁLCULO!$AL$51,0,-1))),2),0)</f>
        <v>0</v>
      </c>
      <c r="G1" s="587"/>
      <c r="H1" s="587" cm="1">
        <f t="array" aca="1" ref="H1" ca="1">IF(AUTOEVENTO="Manual",ROUND(SUMPRODUCT((CÁLCULO!$M$15:$M$51=EVENTOS!$C1)*(OFFSET(CÁLCULO!$AA$15:$AA$51,0,H$13))),2),0)</f>
        <v>0</v>
      </c>
      <c r="I1" s="587" cm="1">
        <f t="array" aca="1" ref="I1" ca="1">IF(AUTOEVENTO="Manual",ROUND(SUMPRODUCT((CÁLCULO!$M$15:$M$51=EVENTOS!$C1)*(OFFSET(CÁLCULO!$AA$15:$AA$51,0,I$13))),2),0)</f>
        <v>0</v>
      </c>
      <c r="J1" s="587" cm="1">
        <f t="array" aca="1" ref="J1" ca="1">IF(AUTOEVENTO="Manual",ROUND(SUMPRODUCT((CÁLCULO!$M$15:$M$51=EVENTOS!$C1)*(OFFSET(CÁLCULO!$AA$15:$AA$51,0,J$13))),2),0)</f>
        <v>0</v>
      </c>
      <c r="K1" s="587" cm="1">
        <f t="array" aca="1" ref="K1" ca="1">IF(AUTOEVENTO="Manual",ROUND(SUMPRODUCT((CÁLCULO!$M$15:$M$51=EVENTOS!$C1)*(OFFSET(CÁLCULO!$AA$15:$AA$51,0,K$13))),2),0)</f>
        <v>0</v>
      </c>
      <c r="L1" s="587" cm="1">
        <f t="array" aca="1" ref="L1" ca="1">IF(AUTOEVENTO="Manual",ROUND(SUMPRODUCT((CÁLCULO!$M$15:$M$51=EVENTOS!$C1)*(OFFSET(CÁLCULO!$AA$15:$AA$51,0,L$13))),2),0)</f>
        <v>0</v>
      </c>
      <c r="M1" s="587" cm="1">
        <f t="array" aca="1" ref="M1" ca="1">IF(AUTOEVENTO="Manual",ROUND(SUMPRODUCT((CÁLCULO!$M$15:$M$51=EVENTOS!$C1)*(OFFSET(CÁLCULO!$AA$15:$AA$51,0,M$13))),2),0)</f>
        <v>0</v>
      </c>
      <c r="N1" s="587" cm="1">
        <f t="array" aca="1" ref="N1" ca="1">IF(AUTOEVENTO="Manual",ROUND(SUMPRODUCT((CÁLCULO!$M$15:$M$51=EVENTOS!$C1)*(OFFSET(CÁLCULO!$AA$15:$AA$51,0,N$13))),2),0)</f>
        <v>0</v>
      </c>
      <c r="O1" s="587" cm="1">
        <f t="array" aca="1" ref="O1" ca="1">IF(AUTOEVENTO="Manual",ROUND(SUMPRODUCT((CÁLCULO!$M$15:$M$51=EVENTOS!$C1)*(OFFSET(CÁLCULO!$AA$15:$AA$51,0,O$13))),2),0)</f>
        <v>0</v>
      </c>
      <c r="P1" s="587" cm="1">
        <f t="array" aca="1" ref="P1" ca="1">IF(AUTOEVENTO="Manual",ROUND(SUMPRODUCT((CÁLCULO!$M$15:$M$51=EVENTOS!$C1)*(OFFSET(CÁLCULO!$AA$15:$AA$51,0,P$13))),2),0)</f>
        <v>0</v>
      </c>
      <c r="Q1" s="587" cm="1">
        <f t="array" aca="1" ref="Q1" ca="1">IF(AUTOEVENTO="Manual",ROUND(SUMPRODUCT((CÁLCULO!$M$15:$M$51=EVENTOS!$C1)*(OFFSET(CÁLCULO!$AA$15:$AA$51,0,Q$13))),2),0)</f>
        <v>0</v>
      </c>
      <c r="R1" s="587" cm="1">
        <f t="array" aca="1" ref="R1" ca="1">IF(AUTOEVENTO="Manual",ROUND(SUMPRODUCT((CÁLCULO!$M$15:$M$51=EVENTOS!$C1)*(OFFSET(CÁLCULO!$AA$15:$AA$51,0,R$13))),2),0)</f>
        <v>0</v>
      </c>
      <c r="S1" s="587" cm="1">
        <f t="array" aca="1" ref="S1" ca="1">IF(AUTOEVENTO="Manual",ROUND(SUMPRODUCT((CÁLCULO!$M$15:$M$51=EVENTOS!$C1)*(OFFSET(CÁLCULO!$AA$15:$AA$51,0,S$13))),2),0)</f>
        <v>0</v>
      </c>
      <c r="T1" s="587" cm="1">
        <f t="array" aca="1" ref="T1" ca="1">IF(AUTOEVENTO="Manual",ROUND(SUMPRODUCT((CÁLCULO!$M$15:$M$51=EVENTOS!$C1)*(OFFSET(CÁLCULO!$AA$15:$AA$51,0,T$13))),2),0)</f>
        <v>0</v>
      </c>
      <c r="U1" s="587" cm="1">
        <f t="array" aca="1" ref="U1" ca="1">IF(AUTOEVENTO="Manual",ROUND(SUMPRODUCT((CÁLCULO!$M$15:$M$51=EVENTOS!$C1)*(OFFSET(CÁLCULO!$AA$15:$AA$51,0,U$13))),2),0)</f>
        <v>0</v>
      </c>
      <c r="V1" s="587" cm="1">
        <f t="array" aca="1" ref="V1" ca="1">IF(AUTOEVENTO="Manual",ROUND(SUMPRODUCT((CÁLCULO!$M$15:$M$51=EVENTOS!$C1)*(OFFSET(CÁLCULO!$AA$15:$AA$51,0,V$13))),2),0)</f>
        <v>0</v>
      </c>
      <c r="W1" s="587" cm="1">
        <f t="array" aca="1" ref="W1" ca="1">IF(AUTOEVENTO="Manual",ROUND(SUMPRODUCT((CÁLCULO!$M$15:$M$51=EVENTOS!$C1)*(OFFSET(CÁLCULO!$AA$15:$AA$51,0,W$13))),2),0)</f>
        <v>0</v>
      </c>
      <c r="X1" s="587" cm="1">
        <f t="array" aca="1" ref="X1" ca="1">IF(AUTOEVENTO="Manual",ROUND(SUMPRODUCT((CÁLCULO!$M$15:$M$51=EVENTOS!$C1)*(OFFSET(CÁLCULO!$AA$15:$AA$51,0,X$13))),2),0)</f>
        <v>0</v>
      </c>
      <c r="Y1" s="587" cm="1">
        <f t="array" aca="1" ref="Y1" ca="1">IF(AUTOEVENTO="Manual",ROUND(SUMPRODUCT((CÁLCULO!$M$15:$M$51=EVENTOS!$C1)*(OFFSET(CÁLCULO!$AA$15:$AA$51,0,Y$13))),2),0)</f>
        <v>0</v>
      </c>
    </row>
    <row r="2" spans="1:26" ht="30" customHeight="1" x14ac:dyDescent="0.2">
      <c r="F2" s="83" t="s">
        <v>467</v>
      </c>
      <c r="O2" s="584" t="s">
        <v>452</v>
      </c>
      <c r="Y2" s="584" t="s">
        <v>452</v>
      </c>
    </row>
    <row r="4" spans="1:26" ht="12.75" customHeight="1" x14ac:dyDescent="0.2">
      <c r="C4" s="56" t="s">
        <v>147</v>
      </c>
      <c r="D4" s="98"/>
      <c r="E4" s="78"/>
      <c r="F4" s="230" t="s">
        <v>271</v>
      </c>
      <c r="G4" s="78"/>
      <c r="H4" s="561"/>
      <c r="I4" s="561"/>
      <c r="J4" s="561"/>
      <c r="K4" s="561"/>
      <c r="L4" s="561"/>
      <c r="N4" s="56" t="s">
        <v>146</v>
      </c>
      <c r="O4" s="588" t="s">
        <v>432</v>
      </c>
      <c r="P4" s="230" t="s">
        <v>271</v>
      </c>
      <c r="Q4" s="78"/>
      <c r="R4" s="561"/>
      <c r="S4" s="561"/>
      <c r="T4" s="561"/>
      <c r="U4" s="561"/>
      <c r="V4" s="561"/>
      <c r="X4" s="56" t="s">
        <v>146</v>
      </c>
      <c r="Y4" s="588" t="s">
        <v>432</v>
      </c>
    </row>
    <row r="5" spans="1:26" ht="12.75" customHeight="1" x14ac:dyDescent="0.2">
      <c r="C5" s="589" t="str">
        <f>Import.Proponente</f>
        <v>MUNICIPIO DE BENTO GONÇALVES</v>
      </c>
      <c r="D5" s="585"/>
      <c r="E5" s="585"/>
      <c r="F5" s="646" t="str">
        <f>Import.Apelido</f>
        <v>RUA MIGUEL A DA ROLT</v>
      </c>
      <c r="G5" s="647"/>
      <c r="H5" s="647"/>
      <c r="I5" s="647"/>
      <c r="J5" s="647"/>
      <c r="K5" s="647"/>
      <c r="L5" s="647"/>
      <c r="M5" s="648"/>
      <c r="N5" s="57">
        <f>Import.CR</f>
        <v>0</v>
      </c>
      <c r="O5" s="57">
        <f>Import.SICONV</f>
        <v>0</v>
      </c>
      <c r="P5" s="646" t="str">
        <f>Import.Apelido</f>
        <v>RUA MIGUEL A DA ROLT</v>
      </c>
      <c r="Q5" s="647"/>
      <c r="R5" s="647"/>
      <c r="S5" s="647"/>
      <c r="T5" s="647"/>
      <c r="U5" s="647"/>
      <c r="V5" s="647"/>
      <c r="W5" s="648"/>
      <c r="X5" s="57">
        <f>Import.CR</f>
        <v>0</v>
      </c>
      <c r="Y5" s="57">
        <f>Import.SICONV</f>
        <v>0</v>
      </c>
      <c r="Z5" t="s">
        <v>466</v>
      </c>
    </row>
    <row r="6" spans="1:26" ht="24.95" customHeight="1" x14ac:dyDescent="0.2">
      <c r="C6" t="s">
        <v>263</v>
      </c>
    </row>
    <row r="7" spans="1:26" ht="12" customHeight="1" thickBot="1" x14ac:dyDescent="0.25"/>
    <row r="8" spans="1:26" ht="13.5" thickBot="1" x14ac:dyDescent="0.25">
      <c r="C8" s="652" t="s">
        <v>471</v>
      </c>
      <c r="D8" s="653"/>
    </row>
    <row r="9" spans="1:26" ht="12" customHeight="1" x14ac:dyDescent="0.2"/>
    <row r="10" spans="1:26" ht="33.75" customHeight="1" x14ac:dyDescent="0.2">
      <c r="C10" t="s">
        <v>466</v>
      </c>
      <c r="D10" t="s">
        <v>466</v>
      </c>
      <c r="E10" s="649" t="str">
        <f ca="1">OFFSET(CÁLCULO!$P$12,0,EVENTOS!E$13)</f>
        <v>FRENTE 1</v>
      </c>
      <c r="F10" t="s">
        <v>466</v>
      </c>
      <c r="G10" s="649"/>
      <c r="H10" s="649" t="str">
        <f ca="1">OFFSET(CÁLCULO!$P$12,0,EVENTOS!H$13)</f>
        <v>FRENTE 1</v>
      </c>
      <c r="I10" s="649" t="str">
        <f ca="1">OFFSET(CÁLCULO!$P$12,0,EVENTOS!I$13)</f>
        <v>FRENTE 2</v>
      </c>
      <c r="J10" s="649">
        <f ca="1">OFFSET(CÁLCULO!$P$12,0,EVENTOS!J$13)</f>
        <v>0</v>
      </c>
      <c r="K10" s="649">
        <f ca="1">OFFSET(CÁLCULO!$P$12,0,EVENTOS!K$13)</f>
        <v>0</v>
      </c>
      <c r="L10" s="649">
        <f ca="1">OFFSET(CÁLCULO!$P$12,0,EVENTOS!L$13)</f>
        <v>0</v>
      </c>
      <c r="M10" s="649">
        <f ca="1">OFFSET(CÁLCULO!$P$12,0,EVENTOS!M$13)</f>
        <v>0</v>
      </c>
      <c r="N10" s="649">
        <f ca="1">OFFSET(CÁLCULO!$P$12,0,EVENTOS!N$13)</f>
        <v>0</v>
      </c>
      <c r="O10" s="649">
        <f ca="1">OFFSET(CÁLCULO!$P$12,0,EVENTOS!O$13)</f>
        <v>0</v>
      </c>
      <c r="P10" s="649">
        <f ca="1">OFFSET(CÁLCULO!$P$12,0,EVENTOS!P$13)</f>
        <v>0</v>
      </c>
      <c r="Q10" s="649">
        <f ca="1">OFFSET(CÁLCULO!$P$12,0,EVENTOS!Q$13)</f>
        <v>0</v>
      </c>
      <c r="R10" s="649" t="str">
        <f ca="1">OFFSET(CÁLCULO!$P$12,0,EVENTOS!R$13)</f>
        <v>.</v>
      </c>
      <c r="S10" s="649" t="str">
        <f ca="1">OFFSET(CÁLCULO!$P$12,0,EVENTOS!S$13)</f>
        <v>.</v>
      </c>
      <c r="T10" s="649" t="str">
        <f ca="1">OFFSET(CÁLCULO!$P$12,0,EVENTOS!T$13)</f>
        <v>.</v>
      </c>
      <c r="U10" s="649" t="str">
        <f ca="1">OFFSET(CÁLCULO!$P$12,0,EVENTOS!U$13)</f>
        <v>.</v>
      </c>
      <c r="V10" s="649" t="str">
        <f ca="1">OFFSET(CÁLCULO!$P$12,0,EVENTOS!V$13)</f>
        <v>.</v>
      </c>
      <c r="W10" s="649" t="str">
        <f ca="1">OFFSET(CÁLCULO!$P$12,0,EVENTOS!W$13)</f>
        <v>.</v>
      </c>
      <c r="X10" s="649" t="str">
        <f ca="1">OFFSET(CÁLCULO!$P$12,0,EVENTOS!X$13)</f>
        <v>.</v>
      </c>
      <c r="Y10" s="649" t="str">
        <f ca="1">OFFSET(CÁLCULO!$P$12,0,EVENTOS!Y$13)</f>
        <v>.</v>
      </c>
    </row>
    <row r="11" spans="1:26" ht="35.1" customHeight="1" x14ac:dyDescent="0.2">
      <c r="A11" s="591" t="s">
        <v>208</v>
      </c>
      <c r="C11" s="654" t="str">
        <f>IF(ACOMPANHAMENTO="BM","Foi selecionado na aba 'MENU' o acompanhamento por BM. Não há necessidade de definição de Eventos.",IF(Import.Eventos.Nível&lt;&gt;"Definir Manualmente","Foi selecionada a forma automática de definição dos agrupadores de eventos.",""))</f>
        <v>Foi selecionada a forma automática de definição dos agrupadores de eventos.</v>
      </c>
      <c r="D11" s="655"/>
      <c r="E11" s="650"/>
      <c r="F11" s="577"/>
      <c r="G11" s="650"/>
      <c r="H11" s="650"/>
      <c r="I11" s="650"/>
      <c r="J11" s="650"/>
      <c r="K11" s="650"/>
      <c r="L11" s="650"/>
      <c r="M11" s="650"/>
      <c r="N11" s="650"/>
      <c r="O11" s="650"/>
      <c r="P11" s="650"/>
      <c r="Q11" s="650"/>
      <c r="R11" s="650"/>
      <c r="S11" s="650"/>
      <c r="T11" s="650"/>
      <c r="U11" s="650"/>
      <c r="V11" s="650"/>
      <c r="W11" s="650"/>
      <c r="X11" s="650"/>
      <c r="Y11" s="650"/>
    </row>
    <row r="12" spans="1:26" ht="12" customHeight="1" x14ac:dyDescent="0.2">
      <c r="A12" s="592" t="s">
        <v>216</v>
      </c>
      <c r="E12" s="651"/>
      <c r="G12" s="651"/>
      <c r="H12" s="651"/>
      <c r="I12" s="651"/>
      <c r="J12" s="651"/>
      <c r="K12" s="651"/>
      <c r="L12" s="651"/>
      <c r="M12" s="651"/>
      <c r="N12" s="651"/>
      <c r="O12" s="651"/>
      <c r="P12" s="651"/>
      <c r="Q12" s="651"/>
      <c r="R12" s="651"/>
      <c r="S12" s="651"/>
      <c r="T12" s="651"/>
      <c r="U12" s="651"/>
      <c r="V12" s="651"/>
      <c r="W12" s="651"/>
      <c r="X12" s="651"/>
      <c r="Y12" s="651"/>
    </row>
    <row r="13" spans="1:26" ht="15" x14ac:dyDescent="0.25">
      <c r="A13" s="592"/>
      <c r="C13" s="578" t="s">
        <v>264</v>
      </c>
      <c r="D13" s="578" t="s">
        <v>265</v>
      </c>
      <c r="E13" s="574">
        <f ca="1">IF(NOT(ISNUMBER(OFFSET(E13,0,-1))),1,IF(OR(OFFSET(E13,0,-1)=0,OFFSET(E13,0,-1)+1&gt;CÁLCULO.NúmeroDeFrentes),0,OFFSET(E13,0,-1)+1))</f>
        <v>1</v>
      </c>
      <c r="F13" s="196" t="s">
        <v>266</v>
      </c>
      <c r="G13" s="574"/>
      <c r="H13" s="574">
        <f ca="1">IF(NOT(ISNUMBER(OFFSET(H13,0,-1))),1,IF(OR(OFFSET(H13,0,-1)=0,OFFSET(H13,0,-1)+1&gt;CÁLCULO.NúmeroDeFrentes),0,OFFSET(H13,0,-1)+1))</f>
        <v>1</v>
      </c>
      <c r="I13" s="574">
        <f ca="1">IF(NOT(ISNUMBER(OFFSET(I13,0,-1))),1,IF(OR(OFFSET(I13,0,-1)=0,OFFSET(I13,0,-1)+1&gt;CÁLCULO.NúmeroDeFrentes),0,OFFSET(I13,0,-1)+1))</f>
        <v>2</v>
      </c>
      <c r="J13" s="574">
        <f ca="1">IF(NOT(ISNUMBER(OFFSET(J13,0,-1))),1,IF(OR(OFFSET(J13,0,-1)=0,OFFSET(J13,0,-1)+1&gt;CÁLCULO.NúmeroDeFrentes),0,OFFSET(J13,0,-1)+1))</f>
        <v>3</v>
      </c>
      <c r="K13" s="574">
        <f ca="1">IF(NOT(ISNUMBER(OFFSET(K13,0,-1))),1,IF(OR(OFFSET(K13,0,-1)=0,OFFSET(K13,0,-1)+1&gt;CÁLCULO.NúmeroDeFrentes),0,OFFSET(K13,0,-1)+1))</f>
        <v>4</v>
      </c>
      <c r="L13" s="574">
        <f ca="1">IF(NOT(ISNUMBER(OFFSET(L13,0,-1))),1,IF(OR(OFFSET(L13,0,-1)=0,OFFSET(L13,0,-1)+1&gt;CÁLCULO.NúmeroDeFrentes),0,OFFSET(L13,0,-1)+1))</f>
        <v>5</v>
      </c>
      <c r="M13" s="574">
        <f ca="1">IF(NOT(ISNUMBER(OFFSET(M13,0,-1))),1,IF(OR(OFFSET(M13,0,-1)=0,OFFSET(M13,0,-1)+1&gt;CÁLCULO.NúmeroDeFrentes),0,OFFSET(M13,0,-1)+1))</f>
        <v>6</v>
      </c>
      <c r="N13" s="574">
        <f ca="1">IF(NOT(ISNUMBER(OFFSET(N13,0,-1))),1,IF(OR(OFFSET(N13,0,-1)=0,OFFSET(N13,0,-1)+1&gt;CÁLCULO.NúmeroDeFrentes),0,OFFSET(N13,0,-1)+1))</f>
        <v>7</v>
      </c>
      <c r="O13" s="574">
        <f ca="1">IF(NOT(ISNUMBER(OFFSET(O13,0,-1))),1,IF(OR(OFFSET(O13,0,-1)=0,OFFSET(O13,0,-1)+1&gt;CÁLCULO.NúmeroDeFrentes),0,OFFSET(O13,0,-1)+1))</f>
        <v>8</v>
      </c>
      <c r="P13" s="574">
        <f ca="1">IF(NOT(ISNUMBER(OFFSET(P13,0,-1))),1,IF(OR(OFFSET(P13,0,-1)=0,OFFSET(P13,0,-1)+1&gt;CÁLCULO.NúmeroDeFrentes),0,OFFSET(P13,0,-1)+1))</f>
        <v>9</v>
      </c>
      <c r="Q13" s="574">
        <f ca="1">IF(NOT(ISNUMBER(OFFSET(Q13,0,-1))),1,IF(OR(OFFSET(Q13,0,-1)=0,OFFSET(Q13,0,-1)+1&gt;CÁLCULO.NúmeroDeFrentes),0,OFFSET(Q13,0,-1)+1))</f>
        <v>10</v>
      </c>
      <c r="R13" s="574">
        <f ca="1">IF(NOT(ISNUMBER(OFFSET(R13,0,-1))),1,IF(OR(OFFSET(R13,0,-1)=0,OFFSET(R13,0,-1)+1&gt;CÁLCULO.NúmeroDeFrentes),0,OFFSET(R13,0,-1)+1))</f>
        <v>0</v>
      </c>
      <c r="S13" s="574">
        <f ca="1">IF(NOT(ISNUMBER(OFFSET(S13,0,-1))),1,IF(OR(OFFSET(S13,0,-1)=0,OFFSET(S13,0,-1)+1&gt;CÁLCULO.NúmeroDeFrentes),0,OFFSET(S13,0,-1)+1))</f>
        <v>0</v>
      </c>
      <c r="T13" s="574">
        <f ca="1">IF(NOT(ISNUMBER(OFFSET(T13,0,-1))),1,IF(OR(OFFSET(T13,0,-1)=0,OFFSET(T13,0,-1)+1&gt;CÁLCULO.NúmeroDeFrentes),0,OFFSET(T13,0,-1)+1))</f>
        <v>0</v>
      </c>
      <c r="U13" s="574">
        <f ca="1">IF(NOT(ISNUMBER(OFFSET(U13,0,-1))),1,IF(OR(OFFSET(U13,0,-1)=0,OFFSET(U13,0,-1)+1&gt;CÁLCULO.NúmeroDeFrentes),0,OFFSET(U13,0,-1)+1))</f>
        <v>0</v>
      </c>
      <c r="V13" s="574">
        <f ca="1">IF(NOT(ISNUMBER(OFFSET(V13,0,-1))),1,IF(OR(OFFSET(V13,0,-1)=0,OFFSET(V13,0,-1)+1&gt;CÁLCULO.NúmeroDeFrentes),0,OFFSET(V13,0,-1)+1))</f>
        <v>0</v>
      </c>
      <c r="W13" s="574">
        <f ca="1">IF(NOT(ISNUMBER(OFFSET(W13,0,-1))),1,IF(OR(OFFSET(W13,0,-1)=0,OFFSET(W13,0,-1)+1&gt;CÁLCULO.NúmeroDeFrentes),0,OFFSET(W13,0,-1)+1))</f>
        <v>0</v>
      </c>
      <c r="X13" s="574">
        <f ca="1">IF(NOT(ISNUMBER(OFFSET(X13,0,-1))),1,IF(OR(OFFSET(X13,0,-1)=0,OFFSET(X13,0,-1)+1&gt;CÁLCULO.NúmeroDeFrentes),0,OFFSET(X13,0,-1)+1))</f>
        <v>0</v>
      </c>
      <c r="Y13" s="574">
        <f ca="1">IF(NOT(ISNUMBER(OFFSET(Y13,0,-1))),1,IF(OR(OFFSET(Y13,0,-1)=0,OFFSET(Y13,0,-1)+1&gt;CÁLCULO.NúmeroDeFrentes),0,OFFSET(Y13,0,-1)+1))</f>
        <v>0</v>
      </c>
    </row>
    <row r="14" spans="1:26" ht="3.95" customHeight="1" x14ac:dyDescent="0.2">
      <c r="A14" s="590" t="s">
        <v>245</v>
      </c>
    </row>
    <row r="15" spans="1:26" x14ac:dyDescent="0.2">
      <c r="A15" s="590" t="str">
        <f t="shared" ref="A15:A20" si="3">IF(D15="","","F")</f>
        <v>F</v>
      </c>
      <c r="B15" t="str">
        <f>CONCATENATE(C15,".",D15)</f>
        <v>1.Administração Local</v>
      </c>
      <c r="C15" s="199">
        <v>1</v>
      </c>
      <c r="D15" s="576" t="s">
        <v>267</v>
      </c>
      <c r="E15" s="586">
        <f ca="1">IF($F$15=0,0,IF(E13=1,$F$15-SUM($I$15:$Z$15),ROUND(SUM(OFFSET(E15,1,0):OFFSET(E$21,-1,0))/SUM(OFFSET($F15,1,0):OFFSET($F$21,-1,0))*$F$15,2)))</f>
        <v>0</v>
      </c>
      <c r="F15" s="200">
        <f ca="1">IF(AUTOEVENTO="Manual",ROUND(SUMIF(CÁLCULO!$M$15:$M$51,1,ORÇAMENTO!$X$15:$X$51),2),0)</f>
        <v>0</v>
      </c>
      <c r="G15" s="586"/>
      <c r="H15" s="586">
        <f ca="1">IF($F$15=0,0,IF(H13=1,$F$15-SUM($I$15:$Z$15),ROUND(SUM(OFFSET(H15,1,0):OFFSET(H$21,-1,0))/SUM(OFFSET($F15,1,0):OFFSET($F$21,-1,0))*$F$15,2)))</f>
        <v>0</v>
      </c>
      <c r="I15" s="586">
        <f ca="1">IF($F$15=0,0,IF(I13=1,$F$15-SUM($I$15:$Z$15),ROUND(SUM(OFFSET(I15,1,0):OFFSET(I$21,-1,0))/SUM(OFFSET($F15,1,0):OFFSET($F$21,-1,0))*$F$15,2)))</f>
        <v>0</v>
      </c>
      <c r="J15" s="586">
        <f ca="1">IF($F$15=0,0,IF(J13=1,$F$15-SUM($I$15:$Z$15),ROUND(SUM(OFFSET(J15,1,0):OFFSET(J$21,-1,0))/SUM(OFFSET($F15,1,0):OFFSET($F$21,-1,0))*$F$15,2)))</f>
        <v>0</v>
      </c>
      <c r="K15" s="586">
        <f ca="1">IF($F$15=0,0,IF(K13=1,$F$15-SUM($I$15:$Z$15),ROUND(SUM(OFFSET(K15,1,0):OFFSET(K$21,-1,0))/SUM(OFFSET($F15,1,0):OFFSET($F$21,-1,0))*$F$15,2)))</f>
        <v>0</v>
      </c>
      <c r="L15" s="586">
        <f ca="1">IF($F$15=0,0,IF(L13=1,$F$15-SUM($I$15:$Z$15),ROUND(SUM(OFFSET(L15,1,0):OFFSET(L$21,-1,0))/SUM(OFFSET($F15,1,0):OFFSET($F$21,-1,0))*$F$15,2)))</f>
        <v>0</v>
      </c>
      <c r="M15" s="586">
        <f ca="1">IF($F$15=0,0,IF(M13=1,$F$15-SUM($I$15:$Z$15),ROUND(SUM(OFFSET(M15,1,0):OFFSET(M$21,-1,0))/SUM(OFFSET($F15,1,0):OFFSET($F$21,-1,0))*$F$15,2)))</f>
        <v>0</v>
      </c>
      <c r="N15" s="586">
        <f ca="1">IF($F$15=0,0,IF(N13=1,$F$15-SUM($I$15:$Z$15),ROUND(SUM(OFFSET(N15,1,0):OFFSET(N$21,-1,0))/SUM(OFFSET($F15,1,0):OFFSET($F$21,-1,0))*$F$15,2)))</f>
        <v>0</v>
      </c>
      <c r="O15" s="586">
        <f ca="1">IF($F$15=0,0,IF(O13=1,$F$15-SUM($I$15:$Z$15),ROUND(SUM(OFFSET(O15,1,0):OFFSET(O$21,-1,0))/SUM(OFFSET($F15,1,0):OFFSET($F$21,-1,0))*$F$15,2)))</f>
        <v>0</v>
      </c>
      <c r="P15" s="586">
        <f ca="1">IF($F$15=0,0,IF(P13=1,$F$15-SUM($I$15:$Z$15),ROUND(SUM(OFFSET(P15,1,0):OFFSET(P$21,-1,0))/SUM(OFFSET($F15,1,0):OFFSET($F$21,-1,0))*$F$15,2)))</f>
        <v>0</v>
      </c>
      <c r="Q15" s="586">
        <f ca="1">IF($F$15=0,0,IF(Q13=1,$F$15-SUM($I$15:$Z$15),ROUND(SUM(OFFSET(Q15,1,0):OFFSET(Q$21,-1,0))/SUM(OFFSET($F15,1,0):OFFSET($F$21,-1,0))*$F$15,2)))</f>
        <v>0</v>
      </c>
      <c r="R15" s="586">
        <f ca="1">IF($F$15=0,0,IF(R13=1,$F$15-SUM($I$15:$Z$15),ROUND(SUM(OFFSET(R15,1,0):OFFSET(R$21,-1,0))/SUM(OFFSET($F15,1,0):OFFSET($F$21,-1,0))*$F$15,2)))</f>
        <v>0</v>
      </c>
      <c r="S15" s="586">
        <f ca="1">IF($F$15=0,0,IF(S13=1,$F$15-SUM($I$15:$Z$15),ROUND(SUM(OFFSET(S15,1,0):OFFSET(S$21,-1,0))/SUM(OFFSET($F15,1,0):OFFSET($F$21,-1,0))*$F$15,2)))</f>
        <v>0</v>
      </c>
      <c r="T15" s="586">
        <f ca="1">IF($F$15=0,0,IF(T13=1,$F$15-SUM($I$15:$Z$15),ROUND(SUM(OFFSET(T15,1,0):OFFSET(T$21,-1,0))/SUM(OFFSET($F15,1,0):OFFSET($F$21,-1,0))*$F$15,2)))</f>
        <v>0</v>
      </c>
      <c r="U15" s="586">
        <f ca="1">IF($F$15=0,0,IF(U13=1,$F$15-SUM($I$15:$Z$15),ROUND(SUM(OFFSET(U15,1,0):OFFSET(U$21,-1,0))/SUM(OFFSET($F15,1,0):OFFSET($F$21,-1,0))*$F$15,2)))</f>
        <v>0</v>
      </c>
      <c r="V15" s="586">
        <f ca="1">IF($F$15=0,0,IF(V13=1,$F$15-SUM($I$15:$Z$15),ROUND(SUM(OFFSET(V15,1,0):OFFSET(V$21,-1,0))/SUM(OFFSET($F15,1,0):OFFSET($F$21,-1,0))*$F$15,2)))</f>
        <v>0</v>
      </c>
      <c r="W15" s="586">
        <f ca="1">IF($F$15=0,0,IF(W13=1,$F$15-SUM($I$15:$Z$15),ROUND(SUM(OFFSET(W15,1,0):OFFSET(W$21,-1,0))/SUM(OFFSET($F15,1,0):OFFSET($F$21,-1,0))*$F$15,2)))</f>
        <v>0</v>
      </c>
      <c r="X15" s="586">
        <f ca="1">IF($F$15=0,0,IF(X13=1,$F$15-SUM($I$15:$Z$15),ROUND(SUM(OFFSET(X15,1,0):OFFSET(X$21,-1,0))/SUM(OFFSET($F15,1,0):OFFSET($F$21,-1,0))*$F$15,2)))</f>
        <v>0</v>
      </c>
      <c r="Y15" s="586">
        <f ca="1">IF($F$15=0,0,IF(Y13=1,$F$15-SUM($I$15:$Z$15),ROUND(SUM(OFFSET(Y15,1,0):OFFSET(Y$21,-1,0))/SUM(OFFSET($F15,1,0):OFFSET($F$21,-1,0))*$F$15,2)))</f>
        <v>0</v>
      </c>
    </row>
    <row r="16" spans="1:26" x14ac:dyDescent="0.2">
      <c r="A16" s="590" t="str">
        <f t="shared" si="3"/>
        <v/>
      </c>
      <c r="B16" t="str">
        <f t="shared" ref="B16:B20" ca="1" si="4">CONCATENATE(C16,".",D16)</f>
        <v>2.</v>
      </c>
      <c r="C16" s="197">
        <f t="shared" ref="C16:C20" ca="1" si="5">OFFSET(C16,-1,0)+1</f>
        <v>2</v>
      </c>
      <c r="D16" s="575"/>
      <c r="E16" s="587" cm="1">
        <f t="array" aca="1" ref="E16" ca="1">IF(AUTOEVENTO="Manual",ROUND(SUMPRODUCT((CÁLCULO!$M$15:$M$51=EVENTOS!$C16)*(OFFSET(CÁLCULO!$AA$15:$AA$51,0,E$13))),2),0)</f>
        <v>0</v>
      </c>
      <c r="F16" s="198">
        <f ca="1">IF(AUTOEVENTO="Manual",ROUND(SUMPRODUCT((CÁLCULO!$M$15:$M$51=EVENTOS!$C16)*(OFFSET(CÁLCULO!$AA$15,0,1):OFFSET(CÁLCULO!$AL$51,0,-1))),2),0)</f>
        <v>0</v>
      </c>
      <c r="G16" s="587"/>
      <c r="H16" s="587" cm="1">
        <f t="array" aca="1" ref="H16" ca="1">IF(AUTOEVENTO="Manual",ROUND(SUMPRODUCT((CÁLCULO!$M$15:$M$51=EVENTOS!$C16)*(OFFSET(CÁLCULO!$AA$15:$AA$51,0,H$13))),2),0)</f>
        <v>0</v>
      </c>
      <c r="I16" s="587" cm="1">
        <f t="array" aca="1" ref="I16" ca="1">IF(AUTOEVENTO="Manual",ROUND(SUMPRODUCT((CÁLCULO!$M$15:$M$51=EVENTOS!$C16)*(OFFSET(CÁLCULO!$AA$15:$AA$51,0,I$13))),2),0)</f>
        <v>0</v>
      </c>
      <c r="J16" s="587" cm="1">
        <f t="array" aca="1" ref="J16" ca="1">IF(AUTOEVENTO="Manual",ROUND(SUMPRODUCT((CÁLCULO!$M$15:$M$51=EVENTOS!$C16)*(OFFSET(CÁLCULO!$AA$15:$AA$51,0,J$13))),2),0)</f>
        <v>0</v>
      </c>
      <c r="K16" s="587" cm="1">
        <f t="array" aca="1" ref="K16" ca="1">IF(AUTOEVENTO="Manual",ROUND(SUMPRODUCT((CÁLCULO!$M$15:$M$51=EVENTOS!$C16)*(OFFSET(CÁLCULO!$AA$15:$AA$51,0,K$13))),2),0)</f>
        <v>0</v>
      </c>
      <c r="L16" s="587" cm="1">
        <f t="array" aca="1" ref="L16" ca="1">IF(AUTOEVENTO="Manual",ROUND(SUMPRODUCT((CÁLCULO!$M$15:$M$51=EVENTOS!$C16)*(OFFSET(CÁLCULO!$AA$15:$AA$51,0,L$13))),2),0)</f>
        <v>0</v>
      </c>
      <c r="M16" s="587" cm="1">
        <f t="array" aca="1" ref="M16" ca="1">IF(AUTOEVENTO="Manual",ROUND(SUMPRODUCT((CÁLCULO!$M$15:$M$51=EVENTOS!$C16)*(OFFSET(CÁLCULO!$AA$15:$AA$51,0,M$13))),2),0)</f>
        <v>0</v>
      </c>
      <c r="N16" s="587" cm="1">
        <f t="array" aca="1" ref="N16" ca="1">IF(AUTOEVENTO="Manual",ROUND(SUMPRODUCT((CÁLCULO!$M$15:$M$51=EVENTOS!$C16)*(OFFSET(CÁLCULO!$AA$15:$AA$51,0,N$13))),2),0)</f>
        <v>0</v>
      </c>
      <c r="O16" s="587" cm="1">
        <f t="array" aca="1" ref="O16" ca="1">IF(AUTOEVENTO="Manual",ROUND(SUMPRODUCT((CÁLCULO!$M$15:$M$51=EVENTOS!$C16)*(OFFSET(CÁLCULO!$AA$15:$AA$51,0,O$13))),2),0)</f>
        <v>0</v>
      </c>
      <c r="P16" s="587" cm="1">
        <f t="array" aca="1" ref="P16" ca="1">IF(AUTOEVENTO="Manual",ROUND(SUMPRODUCT((CÁLCULO!$M$15:$M$51=EVENTOS!$C16)*(OFFSET(CÁLCULO!$AA$15:$AA$51,0,P$13))),2),0)</f>
        <v>0</v>
      </c>
      <c r="Q16" s="587" cm="1">
        <f t="array" aca="1" ref="Q16" ca="1">IF(AUTOEVENTO="Manual",ROUND(SUMPRODUCT((CÁLCULO!$M$15:$M$51=EVENTOS!$C16)*(OFFSET(CÁLCULO!$AA$15:$AA$51,0,Q$13))),2),0)</f>
        <v>0</v>
      </c>
      <c r="R16" s="587" cm="1">
        <f t="array" aca="1" ref="R16" ca="1">IF(AUTOEVENTO="Manual",ROUND(SUMPRODUCT((CÁLCULO!$M$15:$M$51=EVENTOS!$C16)*(OFFSET(CÁLCULO!$AA$15:$AA$51,0,R$13))),2),0)</f>
        <v>0</v>
      </c>
      <c r="S16" s="587" cm="1">
        <f t="array" aca="1" ref="S16" ca="1">IF(AUTOEVENTO="Manual",ROUND(SUMPRODUCT((CÁLCULO!$M$15:$M$51=EVENTOS!$C16)*(OFFSET(CÁLCULO!$AA$15:$AA$51,0,S$13))),2),0)</f>
        <v>0</v>
      </c>
      <c r="T16" s="587" cm="1">
        <f t="array" aca="1" ref="T16" ca="1">IF(AUTOEVENTO="Manual",ROUND(SUMPRODUCT((CÁLCULO!$M$15:$M$51=EVENTOS!$C16)*(OFFSET(CÁLCULO!$AA$15:$AA$51,0,T$13))),2),0)</f>
        <v>0</v>
      </c>
      <c r="U16" s="587" cm="1">
        <f t="array" aca="1" ref="U16" ca="1">IF(AUTOEVENTO="Manual",ROUND(SUMPRODUCT((CÁLCULO!$M$15:$M$51=EVENTOS!$C16)*(OFFSET(CÁLCULO!$AA$15:$AA$51,0,U$13))),2),0)</f>
        <v>0</v>
      </c>
      <c r="V16" s="587" cm="1">
        <f t="array" aca="1" ref="V16" ca="1">IF(AUTOEVENTO="Manual",ROUND(SUMPRODUCT((CÁLCULO!$M$15:$M$51=EVENTOS!$C16)*(OFFSET(CÁLCULO!$AA$15:$AA$51,0,V$13))),2),0)</f>
        <v>0</v>
      </c>
      <c r="W16" s="587" cm="1">
        <f t="array" aca="1" ref="W16" ca="1">IF(AUTOEVENTO="Manual",ROUND(SUMPRODUCT((CÁLCULO!$M$15:$M$51=EVENTOS!$C16)*(OFFSET(CÁLCULO!$AA$15:$AA$51,0,W$13))),2),0)</f>
        <v>0</v>
      </c>
      <c r="X16" s="587" cm="1">
        <f t="array" aca="1" ref="X16" ca="1">IF(AUTOEVENTO="Manual",ROUND(SUMPRODUCT((CÁLCULO!$M$15:$M$51=EVENTOS!$C16)*(OFFSET(CÁLCULO!$AA$15:$AA$51,0,X$13))),2),0)</f>
        <v>0</v>
      </c>
      <c r="Y16" s="587" cm="1">
        <f t="array" aca="1" ref="Y16" ca="1">IF(AUTOEVENTO="Manual",ROUND(SUMPRODUCT((CÁLCULO!$M$15:$M$51=EVENTOS!$C16)*(OFFSET(CÁLCULO!$AA$15:$AA$51,0,Y$13))),2),0)</f>
        <v>0</v>
      </c>
    </row>
    <row r="17" spans="1:25" x14ac:dyDescent="0.2">
      <c r="A17" s="590" t="str">
        <f t="shared" si="3"/>
        <v/>
      </c>
      <c r="B17" t="str">
        <f t="shared" ca="1" si="4"/>
        <v>3.</v>
      </c>
      <c r="C17" s="197">
        <f t="shared" ca="1" si="5"/>
        <v>3</v>
      </c>
      <c r="D17" s="575"/>
      <c r="E17" s="587" cm="1">
        <f t="array" aca="1" ref="E17" ca="1">IF(AUTOEVENTO="Manual",ROUND(SUMPRODUCT((CÁLCULO!$M$15:$M$51=EVENTOS!$C17)*(OFFSET(CÁLCULO!$AA$15:$AA$51,0,E$13))),2),0)</f>
        <v>0</v>
      </c>
      <c r="F17" s="198">
        <f ca="1">IF(AUTOEVENTO="Manual",ROUND(SUMPRODUCT((CÁLCULO!$M$15:$M$51=EVENTOS!$C17)*(OFFSET(CÁLCULO!$AA$15,0,1):OFFSET(CÁLCULO!$AL$51,0,-1))),2),0)</f>
        <v>0</v>
      </c>
      <c r="G17" s="587"/>
      <c r="H17" s="587" cm="1">
        <f t="array" aca="1" ref="H17" ca="1">IF(AUTOEVENTO="Manual",ROUND(SUMPRODUCT((CÁLCULO!$M$15:$M$51=EVENTOS!$C17)*(OFFSET(CÁLCULO!$AA$15:$AA$51,0,H$13))),2),0)</f>
        <v>0</v>
      </c>
      <c r="I17" s="587" cm="1">
        <f t="array" aca="1" ref="I17" ca="1">IF(AUTOEVENTO="Manual",ROUND(SUMPRODUCT((CÁLCULO!$M$15:$M$51=EVENTOS!$C17)*(OFFSET(CÁLCULO!$AA$15:$AA$51,0,I$13))),2),0)</f>
        <v>0</v>
      </c>
      <c r="J17" s="587" cm="1">
        <f t="array" aca="1" ref="J17" ca="1">IF(AUTOEVENTO="Manual",ROUND(SUMPRODUCT((CÁLCULO!$M$15:$M$51=EVENTOS!$C17)*(OFFSET(CÁLCULO!$AA$15:$AA$51,0,J$13))),2),0)</f>
        <v>0</v>
      </c>
      <c r="K17" s="587" cm="1">
        <f t="array" aca="1" ref="K17" ca="1">IF(AUTOEVENTO="Manual",ROUND(SUMPRODUCT((CÁLCULO!$M$15:$M$51=EVENTOS!$C17)*(OFFSET(CÁLCULO!$AA$15:$AA$51,0,K$13))),2),0)</f>
        <v>0</v>
      </c>
      <c r="L17" s="587" cm="1">
        <f t="array" aca="1" ref="L17" ca="1">IF(AUTOEVENTO="Manual",ROUND(SUMPRODUCT((CÁLCULO!$M$15:$M$51=EVENTOS!$C17)*(OFFSET(CÁLCULO!$AA$15:$AA$51,0,L$13))),2),0)</f>
        <v>0</v>
      </c>
      <c r="M17" s="587" cm="1">
        <f t="array" aca="1" ref="M17" ca="1">IF(AUTOEVENTO="Manual",ROUND(SUMPRODUCT((CÁLCULO!$M$15:$M$51=EVENTOS!$C17)*(OFFSET(CÁLCULO!$AA$15:$AA$51,0,M$13))),2),0)</f>
        <v>0</v>
      </c>
      <c r="N17" s="587" cm="1">
        <f t="array" aca="1" ref="N17" ca="1">IF(AUTOEVENTO="Manual",ROUND(SUMPRODUCT((CÁLCULO!$M$15:$M$51=EVENTOS!$C17)*(OFFSET(CÁLCULO!$AA$15:$AA$51,0,N$13))),2),0)</f>
        <v>0</v>
      </c>
      <c r="O17" s="587" cm="1">
        <f t="array" aca="1" ref="O17" ca="1">IF(AUTOEVENTO="Manual",ROUND(SUMPRODUCT((CÁLCULO!$M$15:$M$51=EVENTOS!$C17)*(OFFSET(CÁLCULO!$AA$15:$AA$51,0,O$13))),2),0)</f>
        <v>0</v>
      </c>
      <c r="P17" s="587" cm="1">
        <f t="array" aca="1" ref="P17" ca="1">IF(AUTOEVENTO="Manual",ROUND(SUMPRODUCT((CÁLCULO!$M$15:$M$51=EVENTOS!$C17)*(OFFSET(CÁLCULO!$AA$15:$AA$51,0,P$13))),2),0)</f>
        <v>0</v>
      </c>
      <c r="Q17" s="587" cm="1">
        <f t="array" aca="1" ref="Q17" ca="1">IF(AUTOEVENTO="Manual",ROUND(SUMPRODUCT((CÁLCULO!$M$15:$M$51=EVENTOS!$C17)*(OFFSET(CÁLCULO!$AA$15:$AA$51,0,Q$13))),2),0)</f>
        <v>0</v>
      </c>
      <c r="R17" s="587" cm="1">
        <f t="array" aca="1" ref="R17" ca="1">IF(AUTOEVENTO="Manual",ROUND(SUMPRODUCT((CÁLCULO!$M$15:$M$51=EVENTOS!$C17)*(OFFSET(CÁLCULO!$AA$15:$AA$51,0,R$13))),2),0)</f>
        <v>0</v>
      </c>
      <c r="S17" s="587" cm="1">
        <f t="array" aca="1" ref="S17" ca="1">IF(AUTOEVENTO="Manual",ROUND(SUMPRODUCT((CÁLCULO!$M$15:$M$51=EVENTOS!$C17)*(OFFSET(CÁLCULO!$AA$15:$AA$51,0,S$13))),2),0)</f>
        <v>0</v>
      </c>
      <c r="T17" s="587" cm="1">
        <f t="array" aca="1" ref="T17" ca="1">IF(AUTOEVENTO="Manual",ROUND(SUMPRODUCT((CÁLCULO!$M$15:$M$51=EVENTOS!$C17)*(OFFSET(CÁLCULO!$AA$15:$AA$51,0,T$13))),2),0)</f>
        <v>0</v>
      </c>
      <c r="U17" s="587" cm="1">
        <f t="array" aca="1" ref="U17" ca="1">IF(AUTOEVENTO="Manual",ROUND(SUMPRODUCT((CÁLCULO!$M$15:$M$51=EVENTOS!$C17)*(OFFSET(CÁLCULO!$AA$15:$AA$51,0,U$13))),2),0)</f>
        <v>0</v>
      </c>
      <c r="V17" s="587" cm="1">
        <f t="array" aca="1" ref="V17" ca="1">IF(AUTOEVENTO="Manual",ROUND(SUMPRODUCT((CÁLCULO!$M$15:$M$51=EVENTOS!$C17)*(OFFSET(CÁLCULO!$AA$15:$AA$51,0,V$13))),2),0)</f>
        <v>0</v>
      </c>
      <c r="W17" s="587" cm="1">
        <f t="array" aca="1" ref="W17" ca="1">IF(AUTOEVENTO="Manual",ROUND(SUMPRODUCT((CÁLCULO!$M$15:$M$51=EVENTOS!$C17)*(OFFSET(CÁLCULO!$AA$15:$AA$51,0,W$13))),2),0)</f>
        <v>0</v>
      </c>
      <c r="X17" s="587" cm="1">
        <f t="array" aca="1" ref="X17" ca="1">IF(AUTOEVENTO="Manual",ROUND(SUMPRODUCT((CÁLCULO!$M$15:$M$51=EVENTOS!$C17)*(OFFSET(CÁLCULO!$AA$15:$AA$51,0,X$13))),2),0)</f>
        <v>0</v>
      </c>
      <c r="Y17" s="587" cm="1">
        <f t="array" aca="1" ref="Y17" ca="1">IF(AUTOEVENTO="Manual",ROUND(SUMPRODUCT((CÁLCULO!$M$15:$M$51=EVENTOS!$C17)*(OFFSET(CÁLCULO!$AA$15:$AA$51,0,Y$13))),2),0)</f>
        <v>0</v>
      </c>
    </row>
    <row r="18" spans="1:25" x14ac:dyDescent="0.2">
      <c r="A18" s="590" t="str">
        <f t="shared" si="3"/>
        <v/>
      </c>
      <c r="B18" t="str">
        <f t="shared" ca="1" si="4"/>
        <v>4.</v>
      </c>
      <c r="C18" s="197">
        <f t="shared" ca="1" si="5"/>
        <v>4</v>
      </c>
      <c r="D18" s="575"/>
      <c r="E18" s="587" cm="1">
        <f t="array" aca="1" ref="E18" ca="1">IF(AUTOEVENTO="Manual",ROUND(SUMPRODUCT((CÁLCULO!$M$15:$M$51=EVENTOS!$C18)*(OFFSET(CÁLCULO!$AA$15:$AA$51,0,E$13))),2),0)</f>
        <v>0</v>
      </c>
      <c r="F18" s="198">
        <f ca="1">IF(AUTOEVENTO="Manual",ROUND(SUMPRODUCT((CÁLCULO!$M$15:$M$51=EVENTOS!$C18)*(OFFSET(CÁLCULO!$AA$15,0,1):OFFSET(CÁLCULO!$AL$51,0,-1))),2),0)</f>
        <v>0</v>
      </c>
      <c r="G18" s="587"/>
      <c r="H18" s="587" cm="1">
        <f t="array" aca="1" ref="H18" ca="1">IF(AUTOEVENTO="Manual",ROUND(SUMPRODUCT((CÁLCULO!$M$15:$M$51=EVENTOS!$C18)*(OFFSET(CÁLCULO!$AA$15:$AA$51,0,H$13))),2),0)</f>
        <v>0</v>
      </c>
      <c r="I18" s="587" cm="1">
        <f t="array" aca="1" ref="I18" ca="1">IF(AUTOEVENTO="Manual",ROUND(SUMPRODUCT((CÁLCULO!$M$15:$M$51=EVENTOS!$C18)*(OFFSET(CÁLCULO!$AA$15:$AA$51,0,I$13))),2),0)</f>
        <v>0</v>
      </c>
      <c r="J18" s="587" cm="1">
        <f t="array" aca="1" ref="J18" ca="1">IF(AUTOEVENTO="Manual",ROUND(SUMPRODUCT((CÁLCULO!$M$15:$M$51=EVENTOS!$C18)*(OFFSET(CÁLCULO!$AA$15:$AA$51,0,J$13))),2),0)</f>
        <v>0</v>
      </c>
      <c r="K18" s="587" cm="1">
        <f t="array" aca="1" ref="K18" ca="1">IF(AUTOEVENTO="Manual",ROUND(SUMPRODUCT((CÁLCULO!$M$15:$M$51=EVENTOS!$C18)*(OFFSET(CÁLCULO!$AA$15:$AA$51,0,K$13))),2),0)</f>
        <v>0</v>
      </c>
      <c r="L18" s="587" cm="1">
        <f t="array" aca="1" ref="L18" ca="1">IF(AUTOEVENTO="Manual",ROUND(SUMPRODUCT((CÁLCULO!$M$15:$M$51=EVENTOS!$C18)*(OFFSET(CÁLCULO!$AA$15:$AA$51,0,L$13))),2),0)</f>
        <v>0</v>
      </c>
      <c r="M18" s="587" cm="1">
        <f t="array" aca="1" ref="M18" ca="1">IF(AUTOEVENTO="Manual",ROUND(SUMPRODUCT((CÁLCULO!$M$15:$M$51=EVENTOS!$C18)*(OFFSET(CÁLCULO!$AA$15:$AA$51,0,M$13))),2),0)</f>
        <v>0</v>
      </c>
      <c r="N18" s="587" cm="1">
        <f t="array" aca="1" ref="N18" ca="1">IF(AUTOEVENTO="Manual",ROUND(SUMPRODUCT((CÁLCULO!$M$15:$M$51=EVENTOS!$C18)*(OFFSET(CÁLCULO!$AA$15:$AA$51,0,N$13))),2),0)</f>
        <v>0</v>
      </c>
      <c r="O18" s="587" cm="1">
        <f t="array" aca="1" ref="O18" ca="1">IF(AUTOEVENTO="Manual",ROUND(SUMPRODUCT((CÁLCULO!$M$15:$M$51=EVENTOS!$C18)*(OFFSET(CÁLCULO!$AA$15:$AA$51,0,O$13))),2),0)</f>
        <v>0</v>
      </c>
      <c r="P18" s="587" cm="1">
        <f t="array" aca="1" ref="P18" ca="1">IF(AUTOEVENTO="Manual",ROUND(SUMPRODUCT((CÁLCULO!$M$15:$M$51=EVENTOS!$C18)*(OFFSET(CÁLCULO!$AA$15:$AA$51,0,P$13))),2),0)</f>
        <v>0</v>
      </c>
      <c r="Q18" s="587" cm="1">
        <f t="array" aca="1" ref="Q18" ca="1">IF(AUTOEVENTO="Manual",ROUND(SUMPRODUCT((CÁLCULO!$M$15:$M$51=EVENTOS!$C18)*(OFFSET(CÁLCULO!$AA$15:$AA$51,0,Q$13))),2),0)</f>
        <v>0</v>
      </c>
      <c r="R18" s="587" cm="1">
        <f t="array" aca="1" ref="R18" ca="1">IF(AUTOEVENTO="Manual",ROUND(SUMPRODUCT((CÁLCULO!$M$15:$M$51=EVENTOS!$C18)*(OFFSET(CÁLCULO!$AA$15:$AA$51,0,R$13))),2),0)</f>
        <v>0</v>
      </c>
      <c r="S18" s="587" cm="1">
        <f t="array" aca="1" ref="S18" ca="1">IF(AUTOEVENTO="Manual",ROUND(SUMPRODUCT((CÁLCULO!$M$15:$M$51=EVENTOS!$C18)*(OFFSET(CÁLCULO!$AA$15:$AA$51,0,S$13))),2),0)</f>
        <v>0</v>
      </c>
      <c r="T18" s="587" cm="1">
        <f t="array" aca="1" ref="T18" ca="1">IF(AUTOEVENTO="Manual",ROUND(SUMPRODUCT((CÁLCULO!$M$15:$M$51=EVENTOS!$C18)*(OFFSET(CÁLCULO!$AA$15:$AA$51,0,T$13))),2),0)</f>
        <v>0</v>
      </c>
      <c r="U18" s="587" cm="1">
        <f t="array" aca="1" ref="U18" ca="1">IF(AUTOEVENTO="Manual",ROUND(SUMPRODUCT((CÁLCULO!$M$15:$M$51=EVENTOS!$C18)*(OFFSET(CÁLCULO!$AA$15:$AA$51,0,U$13))),2),0)</f>
        <v>0</v>
      </c>
      <c r="V18" s="587" cm="1">
        <f t="array" aca="1" ref="V18" ca="1">IF(AUTOEVENTO="Manual",ROUND(SUMPRODUCT((CÁLCULO!$M$15:$M$51=EVENTOS!$C18)*(OFFSET(CÁLCULO!$AA$15:$AA$51,0,V$13))),2),0)</f>
        <v>0</v>
      </c>
      <c r="W18" s="587" cm="1">
        <f t="array" aca="1" ref="W18" ca="1">IF(AUTOEVENTO="Manual",ROUND(SUMPRODUCT((CÁLCULO!$M$15:$M$51=EVENTOS!$C18)*(OFFSET(CÁLCULO!$AA$15:$AA$51,0,W$13))),2),0)</f>
        <v>0</v>
      </c>
      <c r="X18" s="587" cm="1">
        <f t="array" aca="1" ref="X18" ca="1">IF(AUTOEVENTO="Manual",ROUND(SUMPRODUCT((CÁLCULO!$M$15:$M$51=EVENTOS!$C18)*(OFFSET(CÁLCULO!$AA$15:$AA$51,0,X$13))),2),0)</f>
        <v>0</v>
      </c>
      <c r="Y18" s="587" cm="1">
        <f t="array" aca="1" ref="Y18" ca="1">IF(AUTOEVENTO="Manual",ROUND(SUMPRODUCT((CÁLCULO!$M$15:$M$51=EVENTOS!$C18)*(OFFSET(CÁLCULO!$AA$15:$AA$51,0,Y$13))),2),0)</f>
        <v>0</v>
      </c>
    </row>
    <row r="19" spans="1:25" x14ac:dyDescent="0.2">
      <c r="A19" s="590" t="str">
        <f t="shared" si="3"/>
        <v/>
      </c>
      <c r="B19" t="str">
        <f t="shared" ca="1" si="4"/>
        <v>5.</v>
      </c>
      <c r="C19" s="197">
        <f t="shared" ca="1" si="5"/>
        <v>5</v>
      </c>
      <c r="D19" s="575"/>
      <c r="E19" s="587" cm="1">
        <f t="array" aca="1" ref="E19" ca="1">IF(AUTOEVENTO="Manual",ROUND(SUMPRODUCT((CÁLCULO!$M$15:$M$51=EVENTOS!$C19)*(OFFSET(CÁLCULO!$AA$15:$AA$51,0,E$13))),2),0)</f>
        <v>0</v>
      </c>
      <c r="F19" s="198">
        <f ca="1">IF(AUTOEVENTO="Manual",ROUND(SUMPRODUCT((CÁLCULO!$M$15:$M$51=EVENTOS!$C19)*(OFFSET(CÁLCULO!$AA$15,0,1):OFFSET(CÁLCULO!$AL$51,0,-1))),2),0)</f>
        <v>0</v>
      </c>
      <c r="G19" s="587"/>
      <c r="H19" s="587" cm="1">
        <f t="array" aca="1" ref="H19" ca="1">IF(AUTOEVENTO="Manual",ROUND(SUMPRODUCT((CÁLCULO!$M$15:$M$51=EVENTOS!$C19)*(OFFSET(CÁLCULO!$AA$15:$AA$51,0,H$13))),2),0)</f>
        <v>0</v>
      </c>
      <c r="I19" s="587" cm="1">
        <f t="array" aca="1" ref="I19" ca="1">IF(AUTOEVENTO="Manual",ROUND(SUMPRODUCT((CÁLCULO!$M$15:$M$51=EVENTOS!$C19)*(OFFSET(CÁLCULO!$AA$15:$AA$51,0,I$13))),2),0)</f>
        <v>0</v>
      </c>
      <c r="J19" s="587" cm="1">
        <f t="array" aca="1" ref="J19" ca="1">IF(AUTOEVENTO="Manual",ROUND(SUMPRODUCT((CÁLCULO!$M$15:$M$51=EVENTOS!$C19)*(OFFSET(CÁLCULO!$AA$15:$AA$51,0,J$13))),2),0)</f>
        <v>0</v>
      </c>
      <c r="K19" s="587" cm="1">
        <f t="array" aca="1" ref="K19" ca="1">IF(AUTOEVENTO="Manual",ROUND(SUMPRODUCT((CÁLCULO!$M$15:$M$51=EVENTOS!$C19)*(OFFSET(CÁLCULO!$AA$15:$AA$51,0,K$13))),2),0)</f>
        <v>0</v>
      </c>
      <c r="L19" s="587" cm="1">
        <f t="array" aca="1" ref="L19" ca="1">IF(AUTOEVENTO="Manual",ROUND(SUMPRODUCT((CÁLCULO!$M$15:$M$51=EVENTOS!$C19)*(OFFSET(CÁLCULO!$AA$15:$AA$51,0,L$13))),2),0)</f>
        <v>0</v>
      </c>
      <c r="M19" s="587" cm="1">
        <f t="array" aca="1" ref="M19" ca="1">IF(AUTOEVENTO="Manual",ROUND(SUMPRODUCT((CÁLCULO!$M$15:$M$51=EVENTOS!$C19)*(OFFSET(CÁLCULO!$AA$15:$AA$51,0,M$13))),2),0)</f>
        <v>0</v>
      </c>
      <c r="N19" s="587" cm="1">
        <f t="array" aca="1" ref="N19" ca="1">IF(AUTOEVENTO="Manual",ROUND(SUMPRODUCT((CÁLCULO!$M$15:$M$51=EVENTOS!$C19)*(OFFSET(CÁLCULO!$AA$15:$AA$51,0,N$13))),2),0)</f>
        <v>0</v>
      </c>
      <c r="O19" s="587" cm="1">
        <f t="array" aca="1" ref="O19" ca="1">IF(AUTOEVENTO="Manual",ROUND(SUMPRODUCT((CÁLCULO!$M$15:$M$51=EVENTOS!$C19)*(OFFSET(CÁLCULO!$AA$15:$AA$51,0,O$13))),2),0)</f>
        <v>0</v>
      </c>
      <c r="P19" s="587" cm="1">
        <f t="array" aca="1" ref="P19" ca="1">IF(AUTOEVENTO="Manual",ROUND(SUMPRODUCT((CÁLCULO!$M$15:$M$51=EVENTOS!$C19)*(OFFSET(CÁLCULO!$AA$15:$AA$51,0,P$13))),2),0)</f>
        <v>0</v>
      </c>
      <c r="Q19" s="587" cm="1">
        <f t="array" aca="1" ref="Q19" ca="1">IF(AUTOEVENTO="Manual",ROUND(SUMPRODUCT((CÁLCULO!$M$15:$M$51=EVENTOS!$C19)*(OFFSET(CÁLCULO!$AA$15:$AA$51,0,Q$13))),2),0)</f>
        <v>0</v>
      </c>
      <c r="R19" s="587" cm="1">
        <f t="array" aca="1" ref="R19" ca="1">IF(AUTOEVENTO="Manual",ROUND(SUMPRODUCT((CÁLCULO!$M$15:$M$51=EVENTOS!$C19)*(OFFSET(CÁLCULO!$AA$15:$AA$51,0,R$13))),2),0)</f>
        <v>0</v>
      </c>
      <c r="S19" s="587" cm="1">
        <f t="array" aca="1" ref="S19" ca="1">IF(AUTOEVENTO="Manual",ROUND(SUMPRODUCT((CÁLCULO!$M$15:$M$51=EVENTOS!$C19)*(OFFSET(CÁLCULO!$AA$15:$AA$51,0,S$13))),2),0)</f>
        <v>0</v>
      </c>
      <c r="T19" s="587" cm="1">
        <f t="array" aca="1" ref="T19" ca="1">IF(AUTOEVENTO="Manual",ROUND(SUMPRODUCT((CÁLCULO!$M$15:$M$51=EVENTOS!$C19)*(OFFSET(CÁLCULO!$AA$15:$AA$51,0,T$13))),2),0)</f>
        <v>0</v>
      </c>
      <c r="U19" s="587" cm="1">
        <f t="array" aca="1" ref="U19" ca="1">IF(AUTOEVENTO="Manual",ROUND(SUMPRODUCT((CÁLCULO!$M$15:$M$51=EVENTOS!$C19)*(OFFSET(CÁLCULO!$AA$15:$AA$51,0,U$13))),2),0)</f>
        <v>0</v>
      </c>
      <c r="V19" s="587" cm="1">
        <f t="array" aca="1" ref="V19" ca="1">IF(AUTOEVENTO="Manual",ROUND(SUMPRODUCT((CÁLCULO!$M$15:$M$51=EVENTOS!$C19)*(OFFSET(CÁLCULO!$AA$15:$AA$51,0,V$13))),2),0)</f>
        <v>0</v>
      </c>
      <c r="W19" s="587" cm="1">
        <f t="array" aca="1" ref="W19" ca="1">IF(AUTOEVENTO="Manual",ROUND(SUMPRODUCT((CÁLCULO!$M$15:$M$51=EVENTOS!$C19)*(OFFSET(CÁLCULO!$AA$15:$AA$51,0,W$13))),2),0)</f>
        <v>0</v>
      </c>
      <c r="X19" s="587" cm="1">
        <f t="array" aca="1" ref="X19" ca="1">IF(AUTOEVENTO="Manual",ROUND(SUMPRODUCT((CÁLCULO!$M$15:$M$51=EVENTOS!$C19)*(OFFSET(CÁLCULO!$AA$15:$AA$51,0,X$13))),2),0)</f>
        <v>0</v>
      </c>
      <c r="Y19" s="587" cm="1">
        <f t="array" aca="1" ref="Y19" ca="1">IF(AUTOEVENTO="Manual",ROUND(SUMPRODUCT((CÁLCULO!$M$15:$M$51=EVENTOS!$C19)*(OFFSET(CÁLCULO!$AA$15:$AA$51,0,Y$13))),2),0)</f>
        <v>0</v>
      </c>
    </row>
    <row r="20" spans="1:25" x14ac:dyDescent="0.2">
      <c r="A20" s="590" t="str">
        <f t="shared" si="3"/>
        <v/>
      </c>
      <c r="B20" t="str">
        <f t="shared" ca="1" si="4"/>
        <v>6.</v>
      </c>
      <c r="C20" s="197">
        <f t="shared" ca="1" si="5"/>
        <v>6</v>
      </c>
      <c r="D20" s="575"/>
      <c r="E20" s="587" cm="1">
        <f t="array" aca="1" ref="E20" ca="1">IF(AUTOEVENTO="Manual",ROUND(SUMPRODUCT((CÁLCULO!$M$15:$M$51=EVENTOS!$C20)*(OFFSET(CÁLCULO!$AA$15:$AA$51,0,E$13))),2),0)</f>
        <v>0</v>
      </c>
      <c r="F20" s="198">
        <f ca="1">IF(AUTOEVENTO="Manual",ROUND(SUMPRODUCT((CÁLCULO!$M$15:$M$51=EVENTOS!$C20)*(OFFSET(CÁLCULO!$AA$15,0,1):OFFSET(CÁLCULO!$AL$51,0,-1))),2),0)</f>
        <v>0</v>
      </c>
      <c r="G20" s="587"/>
      <c r="H20" s="587" cm="1">
        <f t="array" aca="1" ref="H20" ca="1">IF(AUTOEVENTO="Manual",ROUND(SUMPRODUCT((CÁLCULO!$M$15:$M$51=EVENTOS!$C20)*(OFFSET(CÁLCULO!$AA$15:$AA$51,0,H$13))),2),0)</f>
        <v>0</v>
      </c>
      <c r="I20" s="587" cm="1">
        <f t="array" aca="1" ref="I20" ca="1">IF(AUTOEVENTO="Manual",ROUND(SUMPRODUCT((CÁLCULO!$M$15:$M$51=EVENTOS!$C20)*(OFFSET(CÁLCULO!$AA$15:$AA$51,0,I$13))),2),0)</f>
        <v>0</v>
      </c>
      <c r="J20" s="587" cm="1">
        <f t="array" aca="1" ref="J20" ca="1">IF(AUTOEVENTO="Manual",ROUND(SUMPRODUCT((CÁLCULO!$M$15:$M$51=EVENTOS!$C20)*(OFFSET(CÁLCULO!$AA$15:$AA$51,0,J$13))),2),0)</f>
        <v>0</v>
      </c>
      <c r="K20" s="587" cm="1">
        <f t="array" aca="1" ref="K20" ca="1">IF(AUTOEVENTO="Manual",ROUND(SUMPRODUCT((CÁLCULO!$M$15:$M$51=EVENTOS!$C20)*(OFFSET(CÁLCULO!$AA$15:$AA$51,0,K$13))),2),0)</f>
        <v>0</v>
      </c>
      <c r="L20" s="587" cm="1">
        <f t="array" aca="1" ref="L20" ca="1">IF(AUTOEVENTO="Manual",ROUND(SUMPRODUCT((CÁLCULO!$M$15:$M$51=EVENTOS!$C20)*(OFFSET(CÁLCULO!$AA$15:$AA$51,0,L$13))),2),0)</f>
        <v>0</v>
      </c>
      <c r="M20" s="587" cm="1">
        <f t="array" aca="1" ref="M20" ca="1">IF(AUTOEVENTO="Manual",ROUND(SUMPRODUCT((CÁLCULO!$M$15:$M$51=EVENTOS!$C20)*(OFFSET(CÁLCULO!$AA$15:$AA$51,0,M$13))),2),0)</f>
        <v>0</v>
      </c>
      <c r="N20" s="587" cm="1">
        <f t="array" aca="1" ref="N20" ca="1">IF(AUTOEVENTO="Manual",ROUND(SUMPRODUCT((CÁLCULO!$M$15:$M$51=EVENTOS!$C20)*(OFFSET(CÁLCULO!$AA$15:$AA$51,0,N$13))),2),0)</f>
        <v>0</v>
      </c>
      <c r="O20" s="587" cm="1">
        <f t="array" aca="1" ref="O20" ca="1">IF(AUTOEVENTO="Manual",ROUND(SUMPRODUCT((CÁLCULO!$M$15:$M$51=EVENTOS!$C20)*(OFFSET(CÁLCULO!$AA$15:$AA$51,0,O$13))),2),0)</f>
        <v>0</v>
      </c>
      <c r="P20" s="587" cm="1">
        <f t="array" aca="1" ref="P20" ca="1">IF(AUTOEVENTO="Manual",ROUND(SUMPRODUCT((CÁLCULO!$M$15:$M$51=EVENTOS!$C20)*(OFFSET(CÁLCULO!$AA$15:$AA$51,0,P$13))),2),0)</f>
        <v>0</v>
      </c>
      <c r="Q20" s="587" cm="1">
        <f t="array" aca="1" ref="Q20" ca="1">IF(AUTOEVENTO="Manual",ROUND(SUMPRODUCT((CÁLCULO!$M$15:$M$51=EVENTOS!$C20)*(OFFSET(CÁLCULO!$AA$15:$AA$51,0,Q$13))),2),0)</f>
        <v>0</v>
      </c>
      <c r="R20" s="587" cm="1">
        <f t="array" aca="1" ref="R20" ca="1">IF(AUTOEVENTO="Manual",ROUND(SUMPRODUCT((CÁLCULO!$M$15:$M$51=EVENTOS!$C20)*(OFFSET(CÁLCULO!$AA$15:$AA$51,0,R$13))),2),0)</f>
        <v>0</v>
      </c>
      <c r="S20" s="587" cm="1">
        <f t="array" aca="1" ref="S20" ca="1">IF(AUTOEVENTO="Manual",ROUND(SUMPRODUCT((CÁLCULO!$M$15:$M$51=EVENTOS!$C20)*(OFFSET(CÁLCULO!$AA$15:$AA$51,0,S$13))),2),0)</f>
        <v>0</v>
      </c>
      <c r="T20" s="587" cm="1">
        <f t="array" aca="1" ref="T20" ca="1">IF(AUTOEVENTO="Manual",ROUND(SUMPRODUCT((CÁLCULO!$M$15:$M$51=EVENTOS!$C20)*(OFFSET(CÁLCULO!$AA$15:$AA$51,0,T$13))),2),0)</f>
        <v>0</v>
      </c>
      <c r="U20" s="587" cm="1">
        <f t="array" aca="1" ref="U20" ca="1">IF(AUTOEVENTO="Manual",ROUND(SUMPRODUCT((CÁLCULO!$M$15:$M$51=EVENTOS!$C20)*(OFFSET(CÁLCULO!$AA$15:$AA$51,0,U$13))),2),0)</f>
        <v>0</v>
      </c>
      <c r="V20" s="587" cm="1">
        <f t="array" aca="1" ref="V20" ca="1">IF(AUTOEVENTO="Manual",ROUND(SUMPRODUCT((CÁLCULO!$M$15:$M$51=EVENTOS!$C20)*(OFFSET(CÁLCULO!$AA$15:$AA$51,0,V$13))),2),0)</f>
        <v>0</v>
      </c>
      <c r="W20" s="587" cm="1">
        <f t="array" aca="1" ref="W20" ca="1">IF(AUTOEVENTO="Manual",ROUND(SUMPRODUCT((CÁLCULO!$M$15:$M$51=EVENTOS!$C20)*(OFFSET(CÁLCULO!$AA$15:$AA$51,0,W$13))),2),0)</f>
        <v>0</v>
      </c>
      <c r="X20" s="587" cm="1">
        <f t="array" aca="1" ref="X20" ca="1">IF(AUTOEVENTO="Manual",ROUND(SUMPRODUCT((CÁLCULO!$M$15:$M$51=EVENTOS!$C20)*(OFFSET(CÁLCULO!$AA$15:$AA$51,0,X$13))),2),0)</f>
        <v>0</v>
      </c>
      <c r="Y20" s="587" cm="1">
        <f t="array" aca="1" ref="Y20" ca="1">IF(AUTOEVENTO="Manual",ROUND(SUMPRODUCT((CÁLCULO!$M$15:$M$51=EVENTOS!$C20)*(OFFSET(CÁLCULO!$AA$15:$AA$51,0,Y$13))),2),0)</f>
        <v>0</v>
      </c>
    </row>
    <row r="21" spans="1:25" ht="5.0999999999999996" customHeight="1" x14ac:dyDescent="0.2">
      <c r="A21" s="590" t="s">
        <v>245</v>
      </c>
      <c r="C21" s="191"/>
      <c r="D21" s="201"/>
      <c r="E21" s="573"/>
      <c r="F21" s="202"/>
      <c r="G21" s="573"/>
      <c r="H21" s="573"/>
      <c r="I21" s="573"/>
      <c r="J21" s="573"/>
      <c r="K21" s="573"/>
      <c r="L21" s="573"/>
      <c r="M21" s="573"/>
      <c r="N21" s="573"/>
      <c r="O21" s="573"/>
      <c r="P21" s="573"/>
      <c r="Q21" s="573"/>
      <c r="R21" s="573"/>
      <c r="S21" s="573"/>
      <c r="T21" s="573"/>
      <c r="U21" s="573"/>
      <c r="V21" s="573"/>
      <c r="W21" s="573"/>
      <c r="X21" s="573"/>
      <c r="Y21" s="573"/>
    </row>
    <row r="22" spans="1:25" x14ac:dyDescent="0.2">
      <c r="A22" s="590" t="s">
        <v>245</v>
      </c>
    </row>
    <row r="23" spans="1:25" x14ac:dyDescent="0.2">
      <c r="A23" s="590" t="s">
        <v>245</v>
      </c>
    </row>
    <row r="24" spans="1:25" ht="15" x14ac:dyDescent="0.2">
      <c r="A24" s="590" t="s">
        <v>245</v>
      </c>
      <c r="D24" s="571" t="str">
        <f>Import.Município</f>
        <v>BENTO GONÇALVES/RS</v>
      </c>
      <c r="L24" s="531"/>
      <c r="M24" s="466"/>
      <c r="N24" s="466"/>
      <c r="O24" s="466"/>
      <c r="V24" s="531"/>
      <c r="W24" s="466"/>
      <c r="X24" s="466"/>
      <c r="Y24" s="466"/>
    </row>
    <row r="25" spans="1:25" x14ac:dyDescent="0.2">
      <c r="A25" s="590" t="s">
        <v>245</v>
      </c>
      <c r="D25" s="10" t="s">
        <v>187</v>
      </c>
      <c r="L25" s="195" t="s">
        <v>189</v>
      </c>
      <c r="V25" s="195" t="s">
        <v>189</v>
      </c>
    </row>
    <row r="26" spans="1:25" x14ac:dyDescent="0.2">
      <c r="A26" s="590" t="s">
        <v>245</v>
      </c>
      <c r="L26" s="444" t="str">
        <f t="array" aca="1" ref="L26:L28" ca="1">OFFSET(Import.RespOrçamento,0,-1) &amp; " " &amp; Import.RespOrçamento</f>
        <v>Nome: Eng. Bruna de Oliveira Pelizza</v>
      </c>
      <c r="V26" s="444" t="str">
        <f t="array" aca="1" ref="V26:V28" ca="1">OFFSET(Import.RespOrçamento,0,-1) &amp; " " &amp; Import.RespOrçamento</f>
        <v>Nome: Eng. Bruna de Oliveira Pelizza</v>
      </c>
    </row>
    <row r="27" spans="1:25" x14ac:dyDescent="0.2">
      <c r="A27" s="590" t="s">
        <v>245</v>
      </c>
      <c r="D27" s="572">
        <f>DADOS!$F$25</f>
        <v>46199</v>
      </c>
      <c r="L27" s="444" t="str">
        <f ca="1"/>
        <v>CREA/CAU: RS230174</v>
      </c>
      <c r="V27" s="444" t="str">
        <f ca="1"/>
        <v>CREA/CAU: RS230174</v>
      </c>
    </row>
    <row r="28" spans="1:25" x14ac:dyDescent="0.2">
      <c r="A28" s="590" t="s">
        <v>245</v>
      </c>
      <c r="D28" s="10" t="s">
        <v>188</v>
      </c>
      <c r="L28" s="444" t="str">
        <f ca="1"/>
        <v xml:space="preserve">ART/RRT: </v>
      </c>
      <c r="V28" s="444" t="str">
        <f ca="1"/>
        <v xml:space="preserve">ART/RRT: </v>
      </c>
    </row>
  </sheetData>
  <sheetProtection algorithmName="SHA-512" hashValue="jn3k51VgDO3NTEqvfeoT4ve8u1t67Y4IMNyjK9hicBcGHMCBBCECYkgmJa9miE+337gdkV4vr7h6fQrou/gbKA==" saltValue="4bbTziuyM9nGuGMAJ+Qm0w==" spinCount="100000" sheet="1" objects="1" scenarios="1"/>
  <autoFilter ref="A13:A28" xr:uid="{00000000-0009-0000-0000-000005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Z1 C10:Z10 E11:Z11 C12:Z19 C21:Z21">
    <cfRule type="expression" dxfId="284" priority="152" stopIfTrue="1">
      <formula>OR(AUTOEVENTO&lt;&gt;"Manual",ACOMPANHAMENTO="BM",C$10=0,C$13=0)</formula>
    </cfRule>
  </conditionalFormatting>
  <conditionalFormatting sqref="C20:Z20">
    <cfRule type="expression" dxfId="283" priority="2" stopIfTrue="1">
      <formula>OR(AUTOEVENTO&lt;&gt;"Manual",ACOMPANHAMENTO="BM",C$10=0,C$13=0)</formula>
    </cfRule>
  </conditionalFormatting>
  <dataValidations count="1">
    <dataValidation type="list" allowBlank="1" showErrorMessage="1" sqref="C8" xr:uid="{00000000-0002-0000-0500-000000000000}">
      <formula1>"Automática, conforme os agrupadores Nível 2 do Orçamento,Automática, conforme os agrupadores Nível 3 do Orçamento,Automática, conforme os agrupadores Nível 4 do Orçamento,Definir Manualmente"</formula1>
      <formula2>0</formula2>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&amp;LPMv3.07&amp;R&amp;P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A1:BH65319"/>
  <sheetViews>
    <sheetView showGridLines="0" zoomScaleNormal="100" zoomScaleSheetLayoutView="90" workbookViewId="0">
      <pane xSplit="8" ySplit="15" topLeftCell="I16" activePane="bottomRight" state="frozen"/>
      <selection activeCell="C1" sqref="C1"/>
      <selection pane="topRight" activeCell="I1" sqref="I1"/>
      <selection pane="bottomLeft" activeCell="C16" sqref="C16"/>
      <selection pane="bottomRight" activeCell="I27" sqref="I27"/>
    </sheetView>
  </sheetViews>
  <sheetFormatPr defaultRowHeight="0" customHeight="1" zeroHeight="1" x14ac:dyDescent="0.2"/>
  <cols>
    <col min="1" max="2" width="9.140625" style="7" hidden="1" customWidth="1"/>
    <col min="3" max="3" width="3.7109375" style="7" customWidth="1"/>
    <col min="4" max="4" width="8.7109375" customWidth="1"/>
    <col min="5" max="5" width="12.7109375" customWidth="1"/>
    <col min="6" max="6" width="65.7109375" customWidth="1"/>
    <col min="7" max="7" width="10.7109375" customWidth="1"/>
    <col min="8" max="8" width="14.7109375" customWidth="1"/>
    <col min="9" max="9" width="29.7109375" customWidth="1"/>
    <col min="10" max="10" width="1.7109375" customWidth="1"/>
    <col min="11" max="11" width="4.7109375" customWidth="1"/>
    <col min="12" max="12" width="0.85546875" customWidth="1"/>
    <col min="13" max="13" width="9.140625" style="7" hidden="1" customWidth="1"/>
    <col min="14" max="14" width="31.7109375" customWidth="1"/>
    <col min="15" max="15" width="9.140625" hidden="1" customWidth="1"/>
    <col min="16" max="16" width="1.7109375" customWidth="1"/>
    <col min="17" max="26" width="11.7109375" customWidth="1"/>
    <col min="27" max="27" width="0.140625" hidden="1" customWidth="1"/>
    <col min="28" max="59" width="9.140625" hidden="1" customWidth="1"/>
    <col min="60" max="60" width="1.7109375" hidden="1" customWidth="1"/>
  </cols>
  <sheetData>
    <row r="1" spans="1:59" ht="12.75" hidden="1" customHeight="1" x14ac:dyDescent="0.2">
      <c r="T1" s="552"/>
      <c r="AB1" t="s">
        <v>250</v>
      </c>
      <c r="AM1" t="s">
        <v>251</v>
      </c>
      <c r="AX1" t="s">
        <v>252</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657" t="str">
        <f>IF(ACOMPANHAMENTO="BM","MEMÓRIA DE CÁLCULO","PLQ - PLANILHA DE LEVANTAMENTO DE QUANTIDADES")</f>
        <v>PLQ - PLANILHA DE LEVANTAMENTO DE QUANTIDADES</v>
      </c>
      <c r="G6" s="657"/>
      <c r="H6" s="657"/>
      <c r="I6" s="147"/>
      <c r="K6" s="147"/>
      <c r="L6" s="147"/>
      <c r="M6" s="148"/>
      <c r="N6" s="147"/>
      <c r="P6" s="147"/>
      <c r="Q6" s="626" t="s">
        <v>140</v>
      </c>
      <c r="R6" s="626"/>
      <c r="Y6" s="626" t="s">
        <v>140</v>
      </c>
      <c r="Z6" s="626"/>
    </row>
    <row r="7" spans="1:59" ht="15" customHeight="1" x14ac:dyDescent="0.2">
      <c r="F7" s="658" t="str">
        <f>IF(ACOMPANHAMENTO="BM","","Memória de Cálculo")&amp;" - "&amp;import.recurso</f>
        <v>Memória de Cálculo - (SELECIONAR)</v>
      </c>
      <c r="G7" s="658"/>
      <c r="H7" s="658"/>
      <c r="I7" s="149"/>
      <c r="K7" s="149"/>
      <c r="L7" s="149"/>
      <c r="M7" s="150"/>
      <c r="N7" s="149"/>
      <c r="P7" s="149"/>
      <c r="Q7" s="627" t="s">
        <v>143</v>
      </c>
      <c r="R7" s="627"/>
      <c r="Y7" s="627" t="s">
        <v>143</v>
      </c>
      <c r="Z7" s="627"/>
    </row>
    <row r="8" spans="1:59" ht="12.75" customHeight="1" x14ac:dyDescent="0.2">
      <c r="AB8" t="e">
        <f ca="1">ROUND(ROUND(OFFSET(#REF!,0,AB$13),15-13*ORÇAMENTO!$AF$7)*OFFSET(ORÇAMENTO!$W$15,ROW(#REF!)-ROW(AB$15),0),15-13*ORÇAMENTO!$AF$11)</f>
        <v>#REF!</v>
      </c>
      <c r="AC8" t="e">
        <f ca="1">ROUND(ROUND(OFFSET(#REF!,0,AC$13),15-13*ORÇAMENTO!$AF$7)*OFFSET(ORÇAMENTO!$W$15,ROW(#REF!)-ROW(AC$15),0),15-13*ORÇAMENTO!$AF$11)</f>
        <v>#REF!</v>
      </c>
      <c r="AD8" t="e">
        <f ca="1">ROUND(ROUND(OFFSET(#REF!,0,AD$13),15-13*ORÇAMENTO!$AF$7)*OFFSET(ORÇAMENTO!$W$15,ROW(#REF!)-ROW(AD$15),0),15-13*ORÇAMENTO!$AF$11)</f>
        <v>#REF!</v>
      </c>
      <c r="AE8" s="552" t="e">
        <f ca="1">SUM(AB8:AD8)-SUM(#REF!)</f>
        <v>#REF!</v>
      </c>
    </row>
    <row r="9" spans="1:59" ht="12.75" customHeight="1" x14ac:dyDescent="0.2">
      <c r="E9" s="622" t="s">
        <v>201</v>
      </c>
      <c r="F9" s="622"/>
      <c r="G9" s="622" t="s">
        <v>432</v>
      </c>
      <c r="H9" s="622"/>
      <c r="I9" s="89" t="s">
        <v>146</v>
      </c>
      <c r="K9" s="151" t="s">
        <v>147</v>
      </c>
      <c r="L9" s="152"/>
      <c r="M9" s="152"/>
      <c r="N9" s="152"/>
      <c r="O9" s="152"/>
      <c r="P9" s="152"/>
      <c r="Q9" s="152"/>
      <c r="R9" s="153"/>
      <c r="S9" s="622" t="s">
        <v>146</v>
      </c>
      <c r="T9" s="622"/>
      <c r="U9" s="622" t="s">
        <v>147</v>
      </c>
      <c r="V9" s="622"/>
      <c r="W9" s="622"/>
      <c r="X9" s="622"/>
      <c r="Y9" s="622"/>
      <c r="Z9" s="622"/>
    </row>
    <row r="10" spans="1:59" ht="12.75" customHeight="1" x14ac:dyDescent="0.2">
      <c r="E10" s="625" t="str">
        <f>Import.Apelido</f>
        <v>RUA MIGUEL A DA ROLT</v>
      </c>
      <c r="F10" s="625"/>
      <c r="G10" s="625" cm="1">
        <f t="array" ref="G10">Import.TransfereGOV</f>
        <v>0</v>
      </c>
      <c r="H10" s="625"/>
      <c r="I10" s="92">
        <f>Import.CR</f>
        <v>0</v>
      </c>
      <c r="K10" s="154" t="str">
        <f>Import.Proponente</f>
        <v>MUNICIPIO DE BENTO GONÇALVES</v>
      </c>
      <c r="L10" s="155"/>
      <c r="M10" s="102"/>
      <c r="N10" s="155"/>
      <c r="O10" s="155"/>
      <c r="P10" s="155"/>
      <c r="Q10" s="155"/>
      <c r="R10" s="93"/>
      <c r="S10" s="625">
        <f>Import.CR</f>
        <v>0</v>
      </c>
      <c r="T10" s="625"/>
      <c r="U10" s="625" t="str">
        <f>Import.Proponente</f>
        <v>MUNICIPIO DE BENTO GONÇALVES</v>
      </c>
      <c r="V10" s="625"/>
      <c r="W10" s="625"/>
      <c r="X10" s="625"/>
      <c r="Y10" s="625"/>
      <c r="Z10" s="625"/>
    </row>
    <row r="11" spans="1:59" ht="12.75" customHeight="1" x14ac:dyDescent="0.2"/>
    <row r="12" spans="1:59" ht="69.95" customHeight="1" x14ac:dyDescent="0.2">
      <c r="A12" s="156">
        <f ca="1">IF(OFFSET(EVENTOS!$C$7,1,0)="Automática, conforme os agrupadores Nível 4 do Orçamento",4,IF(OFFSET(EVENTOS!$C$7,1,0)="Automática, conforme os agrupadores Nível 3 do Orçamento",3,IF(OFFSET(EVENTOS!$C$7,1,0)="Definir Manualmente","Manual",2)))</f>
        <v>2</v>
      </c>
      <c r="B12" s="7" t="s">
        <v>253</v>
      </c>
      <c r="C12" s="567" t="s">
        <v>208</v>
      </c>
      <c r="H12" s="157"/>
      <c r="I12" s="158"/>
      <c r="J12" s="159" t="s">
        <v>254</v>
      </c>
      <c r="K12" s="160" t="s">
        <v>255</v>
      </c>
      <c r="L12" s="159" t="s">
        <v>254</v>
      </c>
      <c r="M12" s="161">
        <f ca="1">IF(ACOMPANHAMENTO="BM",0,COUNTIF(M15:M51,0))</f>
        <v>0</v>
      </c>
      <c r="N12" s="158" t="s">
        <v>256</v>
      </c>
      <c r="O12" s="162"/>
      <c r="P12" s="159" t="s">
        <v>254</v>
      </c>
      <c r="Q12" s="521" t="s">
        <v>487</v>
      </c>
      <c r="R12" s="162" t="s">
        <v>516</v>
      </c>
      <c r="S12" s="162"/>
      <c r="T12" s="162"/>
      <c r="U12" s="162"/>
      <c r="V12" s="162"/>
      <c r="W12" s="162"/>
      <c r="X12" s="162"/>
      <c r="Y12" s="162"/>
      <c r="Z12" s="163"/>
      <c r="AA12" s="159" t="s">
        <v>254</v>
      </c>
      <c r="AB12" s="164" t="str">
        <f ca="1">OFFSET($P$12,0,AB$13)</f>
        <v>FRENTE 1</v>
      </c>
      <c r="AC12" s="165" t="str">
        <f t="shared" ref="AC12:AK12" ca="1" si="0">OFFSET($P$12,0,AC$13)</f>
        <v>FRENTE 2</v>
      </c>
      <c r="AD12" s="165">
        <f t="shared" ca="1" si="0"/>
        <v>0</v>
      </c>
      <c r="AE12" s="165">
        <f t="shared" ca="1" si="0"/>
        <v>0</v>
      </c>
      <c r="AF12" s="165">
        <f t="shared" ca="1" si="0"/>
        <v>0</v>
      </c>
      <c r="AG12" s="165">
        <f t="shared" ca="1" si="0"/>
        <v>0</v>
      </c>
      <c r="AH12" s="165">
        <f t="shared" ca="1" si="0"/>
        <v>0</v>
      </c>
      <c r="AI12" s="165">
        <f t="shared" ca="1" si="0"/>
        <v>0</v>
      </c>
      <c r="AJ12" s="165">
        <f t="shared" ca="1" si="0"/>
        <v>0</v>
      </c>
      <c r="AK12" s="166">
        <f t="shared" ca="1" si="0"/>
        <v>0</v>
      </c>
      <c r="AM12" s="164" t="str">
        <f ca="1">OFFSET($P$12,0,AM$13)</f>
        <v>FRENTE 1</v>
      </c>
      <c r="AN12" s="165" t="str">
        <f t="shared" ref="AN12:AV12" ca="1" si="1">OFFSET($P$12,0,AN$13)</f>
        <v>FRENTE 2</v>
      </c>
      <c r="AO12" s="165">
        <f t="shared" ca="1" si="1"/>
        <v>0</v>
      </c>
      <c r="AP12" s="165">
        <f t="shared" ca="1" si="1"/>
        <v>0</v>
      </c>
      <c r="AQ12" s="165">
        <f t="shared" ca="1" si="1"/>
        <v>0</v>
      </c>
      <c r="AR12" s="165">
        <f t="shared" ca="1" si="1"/>
        <v>0</v>
      </c>
      <c r="AS12" s="165">
        <f t="shared" ca="1" si="1"/>
        <v>0</v>
      </c>
      <c r="AT12" s="165">
        <f t="shared" ca="1" si="1"/>
        <v>0</v>
      </c>
      <c r="AU12" s="165">
        <f t="shared" ca="1" si="1"/>
        <v>0</v>
      </c>
      <c r="AV12" s="166">
        <f t="shared" ca="1" si="1"/>
        <v>0</v>
      </c>
      <c r="AX12" s="164" t="str">
        <f ca="1">OFFSET($P$12,0,AX$13)</f>
        <v>FRENTE 1</v>
      </c>
      <c r="AY12" s="165" t="str">
        <f t="shared" ref="AY12:BG12" ca="1" si="2">OFFSET($P$12,0,AY$13)</f>
        <v>FRENTE 2</v>
      </c>
      <c r="AZ12" s="165">
        <f t="shared" ca="1" si="2"/>
        <v>0</v>
      </c>
      <c r="BA12" s="165">
        <f t="shared" ca="1" si="2"/>
        <v>0</v>
      </c>
      <c r="BB12" s="165">
        <f t="shared" ca="1" si="2"/>
        <v>0</v>
      </c>
      <c r="BC12" s="165">
        <f t="shared" ca="1" si="2"/>
        <v>0</v>
      </c>
      <c r="BD12" s="165">
        <f t="shared" ca="1" si="2"/>
        <v>0</v>
      </c>
      <c r="BE12" s="165">
        <f t="shared" ca="1" si="2"/>
        <v>0</v>
      </c>
      <c r="BF12" s="165">
        <f t="shared" ca="1" si="2"/>
        <v>0</v>
      </c>
      <c r="BG12" s="166">
        <f t="shared" ca="1" si="2"/>
        <v>0</v>
      </c>
    </row>
    <row r="13" spans="1:59" ht="12.75" customHeight="1" x14ac:dyDescent="0.2">
      <c r="A13" s="85" t="s">
        <v>257</v>
      </c>
      <c r="B13" s="7" t="s">
        <v>253</v>
      </c>
      <c r="C13" s="568" t="s">
        <v>216</v>
      </c>
      <c r="D13" s="109" t="s">
        <v>228</v>
      </c>
      <c r="E13" s="109" t="s">
        <v>230</v>
      </c>
      <c r="F13" s="109" t="s">
        <v>233</v>
      </c>
      <c r="G13" s="111" t="s">
        <v>234</v>
      </c>
      <c r="H13" s="109" t="s">
        <v>202</v>
      </c>
      <c r="I13" s="109" t="s">
        <v>258</v>
      </c>
      <c r="K13" s="109" t="s">
        <v>259</v>
      </c>
      <c r="L13" s="159"/>
      <c r="M13" s="109" t="s">
        <v>260</v>
      </c>
      <c r="N13" s="109" t="s">
        <v>261</v>
      </c>
      <c r="O13" s="167" t="e">
        <f ca="1">OFFSET(O13,0,-1)+1</f>
        <v>#VALUE!</v>
      </c>
      <c r="Q13" s="168">
        <f t="shared" ref="Q13:Z13" ca="1" si="3">OFFSET(Q13,0,-1)+1</f>
        <v>1</v>
      </c>
      <c r="R13" s="167">
        <f t="shared" ca="1" si="3"/>
        <v>2</v>
      </c>
      <c r="S13" s="167">
        <f t="shared" ca="1" si="3"/>
        <v>3</v>
      </c>
      <c r="T13" s="167">
        <f t="shared" ca="1" si="3"/>
        <v>4</v>
      </c>
      <c r="U13" s="167">
        <f t="shared" ca="1" si="3"/>
        <v>5</v>
      </c>
      <c r="V13" s="167">
        <f t="shared" ca="1" si="3"/>
        <v>6</v>
      </c>
      <c r="W13" s="167">
        <f t="shared" ca="1" si="3"/>
        <v>7</v>
      </c>
      <c r="X13" s="167">
        <f t="shared" ca="1" si="3"/>
        <v>8</v>
      </c>
      <c r="Y13" s="167">
        <f t="shared" ca="1" si="3"/>
        <v>9</v>
      </c>
      <c r="Z13" s="169">
        <f t="shared" ca="1" si="3"/>
        <v>10</v>
      </c>
      <c r="AB13" s="115">
        <f t="shared" ref="AB13:BG13" ca="1" si="4">OFFSET(AB13,0,-1)+1</f>
        <v>1</v>
      </c>
      <c r="AC13" s="170">
        <f t="shared" ca="1" si="4"/>
        <v>2</v>
      </c>
      <c r="AD13" s="170">
        <f t="shared" ca="1" si="4"/>
        <v>3</v>
      </c>
      <c r="AE13" s="170">
        <f t="shared" ca="1" si="4"/>
        <v>4</v>
      </c>
      <c r="AF13" s="170">
        <f t="shared" ca="1" si="4"/>
        <v>5</v>
      </c>
      <c r="AG13" s="170">
        <f t="shared" ca="1" si="4"/>
        <v>6</v>
      </c>
      <c r="AH13" s="170">
        <f t="shared" ca="1" si="4"/>
        <v>7</v>
      </c>
      <c r="AI13" s="170">
        <f t="shared" ca="1" si="4"/>
        <v>8</v>
      </c>
      <c r="AJ13" s="170">
        <f t="shared" ca="1" si="4"/>
        <v>9</v>
      </c>
      <c r="AK13" s="171">
        <f t="shared" ca="1" si="4"/>
        <v>10</v>
      </c>
      <c r="AM13" s="115">
        <f t="shared" ca="1" si="4"/>
        <v>1</v>
      </c>
      <c r="AN13" s="170">
        <f t="shared" ca="1" si="4"/>
        <v>2</v>
      </c>
      <c r="AO13" s="170">
        <f t="shared" ca="1" si="4"/>
        <v>3</v>
      </c>
      <c r="AP13" s="170">
        <f t="shared" ca="1" si="4"/>
        <v>4</v>
      </c>
      <c r="AQ13" s="170">
        <f t="shared" ca="1" si="4"/>
        <v>5</v>
      </c>
      <c r="AR13" s="170">
        <f t="shared" ca="1" si="4"/>
        <v>6</v>
      </c>
      <c r="AS13" s="170">
        <f t="shared" ca="1" si="4"/>
        <v>7</v>
      </c>
      <c r="AT13" s="170">
        <f t="shared" ca="1" si="4"/>
        <v>8</v>
      </c>
      <c r="AU13" s="170">
        <f t="shared" ca="1" si="4"/>
        <v>9</v>
      </c>
      <c r="AV13" s="171">
        <f t="shared" ca="1" si="4"/>
        <v>10</v>
      </c>
      <c r="AX13" s="115">
        <f t="shared" ca="1" si="4"/>
        <v>1</v>
      </c>
      <c r="AY13" s="170">
        <f t="shared" ca="1" si="4"/>
        <v>2</v>
      </c>
      <c r="AZ13" s="170">
        <f t="shared" ca="1" si="4"/>
        <v>3</v>
      </c>
      <c r="BA13" s="170">
        <f t="shared" ca="1" si="4"/>
        <v>4</v>
      </c>
      <c r="BB13" s="170">
        <f t="shared" ca="1" si="4"/>
        <v>5</v>
      </c>
      <c r="BC13" s="170">
        <f t="shared" ca="1" si="4"/>
        <v>6</v>
      </c>
      <c r="BD13" s="170">
        <f t="shared" ca="1" si="4"/>
        <v>7</v>
      </c>
      <c r="BE13" s="170">
        <f t="shared" ca="1" si="4"/>
        <v>8</v>
      </c>
      <c r="BF13" s="170">
        <f t="shared" ca="1" si="4"/>
        <v>9</v>
      </c>
      <c r="BG13" s="171">
        <f t="shared" ca="1" si="4"/>
        <v>10</v>
      </c>
    </row>
    <row r="14" spans="1:59" ht="12.75" hidden="1" x14ac:dyDescent="0.2">
      <c r="A14" s="7" t="str">
        <f ca="1">IF(AUTOEVENTO="Manual",IF(K14&lt;&gt;"",MIN(VALUE(LEFT(K14,FIND(".",K14)-1)),COUNTA(EVENTOS.Lista)),0),IF(OR($B14&gt;AUTOEVENTO,$B14="S",$B14=0),SUBSTITUTE(OFFSET($A14,-1,0),IF($D14="Serviço",".",""),""),ROW(A14)-ROW($A$15)&amp;"."))</f>
        <v>AUTOEVENTO</v>
      </c>
      <c r="B14" s="7" t="str">
        <f ca="1">OFFSET(ORÇAMENTO!C$15,ROW(B14)-ROW(B$15),0)</f>
        <v>S</v>
      </c>
      <c r="C14" s="7" t="str">
        <f ca="1">OFFSET(ORÇAMENTO!L$15,ROW(C14)-ROW(C$15),0)</f>
        <v/>
      </c>
      <c r="D14" s="118" t="str">
        <f ca="1">OFFSET(ORÇAMENTO!N$15,ROW(D14)-ROW(D$15),0)</f>
        <v>Serviço</v>
      </c>
      <c r="E14" s="119" t="str">
        <f ca="1">OFFSET(ORÇAMENTO!O$15,ROW(E14)-ROW(E$15),0)</f>
        <v>-</v>
      </c>
      <c r="F14" s="172" t="str">
        <f ca="1">OFFSET(ORÇAMENTO!R$15,ROW(F14)-ROW(F$15),0)</f>
        <v>(abra o arquivo 'Referência 05-Friday.xlsm)</v>
      </c>
      <c r="G14" s="173" t="str">
        <f ca="1">IF($D14&lt;&gt;"Serviço","",OFFSET(ORÇAMENTO!S$15,ROW(G14)-ROW(G$15),0))</f>
        <v>-</v>
      </c>
      <c r="H14" s="124">
        <f ca="1">IF($D14&lt;&gt;"Serviço",0,IF(ACOMPANHAMENTO="BM",ROUND(OFFSET(ORÇAMENTO!AJ$15,ROW(H14)-ROW(H$15),0),15-13*ORÇAMENTO!$AF$7),SUMPRODUCT(($Q$12:$AA$12&lt;&gt;"")*ROUND($Q14:$AA14,15-13*ORÇAMENTO!$AF$7))))</f>
        <v>0</v>
      </c>
      <c r="I14" s="539"/>
      <c r="K14" s="174"/>
      <c r="L14" s="175" t="s">
        <v>254</v>
      </c>
      <c r="M14" s="176" t="str">
        <f ca="1">IF($D14&lt;&gt;"Serviço","",IF(AUTOEVENTO="manual",$A14,IF(ISERROR(MATCH($A14,$A$15:OFFSET($A14,-1,0),0)),MAX($M$15:OFFSET(M14,-1,0))+1,INDEX($M$15:OFFSET(M14,-1,0),MATCH($A14,$A$15:OFFSET($A14,-1,0),0)))))</f>
        <v># Evento</v>
      </c>
      <c r="N14" s="177" t="e">
        <f ca="1">IF($D14&lt;&gt;"Serviço","",IF(AUTOEVENTO="Manual",IF($A14=0,"&lt;-- defina o número do agrupador",OFFSET(EVENTOS!$D$14,$A14,0)),OFFSET($F$15,$A14,0)))</f>
        <v>#VALUE!</v>
      </c>
      <c r="O14" s="178"/>
      <c r="Q14" s="178"/>
      <c r="R14" s="179"/>
      <c r="S14" s="179"/>
      <c r="T14" s="179"/>
      <c r="U14" s="179"/>
      <c r="V14" s="179"/>
      <c r="W14" s="179"/>
      <c r="X14" s="179"/>
      <c r="Y14" s="179"/>
      <c r="Z14" s="180"/>
      <c r="AB14" s="522">
        <f ca="1">IF(AND($D14="Serviço",AB$12&lt;&gt;0,$H14&gt;0,OR(AUTOEVENTO&lt;&gt;"manual",$M14&lt;&gt;1)),
IF(Import.TipoArredondamento&lt;&gt;"TransfereGOV",
ROUND(OFFSET($P14,0,AB$13),15-13*ORÇAMENTO!$AF$7)/$H14*OFFSET(ORÇAMENTO!$X$15,ROW(AB14)-ROW(AB$15),0),
ROUND(ROUND(OFFSET($P14,0,AB$13),15-13*ORÇAMENTO!$AF$7)*OFFSET(ORÇAMENTO!$W$15,ROW(AB14)-ROW(AB$15),0),15-13*ORÇAMENTO!$AF$11)),0)</f>
        <v>0</v>
      </c>
      <c r="AC14" s="523">
        <f ca="1">IF(AND($D14="Serviço",AC$12&lt;&gt;0,$H14&gt;0,OR(AUTOEVENTO&lt;&gt;"manual",$M14&lt;&gt;1)),
IF(Import.TipoArredondamento&lt;&gt;"TransfereGOV",
ROUND(OFFSET($P14,0,AC$13),15-13*ORÇAMENTO!$AF$7)/$H14*OFFSET(ORÇAMENTO!$X$15,ROW(AC14)-ROW(AC$15),0),
ROUND(ROUND(OFFSET($P14,0,AC$13),15-13*ORÇAMENTO!$AF$7)*OFFSET(ORÇAMENTO!$W$15,ROW(AC14)-ROW(AC$15),0),15-13*ORÇAMENTO!$AF$11)),0)</f>
        <v>0</v>
      </c>
      <c r="AD14" s="523">
        <f ca="1">IF(AND($D14="Serviço",AD$12&lt;&gt;0,$H14&gt;0,OR(AUTOEVENTO&lt;&gt;"manual",$M14&lt;&gt;1)),
IF(Import.TipoArredondamento&lt;&gt;"TransfereGOV",
ROUND(OFFSET($P14,0,AD$13),15-13*ORÇAMENTO!$AF$7)/$H14*OFFSET(ORÇAMENTO!$X$15,ROW(AD14)-ROW(AD$15),0),
ROUND(ROUND(OFFSET($P14,0,AD$13),15-13*ORÇAMENTO!$AF$7)*OFFSET(ORÇAMENTO!$W$15,ROW(AD14)-ROW(AD$15),0),15-13*ORÇAMENTO!$AF$11)),0)</f>
        <v>0</v>
      </c>
      <c r="AE14" s="523">
        <f ca="1">IF(AND($D14="Serviço",AE$12&lt;&gt;0,$H14&gt;0,OR(AUTOEVENTO&lt;&gt;"manual",$M14&lt;&gt;1)),
IF(Import.TipoArredondamento&lt;&gt;"TransfereGOV",
ROUND(OFFSET($P14,0,AE$13),15-13*ORÇAMENTO!$AF$7)/$H14*OFFSET(ORÇAMENTO!$X$15,ROW(AE14)-ROW(AE$15),0),
ROUND(ROUND(OFFSET($P14,0,AE$13),15-13*ORÇAMENTO!$AF$7)*OFFSET(ORÇAMENTO!$W$15,ROW(AE14)-ROW(AE$15),0),15-13*ORÇAMENTO!$AF$11)),0)</f>
        <v>0</v>
      </c>
      <c r="AF14" s="523">
        <f ca="1">IF(AND($D14="Serviço",AF$12&lt;&gt;0,$H14&gt;0,OR(AUTOEVENTO&lt;&gt;"manual",$M14&lt;&gt;1)),
IF(Import.TipoArredondamento&lt;&gt;"TransfereGOV",
ROUND(OFFSET($P14,0,AF$13),15-13*ORÇAMENTO!$AF$7)/$H14*OFFSET(ORÇAMENTO!$X$15,ROW(AF14)-ROW(AF$15),0),
ROUND(ROUND(OFFSET($P14,0,AF$13),15-13*ORÇAMENTO!$AF$7)*OFFSET(ORÇAMENTO!$W$15,ROW(AF14)-ROW(AF$15),0),15-13*ORÇAMENTO!$AF$11)),0)</f>
        <v>0</v>
      </c>
      <c r="AG14" s="523">
        <f ca="1">IF(AND($D14="Serviço",AG$12&lt;&gt;0,$H14&gt;0,OR(AUTOEVENTO&lt;&gt;"manual",$M14&lt;&gt;1)),
IF(Import.TipoArredondamento&lt;&gt;"TransfereGOV",
ROUND(OFFSET($P14,0,AG$13),15-13*ORÇAMENTO!$AF$7)/$H14*OFFSET(ORÇAMENTO!$X$15,ROW(AG14)-ROW(AG$15),0),
ROUND(ROUND(OFFSET($P14,0,AG$13),15-13*ORÇAMENTO!$AF$7)*OFFSET(ORÇAMENTO!$W$15,ROW(AG14)-ROW(AG$15),0),15-13*ORÇAMENTO!$AF$11)),0)</f>
        <v>0</v>
      </c>
      <c r="AH14" s="523">
        <f ca="1">IF(AND($D14="Serviço",AH$12&lt;&gt;0,$H14&gt;0,OR(AUTOEVENTO&lt;&gt;"manual",$M14&lt;&gt;1)),
IF(Import.TipoArredondamento&lt;&gt;"TransfereGOV",
ROUND(OFFSET($P14,0,AH$13),15-13*ORÇAMENTO!$AF$7)/$H14*OFFSET(ORÇAMENTO!$X$15,ROW(AH14)-ROW(AH$15),0),
ROUND(ROUND(OFFSET($P14,0,AH$13),15-13*ORÇAMENTO!$AF$7)*OFFSET(ORÇAMENTO!$W$15,ROW(AH14)-ROW(AH$15),0),15-13*ORÇAMENTO!$AF$11)),0)</f>
        <v>0</v>
      </c>
      <c r="AI14" s="523">
        <f ca="1">IF(AND($D14="Serviço",AI$12&lt;&gt;0,$H14&gt;0,OR(AUTOEVENTO&lt;&gt;"manual",$M14&lt;&gt;1)),
IF(Import.TipoArredondamento&lt;&gt;"TransfereGOV",
ROUND(OFFSET($P14,0,AI$13),15-13*ORÇAMENTO!$AF$7)/$H14*OFFSET(ORÇAMENTO!$X$15,ROW(AI14)-ROW(AI$15),0),
ROUND(ROUND(OFFSET($P14,0,AI$13),15-13*ORÇAMENTO!$AF$7)*OFFSET(ORÇAMENTO!$W$15,ROW(AI14)-ROW(AI$15),0),15-13*ORÇAMENTO!$AF$11)),0)</f>
        <v>0</v>
      </c>
      <c r="AJ14" s="523">
        <f ca="1">IF(AND($D14="Serviço",AJ$12&lt;&gt;0,$H14&gt;0,OR(AUTOEVENTO&lt;&gt;"manual",$M14&lt;&gt;1)),
IF(Import.TipoArredondamento&lt;&gt;"TransfereGOV",
ROUND(OFFSET($P14,0,AJ$13),15-13*ORÇAMENTO!$AF$7)/$H14*OFFSET(ORÇAMENTO!$X$15,ROW(AJ14)-ROW(AJ$15),0),
ROUND(ROUND(OFFSET($P14,0,AJ$13),15-13*ORÇAMENTO!$AF$7)*OFFSET(ORÇAMENTO!$W$15,ROW(AJ14)-ROW(AJ$15),0),15-13*ORÇAMENTO!$AF$11)),0)</f>
        <v>0</v>
      </c>
      <c r="AK14" s="524">
        <f ca="1">IF(AND($D14="Serviço",AK$12&lt;&gt;0,$H14&gt;0,OR(AUTOEVENTO&lt;&gt;"manual",$M14&lt;&gt;1)),
IF(Import.TipoArredondamento&lt;&gt;"TransfereGOV",
ROUND(OFFSET($P14,0,AK$13),15-13*ORÇAMENTO!$AF$7)/$H14*OFFSET(ORÇAMENTO!$X$15,ROW(AK14)-ROW(AK$15),0),
ROUND(ROUND(OFFSET($P14,0,AK$13),15-13*ORÇAMENTO!$AF$7)*OFFSET(ORÇAMENTO!$W$15,ROW(AK14)-ROW(AK$15),0),15-13*ORÇAMENTO!$AF$11)),0)</f>
        <v>0</v>
      </c>
      <c r="AM14" s="181" t="e">
        <f ca="1">IF($D14&lt;&gt;"Serviço",0,IF(AND(AUTOEVENTO="Manual",$M14=1),0,IF(OFFSET(CRONOPLE!$F$14,$M14,AM$13)="",10^12,OFFSET(CRONOPLE!$F$14,$M14,AM$13))))</f>
        <v>#VALUE!</v>
      </c>
      <c r="AN14" s="181" t="e">
        <f ca="1">IF($D14&lt;&gt;"Serviço",0,IF(AND(AUTOEVENTO="Manual",$M14=1),0,IF(OFFSET(CRONOPLE!$F$14,$M14,AN$13)="",10^12,OFFSET(CRONOPLE!$F$14,$M14,AN$13))))</f>
        <v>#VALUE!</v>
      </c>
      <c r="AO14" s="181" t="e">
        <f ca="1">IF($D14&lt;&gt;"Serviço",0,IF(AND(AUTOEVENTO="Manual",$M14=1),0,IF(OFFSET(CRONOPLE!$F$14,$M14,AO$13)="",10^12,OFFSET(CRONOPLE!$F$14,$M14,AO$13))))</f>
        <v>#VALUE!</v>
      </c>
      <c r="AP14" s="181" t="e">
        <f ca="1">IF($D14&lt;&gt;"Serviço",0,IF(AND(AUTOEVENTO="Manual",$M14=1),0,IF(OFFSET(CRONOPLE!$F$14,$M14,AP$13)="",10^12,OFFSET(CRONOPLE!$F$14,$M14,AP$13))))</f>
        <v>#VALUE!</v>
      </c>
      <c r="AQ14" s="181" t="e">
        <f ca="1">IF($D14&lt;&gt;"Serviço",0,IF(AND(AUTOEVENTO="Manual",$M14=1),0,IF(OFFSET(CRONOPLE!$F$14,$M14,AQ$13)="",10^12,OFFSET(CRONOPLE!$F$14,$M14,AQ$13))))</f>
        <v>#VALUE!</v>
      </c>
      <c r="AR14" s="181" t="e">
        <f ca="1">IF($D14&lt;&gt;"Serviço",0,IF(AND(AUTOEVENTO="Manual",$M14=1),0,IF(OFFSET(CRONOPLE!$F$14,$M14,AR$13)="",10^12,OFFSET(CRONOPLE!$F$14,$M14,AR$13))))</f>
        <v>#VALUE!</v>
      </c>
      <c r="AS14" s="181" t="e">
        <f ca="1">IF($D14&lt;&gt;"Serviço",0,IF(AND(AUTOEVENTO="Manual",$M14=1),0,IF(OFFSET(CRONOPLE!$F$14,$M14,AS$13)="",10^12,OFFSET(CRONOPLE!$F$14,$M14,AS$13))))</f>
        <v>#VALUE!</v>
      </c>
      <c r="AT14" s="181" t="e">
        <f ca="1">IF($D14&lt;&gt;"Serviço",0,IF(AND(AUTOEVENTO="Manual",$M14=1),0,IF(OFFSET(CRONOPLE!$F$14,$M14,AT$13)="",10^12,OFFSET(CRONOPLE!$F$14,$M14,AT$13))))</f>
        <v>#VALUE!</v>
      </c>
      <c r="AU14" s="181" t="e">
        <f ca="1">IF($D14&lt;&gt;"Serviço",0,IF(AND(AUTOEVENTO="Manual",$M14=1),0,IF(OFFSET(CRONOPLE!$F$14,$M14,AU$13)="",10^12,OFFSET(CRONOPLE!$F$14,$M14,AU$13))))</f>
        <v>#VALUE!</v>
      </c>
      <c r="AV14" s="181" t="e">
        <f ca="1">IF($D14&lt;&gt;"Serviço",0,IF(AND(AUTOEVENTO="Manual",$M14=1),0,IF(OFFSET(CRONOPLE!$F$14,$M14,AV$13)="",10^12,OFFSET(CRONOPLE!$F$14,$M14,AV$13))))</f>
        <v>#VALUE!</v>
      </c>
      <c r="AX14" s="182">
        <f ca="1">IF($D14&lt;&gt;"Serviço",0,IF(OR(AND(AUTOEVENTO="Manual",$M14=1),$M14&gt;(ROW(PLE.lastrow)-ROW(PLE.firstrow))),0,IF(OFFSET(PLE!$G$14,$M14,AX$13)="",10^12,OFFSET(PLE!$G$14,$M14,AX$13))))</f>
        <v>0</v>
      </c>
      <c r="AY14" s="182">
        <f ca="1">IF($D14&lt;&gt;"Serviço",0,IF(OR(AND(AUTOEVENTO="Manual",$M14=1),$M14&gt;(ROW(PLE.lastrow)-ROW(PLE.firstrow))),0,IF(OFFSET(PLE!$G$14,$M14,AY$13)="",10^12,OFFSET(PLE!$G$14,$M14,AY$13))))</f>
        <v>0</v>
      </c>
      <c r="AZ14" s="182">
        <f ca="1">IF($D14&lt;&gt;"Serviço",0,IF(OR(AND(AUTOEVENTO="Manual",$M14=1),$M14&gt;(ROW(PLE.lastrow)-ROW(PLE.firstrow))),0,IF(OFFSET(PLE!$G$14,$M14,AZ$13)="",10^12,OFFSET(PLE!$G$14,$M14,AZ$13))))</f>
        <v>0</v>
      </c>
      <c r="BA14" s="182">
        <f ca="1">IF($D14&lt;&gt;"Serviço",0,IF(OR(AND(AUTOEVENTO="Manual",$M14=1),$M14&gt;(ROW(PLE.lastrow)-ROW(PLE.firstrow))),0,IF(OFFSET(PLE!$G$14,$M14,BA$13)="",10^12,OFFSET(PLE!$G$14,$M14,BA$13))))</f>
        <v>0</v>
      </c>
      <c r="BB14" s="182">
        <f ca="1">IF($D14&lt;&gt;"Serviço",0,IF(OR(AND(AUTOEVENTO="Manual",$M14=1),$M14&gt;(ROW(PLE.lastrow)-ROW(PLE.firstrow))),0,IF(OFFSET(PLE!$G$14,$M14,BB$13)="",10^12,OFFSET(PLE!$G$14,$M14,BB$13))))</f>
        <v>0</v>
      </c>
      <c r="BC14" s="182">
        <f ca="1">IF($D14&lt;&gt;"Serviço",0,IF(OR(AND(AUTOEVENTO="Manual",$M14=1),$M14&gt;(ROW(PLE.lastrow)-ROW(PLE.firstrow))),0,IF(OFFSET(PLE!$G$14,$M14,BC$13)="",10^12,OFFSET(PLE!$G$14,$M14,BC$13))))</f>
        <v>0</v>
      </c>
      <c r="BD14" s="182">
        <f ca="1">IF($D14&lt;&gt;"Serviço",0,IF(OR(AND(AUTOEVENTO="Manual",$M14=1),$M14&gt;(ROW(PLE.lastrow)-ROW(PLE.firstrow))),0,IF(OFFSET(PLE!$G$14,$M14,BD$13)="",10^12,OFFSET(PLE!$G$14,$M14,BD$13))))</f>
        <v>0</v>
      </c>
      <c r="BE14" s="182">
        <f ca="1">IF($D14&lt;&gt;"Serviço",0,IF(OR(AND(AUTOEVENTO="Manual",$M14=1),$M14&gt;(ROW(PLE.lastrow)-ROW(PLE.firstrow))),0,IF(OFFSET(PLE!$G$14,$M14,BE$13)="",10^12,OFFSET(PLE!$G$14,$M14,BE$13))))</f>
        <v>0</v>
      </c>
      <c r="BF14" s="182">
        <f ca="1">IF($D14&lt;&gt;"Serviço",0,IF(OR(AND(AUTOEVENTO="Manual",$M14=1),$M14&gt;(ROW(PLE.lastrow)-ROW(PLE.firstrow))),0,IF(OFFSET(PLE!$G$14,$M14,BF$13)="",10^12,OFFSET(PLE!$G$14,$M14,BF$13))))</f>
        <v>0</v>
      </c>
      <c r="BG14" s="182">
        <f ca="1">IF($D14&lt;&gt;"Serviço",0,IF(OR(AND(AUTOEVENTO="Manual",$M14=1),$M14&gt;(ROW(PLE.lastrow)-ROW(PLE.firstrow))),0,IF(OFFSET(PLE!$G$14,$M14,BG$13)="",10^12,OFFSET(PLE!$G$14,$M14,BG$13))))</f>
        <v>0</v>
      </c>
    </row>
    <row r="15" spans="1:59" ht="12.75" customHeight="1" x14ac:dyDescent="0.2">
      <c r="B15" s="7" t="str">
        <f ca="1">OFFSET(ORÇAMENTO!C$15,ROW(B15)-ROW(B$15),0)</f>
        <v>L</v>
      </c>
      <c r="C15" s="7" t="str">
        <f ca="1">OFFSET(ORÇAMENTO!L$15,ROW(C15)-ROW(C$15),0)</f>
        <v>F</v>
      </c>
      <c r="D15" s="132" t="str">
        <f>IF(TIPOORCAMENTO="LICITADO","CTEF","LOTE")</f>
        <v>CTEF</v>
      </c>
      <c r="E15" s="656" t="str">
        <f>Import.DescLote</f>
        <v>PAVIMENTAÇÃO ASFÁLTICA</v>
      </c>
      <c r="F15" s="656"/>
      <c r="G15" s="656"/>
      <c r="H15" s="656"/>
      <c r="I15" s="540"/>
      <c r="K15" s="183"/>
      <c r="L15" s="175" t="s">
        <v>254</v>
      </c>
      <c r="M15" s="184">
        <f ca="1">IF(AUTOEVENTO="MANUAL",0,1)</f>
        <v>1</v>
      </c>
      <c r="N15" s="185" t="s">
        <v>262</v>
      </c>
      <c r="O15" s="186" t="e">
        <f ca="1">OFFSET($AA$15,0,O$13)</f>
        <v>#VALUE!</v>
      </c>
      <c r="Q15" s="187">
        <f t="shared" ref="Q15:Z15" ca="1" si="5">OFFSET($AA$15,0,Q$13)</f>
        <v>0</v>
      </c>
      <c r="R15" s="186">
        <f t="shared" ca="1" si="5"/>
        <v>0</v>
      </c>
      <c r="S15" s="186">
        <f t="shared" ca="1" si="5"/>
        <v>0</v>
      </c>
      <c r="T15" s="186">
        <f t="shared" ca="1" si="5"/>
        <v>0</v>
      </c>
      <c r="U15" s="186">
        <f t="shared" ca="1" si="5"/>
        <v>0</v>
      </c>
      <c r="V15" s="186">
        <f t="shared" ca="1" si="5"/>
        <v>0</v>
      </c>
      <c r="W15" s="186">
        <f t="shared" ca="1" si="5"/>
        <v>0</v>
      </c>
      <c r="X15" s="186">
        <f t="shared" ca="1" si="5"/>
        <v>0</v>
      </c>
      <c r="Y15" s="186">
        <f t="shared" ca="1" si="5"/>
        <v>0</v>
      </c>
      <c r="Z15" s="188">
        <f t="shared" ca="1" si="5"/>
        <v>0</v>
      </c>
      <c r="AB15" s="189">
        <f ca="1">ROUND(SUM(OFFSET(AB$15,1,0):AB$51),2)</f>
        <v>0</v>
      </c>
      <c r="AC15" s="189">
        <f ca="1">SUM(OFFSET(AC$15,1,0):AC$51)</f>
        <v>0</v>
      </c>
      <c r="AD15" s="189">
        <f ca="1">SUM(OFFSET(AD$15,1,0):AD$51)</f>
        <v>0</v>
      </c>
      <c r="AE15" s="189">
        <f ca="1">SUM(OFFSET(AE$15,1,0):AE$51)</f>
        <v>0</v>
      </c>
      <c r="AF15" s="189">
        <f ca="1">SUM(OFFSET(AF$15,1,0):AF$51)</f>
        <v>0</v>
      </c>
      <c r="AG15" s="189">
        <f ca="1">SUM(OFFSET(AG$15,1,0):AG$51)</f>
        <v>0</v>
      </c>
      <c r="AH15" s="189">
        <f ca="1">SUM(OFFSET(AH$15,1,0):AH$51)</f>
        <v>0</v>
      </c>
      <c r="AI15" s="189">
        <f ca="1">SUM(OFFSET(AI$15,1,0):AI$51)</f>
        <v>0</v>
      </c>
      <c r="AJ15" s="189">
        <f ca="1">SUM(OFFSET(AJ$15,1,0):AJ$51)</f>
        <v>0</v>
      </c>
      <c r="AK15" s="189">
        <f ca="1">SUM(OFFSET(AK$15,1,0):AK$51)</f>
        <v>0</v>
      </c>
      <c r="AM15" s="190">
        <f>10^12</f>
        <v>1000000000000</v>
      </c>
      <c r="AN15" s="190">
        <f t="shared" ref="AN15:AV15" si="6">10^12</f>
        <v>1000000000000</v>
      </c>
      <c r="AO15" s="190">
        <f t="shared" si="6"/>
        <v>1000000000000</v>
      </c>
      <c r="AP15" s="190">
        <f t="shared" si="6"/>
        <v>1000000000000</v>
      </c>
      <c r="AQ15" s="190">
        <f t="shared" si="6"/>
        <v>1000000000000</v>
      </c>
      <c r="AR15" s="190">
        <f t="shared" si="6"/>
        <v>1000000000000</v>
      </c>
      <c r="AS15" s="190">
        <f t="shared" si="6"/>
        <v>1000000000000</v>
      </c>
      <c r="AT15" s="190">
        <f t="shared" si="6"/>
        <v>1000000000000</v>
      </c>
      <c r="AU15" s="190">
        <f t="shared" si="6"/>
        <v>1000000000000</v>
      </c>
      <c r="AV15" s="190">
        <f t="shared" si="6"/>
        <v>1000000000000</v>
      </c>
      <c r="AX15" s="190">
        <f t="shared" ref="AX15:BG15" si="7">10^12</f>
        <v>1000000000000</v>
      </c>
      <c r="AY15" s="190">
        <f t="shared" si="7"/>
        <v>1000000000000</v>
      </c>
      <c r="AZ15" s="190">
        <f t="shared" si="7"/>
        <v>1000000000000</v>
      </c>
      <c r="BA15" s="190">
        <f t="shared" si="7"/>
        <v>1000000000000</v>
      </c>
      <c r="BB15" s="190">
        <f t="shared" si="7"/>
        <v>1000000000000</v>
      </c>
      <c r="BC15" s="190">
        <f t="shared" si="7"/>
        <v>1000000000000</v>
      </c>
      <c r="BD15" s="190">
        <f t="shared" si="7"/>
        <v>1000000000000</v>
      </c>
      <c r="BE15" s="190">
        <f t="shared" si="7"/>
        <v>1000000000000</v>
      </c>
      <c r="BF15" s="190">
        <f t="shared" si="7"/>
        <v>1000000000000</v>
      </c>
      <c r="BG15" s="190">
        <f t="shared" si="7"/>
        <v>1000000000000</v>
      </c>
    </row>
    <row r="16" spans="1:59" ht="12.75" x14ac:dyDescent="0.2">
      <c r="A16" s="7" t="str">
        <f t="shared" ref="A16" ca="1" si="8">IF(AUTOEVENTO="Manual",IF(K16&lt;&gt;"",MIN(VALUE(LEFT(K16,FIND(".",K16)-1)),COUNTA(EVENTOS.Lista)),0),IF(OR($B16&gt;AUTOEVENTO,$B16="S",$B16=0),SUBSTITUTE(OFFSET($A16,-1,0),IF($D16="Serviço",".",""),""),ROW(A16)-ROW($A$15)&amp;"."))</f>
        <v>1.</v>
      </c>
      <c r="B16" s="7">
        <f ca="1">OFFSET(ORÇAMENTO!C$15,ROW(B16)-ROW(B$15),0)</f>
        <v>1</v>
      </c>
      <c r="C16" s="7" t="str">
        <f ca="1">OFFSET(ORÇAMENTO!L$15,ROW(C16)-ROW(C$15),0)</f>
        <v>F</v>
      </c>
      <c r="D16" s="118" t="str">
        <f ca="1">OFFSET(ORÇAMENTO!N$15,ROW(D16)-ROW(D$15),0)</f>
        <v>Meta</v>
      </c>
      <c r="E16" s="119" t="str">
        <f ca="1">OFFSET(ORÇAMENTO!O$15,ROW(E16)-ROW(E$15),0)</f>
        <v>1.</v>
      </c>
      <c r="F16" s="172" t="str">
        <f ca="1">OFFSET(ORÇAMENTO!R$15,ROW(F16)-ROW(F$15),0)</f>
        <v>RUA MIGUEL A DA ROLT</v>
      </c>
      <c r="G16" s="173" t="str">
        <f ca="1">IF($D16&lt;&gt;"Serviço","",OFFSET(ORÇAMENTO!S$15,ROW(G16)-ROW(G$15),0))</f>
        <v/>
      </c>
      <c r="H16" s="124">
        <f ca="1">IF($D16&lt;&gt;"Serviço",0,IF(ACOMPANHAMENTO="BM",ROUND(OFFSET(ORÇAMENTO!AJ$15,ROW(H16)-ROW(H$15),0),15-13*ORÇAMENTO!$AF$7),SUMPRODUCT(($Q$12:$AA$12&lt;&gt;"")*ROUND($Q16:$AA16,15-13*ORÇAMENTO!$AF$7))))</f>
        <v>0</v>
      </c>
      <c r="I16" s="539"/>
      <c r="K16" s="174"/>
      <c r="L16" s="175" t="s">
        <v>254</v>
      </c>
      <c r="M16" s="176" t="str">
        <f ca="1">IF($D16&lt;&gt;"Serviço","",IF(AUTOEVENTO="manual",$A16,IF(ISERROR(MATCH($A16,$A$15:OFFSET($A16,-1,0),0)),MAX($M$15:OFFSET(M16,-1,0))+1,INDEX($M$15:OFFSET(M16,-1,0),MATCH($A16,$A$15:OFFSET($A16,-1,0),0)))))</f>
        <v/>
      </c>
      <c r="N16" s="177" t="str">
        <f ca="1">IF($D16&lt;&gt;"Serviço","",IF(AUTOEVENTO="Manual",IF($A16=0,"&lt;-- defina o número do agrupador",OFFSET(EVENTOS!$D$14,$A16,0)),OFFSET($F$15,$A16,0)))</f>
        <v/>
      </c>
      <c r="O16" s="178"/>
      <c r="Q16" s="178">
        <v>0</v>
      </c>
      <c r="R16" s="179"/>
      <c r="S16" s="179"/>
      <c r="T16" s="179"/>
      <c r="U16" s="179"/>
      <c r="V16" s="179"/>
      <c r="W16" s="179"/>
      <c r="X16" s="179"/>
      <c r="Y16" s="179"/>
      <c r="Z16" s="180"/>
      <c r="AB16" s="522">
        <f ca="1">IF(AND($D16="Serviço",AB$12&lt;&gt;0,$H16&gt;0,OR(AUTOEVENTO&lt;&gt;"manual",$M16&lt;&gt;1)),
IF(Import.TipoArredondamento&lt;&gt;"TransfereGOV",
ROUND(OFFSET($P16,0,AB$13),15-13*ORÇAMENTO!$AF$7)/$H16*OFFSET(ORÇAMENTO!$X$15,ROW(AB16)-ROW(AB$15),0),
ROUND(ROUND(OFFSET($P16,0,AB$13),15-13*ORÇAMENTO!$AF$7)*OFFSET(ORÇAMENTO!$W$15,ROW(AB16)-ROW(AB$15),0),15-13*ORÇAMENTO!$AF$11)),0)</f>
        <v>0</v>
      </c>
      <c r="AC16" s="523">
        <f ca="1">IF(AND($D16="Serviço",AC$12&lt;&gt;0,$H16&gt;0,OR(AUTOEVENTO&lt;&gt;"manual",$M16&lt;&gt;1)),
IF(Import.TipoArredondamento&lt;&gt;"TransfereGOV",
ROUND(OFFSET($P16,0,AC$13),15-13*ORÇAMENTO!$AF$7)/$H16*OFFSET(ORÇAMENTO!$X$15,ROW(AC16)-ROW(AC$15),0),
ROUND(ROUND(OFFSET($P16,0,AC$13),15-13*ORÇAMENTO!$AF$7)*OFFSET(ORÇAMENTO!$W$15,ROW(AC16)-ROW(AC$15),0),15-13*ORÇAMENTO!$AF$11)),0)</f>
        <v>0</v>
      </c>
      <c r="AD16" s="523">
        <f ca="1">IF(AND($D16="Serviço",AD$12&lt;&gt;0,$H16&gt;0,OR(AUTOEVENTO&lt;&gt;"manual",$M16&lt;&gt;1)),
IF(Import.TipoArredondamento&lt;&gt;"TransfereGOV",
ROUND(OFFSET($P16,0,AD$13),15-13*ORÇAMENTO!$AF$7)/$H16*OFFSET(ORÇAMENTO!$X$15,ROW(AD16)-ROW(AD$15),0),
ROUND(ROUND(OFFSET($P16,0,AD$13),15-13*ORÇAMENTO!$AF$7)*OFFSET(ORÇAMENTO!$W$15,ROW(AD16)-ROW(AD$15),0),15-13*ORÇAMENTO!$AF$11)),0)</f>
        <v>0</v>
      </c>
      <c r="AE16" s="523">
        <f ca="1">IF(AND($D16="Serviço",AE$12&lt;&gt;0,$H16&gt;0,OR(AUTOEVENTO&lt;&gt;"manual",$M16&lt;&gt;1)),
IF(Import.TipoArredondamento&lt;&gt;"TransfereGOV",
ROUND(OFFSET($P16,0,AE$13),15-13*ORÇAMENTO!$AF$7)/$H16*OFFSET(ORÇAMENTO!$X$15,ROW(AE16)-ROW(AE$15),0),
ROUND(ROUND(OFFSET($P16,0,AE$13),15-13*ORÇAMENTO!$AF$7)*OFFSET(ORÇAMENTO!$W$15,ROW(AE16)-ROW(AE$15),0),15-13*ORÇAMENTO!$AF$11)),0)</f>
        <v>0</v>
      </c>
      <c r="AF16" s="523">
        <f ca="1">IF(AND($D16="Serviço",AF$12&lt;&gt;0,$H16&gt;0,OR(AUTOEVENTO&lt;&gt;"manual",$M16&lt;&gt;1)),
IF(Import.TipoArredondamento&lt;&gt;"TransfereGOV",
ROUND(OFFSET($P16,0,AF$13),15-13*ORÇAMENTO!$AF$7)/$H16*OFFSET(ORÇAMENTO!$X$15,ROW(AF16)-ROW(AF$15),0),
ROUND(ROUND(OFFSET($P16,0,AF$13),15-13*ORÇAMENTO!$AF$7)*OFFSET(ORÇAMENTO!$W$15,ROW(AF16)-ROW(AF$15),0),15-13*ORÇAMENTO!$AF$11)),0)</f>
        <v>0</v>
      </c>
      <c r="AG16" s="523">
        <f ca="1">IF(AND($D16="Serviço",AG$12&lt;&gt;0,$H16&gt;0,OR(AUTOEVENTO&lt;&gt;"manual",$M16&lt;&gt;1)),
IF(Import.TipoArredondamento&lt;&gt;"TransfereGOV",
ROUND(OFFSET($P16,0,AG$13),15-13*ORÇAMENTO!$AF$7)/$H16*OFFSET(ORÇAMENTO!$X$15,ROW(AG16)-ROW(AG$15),0),
ROUND(ROUND(OFFSET($P16,0,AG$13),15-13*ORÇAMENTO!$AF$7)*OFFSET(ORÇAMENTO!$W$15,ROW(AG16)-ROW(AG$15),0),15-13*ORÇAMENTO!$AF$11)),0)</f>
        <v>0</v>
      </c>
      <c r="AH16" s="523">
        <f ca="1">IF(AND($D16="Serviço",AH$12&lt;&gt;0,$H16&gt;0,OR(AUTOEVENTO&lt;&gt;"manual",$M16&lt;&gt;1)),
IF(Import.TipoArredondamento&lt;&gt;"TransfereGOV",
ROUND(OFFSET($P16,0,AH$13),15-13*ORÇAMENTO!$AF$7)/$H16*OFFSET(ORÇAMENTO!$X$15,ROW(AH16)-ROW(AH$15),0),
ROUND(ROUND(OFFSET($P16,0,AH$13),15-13*ORÇAMENTO!$AF$7)*OFFSET(ORÇAMENTO!$W$15,ROW(AH16)-ROW(AH$15),0),15-13*ORÇAMENTO!$AF$11)),0)</f>
        <v>0</v>
      </c>
      <c r="AI16" s="523">
        <f ca="1">IF(AND($D16="Serviço",AI$12&lt;&gt;0,$H16&gt;0,OR(AUTOEVENTO&lt;&gt;"manual",$M16&lt;&gt;1)),
IF(Import.TipoArredondamento&lt;&gt;"TransfereGOV",
ROUND(OFFSET($P16,0,AI$13),15-13*ORÇAMENTO!$AF$7)/$H16*OFFSET(ORÇAMENTO!$X$15,ROW(AI16)-ROW(AI$15),0),
ROUND(ROUND(OFFSET($P16,0,AI$13),15-13*ORÇAMENTO!$AF$7)*OFFSET(ORÇAMENTO!$W$15,ROW(AI16)-ROW(AI$15),0),15-13*ORÇAMENTO!$AF$11)),0)</f>
        <v>0</v>
      </c>
      <c r="AJ16" s="523">
        <f ca="1">IF(AND($D16="Serviço",AJ$12&lt;&gt;0,$H16&gt;0,OR(AUTOEVENTO&lt;&gt;"manual",$M16&lt;&gt;1)),
IF(Import.TipoArredondamento&lt;&gt;"TransfereGOV",
ROUND(OFFSET($P16,0,AJ$13),15-13*ORÇAMENTO!$AF$7)/$H16*OFFSET(ORÇAMENTO!$X$15,ROW(AJ16)-ROW(AJ$15),0),
ROUND(ROUND(OFFSET($P16,0,AJ$13),15-13*ORÇAMENTO!$AF$7)*OFFSET(ORÇAMENTO!$W$15,ROW(AJ16)-ROW(AJ$15),0),15-13*ORÇAMENTO!$AF$11)),0)</f>
        <v>0</v>
      </c>
      <c r="AK16" s="524">
        <f ca="1">IF(AND($D16="Serviço",AK$12&lt;&gt;0,$H16&gt;0,OR(AUTOEVENTO&lt;&gt;"manual",$M16&lt;&gt;1)),
IF(Import.TipoArredondamento&lt;&gt;"TransfereGOV",
ROUND(OFFSET($P16,0,AK$13),15-13*ORÇAMENTO!$AF$7)/$H16*OFFSET(ORÇAMENTO!$X$15,ROW(AK16)-ROW(AK$15),0),
ROUND(ROUND(OFFSET($P16,0,AK$13),15-13*ORÇAMENTO!$AF$7)*OFFSET(ORÇAMENTO!$W$15,ROW(AK16)-ROW(AK$15),0),15-13*ORÇAMENTO!$AF$11)),0)</f>
        <v>0</v>
      </c>
      <c r="AM16" s="181">
        <f ca="1">IF($D16&lt;&gt;"Serviço",0,IF(AND(AUTOEVENTO="Manual",$M16=1),0,IF(OFFSET(CRONOPLE!$F$14,$M16,AM$13)="",10^12,OFFSET(CRONOPLE!$F$14,$M16,AM$13))))</f>
        <v>0</v>
      </c>
      <c r="AN16" s="181">
        <f ca="1">IF($D16&lt;&gt;"Serviço",0,IF(AND(AUTOEVENTO="Manual",$M16=1),0,IF(OFFSET(CRONOPLE!$F$14,$M16,AN$13)="",10^12,OFFSET(CRONOPLE!$F$14,$M16,AN$13))))</f>
        <v>0</v>
      </c>
      <c r="AO16" s="181">
        <f ca="1">IF($D16&lt;&gt;"Serviço",0,IF(AND(AUTOEVENTO="Manual",$M16=1),0,IF(OFFSET(CRONOPLE!$F$14,$M16,AO$13)="",10^12,OFFSET(CRONOPLE!$F$14,$M16,AO$13))))</f>
        <v>0</v>
      </c>
      <c r="AP16" s="181">
        <f ca="1">IF($D16&lt;&gt;"Serviço",0,IF(AND(AUTOEVENTO="Manual",$M16=1),0,IF(OFFSET(CRONOPLE!$F$14,$M16,AP$13)="",10^12,OFFSET(CRONOPLE!$F$14,$M16,AP$13))))</f>
        <v>0</v>
      </c>
      <c r="AQ16" s="181">
        <f ca="1">IF($D16&lt;&gt;"Serviço",0,IF(AND(AUTOEVENTO="Manual",$M16=1),0,IF(OFFSET(CRONOPLE!$F$14,$M16,AQ$13)="",10^12,OFFSET(CRONOPLE!$F$14,$M16,AQ$13))))</f>
        <v>0</v>
      </c>
      <c r="AR16" s="181">
        <f ca="1">IF($D16&lt;&gt;"Serviço",0,IF(AND(AUTOEVENTO="Manual",$M16=1),0,IF(OFFSET(CRONOPLE!$F$14,$M16,AR$13)="",10^12,OFFSET(CRONOPLE!$F$14,$M16,AR$13))))</f>
        <v>0</v>
      </c>
      <c r="AS16" s="181">
        <f ca="1">IF($D16&lt;&gt;"Serviço",0,IF(AND(AUTOEVENTO="Manual",$M16=1),0,IF(OFFSET(CRONOPLE!$F$14,$M16,AS$13)="",10^12,OFFSET(CRONOPLE!$F$14,$M16,AS$13))))</f>
        <v>0</v>
      </c>
      <c r="AT16" s="181">
        <f ca="1">IF($D16&lt;&gt;"Serviço",0,IF(AND(AUTOEVENTO="Manual",$M16=1),0,IF(OFFSET(CRONOPLE!$F$14,$M16,AT$13)="",10^12,OFFSET(CRONOPLE!$F$14,$M16,AT$13))))</f>
        <v>0</v>
      </c>
      <c r="AU16" s="181">
        <f ca="1">IF($D16&lt;&gt;"Serviço",0,IF(AND(AUTOEVENTO="Manual",$M16=1),0,IF(OFFSET(CRONOPLE!$F$14,$M16,AU$13)="",10^12,OFFSET(CRONOPLE!$F$14,$M16,AU$13))))</f>
        <v>0</v>
      </c>
      <c r="AV16" s="181">
        <f ca="1">IF($D16&lt;&gt;"Serviço",0,IF(AND(AUTOEVENTO="Manual",$M16=1),0,IF(OFFSET(CRONOPLE!$F$14,$M16,AV$13)="",10^12,OFFSET(CRONOPLE!$F$14,$M16,AV$13))))</f>
        <v>0</v>
      </c>
      <c r="AX16" s="182">
        <f ca="1">IF($D16&lt;&gt;"Serviço",0,IF(OR(AND(AUTOEVENTO="Manual",$M16=1),$M16&gt;(ROW(PLE.lastrow)-ROW(PLE.firstrow))),0,IF(OFFSET(PLE!$G$14,$M16,AX$13)="",10^12,OFFSET(PLE!$G$14,$M16,AX$13))))</f>
        <v>0</v>
      </c>
      <c r="AY16" s="182">
        <f ca="1">IF($D16&lt;&gt;"Serviço",0,IF(OR(AND(AUTOEVENTO="Manual",$M16=1),$M16&gt;(ROW(PLE.lastrow)-ROW(PLE.firstrow))),0,IF(OFFSET(PLE!$G$14,$M16,AY$13)="",10^12,OFFSET(PLE!$G$14,$M16,AY$13))))</f>
        <v>0</v>
      </c>
      <c r="AZ16" s="182">
        <f ca="1">IF($D16&lt;&gt;"Serviço",0,IF(OR(AND(AUTOEVENTO="Manual",$M16=1),$M16&gt;(ROW(PLE.lastrow)-ROW(PLE.firstrow))),0,IF(OFFSET(PLE!$G$14,$M16,AZ$13)="",10^12,OFFSET(PLE!$G$14,$M16,AZ$13))))</f>
        <v>0</v>
      </c>
      <c r="BA16" s="182">
        <f ca="1">IF($D16&lt;&gt;"Serviço",0,IF(OR(AND(AUTOEVENTO="Manual",$M16=1),$M16&gt;(ROW(PLE.lastrow)-ROW(PLE.firstrow))),0,IF(OFFSET(PLE!$G$14,$M16,BA$13)="",10^12,OFFSET(PLE!$G$14,$M16,BA$13))))</f>
        <v>0</v>
      </c>
      <c r="BB16" s="182">
        <f ca="1">IF($D16&lt;&gt;"Serviço",0,IF(OR(AND(AUTOEVENTO="Manual",$M16=1),$M16&gt;(ROW(PLE.lastrow)-ROW(PLE.firstrow))),0,IF(OFFSET(PLE!$G$14,$M16,BB$13)="",10^12,OFFSET(PLE!$G$14,$M16,BB$13))))</f>
        <v>0</v>
      </c>
      <c r="BC16" s="182">
        <f ca="1">IF($D16&lt;&gt;"Serviço",0,IF(OR(AND(AUTOEVENTO="Manual",$M16=1),$M16&gt;(ROW(PLE.lastrow)-ROW(PLE.firstrow))),0,IF(OFFSET(PLE!$G$14,$M16,BC$13)="",10^12,OFFSET(PLE!$G$14,$M16,BC$13))))</f>
        <v>0</v>
      </c>
      <c r="BD16" s="182">
        <f ca="1">IF($D16&lt;&gt;"Serviço",0,IF(OR(AND(AUTOEVENTO="Manual",$M16=1),$M16&gt;(ROW(PLE.lastrow)-ROW(PLE.firstrow))),0,IF(OFFSET(PLE!$G$14,$M16,BD$13)="",10^12,OFFSET(PLE!$G$14,$M16,BD$13))))</f>
        <v>0</v>
      </c>
      <c r="BE16" s="182">
        <f ca="1">IF($D16&lt;&gt;"Serviço",0,IF(OR(AND(AUTOEVENTO="Manual",$M16=1),$M16&gt;(ROW(PLE.lastrow)-ROW(PLE.firstrow))),0,IF(OFFSET(PLE!$G$14,$M16,BE$13)="",10^12,OFFSET(PLE!$G$14,$M16,BE$13))))</f>
        <v>0</v>
      </c>
      <c r="BF16" s="182">
        <f ca="1">IF($D16&lt;&gt;"Serviço",0,IF(OR(AND(AUTOEVENTO="Manual",$M16=1),$M16&gt;(ROW(PLE.lastrow)-ROW(PLE.firstrow))),0,IF(OFFSET(PLE!$G$14,$M16,BF$13)="",10^12,OFFSET(PLE!$G$14,$M16,BF$13))))</f>
        <v>0</v>
      </c>
      <c r="BG16" s="182">
        <f ca="1">IF($D16&lt;&gt;"Serviço",0,IF(OR(AND(AUTOEVENTO="Manual",$M16=1),$M16&gt;(ROW(PLE.lastrow)-ROW(PLE.firstrow))),0,IF(OFFSET(PLE!$G$14,$M16,BG$13)="",10^12,OFFSET(PLE!$G$14,$M16,BG$13))))</f>
        <v>0</v>
      </c>
    </row>
    <row r="17" spans="1:59" ht="12.75" x14ac:dyDescent="0.2">
      <c r="A17" s="7" t="str">
        <f ca="1">IF(AUTOEVENTO="Manual",IF(K17&lt;&gt;"",MIN(VALUE(LEFT(K17,FIND(".",K17)-1)),COUNTA(EVENTOS.Lista)),0),IF(OR($B17&gt;AUTOEVENTO,$B17="S",$B17=0),SUBSTITUTE(OFFSET($A17,-1,0),IF($D17="Serviço",".",""),""),ROW(A17)-ROW($A$15)&amp;"."))</f>
        <v>2.</v>
      </c>
      <c r="B17" s="7">
        <f ca="1">OFFSET(ORÇAMENTO!C$15,ROW(B17)-ROW(B$15),0)</f>
        <v>2</v>
      </c>
      <c r="C17" s="7" t="str">
        <f ca="1">OFFSET(ORÇAMENTO!L$15,ROW(C17)-ROW(C$15),0)</f>
        <v>F</v>
      </c>
      <c r="D17" s="118" t="str">
        <f ca="1">OFFSET(ORÇAMENTO!N$15,ROW(D17)-ROW(D$15),0)</f>
        <v>Nível 2</v>
      </c>
      <c r="E17" s="119" t="str">
        <f ca="1">OFFSET(ORÇAMENTO!O$15,ROW(E17)-ROW(E$15),0)</f>
        <v>1.1.</v>
      </c>
      <c r="F17" s="172" t="str">
        <f ca="1">OFFSET(ORÇAMENTO!R$15,ROW(F17)-ROW(F$15),0)</f>
        <v>SERVIÇOS INICIAIS</v>
      </c>
      <c r="G17" s="173" t="str">
        <f ca="1">IF($D17&lt;&gt;"Serviço","",OFFSET(ORÇAMENTO!S$15,ROW(G17)-ROW(G$15),0))</f>
        <v/>
      </c>
      <c r="H17" s="124">
        <f ca="1">IF($D17&lt;&gt;"Serviço",0,IF(ACOMPANHAMENTO="BM",ROUND(OFFSET(ORÇAMENTO!AJ$15,ROW(H17)-ROW(H$15),0),15-13*ORÇAMENTO!$AF$7),SUMPRODUCT(($Q$12:$AA$12&lt;&gt;"")*ROUND($Q17:$AA17,15-13*ORÇAMENTO!$AF$7))))</f>
        <v>0</v>
      </c>
      <c r="I17" s="539"/>
      <c r="K17" s="174"/>
      <c r="L17" s="175" t="s">
        <v>254</v>
      </c>
      <c r="M17" s="176" t="str">
        <f ca="1">IF($D17&lt;&gt;"Serviço","",IF(AUTOEVENTO="manual",$A17,IF(ISERROR(MATCH($A17,$A$15:OFFSET($A17,-1,0),0)),MAX($M$15:OFFSET(M17,-1,0))+1,INDEX($M$15:OFFSET(M17,-1,0),MATCH($A17,$A$15:OFFSET($A17,-1,0),0)))))</f>
        <v/>
      </c>
      <c r="N17" s="177" t="str">
        <f ca="1">IF($D17&lt;&gt;"Serviço","",IF(AUTOEVENTO="Manual",IF($A17=0,"&lt;-- defina o número do agrupador",OFFSET(EVENTOS!$D$14,$A17,0)),OFFSET($F$15,$A17,0)))</f>
        <v/>
      </c>
      <c r="O17" s="178"/>
      <c r="Q17" s="178"/>
      <c r="R17" s="179"/>
      <c r="S17" s="179"/>
      <c r="T17" s="179"/>
      <c r="U17" s="179"/>
      <c r="V17" s="179"/>
      <c r="W17" s="179"/>
      <c r="X17" s="179"/>
      <c r="Y17" s="179"/>
      <c r="Z17" s="180"/>
      <c r="AB17" s="522">
        <f ca="1">IF(AND($D17="Serviço",AB$12&lt;&gt;0,$H17&gt;0,OR(AUTOEVENTO&lt;&gt;"manual",$M17&lt;&gt;1)),
IF(Import.TipoArredondamento&lt;&gt;"TransfereGOV",
ROUND(OFFSET($P17,0,AB$13),15-13*ORÇAMENTO!$AF$7)/$H17*OFFSET(ORÇAMENTO!$X$15,ROW(AB17)-ROW(AB$15),0),
ROUND(ROUND(OFFSET($P17,0,AB$13),15-13*ORÇAMENTO!$AF$7)*OFFSET(ORÇAMENTO!$W$15,ROW(AB17)-ROW(AB$15),0),15-13*ORÇAMENTO!$AF$11)),0)</f>
        <v>0</v>
      </c>
      <c r="AC17" s="523">
        <f ca="1">IF(AND($D17="Serviço",AC$12&lt;&gt;0,$H17&gt;0,OR(AUTOEVENTO&lt;&gt;"manual",$M17&lt;&gt;1)),
IF(Import.TipoArredondamento&lt;&gt;"TransfereGOV",
ROUND(OFFSET($P17,0,AC$13),15-13*ORÇAMENTO!$AF$7)/$H17*OFFSET(ORÇAMENTO!$X$15,ROW(AC17)-ROW(AC$15),0),
ROUND(ROUND(OFFSET($P17,0,AC$13),15-13*ORÇAMENTO!$AF$7)*OFFSET(ORÇAMENTO!$W$15,ROW(AC17)-ROW(AC$15),0),15-13*ORÇAMENTO!$AF$11)),0)</f>
        <v>0</v>
      </c>
      <c r="AD17" s="523">
        <f ca="1">IF(AND($D17="Serviço",AD$12&lt;&gt;0,$H17&gt;0,OR(AUTOEVENTO&lt;&gt;"manual",$M17&lt;&gt;1)),
IF(Import.TipoArredondamento&lt;&gt;"TransfereGOV",
ROUND(OFFSET($P17,0,AD$13),15-13*ORÇAMENTO!$AF$7)/$H17*OFFSET(ORÇAMENTO!$X$15,ROW(AD17)-ROW(AD$15),0),
ROUND(ROUND(OFFSET($P17,0,AD$13),15-13*ORÇAMENTO!$AF$7)*OFFSET(ORÇAMENTO!$W$15,ROW(AD17)-ROW(AD$15),0),15-13*ORÇAMENTO!$AF$11)),0)</f>
        <v>0</v>
      </c>
      <c r="AE17" s="523">
        <f ca="1">IF(AND($D17="Serviço",AE$12&lt;&gt;0,$H17&gt;0,OR(AUTOEVENTO&lt;&gt;"manual",$M17&lt;&gt;1)),
IF(Import.TipoArredondamento&lt;&gt;"TransfereGOV",
ROUND(OFFSET($P17,0,AE$13),15-13*ORÇAMENTO!$AF$7)/$H17*OFFSET(ORÇAMENTO!$X$15,ROW(AE17)-ROW(AE$15),0),
ROUND(ROUND(OFFSET($P17,0,AE$13),15-13*ORÇAMENTO!$AF$7)*OFFSET(ORÇAMENTO!$W$15,ROW(AE17)-ROW(AE$15),0),15-13*ORÇAMENTO!$AF$11)),0)</f>
        <v>0</v>
      </c>
      <c r="AF17" s="523">
        <f ca="1">IF(AND($D17="Serviço",AF$12&lt;&gt;0,$H17&gt;0,OR(AUTOEVENTO&lt;&gt;"manual",$M17&lt;&gt;1)),
IF(Import.TipoArredondamento&lt;&gt;"TransfereGOV",
ROUND(OFFSET($P17,0,AF$13),15-13*ORÇAMENTO!$AF$7)/$H17*OFFSET(ORÇAMENTO!$X$15,ROW(AF17)-ROW(AF$15),0),
ROUND(ROUND(OFFSET($P17,0,AF$13),15-13*ORÇAMENTO!$AF$7)*OFFSET(ORÇAMENTO!$W$15,ROW(AF17)-ROW(AF$15),0),15-13*ORÇAMENTO!$AF$11)),0)</f>
        <v>0</v>
      </c>
      <c r="AG17" s="523">
        <f ca="1">IF(AND($D17="Serviço",AG$12&lt;&gt;0,$H17&gt;0,OR(AUTOEVENTO&lt;&gt;"manual",$M17&lt;&gt;1)),
IF(Import.TipoArredondamento&lt;&gt;"TransfereGOV",
ROUND(OFFSET($P17,0,AG$13),15-13*ORÇAMENTO!$AF$7)/$H17*OFFSET(ORÇAMENTO!$X$15,ROW(AG17)-ROW(AG$15),0),
ROUND(ROUND(OFFSET($P17,0,AG$13),15-13*ORÇAMENTO!$AF$7)*OFFSET(ORÇAMENTO!$W$15,ROW(AG17)-ROW(AG$15),0),15-13*ORÇAMENTO!$AF$11)),0)</f>
        <v>0</v>
      </c>
      <c r="AH17" s="523">
        <f ca="1">IF(AND($D17="Serviço",AH$12&lt;&gt;0,$H17&gt;0,OR(AUTOEVENTO&lt;&gt;"manual",$M17&lt;&gt;1)),
IF(Import.TipoArredondamento&lt;&gt;"TransfereGOV",
ROUND(OFFSET($P17,0,AH$13),15-13*ORÇAMENTO!$AF$7)/$H17*OFFSET(ORÇAMENTO!$X$15,ROW(AH17)-ROW(AH$15),0),
ROUND(ROUND(OFFSET($P17,0,AH$13),15-13*ORÇAMENTO!$AF$7)*OFFSET(ORÇAMENTO!$W$15,ROW(AH17)-ROW(AH$15),0),15-13*ORÇAMENTO!$AF$11)),0)</f>
        <v>0</v>
      </c>
      <c r="AI17" s="523">
        <f ca="1">IF(AND($D17="Serviço",AI$12&lt;&gt;0,$H17&gt;0,OR(AUTOEVENTO&lt;&gt;"manual",$M17&lt;&gt;1)),
IF(Import.TipoArredondamento&lt;&gt;"TransfereGOV",
ROUND(OFFSET($P17,0,AI$13),15-13*ORÇAMENTO!$AF$7)/$H17*OFFSET(ORÇAMENTO!$X$15,ROW(AI17)-ROW(AI$15),0),
ROUND(ROUND(OFFSET($P17,0,AI$13),15-13*ORÇAMENTO!$AF$7)*OFFSET(ORÇAMENTO!$W$15,ROW(AI17)-ROW(AI$15),0),15-13*ORÇAMENTO!$AF$11)),0)</f>
        <v>0</v>
      </c>
      <c r="AJ17" s="523">
        <f ca="1">IF(AND($D17="Serviço",AJ$12&lt;&gt;0,$H17&gt;0,OR(AUTOEVENTO&lt;&gt;"manual",$M17&lt;&gt;1)),
IF(Import.TipoArredondamento&lt;&gt;"TransfereGOV",
ROUND(OFFSET($P17,0,AJ$13),15-13*ORÇAMENTO!$AF$7)/$H17*OFFSET(ORÇAMENTO!$X$15,ROW(AJ17)-ROW(AJ$15),0),
ROUND(ROUND(OFFSET($P17,0,AJ$13),15-13*ORÇAMENTO!$AF$7)*OFFSET(ORÇAMENTO!$W$15,ROW(AJ17)-ROW(AJ$15),0),15-13*ORÇAMENTO!$AF$11)),0)</f>
        <v>0</v>
      </c>
      <c r="AK17" s="524">
        <f ca="1">IF(AND($D17="Serviço",AK$12&lt;&gt;0,$H17&gt;0,OR(AUTOEVENTO&lt;&gt;"manual",$M17&lt;&gt;1)),
IF(Import.TipoArredondamento&lt;&gt;"TransfereGOV",
ROUND(OFFSET($P17,0,AK$13),15-13*ORÇAMENTO!$AF$7)/$H17*OFFSET(ORÇAMENTO!$X$15,ROW(AK17)-ROW(AK$15),0),
ROUND(ROUND(OFFSET($P17,0,AK$13),15-13*ORÇAMENTO!$AF$7)*OFFSET(ORÇAMENTO!$W$15,ROW(AK17)-ROW(AK$15),0),15-13*ORÇAMENTO!$AF$11)),0)</f>
        <v>0</v>
      </c>
      <c r="AM17" s="181">
        <f ca="1">IF($D17&lt;&gt;"Serviço",0,IF(AND(AUTOEVENTO="Manual",$M17=1),0,IF(OFFSET(CRONOPLE!$F$14,$M17,AM$13)="",10^12,OFFSET(CRONOPLE!$F$14,$M17,AM$13))))</f>
        <v>0</v>
      </c>
      <c r="AN17" s="181">
        <f ca="1">IF($D17&lt;&gt;"Serviço",0,IF(AND(AUTOEVENTO="Manual",$M17=1),0,IF(OFFSET(CRONOPLE!$F$14,$M17,AN$13)="",10^12,OFFSET(CRONOPLE!$F$14,$M17,AN$13))))</f>
        <v>0</v>
      </c>
      <c r="AO17" s="181">
        <f ca="1">IF($D17&lt;&gt;"Serviço",0,IF(AND(AUTOEVENTO="Manual",$M17=1),0,IF(OFFSET(CRONOPLE!$F$14,$M17,AO$13)="",10^12,OFFSET(CRONOPLE!$F$14,$M17,AO$13))))</f>
        <v>0</v>
      </c>
      <c r="AP17" s="181">
        <f ca="1">IF($D17&lt;&gt;"Serviço",0,IF(AND(AUTOEVENTO="Manual",$M17=1),0,IF(OFFSET(CRONOPLE!$F$14,$M17,AP$13)="",10^12,OFFSET(CRONOPLE!$F$14,$M17,AP$13))))</f>
        <v>0</v>
      </c>
      <c r="AQ17" s="181">
        <f ca="1">IF($D17&lt;&gt;"Serviço",0,IF(AND(AUTOEVENTO="Manual",$M17=1),0,IF(OFFSET(CRONOPLE!$F$14,$M17,AQ$13)="",10^12,OFFSET(CRONOPLE!$F$14,$M17,AQ$13))))</f>
        <v>0</v>
      </c>
      <c r="AR17" s="181">
        <f ca="1">IF($D17&lt;&gt;"Serviço",0,IF(AND(AUTOEVENTO="Manual",$M17=1),0,IF(OFFSET(CRONOPLE!$F$14,$M17,AR$13)="",10^12,OFFSET(CRONOPLE!$F$14,$M17,AR$13))))</f>
        <v>0</v>
      </c>
      <c r="AS17" s="181">
        <f ca="1">IF($D17&lt;&gt;"Serviço",0,IF(AND(AUTOEVENTO="Manual",$M17=1),0,IF(OFFSET(CRONOPLE!$F$14,$M17,AS$13)="",10^12,OFFSET(CRONOPLE!$F$14,$M17,AS$13))))</f>
        <v>0</v>
      </c>
      <c r="AT17" s="181">
        <f ca="1">IF($D17&lt;&gt;"Serviço",0,IF(AND(AUTOEVENTO="Manual",$M17=1),0,IF(OFFSET(CRONOPLE!$F$14,$M17,AT$13)="",10^12,OFFSET(CRONOPLE!$F$14,$M17,AT$13))))</f>
        <v>0</v>
      </c>
      <c r="AU17" s="181">
        <f ca="1">IF($D17&lt;&gt;"Serviço",0,IF(AND(AUTOEVENTO="Manual",$M17=1),0,IF(OFFSET(CRONOPLE!$F$14,$M17,AU$13)="",10^12,OFFSET(CRONOPLE!$F$14,$M17,AU$13))))</f>
        <v>0</v>
      </c>
      <c r="AV17" s="181">
        <f ca="1">IF($D17&lt;&gt;"Serviço",0,IF(AND(AUTOEVENTO="Manual",$M17=1),0,IF(OFFSET(CRONOPLE!$F$14,$M17,AV$13)="",10^12,OFFSET(CRONOPLE!$F$14,$M17,AV$13))))</f>
        <v>0</v>
      </c>
      <c r="AX17" s="182">
        <f ca="1">IF($D17&lt;&gt;"Serviço",0,IF(OR(AND(AUTOEVENTO="Manual",$M17=1),$M17&gt;(ROW(PLE.lastrow)-ROW(PLE.firstrow))),0,IF(OFFSET(PLE!$G$14,$M17,AX$13)="",10^12,OFFSET(PLE!$G$14,$M17,AX$13))))</f>
        <v>0</v>
      </c>
      <c r="AY17" s="182">
        <f ca="1">IF($D17&lt;&gt;"Serviço",0,IF(OR(AND(AUTOEVENTO="Manual",$M17=1),$M17&gt;(ROW(PLE.lastrow)-ROW(PLE.firstrow))),0,IF(OFFSET(PLE!$G$14,$M17,AY$13)="",10^12,OFFSET(PLE!$G$14,$M17,AY$13))))</f>
        <v>0</v>
      </c>
      <c r="AZ17" s="182">
        <f ca="1">IF($D17&lt;&gt;"Serviço",0,IF(OR(AND(AUTOEVENTO="Manual",$M17=1),$M17&gt;(ROW(PLE.lastrow)-ROW(PLE.firstrow))),0,IF(OFFSET(PLE!$G$14,$M17,AZ$13)="",10^12,OFFSET(PLE!$G$14,$M17,AZ$13))))</f>
        <v>0</v>
      </c>
      <c r="BA17" s="182">
        <f ca="1">IF($D17&lt;&gt;"Serviço",0,IF(OR(AND(AUTOEVENTO="Manual",$M17=1),$M17&gt;(ROW(PLE.lastrow)-ROW(PLE.firstrow))),0,IF(OFFSET(PLE!$G$14,$M17,BA$13)="",10^12,OFFSET(PLE!$G$14,$M17,BA$13))))</f>
        <v>0</v>
      </c>
      <c r="BB17" s="182">
        <f ca="1">IF($D17&lt;&gt;"Serviço",0,IF(OR(AND(AUTOEVENTO="Manual",$M17=1),$M17&gt;(ROW(PLE.lastrow)-ROW(PLE.firstrow))),0,IF(OFFSET(PLE!$G$14,$M17,BB$13)="",10^12,OFFSET(PLE!$G$14,$M17,BB$13))))</f>
        <v>0</v>
      </c>
      <c r="BC17" s="182">
        <f ca="1">IF($D17&lt;&gt;"Serviço",0,IF(OR(AND(AUTOEVENTO="Manual",$M17=1),$M17&gt;(ROW(PLE.lastrow)-ROW(PLE.firstrow))),0,IF(OFFSET(PLE!$G$14,$M17,BC$13)="",10^12,OFFSET(PLE!$G$14,$M17,BC$13))))</f>
        <v>0</v>
      </c>
      <c r="BD17" s="182">
        <f ca="1">IF($D17&lt;&gt;"Serviço",0,IF(OR(AND(AUTOEVENTO="Manual",$M17=1),$M17&gt;(ROW(PLE.lastrow)-ROW(PLE.firstrow))),0,IF(OFFSET(PLE!$G$14,$M17,BD$13)="",10^12,OFFSET(PLE!$G$14,$M17,BD$13))))</f>
        <v>0</v>
      </c>
      <c r="BE17" s="182">
        <f ca="1">IF($D17&lt;&gt;"Serviço",0,IF(OR(AND(AUTOEVENTO="Manual",$M17=1),$M17&gt;(ROW(PLE.lastrow)-ROW(PLE.firstrow))),0,IF(OFFSET(PLE!$G$14,$M17,BE$13)="",10^12,OFFSET(PLE!$G$14,$M17,BE$13))))</f>
        <v>0</v>
      </c>
      <c r="BF17" s="182">
        <f ca="1">IF($D17&lt;&gt;"Serviço",0,IF(OR(AND(AUTOEVENTO="Manual",$M17=1),$M17&gt;(ROW(PLE.lastrow)-ROW(PLE.firstrow))),0,IF(OFFSET(PLE!$G$14,$M17,BF$13)="",10^12,OFFSET(PLE!$G$14,$M17,BF$13))))</f>
        <v>0</v>
      </c>
      <c r="BG17" s="182">
        <f ca="1">IF($D17&lt;&gt;"Serviço",0,IF(OR(AND(AUTOEVENTO="Manual",$M17=1),$M17&gt;(ROW(PLE.lastrow)-ROW(PLE.firstrow))),0,IF(OFFSET(PLE!$G$14,$M17,BG$13)="",10^12,OFFSET(PLE!$G$14,$M17,BG$13))))</f>
        <v>0</v>
      </c>
    </row>
    <row r="18" spans="1:59" ht="25.5" x14ac:dyDescent="0.2">
      <c r="A18" s="7" t="str">
        <f ca="1">IF(AUTOEVENTO="Manual",IF(K18&lt;&gt;"",MIN(VALUE(LEFT(K18,FIND(".",K18)-1)),COUNTA(EVENTOS.Lista)),0),IF(OR($B18&gt;AUTOEVENTO,$B18="S",$B18=0),SUBSTITUTE(OFFSET($A18,-1,0),IF($D18="Serviço",".",""),""),ROW(A18)-ROW($A$15)&amp;"."))</f>
        <v>2</v>
      </c>
      <c r="B18" s="7" t="str">
        <f ca="1">OFFSET(ORÇAMENTO!C$15,ROW(B18)-ROW(B$15),0)</f>
        <v>S</v>
      </c>
      <c r="C18" s="7" t="str">
        <f ca="1">OFFSET(ORÇAMENTO!L$15,ROW(C18)-ROW(C$15),0)</f>
        <v/>
      </c>
      <c r="D18" s="118" t="str">
        <f ca="1">OFFSET(ORÇAMENTO!N$15,ROW(D18)-ROW(D$15),0)</f>
        <v>Serviço</v>
      </c>
      <c r="E18" s="119" t="str">
        <f ca="1">OFFSET(ORÇAMENTO!O$15,ROW(E18)-ROW(E$15),0)</f>
        <v>-</v>
      </c>
      <c r="F18" s="172" t="str">
        <f ca="1">OFFSET(ORÇAMENTO!R$15,ROW(F18)-ROW(F$15),0)</f>
        <v>(abra o arquivo 'Referência 05-Friday.xlsm)</v>
      </c>
      <c r="G18" s="173" t="str">
        <f ca="1">IF($D18&lt;&gt;"Serviço","",OFFSET(ORÇAMENTO!S$15,ROW(G18)-ROW(G$15),0))</f>
        <v>-</v>
      </c>
      <c r="H18" s="124">
        <f ca="1">IF($D18&lt;&gt;"Serviço",0,IF(ACOMPANHAMENTO="BM",ROUND(OFFSET(ORÇAMENTO!AJ$15,ROW(H18)-ROW(H$15),0),15-13*ORÇAMENTO!$AF$7),SUMPRODUCT(($Q$12:$AA$12&lt;&gt;"")*ROUND($Q18:$AA18,15-13*ORÇAMENTO!$AF$7))))</f>
        <v>4.5</v>
      </c>
      <c r="I18" s="539"/>
      <c r="K18" s="174"/>
      <c r="L18" s="175" t="s">
        <v>254</v>
      </c>
      <c r="M18" s="176">
        <f ca="1">IF($D18&lt;&gt;"Serviço","",IF(AUTOEVENTO="manual",$A18,IF(ISERROR(MATCH($A18,$A$15:OFFSET($A18,-1,0),0)),MAX($M$15:OFFSET(M18,-1,0))+1,INDEX($M$15:OFFSET(M18,-1,0),MATCH($A18,$A$15:OFFSET($A18,-1,0),0)))))</f>
        <v>2</v>
      </c>
      <c r="N18" s="177" t="str">
        <f ca="1">IF($D18&lt;&gt;"Serviço","",IF(AUTOEVENTO="Manual",IF($A18=0,"&lt;-- defina o número do agrupador",OFFSET(EVENTOS!$D$14,$A18,0)),OFFSET($F$15,$A18,0)))</f>
        <v>SERVIÇOS INICIAIS</v>
      </c>
      <c r="O18" s="178"/>
      <c r="Q18" s="178">
        <v>4.5</v>
      </c>
      <c r="R18" s="179"/>
      <c r="S18" s="179"/>
      <c r="T18" s="179"/>
      <c r="U18" s="179"/>
      <c r="V18" s="179"/>
      <c r="W18" s="179"/>
      <c r="X18" s="179"/>
      <c r="Y18" s="179"/>
      <c r="Z18" s="180"/>
      <c r="AB18" s="522">
        <f ca="1">IF(AND($D18="Serviço",AB$12&lt;&gt;0,$H18&gt;0,OR(AUTOEVENTO&lt;&gt;"manual",$M18&lt;&gt;1)),
IF(Import.TipoArredondamento&lt;&gt;"TransfereGOV",
ROUND(OFFSET($P18,0,AB$13),15-13*ORÇAMENTO!$AF$7)/$H18*OFFSET(ORÇAMENTO!$X$15,ROW(AB18)-ROW(AB$15),0),
ROUND(ROUND(OFFSET($P18,0,AB$13),15-13*ORÇAMENTO!$AF$7)*OFFSET(ORÇAMENTO!$W$15,ROW(AB18)-ROW(AB$15),0),15-13*ORÇAMENTO!$AF$11)),0)</f>
        <v>0</v>
      </c>
      <c r="AC18" s="523">
        <f ca="1">IF(AND($D18="Serviço",AC$12&lt;&gt;0,$H18&gt;0,OR(AUTOEVENTO&lt;&gt;"manual",$M18&lt;&gt;1)),
IF(Import.TipoArredondamento&lt;&gt;"TransfereGOV",
ROUND(OFFSET($P18,0,AC$13),15-13*ORÇAMENTO!$AF$7)/$H18*OFFSET(ORÇAMENTO!$X$15,ROW(AC18)-ROW(AC$15),0),
ROUND(ROUND(OFFSET($P18,0,AC$13),15-13*ORÇAMENTO!$AF$7)*OFFSET(ORÇAMENTO!$W$15,ROW(AC18)-ROW(AC$15),0),15-13*ORÇAMENTO!$AF$11)),0)</f>
        <v>0</v>
      </c>
      <c r="AD18" s="523">
        <f ca="1">IF(AND($D18="Serviço",AD$12&lt;&gt;0,$H18&gt;0,OR(AUTOEVENTO&lt;&gt;"manual",$M18&lt;&gt;1)),
IF(Import.TipoArredondamento&lt;&gt;"TransfereGOV",
ROUND(OFFSET($P18,0,AD$13),15-13*ORÇAMENTO!$AF$7)/$H18*OFFSET(ORÇAMENTO!$X$15,ROW(AD18)-ROW(AD$15),0),
ROUND(ROUND(OFFSET($P18,0,AD$13),15-13*ORÇAMENTO!$AF$7)*OFFSET(ORÇAMENTO!$W$15,ROW(AD18)-ROW(AD$15),0),15-13*ORÇAMENTO!$AF$11)),0)</f>
        <v>0</v>
      </c>
      <c r="AE18" s="523">
        <f ca="1">IF(AND($D18="Serviço",AE$12&lt;&gt;0,$H18&gt;0,OR(AUTOEVENTO&lt;&gt;"manual",$M18&lt;&gt;1)),
IF(Import.TipoArredondamento&lt;&gt;"TransfereGOV",
ROUND(OFFSET($P18,0,AE$13),15-13*ORÇAMENTO!$AF$7)/$H18*OFFSET(ORÇAMENTO!$X$15,ROW(AE18)-ROW(AE$15),0),
ROUND(ROUND(OFFSET($P18,0,AE$13),15-13*ORÇAMENTO!$AF$7)*OFFSET(ORÇAMENTO!$W$15,ROW(AE18)-ROW(AE$15),0),15-13*ORÇAMENTO!$AF$11)),0)</f>
        <v>0</v>
      </c>
      <c r="AF18" s="523">
        <f ca="1">IF(AND($D18="Serviço",AF$12&lt;&gt;0,$H18&gt;0,OR(AUTOEVENTO&lt;&gt;"manual",$M18&lt;&gt;1)),
IF(Import.TipoArredondamento&lt;&gt;"TransfereGOV",
ROUND(OFFSET($P18,0,AF$13),15-13*ORÇAMENTO!$AF$7)/$H18*OFFSET(ORÇAMENTO!$X$15,ROW(AF18)-ROW(AF$15),0),
ROUND(ROUND(OFFSET($P18,0,AF$13),15-13*ORÇAMENTO!$AF$7)*OFFSET(ORÇAMENTO!$W$15,ROW(AF18)-ROW(AF$15),0),15-13*ORÇAMENTO!$AF$11)),0)</f>
        <v>0</v>
      </c>
      <c r="AG18" s="523">
        <f ca="1">IF(AND($D18="Serviço",AG$12&lt;&gt;0,$H18&gt;0,OR(AUTOEVENTO&lt;&gt;"manual",$M18&lt;&gt;1)),
IF(Import.TipoArredondamento&lt;&gt;"TransfereGOV",
ROUND(OFFSET($P18,0,AG$13),15-13*ORÇAMENTO!$AF$7)/$H18*OFFSET(ORÇAMENTO!$X$15,ROW(AG18)-ROW(AG$15),0),
ROUND(ROUND(OFFSET($P18,0,AG$13),15-13*ORÇAMENTO!$AF$7)*OFFSET(ORÇAMENTO!$W$15,ROW(AG18)-ROW(AG$15),0),15-13*ORÇAMENTO!$AF$11)),0)</f>
        <v>0</v>
      </c>
      <c r="AH18" s="523">
        <f ca="1">IF(AND($D18="Serviço",AH$12&lt;&gt;0,$H18&gt;0,OR(AUTOEVENTO&lt;&gt;"manual",$M18&lt;&gt;1)),
IF(Import.TipoArredondamento&lt;&gt;"TransfereGOV",
ROUND(OFFSET($P18,0,AH$13),15-13*ORÇAMENTO!$AF$7)/$H18*OFFSET(ORÇAMENTO!$X$15,ROW(AH18)-ROW(AH$15),0),
ROUND(ROUND(OFFSET($P18,0,AH$13),15-13*ORÇAMENTO!$AF$7)*OFFSET(ORÇAMENTO!$W$15,ROW(AH18)-ROW(AH$15),0),15-13*ORÇAMENTO!$AF$11)),0)</f>
        <v>0</v>
      </c>
      <c r="AI18" s="523">
        <f ca="1">IF(AND($D18="Serviço",AI$12&lt;&gt;0,$H18&gt;0,OR(AUTOEVENTO&lt;&gt;"manual",$M18&lt;&gt;1)),
IF(Import.TipoArredondamento&lt;&gt;"TransfereGOV",
ROUND(OFFSET($P18,0,AI$13),15-13*ORÇAMENTO!$AF$7)/$H18*OFFSET(ORÇAMENTO!$X$15,ROW(AI18)-ROW(AI$15),0),
ROUND(ROUND(OFFSET($P18,0,AI$13),15-13*ORÇAMENTO!$AF$7)*OFFSET(ORÇAMENTO!$W$15,ROW(AI18)-ROW(AI$15),0),15-13*ORÇAMENTO!$AF$11)),0)</f>
        <v>0</v>
      </c>
      <c r="AJ18" s="523">
        <f ca="1">IF(AND($D18="Serviço",AJ$12&lt;&gt;0,$H18&gt;0,OR(AUTOEVENTO&lt;&gt;"manual",$M18&lt;&gt;1)),
IF(Import.TipoArredondamento&lt;&gt;"TransfereGOV",
ROUND(OFFSET($P18,0,AJ$13),15-13*ORÇAMENTO!$AF$7)/$H18*OFFSET(ORÇAMENTO!$X$15,ROW(AJ18)-ROW(AJ$15),0),
ROUND(ROUND(OFFSET($P18,0,AJ$13),15-13*ORÇAMENTO!$AF$7)*OFFSET(ORÇAMENTO!$W$15,ROW(AJ18)-ROW(AJ$15),0),15-13*ORÇAMENTO!$AF$11)),0)</f>
        <v>0</v>
      </c>
      <c r="AK18" s="524">
        <f ca="1">IF(AND($D18="Serviço",AK$12&lt;&gt;0,$H18&gt;0,OR(AUTOEVENTO&lt;&gt;"manual",$M18&lt;&gt;1)),
IF(Import.TipoArredondamento&lt;&gt;"TransfereGOV",
ROUND(OFFSET($P18,0,AK$13),15-13*ORÇAMENTO!$AF$7)/$H18*OFFSET(ORÇAMENTO!$X$15,ROW(AK18)-ROW(AK$15),0),
ROUND(ROUND(OFFSET($P18,0,AK$13),15-13*ORÇAMENTO!$AF$7)*OFFSET(ORÇAMENTO!$W$15,ROW(AK18)-ROW(AK$15),0),15-13*ORÇAMENTO!$AF$11)),0)</f>
        <v>0</v>
      </c>
      <c r="AM18" s="181">
        <f ca="1">IF($D18&lt;&gt;"Serviço",0,IF(AND(AUTOEVENTO="Manual",$M18=1),0,IF(OFFSET(CRONOPLE!$F$14,$M18,AM$13)="",10^12,OFFSET(CRONOPLE!$F$14,$M18,AM$13))))</f>
        <v>1</v>
      </c>
      <c r="AN18" s="181">
        <f ca="1">IF($D18&lt;&gt;"Serviço",0,IF(AND(AUTOEVENTO="Manual",$M18=1),0,IF(OFFSET(CRONOPLE!$F$14,$M18,AN$13)="",10^12,OFFSET(CRONOPLE!$F$14,$M18,AN$13))))</f>
        <v>2</v>
      </c>
      <c r="AO18" s="181">
        <f ca="1">IF($D18&lt;&gt;"Serviço",0,IF(AND(AUTOEVENTO="Manual",$M18=1),0,IF(OFFSET(CRONOPLE!$F$14,$M18,AO$13)="",10^12,OFFSET(CRONOPLE!$F$14,$M18,AO$13))))</f>
        <v>1000000000000</v>
      </c>
      <c r="AP18" s="181">
        <f ca="1">IF($D18&lt;&gt;"Serviço",0,IF(AND(AUTOEVENTO="Manual",$M18=1),0,IF(OFFSET(CRONOPLE!$F$14,$M18,AP$13)="",10^12,OFFSET(CRONOPLE!$F$14,$M18,AP$13))))</f>
        <v>1000000000000</v>
      </c>
      <c r="AQ18" s="181">
        <f ca="1">IF($D18&lt;&gt;"Serviço",0,IF(AND(AUTOEVENTO="Manual",$M18=1),0,IF(OFFSET(CRONOPLE!$F$14,$M18,AQ$13)="",10^12,OFFSET(CRONOPLE!$F$14,$M18,AQ$13))))</f>
        <v>1000000000000</v>
      </c>
      <c r="AR18" s="181">
        <f ca="1">IF($D18&lt;&gt;"Serviço",0,IF(AND(AUTOEVENTO="Manual",$M18=1),0,IF(OFFSET(CRONOPLE!$F$14,$M18,AR$13)="",10^12,OFFSET(CRONOPLE!$F$14,$M18,AR$13))))</f>
        <v>1000000000000</v>
      </c>
      <c r="AS18" s="181">
        <f ca="1">IF($D18&lt;&gt;"Serviço",0,IF(AND(AUTOEVENTO="Manual",$M18=1),0,IF(OFFSET(CRONOPLE!$F$14,$M18,AS$13)="",10^12,OFFSET(CRONOPLE!$F$14,$M18,AS$13))))</f>
        <v>1000000000000</v>
      </c>
      <c r="AT18" s="181">
        <f ca="1">IF($D18&lt;&gt;"Serviço",0,IF(AND(AUTOEVENTO="Manual",$M18=1),0,IF(OFFSET(CRONOPLE!$F$14,$M18,AT$13)="",10^12,OFFSET(CRONOPLE!$F$14,$M18,AT$13))))</f>
        <v>1000000000000</v>
      </c>
      <c r="AU18" s="181">
        <f ca="1">IF($D18&lt;&gt;"Serviço",0,IF(AND(AUTOEVENTO="Manual",$M18=1),0,IF(OFFSET(CRONOPLE!$F$14,$M18,AU$13)="",10^12,OFFSET(CRONOPLE!$F$14,$M18,AU$13))))</f>
        <v>1000000000000</v>
      </c>
      <c r="AV18" s="181">
        <f ca="1">IF($D18&lt;&gt;"Serviço",0,IF(AND(AUTOEVENTO="Manual",$M18=1),0,IF(OFFSET(CRONOPLE!$F$14,$M18,AV$13)="",10^12,OFFSET(CRONOPLE!$F$14,$M18,AV$13))))</f>
        <v>1000000000000</v>
      </c>
      <c r="AX18" s="182">
        <f ca="1">IF($D18&lt;&gt;"Serviço",0,IF(OR(AND(AUTOEVENTO="Manual",$M18=1),$M18&gt;(ROW(PLE.lastrow)-ROW(PLE.firstrow))),0,IF(OFFSET(PLE!$G$14,$M18,AX$13)="",10^12,OFFSET(PLE!$G$14,$M18,AX$13))))</f>
        <v>1000000000000</v>
      </c>
      <c r="AY18" s="182">
        <f ca="1">IF($D18&lt;&gt;"Serviço",0,IF(OR(AND(AUTOEVENTO="Manual",$M18=1),$M18&gt;(ROW(PLE.lastrow)-ROW(PLE.firstrow))),0,IF(OFFSET(PLE!$G$14,$M18,AY$13)="",10^12,OFFSET(PLE!$G$14,$M18,AY$13))))</f>
        <v>1000000000000</v>
      </c>
      <c r="AZ18" s="182">
        <f ca="1">IF($D18&lt;&gt;"Serviço",0,IF(OR(AND(AUTOEVENTO="Manual",$M18=1),$M18&gt;(ROW(PLE.lastrow)-ROW(PLE.firstrow))),0,IF(OFFSET(PLE!$G$14,$M18,AZ$13)="",10^12,OFFSET(PLE!$G$14,$M18,AZ$13))))</f>
        <v>1000000000000</v>
      </c>
      <c r="BA18" s="182">
        <f ca="1">IF($D18&lt;&gt;"Serviço",0,IF(OR(AND(AUTOEVENTO="Manual",$M18=1),$M18&gt;(ROW(PLE.lastrow)-ROW(PLE.firstrow))),0,IF(OFFSET(PLE!$G$14,$M18,BA$13)="",10^12,OFFSET(PLE!$G$14,$M18,BA$13))))</f>
        <v>1000000000000</v>
      </c>
      <c r="BB18" s="182">
        <f ca="1">IF($D18&lt;&gt;"Serviço",0,IF(OR(AND(AUTOEVENTO="Manual",$M18=1),$M18&gt;(ROW(PLE.lastrow)-ROW(PLE.firstrow))),0,IF(OFFSET(PLE!$G$14,$M18,BB$13)="",10^12,OFFSET(PLE!$G$14,$M18,BB$13))))</f>
        <v>1000000000000</v>
      </c>
      <c r="BC18" s="182">
        <f ca="1">IF($D18&lt;&gt;"Serviço",0,IF(OR(AND(AUTOEVENTO="Manual",$M18=1),$M18&gt;(ROW(PLE.lastrow)-ROW(PLE.firstrow))),0,IF(OFFSET(PLE!$G$14,$M18,BC$13)="",10^12,OFFSET(PLE!$G$14,$M18,BC$13))))</f>
        <v>1000000000000</v>
      </c>
      <c r="BD18" s="182">
        <f ca="1">IF($D18&lt;&gt;"Serviço",0,IF(OR(AND(AUTOEVENTO="Manual",$M18=1),$M18&gt;(ROW(PLE.lastrow)-ROW(PLE.firstrow))),0,IF(OFFSET(PLE!$G$14,$M18,BD$13)="",10^12,OFFSET(PLE!$G$14,$M18,BD$13))))</f>
        <v>1000000000000</v>
      </c>
      <c r="BE18" s="182">
        <f ca="1">IF($D18&lt;&gt;"Serviço",0,IF(OR(AND(AUTOEVENTO="Manual",$M18=1),$M18&gt;(ROW(PLE.lastrow)-ROW(PLE.firstrow))),0,IF(OFFSET(PLE!$G$14,$M18,BE$13)="",10^12,OFFSET(PLE!$G$14,$M18,BE$13))))</f>
        <v>1000000000000</v>
      </c>
      <c r="BF18" s="182">
        <f ca="1">IF($D18&lt;&gt;"Serviço",0,IF(OR(AND(AUTOEVENTO="Manual",$M18=1),$M18&gt;(ROW(PLE.lastrow)-ROW(PLE.firstrow))),0,IF(OFFSET(PLE!$G$14,$M18,BF$13)="",10^12,OFFSET(PLE!$G$14,$M18,BF$13))))</f>
        <v>1000000000000</v>
      </c>
      <c r="BG18" s="182">
        <f ca="1">IF($D18&lt;&gt;"Serviço",0,IF(OR(AND(AUTOEVENTO="Manual",$M18=1),$M18&gt;(ROW(PLE.lastrow)-ROW(PLE.firstrow))),0,IF(OFFSET(PLE!$G$14,$M18,BG$13)="",10^12,OFFSET(PLE!$G$14,$M18,BG$13))))</f>
        <v>1000000000000</v>
      </c>
    </row>
    <row r="19" spans="1:59" ht="12.75" x14ac:dyDescent="0.2">
      <c r="A19" s="7" t="str">
        <f ca="1">IF(AUTOEVENTO="Manual",IF(K19&lt;&gt;"",MIN(VALUE(LEFT(K19,FIND(".",K19)-1)),COUNTA(EVENTOS.Lista)),0),IF(OR($B19&gt;AUTOEVENTO,$B19="S",$B19=0),SUBSTITUTE(OFFSET($A19,-1,0),IF($D19="Serviço",".",""),""),ROW(A19)-ROW($A$15)&amp;"."))</f>
        <v>2</v>
      </c>
      <c r="B19" s="7" t="str">
        <f ca="1">OFFSET(ORÇAMENTO!C$15,ROW(B19)-ROW(B$15),0)</f>
        <v>S</v>
      </c>
      <c r="C19" s="7" t="str">
        <f ca="1">OFFSET(ORÇAMENTO!L$15,ROW(C19)-ROW(C$15),0)</f>
        <v/>
      </c>
      <c r="D19" s="118" t="str">
        <f ca="1">OFFSET(ORÇAMENTO!N$15,ROW(D19)-ROW(D$15),0)</f>
        <v>Serviço</v>
      </c>
      <c r="E19" s="119" t="str">
        <f ca="1">OFFSET(ORÇAMENTO!O$15,ROW(E19)-ROW(E$15),0)</f>
        <v>-</v>
      </c>
      <c r="F19" s="172" t="str">
        <f ca="1">OFFSET(ORÇAMENTO!R$15,ROW(F19)-ROW(F$15),0)</f>
        <v>(abra o arquivo 'Referência 05-Friday.xlsm)</v>
      </c>
      <c r="G19" s="173" t="str">
        <f ca="1">IF($D19&lt;&gt;"Serviço","",OFFSET(ORÇAMENTO!S$15,ROW(G19)-ROW(G$15),0))</f>
        <v>-</v>
      </c>
      <c r="H19" s="124">
        <f ca="1">IF($D19&lt;&gt;"Serviço",0,IF(ACOMPANHAMENTO="BM",ROUND(OFFSET(ORÇAMENTO!AJ$15,ROW(H19)-ROW(H$15),0),15-13*ORÇAMENTO!$AF$7),SUMPRODUCT(($Q$12:$AA$12&lt;&gt;"")*ROUND($Q19:$AA19,15-13*ORÇAMENTO!$AF$7))))</f>
        <v>2</v>
      </c>
      <c r="I19" s="539" t="s">
        <v>537</v>
      </c>
      <c r="K19" s="174"/>
      <c r="L19" s="175" t="s">
        <v>254</v>
      </c>
      <c r="M19" s="176">
        <f ca="1">IF($D19&lt;&gt;"Serviço","",IF(AUTOEVENTO="manual",$A19,IF(ISERROR(MATCH($A19,$A$15:OFFSET($A19,-1,0),0)),MAX($M$15:OFFSET(M19,-1,0))+1,INDEX($M$15:OFFSET(M19,-1,0),MATCH($A19,$A$15:OFFSET($A19,-1,0),0)))))</f>
        <v>2</v>
      </c>
      <c r="N19" s="177" t="str">
        <f ca="1">IF($D19&lt;&gt;"Serviço","",IF(AUTOEVENTO="Manual",IF($A19=0,"&lt;-- defina o número do agrupador",OFFSET(EVENTOS!$D$14,$A19,0)),OFFSET($F$15,$A19,0)))</f>
        <v>SERVIÇOS INICIAIS</v>
      </c>
      <c r="O19" s="178"/>
      <c r="Q19" s="178">
        <v>1</v>
      </c>
      <c r="R19" s="179">
        <v>1</v>
      </c>
      <c r="S19" s="179"/>
      <c r="T19" s="179"/>
      <c r="U19" s="179"/>
      <c r="V19" s="179"/>
      <c r="W19" s="179"/>
      <c r="X19" s="179"/>
      <c r="Y19" s="179"/>
      <c r="Z19" s="180"/>
      <c r="AB19" s="522">
        <f ca="1">IF(AND($D19="Serviço",AB$12&lt;&gt;0,$H19&gt;0,OR(AUTOEVENTO&lt;&gt;"manual",$M19&lt;&gt;1)),
IF(Import.TipoArredondamento&lt;&gt;"TransfereGOV",
ROUND(OFFSET($P19,0,AB$13),15-13*ORÇAMENTO!$AF$7)/$H19*OFFSET(ORÇAMENTO!$X$15,ROW(AB19)-ROW(AB$15),0),
ROUND(ROUND(OFFSET($P19,0,AB$13),15-13*ORÇAMENTO!$AF$7)*OFFSET(ORÇAMENTO!$W$15,ROW(AB19)-ROW(AB$15),0),15-13*ORÇAMENTO!$AF$11)),0)</f>
        <v>0</v>
      </c>
      <c r="AC19" s="523">
        <f ca="1">IF(AND($D19="Serviço",AC$12&lt;&gt;0,$H19&gt;0,OR(AUTOEVENTO&lt;&gt;"manual",$M19&lt;&gt;1)),
IF(Import.TipoArredondamento&lt;&gt;"TransfereGOV",
ROUND(OFFSET($P19,0,AC$13),15-13*ORÇAMENTO!$AF$7)/$H19*OFFSET(ORÇAMENTO!$X$15,ROW(AC19)-ROW(AC$15),0),
ROUND(ROUND(OFFSET($P19,0,AC$13),15-13*ORÇAMENTO!$AF$7)*OFFSET(ORÇAMENTO!$W$15,ROW(AC19)-ROW(AC$15),0),15-13*ORÇAMENTO!$AF$11)),0)</f>
        <v>0</v>
      </c>
      <c r="AD19" s="523">
        <f ca="1">IF(AND($D19="Serviço",AD$12&lt;&gt;0,$H19&gt;0,OR(AUTOEVENTO&lt;&gt;"manual",$M19&lt;&gt;1)),
IF(Import.TipoArredondamento&lt;&gt;"TransfereGOV",
ROUND(OFFSET($P19,0,AD$13),15-13*ORÇAMENTO!$AF$7)/$H19*OFFSET(ORÇAMENTO!$X$15,ROW(AD19)-ROW(AD$15),0),
ROUND(ROUND(OFFSET($P19,0,AD$13),15-13*ORÇAMENTO!$AF$7)*OFFSET(ORÇAMENTO!$W$15,ROW(AD19)-ROW(AD$15),0),15-13*ORÇAMENTO!$AF$11)),0)</f>
        <v>0</v>
      </c>
      <c r="AE19" s="523">
        <f ca="1">IF(AND($D19="Serviço",AE$12&lt;&gt;0,$H19&gt;0,OR(AUTOEVENTO&lt;&gt;"manual",$M19&lt;&gt;1)),
IF(Import.TipoArredondamento&lt;&gt;"TransfereGOV",
ROUND(OFFSET($P19,0,AE$13),15-13*ORÇAMENTO!$AF$7)/$H19*OFFSET(ORÇAMENTO!$X$15,ROW(AE19)-ROW(AE$15),0),
ROUND(ROUND(OFFSET($P19,0,AE$13),15-13*ORÇAMENTO!$AF$7)*OFFSET(ORÇAMENTO!$W$15,ROW(AE19)-ROW(AE$15),0),15-13*ORÇAMENTO!$AF$11)),0)</f>
        <v>0</v>
      </c>
      <c r="AF19" s="523">
        <f ca="1">IF(AND($D19="Serviço",AF$12&lt;&gt;0,$H19&gt;0,OR(AUTOEVENTO&lt;&gt;"manual",$M19&lt;&gt;1)),
IF(Import.TipoArredondamento&lt;&gt;"TransfereGOV",
ROUND(OFFSET($P19,0,AF$13),15-13*ORÇAMENTO!$AF$7)/$H19*OFFSET(ORÇAMENTO!$X$15,ROW(AF19)-ROW(AF$15),0),
ROUND(ROUND(OFFSET($P19,0,AF$13),15-13*ORÇAMENTO!$AF$7)*OFFSET(ORÇAMENTO!$W$15,ROW(AF19)-ROW(AF$15),0),15-13*ORÇAMENTO!$AF$11)),0)</f>
        <v>0</v>
      </c>
      <c r="AG19" s="523">
        <f ca="1">IF(AND($D19="Serviço",AG$12&lt;&gt;0,$H19&gt;0,OR(AUTOEVENTO&lt;&gt;"manual",$M19&lt;&gt;1)),
IF(Import.TipoArredondamento&lt;&gt;"TransfereGOV",
ROUND(OFFSET($P19,0,AG$13),15-13*ORÇAMENTO!$AF$7)/$H19*OFFSET(ORÇAMENTO!$X$15,ROW(AG19)-ROW(AG$15),0),
ROUND(ROUND(OFFSET($P19,0,AG$13),15-13*ORÇAMENTO!$AF$7)*OFFSET(ORÇAMENTO!$W$15,ROW(AG19)-ROW(AG$15),0),15-13*ORÇAMENTO!$AF$11)),0)</f>
        <v>0</v>
      </c>
      <c r="AH19" s="523">
        <f ca="1">IF(AND($D19="Serviço",AH$12&lt;&gt;0,$H19&gt;0,OR(AUTOEVENTO&lt;&gt;"manual",$M19&lt;&gt;1)),
IF(Import.TipoArredondamento&lt;&gt;"TransfereGOV",
ROUND(OFFSET($P19,0,AH$13),15-13*ORÇAMENTO!$AF$7)/$H19*OFFSET(ORÇAMENTO!$X$15,ROW(AH19)-ROW(AH$15),0),
ROUND(ROUND(OFFSET($P19,0,AH$13),15-13*ORÇAMENTO!$AF$7)*OFFSET(ORÇAMENTO!$W$15,ROW(AH19)-ROW(AH$15),0),15-13*ORÇAMENTO!$AF$11)),0)</f>
        <v>0</v>
      </c>
      <c r="AI19" s="523">
        <f ca="1">IF(AND($D19="Serviço",AI$12&lt;&gt;0,$H19&gt;0,OR(AUTOEVENTO&lt;&gt;"manual",$M19&lt;&gt;1)),
IF(Import.TipoArredondamento&lt;&gt;"TransfereGOV",
ROUND(OFFSET($P19,0,AI$13),15-13*ORÇAMENTO!$AF$7)/$H19*OFFSET(ORÇAMENTO!$X$15,ROW(AI19)-ROW(AI$15),0),
ROUND(ROUND(OFFSET($P19,0,AI$13),15-13*ORÇAMENTO!$AF$7)*OFFSET(ORÇAMENTO!$W$15,ROW(AI19)-ROW(AI$15),0),15-13*ORÇAMENTO!$AF$11)),0)</f>
        <v>0</v>
      </c>
      <c r="AJ19" s="523">
        <f ca="1">IF(AND($D19="Serviço",AJ$12&lt;&gt;0,$H19&gt;0,OR(AUTOEVENTO&lt;&gt;"manual",$M19&lt;&gt;1)),
IF(Import.TipoArredondamento&lt;&gt;"TransfereGOV",
ROUND(OFFSET($P19,0,AJ$13),15-13*ORÇAMENTO!$AF$7)/$H19*OFFSET(ORÇAMENTO!$X$15,ROW(AJ19)-ROW(AJ$15),0),
ROUND(ROUND(OFFSET($P19,0,AJ$13),15-13*ORÇAMENTO!$AF$7)*OFFSET(ORÇAMENTO!$W$15,ROW(AJ19)-ROW(AJ$15),0),15-13*ORÇAMENTO!$AF$11)),0)</f>
        <v>0</v>
      </c>
      <c r="AK19" s="524">
        <f ca="1">IF(AND($D19="Serviço",AK$12&lt;&gt;0,$H19&gt;0,OR(AUTOEVENTO&lt;&gt;"manual",$M19&lt;&gt;1)),
IF(Import.TipoArredondamento&lt;&gt;"TransfereGOV",
ROUND(OFFSET($P19,0,AK$13),15-13*ORÇAMENTO!$AF$7)/$H19*OFFSET(ORÇAMENTO!$X$15,ROW(AK19)-ROW(AK$15),0),
ROUND(ROUND(OFFSET($P19,0,AK$13),15-13*ORÇAMENTO!$AF$7)*OFFSET(ORÇAMENTO!$W$15,ROW(AK19)-ROW(AK$15),0),15-13*ORÇAMENTO!$AF$11)),0)</f>
        <v>0</v>
      </c>
      <c r="AM19" s="181">
        <f ca="1">IF($D19&lt;&gt;"Serviço",0,IF(AND(AUTOEVENTO="Manual",$M19=1),0,IF(OFFSET(CRONOPLE!$F$14,$M19,AM$13)="",10^12,OFFSET(CRONOPLE!$F$14,$M19,AM$13))))</f>
        <v>1</v>
      </c>
      <c r="AN19" s="181">
        <f ca="1">IF($D19&lt;&gt;"Serviço",0,IF(AND(AUTOEVENTO="Manual",$M19=1),0,IF(OFFSET(CRONOPLE!$F$14,$M19,AN$13)="",10^12,OFFSET(CRONOPLE!$F$14,$M19,AN$13))))</f>
        <v>2</v>
      </c>
      <c r="AO19" s="181">
        <f ca="1">IF($D19&lt;&gt;"Serviço",0,IF(AND(AUTOEVENTO="Manual",$M19=1),0,IF(OFFSET(CRONOPLE!$F$14,$M19,AO$13)="",10^12,OFFSET(CRONOPLE!$F$14,$M19,AO$13))))</f>
        <v>1000000000000</v>
      </c>
      <c r="AP19" s="181">
        <f ca="1">IF($D19&lt;&gt;"Serviço",0,IF(AND(AUTOEVENTO="Manual",$M19=1),0,IF(OFFSET(CRONOPLE!$F$14,$M19,AP$13)="",10^12,OFFSET(CRONOPLE!$F$14,$M19,AP$13))))</f>
        <v>1000000000000</v>
      </c>
      <c r="AQ19" s="181">
        <f ca="1">IF($D19&lt;&gt;"Serviço",0,IF(AND(AUTOEVENTO="Manual",$M19=1),0,IF(OFFSET(CRONOPLE!$F$14,$M19,AQ$13)="",10^12,OFFSET(CRONOPLE!$F$14,$M19,AQ$13))))</f>
        <v>1000000000000</v>
      </c>
      <c r="AR19" s="181">
        <f ca="1">IF($D19&lt;&gt;"Serviço",0,IF(AND(AUTOEVENTO="Manual",$M19=1),0,IF(OFFSET(CRONOPLE!$F$14,$M19,AR$13)="",10^12,OFFSET(CRONOPLE!$F$14,$M19,AR$13))))</f>
        <v>1000000000000</v>
      </c>
      <c r="AS19" s="181">
        <f ca="1">IF($D19&lt;&gt;"Serviço",0,IF(AND(AUTOEVENTO="Manual",$M19=1),0,IF(OFFSET(CRONOPLE!$F$14,$M19,AS$13)="",10^12,OFFSET(CRONOPLE!$F$14,$M19,AS$13))))</f>
        <v>1000000000000</v>
      </c>
      <c r="AT19" s="181">
        <f ca="1">IF($D19&lt;&gt;"Serviço",0,IF(AND(AUTOEVENTO="Manual",$M19=1),0,IF(OFFSET(CRONOPLE!$F$14,$M19,AT$13)="",10^12,OFFSET(CRONOPLE!$F$14,$M19,AT$13))))</f>
        <v>1000000000000</v>
      </c>
      <c r="AU19" s="181">
        <f ca="1">IF($D19&lt;&gt;"Serviço",0,IF(AND(AUTOEVENTO="Manual",$M19=1),0,IF(OFFSET(CRONOPLE!$F$14,$M19,AU$13)="",10^12,OFFSET(CRONOPLE!$F$14,$M19,AU$13))))</f>
        <v>1000000000000</v>
      </c>
      <c r="AV19" s="181">
        <f ca="1">IF($D19&lt;&gt;"Serviço",0,IF(AND(AUTOEVENTO="Manual",$M19=1),0,IF(OFFSET(CRONOPLE!$F$14,$M19,AV$13)="",10^12,OFFSET(CRONOPLE!$F$14,$M19,AV$13))))</f>
        <v>1000000000000</v>
      </c>
      <c r="AX19" s="182">
        <f ca="1">IF($D19&lt;&gt;"Serviço",0,IF(OR(AND(AUTOEVENTO="Manual",$M19=1),$M19&gt;(ROW(PLE.lastrow)-ROW(PLE.firstrow))),0,IF(OFFSET(PLE!$G$14,$M19,AX$13)="",10^12,OFFSET(PLE!$G$14,$M19,AX$13))))</f>
        <v>1000000000000</v>
      </c>
      <c r="AY19" s="182">
        <f ca="1">IF($D19&lt;&gt;"Serviço",0,IF(OR(AND(AUTOEVENTO="Manual",$M19=1),$M19&gt;(ROW(PLE.lastrow)-ROW(PLE.firstrow))),0,IF(OFFSET(PLE!$G$14,$M19,AY$13)="",10^12,OFFSET(PLE!$G$14,$M19,AY$13))))</f>
        <v>1000000000000</v>
      </c>
      <c r="AZ19" s="182">
        <f ca="1">IF($D19&lt;&gt;"Serviço",0,IF(OR(AND(AUTOEVENTO="Manual",$M19=1),$M19&gt;(ROW(PLE.lastrow)-ROW(PLE.firstrow))),0,IF(OFFSET(PLE!$G$14,$M19,AZ$13)="",10^12,OFFSET(PLE!$G$14,$M19,AZ$13))))</f>
        <v>1000000000000</v>
      </c>
      <c r="BA19" s="182">
        <f ca="1">IF($D19&lt;&gt;"Serviço",0,IF(OR(AND(AUTOEVENTO="Manual",$M19=1),$M19&gt;(ROW(PLE.lastrow)-ROW(PLE.firstrow))),0,IF(OFFSET(PLE!$G$14,$M19,BA$13)="",10^12,OFFSET(PLE!$G$14,$M19,BA$13))))</f>
        <v>1000000000000</v>
      </c>
      <c r="BB19" s="182">
        <f ca="1">IF($D19&lt;&gt;"Serviço",0,IF(OR(AND(AUTOEVENTO="Manual",$M19=1),$M19&gt;(ROW(PLE.lastrow)-ROW(PLE.firstrow))),0,IF(OFFSET(PLE!$G$14,$M19,BB$13)="",10^12,OFFSET(PLE!$G$14,$M19,BB$13))))</f>
        <v>1000000000000</v>
      </c>
      <c r="BC19" s="182">
        <f ca="1">IF($D19&lt;&gt;"Serviço",0,IF(OR(AND(AUTOEVENTO="Manual",$M19=1),$M19&gt;(ROW(PLE.lastrow)-ROW(PLE.firstrow))),0,IF(OFFSET(PLE!$G$14,$M19,BC$13)="",10^12,OFFSET(PLE!$G$14,$M19,BC$13))))</f>
        <v>1000000000000</v>
      </c>
      <c r="BD19" s="182">
        <f ca="1">IF($D19&lt;&gt;"Serviço",0,IF(OR(AND(AUTOEVENTO="Manual",$M19=1),$M19&gt;(ROW(PLE.lastrow)-ROW(PLE.firstrow))),0,IF(OFFSET(PLE!$G$14,$M19,BD$13)="",10^12,OFFSET(PLE!$G$14,$M19,BD$13))))</f>
        <v>1000000000000</v>
      </c>
      <c r="BE19" s="182">
        <f ca="1">IF($D19&lt;&gt;"Serviço",0,IF(OR(AND(AUTOEVENTO="Manual",$M19=1),$M19&gt;(ROW(PLE.lastrow)-ROW(PLE.firstrow))),0,IF(OFFSET(PLE!$G$14,$M19,BE$13)="",10^12,OFFSET(PLE!$G$14,$M19,BE$13))))</f>
        <v>1000000000000</v>
      </c>
      <c r="BF19" s="182">
        <f ca="1">IF($D19&lt;&gt;"Serviço",0,IF(OR(AND(AUTOEVENTO="Manual",$M19=1),$M19&gt;(ROW(PLE.lastrow)-ROW(PLE.firstrow))),0,IF(OFFSET(PLE!$G$14,$M19,BF$13)="",10^12,OFFSET(PLE!$G$14,$M19,BF$13))))</f>
        <v>1000000000000</v>
      </c>
      <c r="BG19" s="182">
        <f ca="1">IF($D19&lt;&gt;"Serviço",0,IF(OR(AND(AUTOEVENTO="Manual",$M19=1),$M19&gt;(ROW(PLE.lastrow)-ROW(PLE.firstrow))),0,IF(OFFSET(PLE!$G$14,$M19,BG$13)="",10^12,OFFSET(PLE!$G$14,$M19,BG$13))))</f>
        <v>1000000000000</v>
      </c>
    </row>
    <row r="20" spans="1:59" ht="12.75" x14ac:dyDescent="0.2">
      <c r="A20" s="7" t="str">
        <f ca="1">IF(AUTOEVENTO="Manual",IF(K20&lt;&gt;"",MIN(VALUE(LEFT(K20,FIND(".",K20)-1)),COUNTA(EVENTOS.Lista)),0),IF(OR($B20&gt;AUTOEVENTO,$B20="S",$B20=0),SUBSTITUTE(OFFSET($A20,-1,0),IF($D20="Serviço",".",""),""),ROW(A20)-ROW($A$15)&amp;"."))</f>
        <v>2</v>
      </c>
      <c r="B20" s="7" t="str">
        <f ca="1">OFFSET(ORÇAMENTO!C$15,ROW(B20)-ROW(B$15),0)</f>
        <v>S</v>
      </c>
      <c r="C20" s="7" t="str">
        <f ca="1">OFFSET(ORÇAMENTO!L$15,ROW(C20)-ROW(C$15),0)</f>
        <v/>
      </c>
      <c r="D20" s="118" t="str">
        <f ca="1">OFFSET(ORÇAMENTO!N$15,ROW(D20)-ROW(D$15),0)</f>
        <v>Serviço</v>
      </c>
      <c r="E20" s="119" t="str">
        <f ca="1">OFFSET(ORÇAMENTO!O$15,ROW(E20)-ROW(E$15),0)</f>
        <v>-</v>
      </c>
      <c r="F20" s="172" t="str">
        <f ca="1">OFFSET(ORÇAMENTO!R$15,ROW(F20)-ROW(F$15),0)</f>
        <v>(abra o arquivo 'Referência 05-Friday.xlsm)</v>
      </c>
      <c r="G20" s="173" t="str">
        <f ca="1">IF($D20&lt;&gt;"Serviço","",OFFSET(ORÇAMENTO!S$15,ROW(G20)-ROW(G$15),0))</f>
        <v>-</v>
      </c>
      <c r="H20" s="124">
        <f ca="1">IF($D20&lt;&gt;"Serviço",0,IF(ACOMPANHAMENTO="BM",ROUND(OFFSET(ORÇAMENTO!AJ$15,ROW(H20)-ROW(H$15),0),15-13*ORÇAMENTO!$AF$7),SUMPRODUCT(($Q$12:$AA$12&lt;&gt;"")*ROUND($Q20:$AA20,15-13*ORÇAMENTO!$AF$7))))</f>
        <v>1</v>
      </c>
      <c r="I20" s="539" t="s">
        <v>519</v>
      </c>
      <c r="K20" s="174"/>
      <c r="L20" s="175" t="s">
        <v>254</v>
      </c>
      <c r="M20" s="176">
        <f ca="1">IF($D20&lt;&gt;"Serviço","",IF(AUTOEVENTO="manual",$A20,IF(ISERROR(MATCH($A20,$A$15:OFFSET($A20,-1,0),0)),MAX($M$15:OFFSET(M20,-1,0))+1,INDEX($M$15:OFFSET(M20,-1,0),MATCH($A20,$A$15:OFFSET($A20,-1,0),0)))))</f>
        <v>2</v>
      </c>
      <c r="N20" s="177" t="str">
        <f ca="1">IF($D20&lt;&gt;"Serviço","",IF(AUTOEVENTO="Manual",IF($A20=0,"&lt;-- defina o número do agrupador",OFFSET(EVENTOS!$D$14,$A20,0)),OFFSET($F$15,$A20,0)))</f>
        <v>SERVIÇOS INICIAIS</v>
      </c>
      <c r="O20" s="178"/>
      <c r="Q20" s="178">
        <v>0.5</v>
      </c>
      <c r="R20" s="179">
        <v>0.5</v>
      </c>
      <c r="S20" s="179"/>
      <c r="T20" s="179"/>
      <c r="U20" s="179"/>
      <c r="V20" s="179"/>
      <c r="W20" s="179"/>
      <c r="X20" s="179"/>
      <c r="Y20" s="179"/>
      <c r="Z20" s="180"/>
      <c r="AB20" s="522">
        <f ca="1">IF(AND($D20="Serviço",AB$12&lt;&gt;0,$H20&gt;0,OR(AUTOEVENTO&lt;&gt;"manual",$M20&lt;&gt;1)),
IF(Import.TipoArredondamento&lt;&gt;"TransfereGOV",
ROUND(OFFSET($P20,0,AB$13),15-13*ORÇAMENTO!$AF$7)/$H20*OFFSET(ORÇAMENTO!$X$15,ROW(AB20)-ROW(AB$15),0),
ROUND(ROUND(OFFSET($P20,0,AB$13),15-13*ORÇAMENTO!$AF$7)*OFFSET(ORÇAMENTO!$W$15,ROW(AB20)-ROW(AB$15),0),15-13*ORÇAMENTO!$AF$11)),0)</f>
        <v>0</v>
      </c>
      <c r="AC20" s="523">
        <f ca="1">IF(AND($D20="Serviço",AC$12&lt;&gt;0,$H20&gt;0,OR(AUTOEVENTO&lt;&gt;"manual",$M20&lt;&gt;1)),
IF(Import.TipoArredondamento&lt;&gt;"TransfereGOV",
ROUND(OFFSET($P20,0,AC$13),15-13*ORÇAMENTO!$AF$7)/$H20*OFFSET(ORÇAMENTO!$X$15,ROW(AC20)-ROW(AC$15),0),
ROUND(ROUND(OFFSET($P20,0,AC$13),15-13*ORÇAMENTO!$AF$7)*OFFSET(ORÇAMENTO!$W$15,ROW(AC20)-ROW(AC$15),0),15-13*ORÇAMENTO!$AF$11)),0)</f>
        <v>0</v>
      </c>
      <c r="AD20" s="523">
        <f ca="1">IF(AND($D20="Serviço",AD$12&lt;&gt;0,$H20&gt;0,OR(AUTOEVENTO&lt;&gt;"manual",$M20&lt;&gt;1)),
IF(Import.TipoArredondamento&lt;&gt;"TransfereGOV",
ROUND(OFFSET($P20,0,AD$13),15-13*ORÇAMENTO!$AF$7)/$H20*OFFSET(ORÇAMENTO!$X$15,ROW(AD20)-ROW(AD$15),0),
ROUND(ROUND(OFFSET($P20,0,AD$13),15-13*ORÇAMENTO!$AF$7)*OFFSET(ORÇAMENTO!$W$15,ROW(AD20)-ROW(AD$15),0),15-13*ORÇAMENTO!$AF$11)),0)</f>
        <v>0</v>
      </c>
      <c r="AE20" s="523">
        <f ca="1">IF(AND($D20="Serviço",AE$12&lt;&gt;0,$H20&gt;0,OR(AUTOEVENTO&lt;&gt;"manual",$M20&lt;&gt;1)),
IF(Import.TipoArredondamento&lt;&gt;"TransfereGOV",
ROUND(OFFSET($P20,0,AE$13),15-13*ORÇAMENTO!$AF$7)/$H20*OFFSET(ORÇAMENTO!$X$15,ROW(AE20)-ROW(AE$15),0),
ROUND(ROUND(OFFSET($P20,0,AE$13),15-13*ORÇAMENTO!$AF$7)*OFFSET(ORÇAMENTO!$W$15,ROW(AE20)-ROW(AE$15),0),15-13*ORÇAMENTO!$AF$11)),0)</f>
        <v>0</v>
      </c>
      <c r="AF20" s="523">
        <f ca="1">IF(AND($D20="Serviço",AF$12&lt;&gt;0,$H20&gt;0,OR(AUTOEVENTO&lt;&gt;"manual",$M20&lt;&gt;1)),
IF(Import.TipoArredondamento&lt;&gt;"TransfereGOV",
ROUND(OFFSET($P20,0,AF$13),15-13*ORÇAMENTO!$AF$7)/$H20*OFFSET(ORÇAMENTO!$X$15,ROW(AF20)-ROW(AF$15),0),
ROUND(ROUND(OFFSET($P20,0,AF$13),15-13*ORÇAMENTO!$AF$7)*OFFSET(ORÇAMENTO!$W$15,ROW(AF20)-ROW(AF$15),0),15-13*ORÇAMENTO!$AF$11)),0)</f>
        <v>0</v>
      </c>
      <c r="AG20" s="523">
        <f ca="1">IF(AND($D20="Serviço",AG$12&lt;&gt;0,$H20&gt;0,OR(AUTOEVENTO&lt;&gt;"manual",$M20&lt;&gt;1)),
IF(Import.TipoArredondamento&lt;&gt;"TransfereGOV",
ROUND(OFFSET($P20,0,AG$13),15-13*ORÇAMENTO!$AF$7)/$H20*OFFSET(ORÇAMENTO!$X$15,ROW(AG20)-ROW(AG$15),0),
ROUND(ROUND(OFFSET($P20,0,AG$13),15-13*ORÇAMENTO!$AF$7)*OFFSET(ORÇAMENTO!$W$15,ROW(AG20)-ROW(AG$15),0),15-13*ORÇAMENTO!$AF$11)),0)</f>
        <v>0</v>
      </c>
      <c r="AH20" s="523">
        <f ca="1">IF(AND($D20="Serviço",AH$12&lt;&gt;0,$H20&gt;0,OR(AUTOEVENTO&lt;&gt;"manual",$M20&lt;&gt;1)),
IF(Import.TipoArredondamento&lt;&gt;"TransfereGOV",
ROUND(OFFSET($P20,0,AH$13),15-13*ORÇAMENTO!$AF$7)/$H20*OFFSET(ORÇAMENTO!$X$15,ROW(AH20)-ROW(AH$15),0),
ROUND(ROUND(OFFSET($P20,0,AH$13),15-13*ORÇAMENTO!$AF$7)*OFFSET(ORÇAMENTO!$W$15,ROW(AH20)-ROW(AH$15),0),15-13*ORÇAMENTO!$AF$11)),0)</f>
        <v>0</v>
      </c>
      <c r="AI20" s="523">
        <f ca="1">IF(AND($D20="Serviço",AI$12&lt;&gt;0,$H20&gt;0,OR(AUTOEVENTO&lt;&gt;"manual",$M20&lt;&gt;1)),
IF(Import.TipoArredondamento&lt;&gt;"TransfereGOV",
ROUND(OFFSET($P20,0,AI$13),15-13*ORÇAMENTO!$AF$7)/$H20*OFFSET(ORÇAMENTO!$X$15,ROW(AI20)-ROW(AI$15),0),
ROUND(ROUND(OFFSET($P20,0,AI$13),15-13*ORÇAMENTO!$AF$7)*OFFSET(ORÇAMENTO!$W$15,ROW(AI20)-ROW(AI$15),0),15-13*ORÇAMENTO!$AF$11)),0)</f>
        <v>0</v>
      </c>
      <c r="AJ20" s="523">
        <f ca="1">IF(AND($D20="Serviço",AJ$12&lt;&gt;0,$H20&gt;0,OR(AUTOEVENTO&lt;&gt;"manual",$M20&lt;&gt;1)),
IF(Import.TipoArredondamento&lt;&gt;"TransfereGOV",
ROUND(OFFSET($P20,0,AJ$13),15-13*ORÇAMENTO!$AF$7)/$H20*OFFSET(ORÇAMENTO!$X$15,ROW(AJ20)-ROW(AJ$15),0),
ROUND(ROUND(OFFSET($P20,0,AJ$13),15-13*ORÇAMENTO!$AF$7)*OFFSET(ORÇAMENTO!$W$15,ROW(AJ20)-ROW(AJ$15),0),15-13*ORÇAMENTO!$AF$11)),0)</f>
        <v>0</v>
      </c>
      <c r="AK20" s="524">
        <f ca="1">IF(AND($D20="Serviço",AK$12&lt;&gt;0,$H20&gt;0,OR(AUTOEVENTO&lt;&gt;"manual",$M20&lt;&gt;1)),
IF(Import.TipoArredondamento&lt;&gt;"TransfereGOV",
ROUND(OFFSET($P20,0,AK$13),15-13*ORÇAMENTO!$AF$7)/$H20*OFFSET(ORÇAMENTO!$X$15,ROW(AK20)-ROW(AK$15),0),
ROUND(ROUND(OFFSET($P20,0,AK$13),15-13*ORÇAMENTO!$AF$7)*OFFSET(ORÇAMENTO!$W$15,ROW(AK20)-ROW(AK$15),0),15-13*ORÇAMENTO!$AF$11)),0)</f>
        <v>0</v>
      </c>
      <c r="AM20" s="181">
        <f ca="1">IF($D20&lt;&gt;"Serviço",0,IF(AND(AUTOEVENTO="Manual",$M20=1),0,IF(OFFSET(CRONOPLE!$F$14,$M20,AM$13)="",10^12,OFFSET(CRONOPLE!$F$14,$M20,AM$13))))</f>
        <v>1</v>
      </c>
      <c r="AN20" s="181">
        <f ca="1">IF($D20&lt;&gt;"Serviço",0,IF(AND(AUTOEVENTO="Manual",$M20=1),0,IF(OFFSET(CRONOPLE!$F$14,$M20,AN$13)="",10^12,OFFSET(CRONOPLE!$F$14,$M20,AN$13))))</f>
        <v>2</v>
      </c>
      <c r="AO20" s="181">
        <f ca="1">IF($D20&lt;&gt;"Serviço",0,IF(AND(AUTOEVENTO="Manual",$M20=1),0,IF(OFFSET(CRONOPLE!$F$14,$M20,AO$13)="",10^12,OFFSET(CRONOPLE!$F$14,$M20,AO$13))))</f>
        <v>1000000000000</v>
      </c>
      <c r="AP20" s="181">
        <f ca="1">IF($D20&lt;&gt;"Serviço",0,IF(AND(AUTOEVENTO="Manual",$M20=1),0,IF(OFFSET(CRONOPLE!$F$14,$M20,AP$13)="",10^12,OFFSET(CRONOPLE!$F$14,$M20,AP$13))))</f>
        <v>1000000000000</v>
      </c>
      <c r="AQ20" s="181">
        <f ca="1">IF($D20&lt;&gt;"Serviço",0,IF(AND(AUTOEVENTO="Manual",$M20=1),0,IF(OFFSET(CRONOPLE!$F$14,$M20,AQ$13)="",10^12,OFFSET(CRONOPLE!$F$14,$M20,AQ$13))))</f>
        <v>1000000000000</v>
      </c>
      <c r="AR20" s="181">
        <f ca="1">IF($D20&lt;&gt;"Serviço",0,IF(AND(AUTOEVENTO="Manual",$M20=1),0,IF(OFFSET(CRONOPLE!$F$14,$M20,AR$13)="",10^12,OFFSET(CRONOPLE!$F$14,$M20,AR$13))))</f>
        <v>1000000000000</v>
      </c>
      <c r="AS20" s="181">
        <f ca="1">IF($D20&lt;&gt;"Serviço",0,IF(AND(AUTOEVENTO="Manual",$M20=1),0,IF(OFFSET(CRONOPLE!$F$14,$M20,AS$13)="",10^12,OFFSET(CRONOPLE!$F$14,$M20,AS$13))))</f>
        <v>1000000000000</v>
      </c>
      <c r="AT20" s="181">
        <f ca="1">IF($D20&lt;&gt;"Serviço",0,IF(AND(AUTOEVENTO="Manual",$M20=1),0,IF(OFFSET(CRONOPLE!$F$14,$M20,AT$13)="",10^12,OFFSET(CRONOPLE!$F$14,$M20,AT$13))))</f>
        <v>1000000000000</v>
      </c>
      <c r="AU20" s="181">
        <f ca="1">IF($D20&lt;&gt;"Serviço",0,IF(AND(AUTOEVENTO="Manual",$M20=1),0,IF(OFFSET(CRONOPLE!$F$14,$M20,AU$13)="",10^12,OFFSET(CRONOPLE!$F$14,$M20,AU$13))))</f>
        <v>1000000000000</v>
      </c>
      <c r="AV20" s="181">
        <f ca="1">IF($D20&lt;&gt;"Serviço",0,IF(AND(AUTOEVENTO="Manual",$M20=1),0,IF(OFFSET(CRONOPLE!$F$14,$M20,AV$13)="",10^12,OFFSET(CRONOPLE!$F$14,$M20,AV$13))))</f>
        <v>1000000000000</v>
      </c>
      <c r="AX20" s="182">
        <f ca="1">IF($D20&lt;&gt;"Serviço",0,IF(OR(AND(AUTOEVENTO="Manual",$M20=1),$M20&gt;(ROW(PLE.lastrow)-ROW(PLE.firstrow))),0,IF(OFFSET(PLE!$G$14,$M20,AX$13)="",10^12,OFFSET(PLE!$G$14,$M20,AX$13))))</f>
        <v>1000000000000</v>
      </c>
      <c r="AY20" s="182">
        <f ca="1">IF($D20&lt;&gt;"Serviço",0,IF(OR(AND(AUTOEVENTO="Manual",$M20=1),$M20&gt;(ROW(PLE.lastrow)-ROW(PLE.firstrow))),0,IF(OFFSET(PLE!$G$14,$M20,AY$13)="",10^12,OFFSET(PLE!$G$14,$M20,AY$13))))</f>
        <v>1000000000000</v>
      </c>
      <c r="AZ20" s="182">
        <f ca="1">IF($D20&lt;&gt;"Serviço",0,IF(OR(AND(AUTOEVENTO="Manual",$M20=1),$M20&gt;(ROW(PLE.lastrow)-ROW(PLE.firstrow))),0,IF(OFFSET(PLE!$G$14,$M20,AZ$13)="",10^12,OFFSET(PLE!$G$14,$M20,AZ$13))))</f>
        <v>1000000000000</v>
      </c>
      <c r="BA20" s="182">
        <f ca="1">IF($D20&lt;&gt;"Serviço",0,IF(OR(AND(AUTOEVENTO="Manual",$M20=1),$M20&gt;(ROW(PLE.lastrow)-ROW(PLE.firstrow))),0,IF(OFFSET(PLE!$G$14,$M20,BA$13)="",10^12,OFFSET(PLE!$G$14,$M20,BA$13))))</f>
        <v>1000000000000</v>
      </c>
      <c r="BB20" s="182">
        <f ca="1">IF($D20&lt;&gt;"Serviço",0,IF(OR(AND(AUTOEVENTO="Manual",$M20=1),$M20&gt;(ROW(PLE.lastrow)-ROW(PLE.firstrow))),0,IF(OFFSET(PLE!$G$14,$M20,BB$13)="",10^12,OFFSET(PLE!$G$14,$M20,BB$13))))</f>
        <v>1000000000000</v>
      </c>
      <c r="BC20" s="182">
        <f ca="1">IF($D20&lt;&gt;"Serviço",0,IF(OR(AND(AUTOEVENTO="Manual",$M20=1),$M20&gt;(ROW(PLE.lastrow)-ROW(PLE.firstrow))),0,IF(OFFSET(PLE!$G$14,$M20,BC$13)="",10^12,OFFSET(PLE!$G$14,$M20,BC$13))))</f>
        <v>1000000000000</v>
      </c>
      <c r="BD20" s="182">
        <f ca="1">IF($D20&lt;&gt;"Serviço",0,IF(OR(AND(AUTOEVENTO="Manual",$M20=1),$M20&gt;(ROW(PLE.lastrow)-ROW(PLE.firstrow))),0,IF(OFFSET(PLE!$G$14,$M20,BD$13)="",10^12,OFFSET(PLE!$G$14,$M20,BD$13))))</f>
        <v>1000000000000</v>
      </c>
      <c r="BE20" s="182">
        <f ca="1">IF($D20&lt;&gt;"Serviço",0,IF(OR(AND(AUTOEVENTO="Manual",$M20=1),$M20&gt;(ROW(PLE.lastrow)-ROW(PLE.firstrow))),0,IF(OFFSET(PLE!$G$14,$M20,BE$13)="",10^12,OFFSET(PLE!$G$14,$M20,BE$13))))</f>
        <v>1000000000000</v>
      </c>
      <c r="BF20" s="182">
        <f ca="1">IF($D20&lt;&gt;"Serviço",0,IF(OR(AND(AUTOEVENTO="Manual",$M20=1),$M20&gt;(ROW(PLE.lastrow)-ROW(PLE.firstrow))),0,IF(OFFSET(PLE!$G$14,$M20,BF$13)="",10^12,OFFSET(PLE!$G$14,$M20,BF$13))))</f>
        <v>1000000000000</v>
      </c>
      <c r="BG20" s="182">
        <f ca="1">IF($D20&lt;&gt;"Serviço",0,IF(OR(AND(AUTOEVENTO="Manual",$M20=1),$M20&gt;(ROW(PLE.lastrow)-ROW(PLE.firstrow))),0,IF(OFFSET(PLE!$G$14,$M20,BG$13)="",10^12,OFFSET(PLE!$G$14,$M20,BG$13))))</f>
        <v>1000000000000</v>
      </c>
    </row>
    <row r="21" spans="1:59" ht="25.5" x14ac:dyDescent="0.2">
      <c r="A21" s="7" t="str">
        <f ca="1">IF(AUTOEVENTO="Manual",IF(K21&lt;&gt;"",MIN(VALUE(LEFT(K21,FIND(".",K21)-1)),COUNTA(EVENTOS.Lista)),0),IF(OR($B21&gt;AUTOEVENTO,$B21="S",$B21=0),SUBSTITUTE(OFFSET($A21,-1,0),IF($D21="Serviço",".",""),""),ROW(A21)-ROW($A$15)&amp;"."))</f>
        <v>2</v>
      </c>
      <c r="B21" s="7" t="str">
        <f ca="1">OFFSET(ORÇAMENTO!C$15,ROW(B21)-ROW(B$15),0)</f>
        <v>S</v>
      </c>
      <c r="C21" s="7" t="str">
        <f ca="1">OFFSET(ORÇAMENTO!L$15,ROW(C21)-ROW(C$15),0)</f>
        <v/>
      </c>
      <c r="D21" s="118" t="str">
        <f ca="1">OFFSET(ORÇAMENTO!N$15,ROW(D21)-ROW(D$15),0)</f>
        <v>Serviço</v>
      </c>
      <c r="E21" s="119" t="str">
        <f ca="1">OFFSET(ORÇAMENTO!O$15,ROW(E21)-ROW(E$15),0)</f>
        <v>-</v>
      </c>
      <c r="F21" s="172" t="str">
        <f ca="1">OFFSET(ORÇAMENTO!R$15,ROW(F21)-ROW(F$15),0)</f>
        <v>(abra o arquivo 'Referência 05-Friday.xlsm)</v>
      </c>
      <c r="G21" s="173" t="str">
        <f ca="1">IF($D21&lt;&gt;"Serviço","",OFFSET(ORÇAMENTO!S$15,ROW(G21)-ROW(G$15),0))</f>
        <v>-</v>
      </c>
      <c r="H21" s="124">
        <f ca="1">IF($D21&lt;&gt;"Serviço",0,IF(ACOMPANHAMENTO="BM",ROUND(OFFSET(ORÇAMENTO!AJ$15,ROW(H21)-ROW(H$15),0),15-13*ORÇAMENTO!$AF$7),SUMPRODUCT(($Q$12:$AA$12&lt;&gt;"")*ROUND($Q21:$AA21,15-13*ORÇAMENTO!$AF$7))))</f>
        <v>142</v>
      </c>
      <c r="I21" s="539" t="s">
        <v>520</v>
      </c>
      <c r="K21" s="174"/>
      <c r="L21" s="175" t="s">
        <v>254</v>
      </c>
      <c r="M21" s="176">
        <f ca="1">IF($D21&lt;&gt;"Serviço","",IF(AUTOEVENTO="manual",$A21,IF(ISERROR(MATCH($A21,$A$15:OFFSET($A21,-1,0),0)),MAX($M$15:OFFSET(M21,-1,0))+1,INDEX($M$15:OFFSET(M21,-1,0),MATCH($A21,$A$15:OFFSET($A21,-1,0),0)))))</f>
        <v>2</v>
      </c>
      <c r="N21" s="177" t="str">
        <f ca="1">IF($D21&lt;&gt;"Serviço","",IF(AUTOEVENTO="Manual",IF($A21=0,"&lt;-- defina o número do agrupador",OFFSET(EVENTOS!$D$14,$A21,0)),OFFSET($F$15,$A21,0)))</f>
        <v>SERVIÇOS INICIAIS</v>
      </c>
      <c r="O21" s="178"/>
      <c r="Q21" s="178">
        <v>71</v>
      </c>
      <c r="R21" s="179">
        <v>71</v>
      </c>
      <c r="S21" s="179"/>
      <c r="T21" s="179"/>
      <c r="U21" s="179"/>
      <c r="V21" s="179"/>
      <c r="W21" s="179"/>
      <c r="X21" s="179"/>
      <c r="Y21" s="179"/>
      <c r="Z21" s="180"/>
      <c r="AB21" s="522">
        <f ca="1">IF(AND($D21="Serviço",AB$12&lt;&gt;0,$H21&gt;0,OR(AUTOEVENTO&lt;&gt;"manual",$M21&lt;&gt;1)),
IF(Import.TipoArredondamento&lt;&gt;"TransfereGOV",
ROUND(OFFSET($P21,0,AB$13),15-13*ORÇAMENTO!$AF$7)/$H21*OFFSET(ORÇAMENTO!$X$15,ROW(AB21)-ROW(AB$15),0),
ROUND(ROUND(OFFSET($P21,0,AB$13),15-13*ORÇAMENTO!$AF$7)*OFFSET(ORÇAMENTO!$W$15,ROW(AB21)-ROW(AB$15),0),15-13*ORÇAMENTO!$AF$11)),0)</f>
        <v>0</v>
      </c>
      <c r="AC21" s="523">
        <f ca="1">IF(AND($D21="Serviço",AC$12&lt;&gt;0,$H21&gt;0,OR(AUTOEVENTO&lt;&gt;"manual",$M21&lt;&gt;1)),
IF(Import.TipoArredondamento&lt;&gt;"TransfereGOV",
ROUND(OFFSET($P21,0,AC$13),15-13*ORÇAMENTO!$AF$7)/$H21*OFFSET(ORÇAMENTO!$X$15,ROW(AC21)-ROW(AC$15),0),
ROUND(ROUND(OFFSET($P21,0,AC$13),15-13*ORÇAMENTO!$AF$7)*OFFSET(ORÇAMENTO!$W$15,ROW(AC21)-ROW(AC$15),0),15-13*ORÇAMENTO!$AF$11)),0)</f>
        <v>0</v>
      </c>
      <c r="AD21" s="523">
        <f ca="1">IF(AND($D21="Serviço",AD$12&lt;&gt;0,$H21&gt;0,OR(AUTOEVENTO&lt;&gt;"manual",$M21&lt;&gt;1)),
IF(Import.TipoArredondamento&lt;&gt;"TransfereGOV",
ROUND(OFFSET($P21,0,AD$13),15-13*ORÇAMENTO!$AF$7)/$H21*OFFSET(ORÇAMENTO!$X$15,ROW(AD21)-ROW(AD$15),0),
ROUND(ROUND(OFFSET($P21,0,AD$13),15-13*ORÇAMENTO!$AF$7)*OFFSET(ORÇAMENTO!$W$15,ROW(AD21)-ROW(AD$15),0),15-13*ORÇAMENTO!$AF$11)),0)</f>
        <v>0</v>
      </c>
      <c r="AE21" s="523">
        <f ca="1">IF(AND($D21="Serviço",AE$12&lt;&gt;0,$H21&gt;0,OR(AUTOEVENTO&lt;&gt;"manual",$M21&lt;&gt;1)),
IF(Import.TipoArredondamento&lt;&gt;"TransfereGOV",
ROUND(OFFSET($P21,0,AE$13),15-13*ORÇAMENTO!$AF$7)/$H21*OFFSET(ORÇAMENTO!$X$15,ROW(AE21)-ROW(AE$15),0),
ROUND(ROUND(OFFSET($P21,0,AE$13),15-13*ORÇAMENTO!$AF$7)*OFFSET(ORÇAMENTO!$W$15,ROW(AE21)-ROW(AE$15),0),15-13*ORÇAMENTO!$AF$11)),0)</f>
        <v>0</v>
      </c>
      <c r="AF21" s="523">
        <f ca="1">IF(AND($D21="Serviço",AF$12&lt;&gt;0,$H21&gt;0,OR(AUTOEVENTO&lt;&gt;"manual",$M21&lt;&gt;1)),
IF(Import.TipoArredondamento&lt;&gt;"TransfereGOV",
ROUND(OFFSET($P21,0,AF$13),15-13*ORÇAMENTO!$AF$7)/$H21*OFFSET(ORÇAMENTO!$X$15,ROW(AF21)-ROW(AF$15),0),
ROUND(ROUND(OFFSET($P21,0,AF$13),15-13*ORÇAMENTO!$AF$7)*OFFSET(ORÇAMENTO!$W$15,ROW(AF21)-ROW(AF$15),0),15-13*ORÇAMENTO!$AF$11)),0)</f>
        <v>0</v>
      </c>
      <c r="AG21" s="523">
        <f ca="1">IF(AND($D21="Serviço",AG$12&lt;&gt;0,$H21&gt;0,OR(AUTOEVENTO&lt;&gt;"manual",$M21&lt;&gt;1)),
IF(Import.TipoArredondamento&lt;&gt;"TransfereGOV",
ROUND(OFFSET($P21,0,AG$13),15-13*ORÇAMENTO!$AF$7)/$H21*OFFSET(ORÇAMENTO!$X$15,ROW(AG21)-ROW(AG$15),0),
ROUND(ROUND(OFFSET($P21,0,AG$13),15-13*ORÇAMENTO!$AF$7)*OFFSET(ORÇAMENTO!$W$15,ROW(AG21)-ROW(AG$15),0),15-13*ORÇAMENTO!$AF$11)),0)</f>
        <v>0</v>
      </c>
      <c r="AH21" s="523">
        <f ca="1">IF(AND($D21="Serviço",AH$12&lt;&gt;0,$H21&gt;0,OR(AUTOEVENTO&lt;&gt;"manual",$M21&lt;&gt;1)),
IF(Import.TipoArredondamento&lt;&gt;"TransfereGOV",
ROUND(OFFSET($P21,0,AH$13),15-13*ORÇAMENTO!$AF$7)/$H21*OFFSET(ORÇAMENTO!$X$15,ROW(AH21)-ROW(AH$15),0),
ROUND(ROUND(OFFSET($P21,0,AH$13),15-13*ORÇAMENTO!$AF$7)*OFFSET(ORÇAMENTO!$W$15,ROW(AH21)-ROW(AH$15),0),15-13*ORÇAMENTO!$AF$11)),0)</f>
        <v>0</v>
      </c>
      <c r="AI21" s="523">
        <f ca="1">IF(AND($D21="Serviço",AI$12&lt;&gt;0,$H21&gt;0,OR(AUTOEVENTO&lt;&gt;"manual",$M21&lt;&gt;1)),
IF(Import.TipoArredondamento&lt;&gt;"TransfereGOV",
ROUND(OFFSET($P21,0,AI$13),15-13*ORÇAMENTO!$AF$7)/$H21*OFFSET(ORÇAMENTO!$X$15,ROW(AI21)-ROW(AI$15),0),
ROUND(ROUND(OFFSET($P21,0,AI$13),15-13*ORÇAMENTO!$AF$7)*OFFSET(ORÇAMENTO!$W$15,ROW(AI21)-ROW(AI$15),0),15-13*ORÇAMENTO!$AF$11)),0)</f>
        <v>0</v>
      </c>
      <c r="AJ21" s="523">
        <f ca="1">IF(AND($D21="Serviço",AJ$12&lt;&gt;0,$H21&gt;0,OR(AUTOEVENTO&lt;&gt;"manual",$M21&lt;&gt;1)),
IF(Import.TipoArredondamento&lt;&gt;"TransfereGOV",
ROUND(OFFSET($P21,0,AJ$13),15-13*ORÇAMENTO!$AF$7)/$H21*OFFSET(ORÇAMENTO!$X$15,ROW(AJ21)-ROW(AJ$15),0),
ROUND(ROUND(OFFSET($P21,0,AJ$13),15-13*ORÇAMENTO!$AF$7)*OFFSET(ORÇAMENTO!$W$15,ROW(AJ21)-ROW(AJ$15),0),15-13*ORÇAMENTO!$AF$11)),0)</f>
        <v>0</v>
      </c>
      <c r="AK21" s="524">
        <f ca="1">IF(AND($D21="Serviço",AK$12&lt;&gt;0,$H21&gt;0,OR(AUTOEVENTO&lt;&gt;"manual",$M21&lt;&gt;1)),
IF(Import.TipoArredondamento&lt;&gt;"TransfereGOV",
ROUND(OFFSET($P21,0,AK$13),15-13*ORÇAMENTO!$AF$7)/$H21*OFFSET(ORÇAMENTO!$X$15,ROW(AK21)-ROW(AK$15),0),
ROUND(ROUND(OFFSET($P21,0,AK$13),15-13*ORÇAMENTO!$AF$7)*OFFSET(ORÇAMENTO!$W$15,ROW(AK21)-ROW(AK$15),0),15-13*ORÇAMENTO!$AF$11)),0)</f>
        <v>0</v>
      </c>
      <c r="AM21" s="181">
        <f ca="1">IF($D21&lt;&gt;"Serviço",0,IF(AND(AUTOEVENTO="Manual",$M21=1),0,IF(OFFSET(CRONOPLE!$F$14,$M21,AM$13)="",10^12,OFFSET(CRONOPLE!$F$14,$M21,AM$13))))</f>
        <v>1</v>
      </c>
      <c r="AN21" s="181">
        <f ca="1">IF($D21&lt;&gt;"Serviço",0,IF(AND(AUTOEVENTO="Manual",$M21=1),0,IF(OFFSET(CRONOPLE!$F$14,$M21,AN$13)="",10^12,OFFSET(CRONOPLE!$F$14,$M21,AN$13))))</f>
        <v>2</v>
      </c>
      <c r="AO21" s="181">
        <f ca="1">IF($D21&lt;&gt;"Serviço",0,IF(AND(AUTOEVENTO="Manual",$M21=1),0,IF(OFFSET(CRONOPLE!$F$14,$M21,AO$13)="",10^12,OFFSET(CRONOPLE!$F$14,$M21,AO$13))))</f>
        <v>1000000000000</v>
      </c>
      <c r="AP21" s="181">
        <f ca="1">IF($D21&lt;&gt;"Serviço",0,IF(AND(AUTOEVENTO="Manual",$M21=1),0,IF(OFFSET(CRONOPLE!$F$14,$M21,AP$13)="",10^12,OFFSET(CRONOPLE!$F$14,$M21,AP$13))))</f>
        <v>1000000000000</v>
      </c>
      <c r="AQ21" s="181">
        <f ca="1">IF($D21&lt;&gt;"Serviço",0,IF(AND(AUTOEVENTO="Manual",$M21=1),0,IF(OFFSET(CRONOPLE!$F$14,$M21,AQ$13)="",10^12,OFFSET(CRONOPLE!$F$14,$M21,AQ$13))))</f>
        <v>1000000000000</v>
      </c>
      <c r="AR21" s="181">
        <f ca="1">IF($D21&lt;&gt;"Serviço",0,IF(AND(AUTOEVENTO="Manual",$M21=1),0,IF(OFFSET(CRONOPLE!$F$14,$M21,AR$13)="",10^12,OFFSET(CRONOPLE!$F$14,$M21,AR$13))))</f>
        <v>1000000000000</v>
      </c>
      <c r="AS21" s="181">
        <f ca="1">IF($D21&lt;&gt;"Serviço",0,IF(AND(AUTOEVENTO="Manual",$M21=1),0,IF(OFFSET(CRONOPLE!$F$14,$M21,AS$13)="",10^12,OFFSET(CRONOPLE!$F$14,$M21,AS$13))))</f>
        <v>1000000000000</v>
      </c>
      <c r="AT21" s="181">
        <f ca="1">IF($D21&lt;&gt;"Serviço",0,IF(AND(AUTOEVENTO="Manual",$M21=1),0,IF(OFFSET(CRONOPLE!$F$14,$M21,AT$13)="",10^12,OFFSET(CRONOPLE!$F$14,$M21,AT$13))))</f>
        <v>1000000000000</v>
      </c>
      <c r="AU21" s="181">
        <f ca="1">IF($D21&lt;&gt;"Serviço",0,IF(AND(AUTOEVENTO="Manual",$M21=1),0,IF(OFFSET(CRONOPLE!$F$14,$M21,AU$13)="",10^12,OFFSET(CRONOPLE!$F$14,$M21,AU$13))))</f>
        <v>1000000000000</v>
      </c>
      <c r="AV21" s="181">
        <f ca="1">IF($D21&lt;&gt;"Serviço",0,IF(AND(AUTOEVENTO="Manual",$M21=1),0,IF(OFFSET(CRONOPLE!$F$14,$M21,AV$13)="",10^12,OFFSET(CRONOPLE!$F$14,$M21,AV$13))))</f>
        <v>1000000000000</v>
      </c>
      <c r="AX21" s="182">
        <f ca="1">IF($D21&lt;&gt;"Serviço",0,IF(OR(AND(AUTOEVENTO="Manual",$M21=1),$M21&gt;(ROW(PLE.lastrow)-ROW(PLE.firstrow))),0,IF(OFFSET(PLE!$G$14,$M21,AX$13)="",10^12,OFFSET(PLE!$G$14,$M21,AX$13))))</f>
        <v>1000000000000</v>
      </c>
      <c r="AY21" s="182">
        <f ca="1">IF($D21&lt;&gt;"Serviço",0,IF(OR(AND(AUTOEVENTO="Manual",$M21=1),$M21&gt;(ROW(PLE.lastrow)-ROW(PLE.firstrow))),0,IF(OFFSET(PLE!$G$14,$M21,AY$13)="",10^12,OFFSET(PLE!$G$14,$M21,AY$13))))</f>
        <v>1000000000000</v>
      </c>
      <c r="AZ21" s="182">
        <f ca="1">IF($D21&lt;&gt;"Serviço",0,IF(OR(AND(AUTOEVENTO="Manual",$M21=1),$M21&gt;(ROW(PLE.lastrow)-ROW(PLE.firstrow))),0,IF(OFFSET(PLE!$G$14,$M21,AZ$13)="",10^12,OFFSET(PLE!$G$14,$M21,AZ$13))))</f>
        <v>1000000000000</v>
      </c>
      <c r="BA21" s="182">
        <f ca="1">IF($D21&lt;&gt;"Serviço",0,IF(OR(AND(AUTOEVENTO="Manual",$M21=1),$M21&gt;(ROW(PLE.lastrow)-ROW(PLE.firstrow))),0,IF(OFFSET(PLE!$G$14,$M21,BA$13)="",10^12,OFFSET(PLE!$G$14,$M21,BA$13))))</f>
        <v>1000000000000</v>
      </c>
      <c r="BB21" s="182">
        <f ca="1">IF($D21&lt;&gt;"Serviço",0,IF(OR(AND(AUTOEVENTO="Manual",$M21=1),$M21&gt;(ROW(PLE.lastrow)-ROW(PLE.firstrow))),0,IF(OFFSET(PLE!$G$14,$M21,BB$13)="",10^12,OFFSET(PLE!$G$14,$M21,BB$13))))</f>
        <v>1000000000000</v>
      </c>
      <c r="BC21" s="182">
        <f ca="1">IF($D21&lt;&gt;"Serviço",0,IF(OR(AND(AUTOEVENTO="Manual",$M21=1),$M21&gt;(ROW(PLE.lastrow)-ROW(PLE.firstrow))),0,IF(OFFSET(PLE!$G$14,$M21,BC$13)="",10^12,OFFSET(PLE!$G$14,$M21,BC$13))))</f>
        <v>1000000000000</v>
      </c>
      <c r="BD21" s="182">
        <f ca="1">IF($D21&lt;&gt;"Serviço",0,IF(OR(AND(AUTOEVENTO="Manual",$M21=1),$M21&gt;(ROW(PLE.lastrow)-ROW(PLE.firstrow))),0,IF(OFFSET(PLE!$G$14,$M21,BD$13)="",10^12,OFFSET(PLE!$G$14,$M21,BD$13))))</f>
        <v>1000000000000</v>
      </c>
      <c r="BE21" s="182">
        <f ca="1">IF($D21&lt;&gt;"Serviço",0,IF(OR(AND(AUTOEVENTO="Manual",$M21=1),$M21&gt;(ROW(PLE.lastrow)-ROW(PLE.firstrow))),0,IF(OFFSET(PLE!$G$14,$M21,BE$13)="",10^12,OFFSET(PLE!$G$14,$M21,BE$13))))</f>
        <v>1000000000000</v>
      </c>
      <c r="BF21" s="182">
        <f ca="1">IF($D21&lt;&gt;"Serviço",0,IF(OR(AND(AUTOEVENTO="Manual",$M21=1),$M21&gt;(ROW(PLE.lastrow)-ROW(PLE.firstrow))),0,IF(OFFSET(PLE!$G$14,$M21,BF$13)="",10^12,OFFSET(PLE!$G$14,$M21,BF$13))))</f>
        <v>1000000000000</v>
      </c>
      <c r="BG21" s="182">
        <f ca="1">IF($D21&lt;&gt;"Serviço",0,IF(OR(AND(AUTOEVENTO="Manual",$M21=1),$M21&gt;(ROW(PLE.lastrow)-ROW(PLE.firstrow))),0,IF(OFFSET(PLE!$G$14,$M21,BG$13)="",10^12,OFFSET(PLE!$G$14,$M21,BG$13))))</f>
        <v>1000000000000</v>
      </c>
    </row>
    <row r="22" spans="1:59" ht="12.75" x14ac:dyDescent="0.2">
      <c r="A22" s="7" t="str">
        <f t="shared" ref="A22:A37" ca="1" si="9">IF(AUTOEVENTO="Manual",IF(K22&lt;&gt;"",MIN(VALUE(LEFT(K22,FIND(".",K22)-1)),COUNTA(EVENTOS.Lista)),0),IF(OR($B22&gt;AUTOEVENTO,$B22="S",$B22=0),SUBSTITUTE(OFFSET($A22,-1,0),IF($D22="Serviço",".",""),""),ROW(A22)-ROW($A$15)&amp;"."))</f>
        <v>7.</v>
      </c>
      <c r="B22" s="7">
        <f ca="1">OFFSET(ORÇAMENTO!C$15,ROW(B22)-ROW(B$15),0)</f>
        <v>2</v>
      </c>
      <c r="C22" s="7" t="str">
        <f ca="1">OFFSET(ORÇAMENTO!L$15,ROW(C22)-ROW(C$15),0)</f>
        <v>F</v>
      </c>
      <c r="D22" s="118" t="str">
        <f ca="1">OFFSET(ORÇAMENTO!N$15,ROW(D22)-ROW(D$15),0)</f>
        <v>Nível 2</v>
      </c>
      <c r="E22" s="119" t="str">
        <f ca="1">OFFSET(ORÇAMENTO!O$15,ROW(E22)-ROW(E$15),0)</f>
        <v>1.2.</v>
      </c>
      <c r="F22" s="172" t="str">
        <f ca="1">OFFSET(ORÇAMENTO!R$15,ROW(F22)-ROW(F$15),0)</f>
        <v>DRENAGEM</v>
      </c>
      <c r="G22" s="173" t="str">
        <f ca="1">IF($D22&lt;&gt;"Serviço","",OFFSET(ORÇAMENTO!S$15,ROW(G22)-ROW(G$15),0))</f>
        <v/>
      </c>
      <c r="H22" s="124">
        <f ca="1">IF($D22&lt;&gt;"Serviço",0,IF(ACOMPANHAMENTO="BM",ROUND(OFFSET(ORÇAMENTO!AJ$15,ROW(H22)-ROW(H$15),0),15-13*ORÇAMENTO!$AF$7),SUMPRODUCT(($Q$12:$AA$12&lt;&gt;"")*ROUND($Q22:$AA22,15-13*ORÇAMENTO!$AF$7))))</f>
        <v>0</v>
      </c>
      <c r="I22" s="539"/>
      <c r="K22" s="174"/>
      <c r="L22" s="175" t="s">
        <v>254</v>
      </c>
      <c r="M22" s="176" t="str">
        <f ca="1">IF($D22&lt;&gt;"Serviço","",IF(AUTOEVENTO="manual",$A22,IF(ISERROR(MATCH($A22,$A$15:OFFSET($A22,-1,0),0)),MAX($M$15:OFFSET(M22,-1,0))+1,INDEX($M$15:OFFSET(M22,-1,0),MATCH($A22,$A$15:OFFSET($A22,-1,0),0)))))</f>
        <v/>
      </c>
      <c r="N22" s="177" t="str">
        <f ca="1">IF($D22&lt;&gt;"Serviço","",IF(AUTOEVENTO="Manual",IF($A22=0,"&lt;-- defina o número do agrupador",OFFSET(EVENTOS!$D$14,$A22,0)),OFFSET($F$15,$A22,0)))</f>
        <v/>
      </c>
      <c r="O22" s="178"/>
      <c r="Q22" s="178"/>
      <c r="R22" s="179"/>
      <c r="S22" s="179"/>
      <c r="T22" s="179"/>
      <c r="U22" s="179"/>
      <c r="V22" s="179"/>
      <c r="W22" s="179"/>
      <c r="X22" s="179"/>
      <c r="Y22" s="179"/>
      <c r="Z22" s="180"/>
      <c r="AB22" s="522">
        <f ca="1">IF(AND($D22="Serviço",AB$12&lt;&gt;0,$H22&gt;0,OR(AUTOEVENTO&lt;&gt;"manual",$M22&lt;&gt;1)),
IF(Import.TipoArredondamento&lt;&gt;"TransfereGOV",
ROUND(OFFSET($P22,0,AB$13),15-13*ORÇAMENTO!$AF$7)/$H22*OFFSET(ORÇAMENTO!$X$15,ROW(AB22)-ROW(AB$15),0),
ROUND(ROUND(OFFSET($P22,0,AB$13),15-13*ORÇAMENTO!$AF$7)*OFFSET(ORÇAMENTO!$W$15,ROW(AB22)-ROW(AB$15),0),15-13*ORÇAMENTO!$AF$11)),0)</f>
        <v>0</v>
      </c>
      <c r="AC22" s="523">
        <f ca="1">IF(AND($D22="Serviço",AC$12&lt;&gt;0,$H22&gt;0,OR(AUTOEVENTO&lt;&gt;"manual",$M22&lt;&gt;1)),
IF(Import.TipoArredondamento&lt;&gt;"TransfereGOV",
ROUND(OFFSET($P22,0,AC$13),15-13*ORÇAMENTO!$AF$7)/$H22*OFFSET(ORÇAMENTO!$X$15,ROW(AC22)-ROW(AC$15),0),
ROUND(ROUND(OFFSET($P22,0,AC$13),15-13*ORÇAMENTO!$AF$7)*OFFSET(ORÇAMENTO!$W$15,ROW(AC22)-ROW(AC$15),0),15-13*ORÇAMENTO!$AF$11)),0)</f>
        <v>0</v>
      </c>
      <c r="AD22" s="523">
        <f ca="1">IF(AND($D22="Serviço",AD$12&lt;&gt;0,$H22&gt;0,OR(AUTOEVENTO&lt;&gt;"manual",$M22&lt;&gt;1)),
IF(Import.TipoArredondamento&lt;&gt;"TransfereGOV",
ROUND(OFFSET($P22,0,AD$13),15-13*ORÇAMENTO!$AF$7)/$H22*OFFSET(ORÇAMENTO!$X$15,ROW(AD22)-ROW(AD$15),0),
ROUND(ROUND(OFFSET($P22,0,AD$13),15-13*ORÇAMENTO!$AF$7)*OFFSET(ORÇAMENTO!$W$15,ROW(AD22)-ROW(AD$15),0),15-13*ORÇAMENTO!$AF$11)),0)</f>
        <v>0</v>
      </c>
      <c r="AE22" s="523">
        <f ca="1">IF(AND($D22="Serviço",AE$12&lt;&gt;0,$H22&gt;0,OR(AUTOEVENTO&lt;&gt;"manual",$M22&lt;&gt;1)),
IF(Import.TipoArredondamento&lt;&gt;"TransfereGOV",
ROUND(OFFSET($P22,0,AE$13),15-13*ORÇAMENTO!$AF$7)/$H22*OFFSET(ORÇAMENTO!$X$15,ROW(AE22)-ROW(AE$15),0),
ROUND(ROUND(OFFSET($P22,0,AE$13),15-13*ORÇAMENTO!$AF$7)*OFFSET(ORÇAMENTO!$W$15,ROW(AE22)-ROW(AE$15),0),15-13*ORÇAMENTO!$AF$11)),0)</f>
        <v>0</v>
      </c>
      <c r="AF22" s="523">
        <f ca="1">IF(AND($D22="Serviço",AF$12&lt;&gt;0,$H22&gt;0,OR(AUTOEVENTO&lt;&gt;"manual",$M22&lt;&gt;1)),
IF(Import.TipoArredondamento&lt;&gt;"TransfereGOV",
ROUND(OFFSET($P22,0,AF$13),15-13*ORÇAMENTO!$AF$7)/$H22*OFFSET(ORÇAMENTO!$X$15,ROW(AF22)-ROW(AF$15),0),
ROUND(ROUND(OFFSET($P22,0,AF$13),15-13*ORÇAMENTO!$AF$7)*OFFSET(ORÇAMENTO!$W$15,ROW(AF22)-ROW(AF$15),0),15-13*ORÇAMENTO!$AF$11)),0)</f>
        <v>0</v>
      </c>
      <c r="AG22" s="523">
        <f ca="1">IF(AND($D22="Serviço",AG$12&lt;&gt;0,$H22&gt;0,OR(AUTOEVENTO&lt;&gt;"manual",$M22&lt;&gt;1)),
IF(Import.TipoArredondamento&lt;&gt;"TransfereGOV",
ROUND(OFFSET($P22,0,AG$13),15-13*ORÇAMENTO!$AF$7)/$H22*OFFSET(ORÇAMENTO!$X$15,ROW(AG22)-ROW(AG$15),0),
ROUND(ROUND(OFFSET($P22,0,AG$13),15-13*ORÇAMENTO!$AF$7)*OFFSET(ORÇAMENTO!$W$15,ROW(AG22)-ROW(AG$15),0),15-13*ORÇAMENTO!$AF$11)),0)</f>
        <v>0</v>
      </c>
      <c r="AH22" s="523">
        <f ca="1">IF(AND($D22="Serviço",AH$12&lt;&gt;0,$H22&gt;0,OR(AUTOEVENTO&lt;&gt;"manual",$M22&lt;&gt;1)),
IF(Import.TipoArredondamento&lt;&gt;"TransfereGOV",
ROUND(OFFSET($P22,0,AH$13),15-13*ORÇAMENTO!$AF$7)/$H22*OFFSET(ORÇAMENTO!$X$15,ROW(AH22)-ROW(AH$15),0),
ROUND(ROUND(OFFSET($P22,0,AH$13),15-13*ORÇAMENTO!$AF$7)*OFFSET(ORÇAMENTO!$W$15,ROW(AH22)-ROW(AH$15),0),15-13*ORÇAMENTO!$AF$11)),0)</f>
        <v>0</v>
      </c>
      <c r="AI22" s="523">
        <f ca="1">IF(AND($D22="Serviço",AI$12&lt;&gt;0,$H22&gt;0,OR(AUTOEVENTO&lt;&gt;"manual",$M22&lt;&gt;1)),
IF(Import.TipoArredondamento&lt;&gt;"TransfereGOV",
ROUND(OFFSET($P22,0,AI$13),15-13*ORÇAMENTO!$AF$7)/$H22*OFFSET(ORÇAMENTO!$X$15,ROW(AI22)-ROW(AI$15),0),
ROUND(ROUND(OFFSET($P22,0,AI$13),15-13*ORÇAMENTO!$AF$7)*OFFSET(ORÇAMENTO!$W$15,ROW(AI22)-ROW(AI$15),0),15-13*ORÇAMENTO!$AF$11)),0)</f>
        <v>0</v>
      </c>
      <c r="AJ22" s="523">
        <f ca="1">IF(AND($D22="Serviço",AJ$12&lt;&gt;0,$H22&gt;0,OR(AUTOEVENTO&lt;&gt;"manual",$M22&lt;&gt;1)),
IF(Import.TipoArredondamento&lt;&gt;"TransfereGOV",
ROUND(OFFSET($P22,0,AJ$13),15-13*ORÇAMENTO!$AF$7)/$H22*OFFSET(ORÇAMENTO!$X$15,ROW(AJ22)-ROW(AJ$15),0),
ROUND(ROUND(OFFSET($P22,0,AJ$13),15-13*ORÇAMENTO!$AF$7)*OFFSET(ORÇAMENTO!$W$15,ROW(AJ22)-ROW(AJ$15),0),15-13*ORÇAMENTO!$AF$11)),0)</f>
        <v>0</v>
      </c>
      <c r="AK22" s="524">
        <f ca="1">IF(AND($D22="Serviço",AK$12&lt;&gt;0,$H22&gt;0,OR(AUTOEVENTO&lt;&gt;"manual",$M22&lt;&gt;1)),
IF(Import.TipoArredondamento&lt;&gt;"TransfereGOV",
ROUND(OFFSET($P22,0,AK$13),15-13*ORÇAMENTO!$AF$7)/$H22*OFFSET(ORÇAMENTO!$X$15,ROW(AK22)-ROW(AK$15),0),
ROUND(ROUND(OFFSET($P22,0,AK$13),15-13*ORÇAMENTO!$AF$7)*OFFSET(ORÇAMENTO!$W$15,ROW(AK22)-ROW(AK$15),0),15-13*ORÇAMENTO!$AF$11)),0)</f>
        <v>0</v>
      </c>
      <c r="AM22" s="181">
        <f ca="1">IF($D22&lt;&gt;"Serviço",0,IF(AND(AUTOEVENTO="Manual",$M22=1),0,IF(OFFSET(CRONOPLE!$F$14,$M22,AM$13)="",10^12,OFFSET(CRONOPLE!$F$14,$M22,AM$13))))</f>
        <v>0</v>
      </c>
      <c r="AN22" s="181">
        <f ca="1">IF($D22&lt;&gt;"Serviço",0,IF(AND(AUTOEVENTO="Manual",$M22=1),0,IF(OFFSET(CRONOPLE!$F$14,$M22,AN$13)="",10^12,OFFSET(CRONOPLE!$F$14,$M22,AN$13))))</f>
        <v>0</v>
      </c>
      <c r="AO22" s="181">
        <f ca="1">IF($D22&lt;&gt;"Serviço",0,IF(AND(AUTOEVENTO="Manual",$M22=1),0,IF(OFFSET(CRONOPLE!$F$14,$M22,AO$13)="",10^12,OFFSET(CRONOPLE!$F$14,$M22,AO$13))))</f>
        <v>0</v>
      </c>
      <c r="AP22" s="181">
        <f ca="1">IF($D22&lt;&gt;"Serviço",0,IF(AND(AUTOEVENTO="Manual",$M22=1),0,IF(OFFSET(CRONOPLE!$F$14,$M22,AP$13)="",10^12,OFFSET(CRONOPLE!$F$14,$M22,AP$13))))</f>
        <v>0</v>
      </c>
      <c r="AQ22" s="181">
        <f ca="1">IF($D22&lt;&gt;"Serviço",0,IF(AND(AUTOEVENTO="Manual",$M22=1),0,IF(OFFSET(CRONOPLE!$F$14,$M22,AQ$13)="",10^12,OFFSET(CRONOPLE!$F$14,$M22,AQ$13))))</f>
        <v>0</v>
      </c>
      <c r="AR22" s="181">
        <f ca="1">IF($D22&lt;&gt;"Serviço",0,IF(AND(AUTOEVENTO="Manual",$M22=1),0,IF(OFFSET(CRONOPLE!$F$14,$M22,AR$13)="",10^12,OFFSET(CRONOPLE!$F$14,$M22,AR$13))))</f>
        <v>0</v>
      </c>
      <c r="AS22" s="181">
        <f ca="1">IF($D22&lt;&gt;"Serviço",0,IF(AND(AUTOEVENTO="Manual",$M22=1),0,IF(OFFSET(CRONOPLE!$F$14,$M22,AS$13)="",10^12,OFFSET(CRONOPLE!$F$14,$M22,AS$13))))</f>
        <v>0</v>
      </c>
      <c r="AT22" s="181">
        <f ca="1">IF($D22&lt;&gt;"Serviço",0,IF(AND(AUTOEVENTO="Manual",$M22=1),0,IF(OFFSET(CRONOPLE!$F$14,$M22,AT$13)="",10^12,OFFSET(CRONOPLE!$F$14,$M22,AT$13))))</f>
        <v>0</v>
      </c>
      <c r="AU22" s="181">
        <f ca="1">IF($D22&lt;&gt;"Serviço",0,IF(AND(AUTOEVENTO="Manual",$M22=1),0,IF(OFFSET(CRONOPLE!$F$14,$M22,AU$13)="",10^12,OFFSET(CRONOPLE!$F$14,$M22,AU$13))))</f>
        <v>0</v>
      </c>
      <c r="AV22" s="181">
        <f ca="1">IF($D22&lt;&gt;"Serviço",0,IF(AND(AUTOEVENTO="Manual",$M22=1),0,IF(OFFSET(CRONOPLE!$F$14,$M22,AV$13)="",10^12,OFFSET(CRONOPLE!$F$14,$M22,AV$13))))</f>
        <v>0</v>
      </c>
      <c r="AX22" s="182">
        <f ca="1">IF($D22&lt;&gt;"Serviço",0,IF(OR(AND(AUTOEVENTO="Manual",$M22=1),$M22&gt;(ROW(PLE.lastrow)-ROW(PLE.firstrow))),0,IF(OFFSET(PLE!$G$14,$M22,AX$13)="",10^12,OFFSET(PLE!$G$14,$M22,AX$13))))</f>
        <v>0</v>
      </c>
      <c r="AY22" s="182">
        <f ca="1">IF($D22&lt;&gt;"Serviço",0,IF(OR(AND(AUTOEVENTO="Manual",$M22=1),$M22&gt;(ROW(PLE.lastrow)-ROW(PLE.firstrow))),0,IF(OFFSET(PLE!$G$14,$M22,AY$13)="",10^12,OFFSET(PLE!$G$14,$M22,AY$13))))</f>
        <v>0</v>
      </c>
      <c r="AZ22" s="182">
        <f ca="1">IF($D22&lt;&gt;"Serviço",0,IF(OR(AND(AUTOEVENTO="Manual",$M22=1),$M22&gt;(ROW(PLE.lastrow)-ROW(PLE.firstrow))),0,IF(OFFSET(PLE!$G$14,$M22,AZ$13)="",10^12,OFFSET(PLE!$G$14,$M22,AZ$13))))</f>
        <v>0</v>
      </c>
      <c r="BA22" s="182">
        <f ca="1">IF($D22&lt;&gt;"Serviço",0,IF(OR(AND(AUTOEVENTO="Manual",$M22=1),$M22&gt;(ROW(PLE.lastrow)-ROW(PLE.firstrow))),0,IF(OFFSET(PLE!$G$14,$M22,BA$13)="",10^12,OFFSET(PLE!$G$14,$M22,BA$13))))</f>
        <v>0</v>
      </c>
      <c r="BB22" s="182">
        <f ca="1">IF($D22&lt;&gt;"Serviço",0,IF(OR(AND(AUTOEVENTO="Manual",$M22=1),$M22&gt;(ROW(PLE.lastrow)-ROW(PLE.firstrow))),0,IF(OFFSET(PLE!$G$14,$M22,BB$13)="",10^12,OFFSET(PLE!$G$14,$M22,BB$13))))</f>
        <v>0</v>
      </c>
      <c r="BC22" s="182">
        <f ca="1">IF($D22&lt;&gt;"Serviço",0,IF(OR(AND(AUTOEVENTO="Manual",$M22=1),$M22&gt;(ROW(PLE.lastrow)-ROW(PLE.firstrow))),0,IF(OFFSET(PLE!$G$14,$M22,BC$13)="",10^12,OFFSET(PLE!$G$14,$M22,BC$13))))</f>
        <v>0</v>
      </c>
      <c r="BD22" s="182">
        <f ca="1">IF($D22&lt;&gt;"Serviço",0,IF(OR(AND(AUTOEVENTO="Manual",$M22=1),$M22&gt;(ROW(PLE.lastrow)-ROW(PLE.firstrow))),0,IF(OFFSET(PLE!$G$14,$M22,BD$13)="",10^12,OFFSET(PLE!$G$14,$M22,BD$13))))</f>
        <v>0</v>
      </c>
      <c r="BE22" s="182">
        <f ca="1">IF($D22&lt;&gt;"Serviço",0,IF(OR(AND(AUTOEVENTO="Manual",$M22=1),$M22&gt;(ROW(PLE.lastrow)-ROW(PLE.firstrow))),0,IF(OFFSET(PLE!$G$14,$M22,BE$13)="",10^12,OFFSET(PLE!$G$14,$M22,BE$13))))</f>
        <v>0</v>
      </c>
      <c r="BF22" s="182">
        <f ca="1">IF($D22&lt;&gt;"Serviço",0,IF(OR(AND(AUTOEVENTO="Manual",$M22=1),$M22&gt;(ROW(PLE.lastrow)-ROW(PLE.firstrow))),0,IF(OFFSET(PLE!$G$14,$M22,BF$13)="",10^12,OFFSET(PLE!$G$14,$M22,BF$13))))</f>
        <v>0</v>
      </c>
      <c r="BG22" s="182">
        <f ca="1">IF($D22&lt;&gt;"Serviço",0,IF(OR(AND(AUTOEVENTO="Manual",$M22=1),$M22&gt;(ROW(PLE.lastrow)-ROW(PLE.firstrow))),0,IF(OFFSET(PLE!$G$14,$M22,BG$13)="",10^12,OFFSET(PLE!$G$14,$M22,BG$13))))</f>
        <v>0</v>
      </c>
    </row>
    <row r="23" spans="1:59" ht="63.75" x14ac:dyDescent="0.2">
      <c r="A23" s="7" t="str">
        <f t="shared" ca="1" si="9"/>
        <v>7</v>
      </c>
      <c r="B23" s="7" t="str">
        <f ca="1">OFFSET(ORÇAMENTO!C$15,ROW(B23)-ROW(B$15),0)</f>
        <v>S</v>
      </c>
      <c r="C23" s="7" t="str">
        <f ca="1">OFFSET(ORÇAMENTO!L$15,ROW(C23)-ROW(C$15),0)</f>
        <v/>
      </c>
      <c r="D23" s="118" t="str">
        <f ca="1">OFFSET(ORÇAMENTO!N$15,ROW(D23)-ROW(D$15),0)</f>
        <v>Serviço</v>
      </c>
      <c r="E23" s="119" t="str">
        <f ca="1">OFFSET(ORÇAMENTO!O$15,ROW(E23)-ROW(E$15),0)</f>
        <v>-</v>
      </c>
      <c r="F23" s="172" t="str">
        <f ca="1">OFFSET(ORÇAMENTO!R$15,ROW(F23)-ROW(F$15),0)</f>
        <v>(abra o arquivo 'Referência 05-Friday.xlsm)</v>
      </c>
      <c r="G23" s="173" t="str">
        <f ca="1">IF($D23&lt;&gt;"Serviço","",OFFSET(ORÇAMENTO!S$15,ROW(G23)-ROW(G$15),0))</f>
        <v>-</v>
      </c>
      <c r="H23" s="124">
        <f ca="1">IF($D23&lt;&gt;"Serviço",0,IF(ACOMPANHAMENTO="BM",ROUND(OFFSET(ORÇAMENTO!AJ$15,ROW(H23)-ROW(H$15),0),15-13*ORÇAMENTO!$AF$7),SUMPRODUCT(($Q$12:$AA$12&lt;&gt;"")*ROUND($Q23:$AA23,15-13*ORÇAMENTO!$AF$7))))</f>
        <v>64.05</v>
      </c>
      <c r="I23" s="539" t="s">
        <v>521</v>
      </c>
      <c r="K23" s="174"/>
      <c r="L23" s="175" t="s">
        <v>254</v>
      </c>
      <c r="M23" s="176">
        <f ca="1">IF($D23&lt;&gt;"Serviço","",IF(AUTOEVENTO="manual",$A23,IF(ISERROR(MATCH($A23,$A$15:OFFSET($A23,-1,0),0)),MAX($M$15:OFFSET(M23,-1,0))+1,INDEX($M$15:OFFSET(M23,-1,0),MATCH($A23,$A$15:OFFSET($A23,-1,0),0)))))</f>
        <v>3</v>
      </c>
      <c r="N23" s="177" t="str">
        <f ca="1">IF($D23&lt;&gt;"Serviço","",IF(AUTOEVENTO="Manual",IF($A23=0,"&lt;-- defina o número do agrupador",OFFSET(EVENTOS!$D$14,$A23,0)),OFFSET($F$15,$A23,0)))</f>
        <v>DRENAGEM</v>
      </c>
      <c r="O23" s="178"/>
      <c r="Q23" s="178">
        <f>61*1.5*0.7</f>
        <v>64.05</v>
      </c>
      <c r="R23" s="179"/>
      <c r="S23" s="179"/>
      <c r="T23" s="179"/>
      <c r="U23" s="179"/>
      <c r="V23" s="179"/>
      <c r="W23" s="179"/>
      <c r="X23" s="179"/>
      <c r="Y23" s="179"/>
      <c r="Z23" s="180"/>
      <c r="AB23" s="522">
        <f ca="1">IF(AND($D23="Serviço",AB$12&lt;&gt;0,$H23&gt;0,OR(AUTOEVENTO&lt;&gt;"manual",$M23&lt;&gt;1)),
IF(Import.TipoArredondamento&lt;&gt;"TransfereGOV",
ROUND(OFFSET($P23,0,AB$13),15-13*ORÇAMENTO!$AF$7)/$H23*OFFSET(ORÇAMENTO!$X$15,ROW(AB23)-ROW(AB$15),0),
ROUND(ROUND(OFFSET($P23,0,AB$13),15-13*ORÇAMENTO!$AF$7)*OFFSET(ORÇAMENTO!$W$15,ROW(AB23)-ROW(AB$15),0),15-13*ORÇAMENTO!$AF$11)),0)</f>
        <v>0</v>
      </c>
      <c r="AC23" s="523">
        <f ca="1">IF(AND($D23="Serviço",AC$12&lt;&gt;0,$H23&gt;0,OR(AUTOEVENTO&lt;&gt;"manual",$M23&lt;&gt;1)),
IF(Import.TipoArredondamento&lt;&gt;"TransfereGOV",
ROUND(OFFSET($P23,0,AC$13),15-13*ORÇAMENTO!$AF$7)/$H23*OFFSET(ORÇAMENTO!$X$15,ROW(AC23)-ROW(AC$15),0),
ROUND(ROUND(OFFSET($P23,0,AC$13),15-13*ORÇAMENTO!$AF$7)*OFFSET(ORÇAMENTO!$W$15,ROW(AC23)-ROW(AC$15),0),15-13*ORÇAMENTO!$AF$11)),0)</f>
        <v>0</v>
      </c>
      <c r="AD23" s="523">
        <f ca="1">IF(AND($D23="Serviço",AD$12&lt;&gt;0,$H23&gt;0,OR(AUTOEVENTO&lt;&gt;"manual",$M23&lt;&gt;1)),
IF(Import.TipoArredondamento&lt;&gt;"TransfereGOV",
ROUND(OFFSET($P23,0,AD$13),15-13*ORÇAMENTO!$AF$7)/$H23*OFFSET(ORÇAMENTO!$X$15,ROW(AD23)-ROW(AD$15),0),
ROUND(ROUND(OFFSET($P23,0,AD$13),15-13*ORÇAMENTO!$AF$7)*OFFSET(ORÇAMENTO!$W$15,ROW(AD23)-ROW(AD$15),0),15-13*ORÇAMENTO!$AF$11)),0)</f>
        <v>0</v>
      </c>
      <c r="AE23" s="523">
        <f ca="1">IF(AND($D23="Serviço",AE$12&lt;&gt;0,$H23&gt;0,OR(AUTOEVENTO&lt;&gt;"manual",$M23&lt;&gt;1)),
IF(Import.TipoArredondamento&lt;&gt;"TransfereGOV",
ROUND(OFFSET($P23,0,AE$13),15-13*ORÇAMENTO!$AF$7)/$H23*OFFSET(ORÇAMENTO!$X$15,ROW(AE23)-ROW(AE$15),0),
ROUND(ROUND(OFFSET($P23,0,AE$13),15-13*ORÇAMENTO!$AF$7)*OFFSET(ORÇAMENTO!$W$15,ROW(AE23)-ROW(AE$15),0),15-13*ORÇAMENTO!$AF$11)),0)</f>
        <v>0</v>
      </c>
      <c r="AF23" s="523">
        <f ca="1">IF(AND($D23="Serviço",AF$12&lt;&gt;0,$H23&gt;0,OR(AUTOEVENTO&lt;&gt;"manual",$M23&lt;&gt;1)),
IF(Import.TipoArredondamento&lt;&gt;"TransfereGOV",
ROUND(OFFSET($P23,0,AF$13),15-13*ORÇAMENTO!$AF$7)/$H23*OFFSET(ORÇAMENTO!$X$15,ROW(AF23)-ROW(AF$15),0),
ROUND(ROUND(OFFSET($P23,0,AF$13),15-13*ORÇAMENTO!$AF$7)*OFFSET(ORÇAMENTO!$W$15,ROW(AF23)-ROW(AF$15),0),15-13*ORÇAMENTO!$AF$11)),0)</f>
        <v>0</v>
      </c>
      <c r="AG23" s="523">
        <f ca="1">IF(AND($D23="Serviço",AG$12&lt;&gt;0,$H23&gt;0,OR(AUTOEVENTO&lt;&gt;"manual",$M23&lt;&gt;1)),
IF(Import.TipoArredondamento&lt;&gt;"TransfereGOV",
ROUND(OFFSET($P23,0,AG$13),15-13*ORÇAMENTO!$AF$7)/$H23*OFFSET(ORÇAMENTO!$X$15,ROW(AG23)-ROW(AG$15),0),
ROUND(ROUND(OFFSET($P23,0,AG$13),15-13*ORÇAMENTO!$AF$7)*OFFSET(ORÇAMENTO!$W$15,ROW(AG23)-ROW(AG$15),0),15-13*ORÇAMENTO!$AF$11)),0)</f>
        <v>0</v>
      </c>
      <c r="AH23" s="523">
        <f ca="1">IF(AND($D23="Serviço",AH$12&lt;&gt;0,$H23&gt;0,OR(AUTOEVENTO&lt;&gt;"manual",$M23&lt;&gt;1)),
IF(Import.TipoArredondamento&lt;&gt;"TransfereGOV",
ROUND(OFFSET($P23,0,AH$13),15-13*ORÇAMENTO!$AF$7)/$H23*OFFSET(ORÇAMENTO!$X$15,ROW(AH23)-ROW(AH$15),0),
ROUND(ROUND(OFFSET($P23,0,AH$13),15-13*ORÇAMENTO!$AF$7)*OFFSET(ORÇAMENTO!$W$15,ROW(AH23)-ROW(AH$15),0),15-13*ORÇAMENTO!$AF$11)),0)</f>
        <v>0</v>
      </c>
      <c r="AI23" s="523">
        <f ca="1">IF(AND($D23="Serviço",AI$12&lt;&gt;0,$H23&gt;0,OR(AUTOEVENTO&lt;&gt;"manual",$M23&lt;&gt;1)),
IF(Import.TipoArredondamento&lt;&gt;"TransfereGOV",
ROUND(OFFSET($P23,0,AI$13),15-13*ORÇAMENTO!$AF$7)/$H23*OFFSET(ORÇAMENTO!$X$15,ROW(AI23)-ROW(AI$15),0),
ROUND(ROUND(OFFSET($P23,0,AI$13),15-13*ORÇAMENTO!$AF$7)*OFFSET(ORÇAMENTO!$W$15,ROW(AI23)-ROW(AI$15),0),15-13*ORÇAMENTO!$AF$11)),0)</f>
        <v>0</v>
      </c>
      <c r="AJ23" s="523">
        <f ca="1">IF(AND($D23="Serviço",AJ$12&lt;&gt;0,$H23&gt;0,OR(AUTOEVENTO&lt;&gt;"manual",$M23&lt;&gt;1)),
IF(Import.TipoArredondamento&lt;&gt;"TransfereGOV",
ROUND(OFFSET($P23,0,AJ$13),15-13*ORÇAMENTO!$AF$7)/$H23*OFFSET(ORÇAMENTO!$X$15,ROW(AJ23)-ROW(AJ$15),0),
ROUND(ROUND(OFFSET($P23,0,AJ$13),15-13*ORÇAMENTO!$AF$7)*OFFSET(ORÇAMENTO!$W$15,ROW(AJ23)-ROW(AJ$15),0),15-13*ORÇAMENTO!$AF$11)),0)</f>
        <v>0</v>
      </c>
      <c r="AK23" s="524">
        <f ca="1">IF(AND($D23="Serviço",AK$12&lt;&gt;0,$H23&gt;0,OR(AUTOEVENTO&lt;&gt;"manual",$M23&lt;&gt;1)),
IF(Import.TipoArredondamento&lt;&gt;"TransfereGOV",
ROUND(OFFSET($P23,0,AK$13),15-13*ORÇAMENTO!$AF$7)/$H23*OFFSET(ORÇAMENTO!$X$15,ROW(AK23)-ROW(AK$15),0),
ROUND(ROUND(OFFSET($P23,0,AK$13),15-13*ORÇAMENTO!$AF$7)*OFFSET(ORÇAMENTO!$W$15,ROW(AK23)-ROW(AK$15),0),15-13*ORÇAMENTO!$AF$11)),0)</f>
        <v>0</v>
      </c>
      <c r="AM23" s="181">
        <f ca="1">IF($D23&lt;&gt;"Serviço",0,IF(AND(AUTOEVENTO="Manual",$M23=1),0,IF(OFFSET(CRONOPLE!$F$14,$M23,AM$13)="",10^12,OFFSET(CRONOPLE!$F$14,$M23,AM$13))))</f>
        <v>1</v>
      </c>
      <c r="AN23" s="181">
        <f ca="1">IF($D23&lt;&gt;"Serviço",0,IF(AND(AUTOEVENTO="Manual",$M23=1),0,IF(OFFSET(CRONOPLE!$F$14,$M23,AN$13)="",10^12,OFFSET(CRONOPLE!$F$14,$M23,AN$13))))</f>
        <v>1000000000000</v>
      </c>
      <c r="AO23" s="181">
        <f ca="1">IF($D23&lt;&gt;"Serviço",0,IF(AND(AUTOEVENTO="Manual",$M23=1),0,IF(OFFSET(CRONOPLE!$F$14,$M23,AO$13)="",10^12,OFFSET(CRONOPLE!$F$14,$M23,AO$13))))</f>
        <v>1000000000000</v>
      </c>
      <c r="AP23" s="181">
        <f ca="1">IF($D23&lt;&gt;"Serviço",0,IF(AND(AUTOEVENTO="Manual",$M23=1),0,IF(OFFSET(CRONOPLE!$F$14,$M23,AP$13)="",10^12,OFFSET(CRONOPLE!$F$14,$M23,AP$13))))</f>
        <v>1000000000000</v>
      </c>
      <c r="AQ23" s="181">
        <f ca="1">IF($D23&lt;&gt;"Serviço",0,IF(AND(AUTOEVENTO="Manual",$M23=1),0,IF(OFFSET(CRONOPLE!$F$14,$M23,AQ$13)="",10^12,OFFSET(CRONOPLE!$F$14,$M23,AQ$13))))</f>
        <v>1000000000000</v>
      </c>
      <c r="AR23" s="181">
        <f ca="1">IF($D23&lt;&gt;"Serviço",0,IF(AND(AUTOEVENTO="Manual",$M23=1),0,IF(OFFSET(CRONOPLE!$F$14,$M23,AR$13)="",10^12,OFFSET(CRONOPLE!$F$14,$M23,AR$13))))</f>
        <v>1000000000000</v>
      </c>
      <c r="AS23" s="181">
        <f ca="1">IF($D23&lt;&gt;"Serviço",0,IF(AND(AUTOEVENTO="Manual",$M23=1),0,IF(OFFSET(CRONOPLE!$F$14,$M23,AS$13)="",10^12,OFFSET(CRONOPLE!$F$14,$M23,AS$13))))</f>
        <v>1000000000000</v>
      </c>
      <c r="AT23" s="181">
        <f ca="1">IF($D23&lt;&gt;"Serviço",0,IF(AND(AUTOEVENTO="Manual",$M23=1),0,IF(OFFSET(CRONOPLE!$F$14,$M23,AT$13)="",10^12,OFFSET(CRONOPLE!$F$14,$M23,AT$13))))</f>
        <v>1000000000000</v>
      </c>
      <c r="AU23" s="181">
        <f ca="1">IF($D23&lt;&gt;"Serviço",0,IF(AND(AUTOEVENTO="Manual",$M23=1),0,IF(OFFSET(CRONOPLE!$F$14,$M23,AU$13)="",10^12,OFFSET(CRONOPLE!$F$14,$M23,AU$13))))</f>
        <v>1000000000000</v>
      </c>
      <c r="AV23" s="181">
        <f ca="1">IF($D23&lt;&gt;"Serviço",0,IF(AND(AUTOEVENTO="Manual",$M23=1),0,IF(OFFSET(CRONOPLE!$F$14,$M23,AV$13)="",10^12,OFFSET(CRONOPLE!$F$14,$M23,AV$13))))</f>
        <v>1000000000000</v>
      </c>
      <c r="AX23" s="182">
        <f ca="1">IF($D23&lt;&gt;"Serviço",0,IF(OR(AND(AUTOEVENTO="Manual",$M23=1),$M23&gt;(ROW(PLE.lastrow)-ROW(PLE.firstrow))),0,IF(OFFSET(PLE!$G$14,$M23,AX$13)="",10^12,OFFSET(PLE!$G$14,$M23,AX$13))))</f>
        <v>1000000000000</v>
      </c>
      <c r="AY23" s="182">
        <f ca="1">IF($D23&lt;&gt;"Serviço",0,IF(OR(AND(AUTOEVENTO="Manual",$M23=1),$M23&gt;(ROW(PLE.lastrow)-ROW(PLE.firstrow))),0,IF(OFFSET(PLE!$G$14,$M23,AY$13)="",10^12,OFFSET(PLE!$G$14,$M23,AY$13))))</f>
        <v>1000000000000</v>
      </c>
      <c r="AZ23" s="182">
        <f ca="1">IF($D23&lt;&gt;"Serviço",0,IF(OR(AND(AUTOEVENTO="Manual",$M23=1),$M23&gt;(ROW(PLE.lastrow)-ROW(PLE.firstrow))),0,IF(OFFSET(PLE!$G$14,$M23,AZ$13)="",10^12,OFFSET(PLE!$G$14,$M23,AZ$13))))</f>
        <v>1000000000000</v>
      </c>
      <c r="BA23" s="182">
        <f ca="1">IF($D23&lt;&gt;"Serviço",0,IF(OR(AND(AUTOEVENTO="Manual",$M23=1),$M23&gt;(ROW(PLE.lastrow)-ROW(PLE.firstrow))),0,IF(OFFSET(PLE!$G$14,$M23,BA$13)="",10^12,OFFSET(PLE!$G$14,$M23,BA$13))))</f>
        <v>1000000000000</v>
      </c>
      <c r="BB23" s="182">
        <f ca="1">IF($D23&lt;&gt;"Serviço",0,IF(OR(AND(AUTOEVENTO="Manual",$M23=1),$M23&gt;(ROW(PLE.lastrow)-ROW(PLE.firstrow))),0,IF(OFFSET(PLE!$G$14,$M23,BB$13)="",10^12,OFFSET(PLE!$G$14,$M23,BB$13))))</f>
        <v>1000000000000</v>
      </c>
      <c r="BC23" s="182">
        <f ca="1">IF($D23&lt;&gt;"Serviço",0,IF(OR(AND(AUTOEVENTO="Manual",$M23=1),$M23&gt;(ROW(PLE.lastrow)-ROW(PLE.firstrow))),0,IF(OFFSET(PLE!$G$14,$M23,BC$13)="",10^12,OFFSET(PLE!$G$14,$M23,BC$13))))</f>
        <v>1000000000000</v>
      </c>
      <c r="BD23" s="182">
        <f ca="1">IF($D23&lt;&gt;"Serviço",0,IF(OR(AND(AUTOEVENTO="Manual",$M23=1),$M23&gt;(ROW(PLE.lastrow)-ROW(PLE.firstrow))),0,IF(OFFSET(PLE!$G$14,$M23,BD$13)="",10^12,OFFSET(PLE!$G$14,$M23,BD$13))))</f>
        <v>1000000000000</v>
      </c>
      <c r="BE23" s="182">
        <f ca="1">IF($D23&lt;&gt;"Serviço",0,IF(OR(AND(AUTOEVENTO="Manual",$M23=1),$M23&gt;(ROW(PLE.lastrow)-ROW(PLE.firstrow))),0,IF(OFFSET(PLE!$G$14,$M23,BE$13)="",10^12,OFFSET(PLE!$G$14,$M23,BE$13))))</f>
        <v>1000000000000</v>
      </c>
      <c r="BF23" s="182">
        <f ca="1">IF($D23&lt;&gt;"Serviço",0,IF(OR(AND(AUTOEVENTO="Manual",$M23=1),$M23&gt;(ROW(PLE.lastrow)-ROW(PLE.firstrow))),0,IF(OFFSET(PLE!$G$14,$M23,BF$13)="",10^12,OFFSET(PLE!$G$14,$M23,BF$13))))</f>
        <v>1000000000000</v>
      </c>
      <c r="BG23" s="182">
        <f ca="1">IF($D23&lt;&gt;"Serviço",0,IF(OR(AND(AUTOEVENTO="Manual",$M23=1),$M23&gt;(ROW(PLE.lastrow)-ROW(PLE.firstrow))),0,IF(OFFSET(PLE!$G$14,$M23,BG$13)="",10^12,OFFSET(PLE!$G$14,$M23,BG$13))))</f>
        <v>1000000000000</v>
      </c>
    </row>
    <row r="24" spans="1:59" ht="38.25" x14ac:dyDescent="0.2">
      <c r="A24" s="7" t="str">
        <f ca="1">IF(AUTOEVENTO="Manual",IF(K24&lt;&gt;"",MIN(VALUE(LEFT(K24,FIND(".",K24)-1)),COUNTA(EVENTOS.Lista)),0),IF(OR($B24&gt;AUTOEVENTO,$B24="S",$B24=0),SUBSTITUTE(OFFSET($A24,-1,0),IF($D24="Serviço",".",""),""),ROW(A24)-ROW($A$15)&amp;"."))</f>
        <v>7</v>
      </c>
      <c r="B24" s="7" t="str">
        <f ca="1">OFFSET(ORÇAMENTO!C$15,ROW(B24)-ROW(B$15),0)</f>
        <v>S</v>
      </c>
      <c r="C24" s="7" t="str">
        <f ca="1">OFFSET(ORÇAMENTO!L$15,ROW(C24)-ROW(C$15),0)</f>
        <v/>
      </c>
      <c r="D24" s="118" t="str">
        <f ca="1">OFFSET(ORÇAMENTO!N$15,ROW(D24)-ROW(D$15),0)</f>
        <v>Serviço</v>
      </c>
      <c r="E24" s="119" t="str">
        <f ca="1">OFFSET(ORÇAMENTO!O$15,ROW(E24)-ROW(E$15),0)</f>
        <v>-</v>
      </c>
      <c r="F24" s="172" t="str">
        <f ca="1">OFFSET(ORÇAMENTO!R$15,ROW(F24)-ROW(F$15),0)</f>
        <v>(abra o arquivo 'Referência 05-Friday.xlsm)</v>
      </c>
      <c r="G24" s="173" t="str">
        <f ca="1">IF($D24&lt;&gt;"Serviço","",OFFSET(ORÇAMENTO!S$15,ROW(G24)-ROW(G$15),0))</f>
        <v>-</v>
      </c>
      <c r="H24" s="124">
        <f ca="1">IF($D24&lt;&gt;"Serviço",0,IF(ACOMPANHAMENTO="BM",ROUND(OFFSET(ORÇAMENTO!AJ$15,ROW(H24)-ROW(H$15),0),15-13*ORÇAMENTO!$AF$7),SUMPRODUCT(($Q$12:$AA$12&lt;&gt;"")*ROUND($Q24:$AA24,15-13*ORÇAMENTO!$AF$7))))</f>
        <v>61</v>
      </c>
      <c r="I24" s="539" t="s">
        <v>538</v>
      </c>
      <c r="K24" s="174"/>
      <c r="L24" s="175" t="s">
        <v>254</v>
      </c>
      <c r="M24" s="176">
        <f ca="1">IF($D24&lt;&gt;"Serviço","",IF(AUTOEVENTO="manual",$A24,IF(ISERROR(MATCH($A24,$A$15:OFFSET($A24,-1,0),0)),MAX($M$15:OFFSET(M24,-1,0))+1,INDEX($M$15:OFFSET(M24,-1,0),MATCH($A24,$A$15:OFFSET($A24,-1,0),0)))))</f>
        <v>3</v>
      </c>
      <c r="N24" s="177" t="str">
        <f ca="1">IF($D24&lt;&gt;"Serviço","",IF(AUTOEVENTO="Manual",IF($A24=0,"&lt;-- defina o número do agrupador",OFFSET(EVENTOS!$D$14,$A24,0)),OFFSET($F$15,$A24,0)))</f>
        <v>DRENAGEM</v>
      </c>
      <c r="O24" s="178"/>
      <c r="Q24" s="178">
        <f>(12+49)*1</f>
        <v>61</v>
      </c>
      <c r="R24" s="179"/>
      <c r="S24" s="179"/>
      <c r="T24" s="179"/>
      <c r="U24" s="179"/>
      <c r="V24" s="179"/>
      <c r="W24" s="179"/>
      <c r="X24" s="179"/>
      <c r="Y24" s="179"/>
      <c r="Z24" s="180"/>
      <c r="AB24" s="522">
        <f ca="1">IF(AND($D24="Serviço",AB$12&lt;&gt;0,$H24&gt;0,OR(AUTOEVENTO&lt;&gt;"manual",$M24&lt;&gt;1)),
IF(Import.TipoArredondamento&lt;&gt;"TransfereGOV",
ROUND(OFFSET($P24,0,AB$13),15-13*ORÇAMENTO!$AF$7)/$H24*OFFSET(ORÇAMENTO!$X$15,ROW(AB24)-ROW(AB$15),0),
ROUND(ROUND(OFFSET($P24,0,AB$13),15-13*ORÇAMENTO!$AF$7)*OFFSET(ORÇAMENTO!$W$15,ROW(AB24)-ROW(AB$15),0),15-13*ORÇAMENTO!$AF$11)),0)</f>
        <v>0</v>
      </c>
      <c r="AC24" s="523">
        <f ca="1">IF(AND($D24="Serviço",AC$12&lt;&gt;0,$H24&gt;0,OR(AUTOEVENTO&lt;&gt;"manual",$M24&lt;&gt;1)),
IF(Import.TipoArredondamento&lt;&gt;"TransfereGOV",
ROUND(OFFSET($P24,0,AC$13),15-13*ORÇAMENTO!$AF$7)/$H24*OFFSET(ORÇAMENTO!$X$15,ROW(AC24)-ROW(AC$15),0),
ROUND(ROUND(OFFSET($P24,0,AC$13),15-13*ORÇAMENTO!$AF$7)*OFFSET(ORÇAMENTO!$W$15,ROW(AC24)-ROW(AC$15),0),15-13*ORÇAMENTO!$AF$11)),0)</f>
        <v>0</v>
      </c>
      <c r="AD24" s="523">
        <f ca="1">IF(AND($D24="Serviço",AD$12&lt;&gt;0,$H24&gt;0,OR(AUTOEVENTO&lt;&gt;"manual",$M24&lt;&gt;1)),
IF(Import.TipoArredondamento&lt;&gt;"TransfereGOV",
ROUND(OFFSET($P24,0,AD$13),15-13*ORÇAMENTO!$AF$7)/$H24*OFFSET(ORÇAMENTO!$X$15,ROW(AD24)-ROW(AD$15),0),
ROUND(ROUND(OFFSET($P24,0,AD$13),15-13*ORÇAMENTO!$AF$7)*OFFSET(ORÇAMENTO!$W$15,ROW(AD24)-ROW(AD$15),0),15-13*ORÇAMENTO!$AF$11)),0)</f>
        <v>0</v>
      </c>
      <c r="AE24" s="523">
        <f ca="1">IF(AND($D24="Serviço",AE$12&lt;&gt;0,$H24&gt;0,OR(AUTOEVENTO&lt;&gt;"manual",$M24&lt;&gt;1)),
IF(Import.TipoArredondamento&lt;&gt;"TransfereGOV",
ROUND(OFFSET($P24,0,AE$13),15-13*ORÇAMENTO!$AF$7)/$H24*OFFSET(ORÇAMENTO!$X$15,ROW(AE24)-ROW(AE$15),0),
ROUND(ROUND(OFFSET($P24,0,AE$13),15-13*ORÇAMENTO!$AF$7)*OFFSET(ORÇAMENTO!$W$15,ROW(AE24)-ROW(AE$15),0),15-13*ORÇAMENTO!$AF$11)),0)</f>
        <v>0</v>
      </c>
      <c r="AF24" s="523">
        <f ca="1">IF(AND($D24="Serviço",AF$12&lt;&gt;0,$H24&gt;0,OR(AUTOEVENTO&lt;&gt;"manual",$M24&lt;&gt;1)),
IF(Import.TipoArredondamento&lt;&gt;"TransfereGOV",
ROUND(OFFSET($P24,0,AF$13),15-13*ORÇAMENTO!$AF$7)/$H24*OFFSET(ORÇAMENTO!$X$15,ROW(AF24)-ROW(AF$15),0),
ROUND(ROUND(OFFSET($P24,0,AF$13),15-13*ORÇAMENTO!$AF$7)*OFFSET(ORÇAMENTO!$W$15,ROW(AF24)-ROW(AF$15),0),15-13*ORÇAMENTO!$AF$11)),0)</f>
        <v>0</v>
      </c>
      <c r="AG24" s="523">
        <f ca="1">IF(AND($D24="Serviço",AG$12&lt;&gt;0,$H24&gt;0,OR(AUTOEVENTO&lt;&gt;"manual",$M24&lt;&gt;1)),
IF(Import.TipoArredondamento&lt;&gt;"TransfereGOV",
ROUND(OFFSET($P24,0,AG$13),15-13*ORÇAMENTO!$AF$7)/$H24*OFFSET(ORÇAMENTO!$X$15,ROW(AG24)-ROW(AG$15),0),
ROUND(ROUND(OFFSET($P24,0,AG$13),15-13*ORÇAMENTO!$AF$7)*OFFSET(ORÇAMENTO!$W$15,ROW(AG24)-ROW(AG$15),0),15-13*ORÇAMENTO!$AF$11)),0)</f>
        <v>0</v>
      </c>
      <c r="AH24" s="523">
        <f ca="1">IF(AND($D24="Serviço",AH$12&lt;&gt;0,$H24&gt;0,OR(AUTOEVENTO&lt;&gt;"manual",$M24&lt;&gt;1)),
IF(Import.TipoArredondamento&lt;&gt;"TransfereGOV",
ROUND(OFFSET($P24,0,AH$13),15-13*ORÇAMENTO!$AF$7)/$H24*OFFSET(ORÇAMENTO!$X$15,ROW(AH24)-ROW(AH$15),0),
ROUND(ROUND(OFFSET($P24,0,AH$13),15-13*ORÇAMENTO!$AF$7)*OFFSET(ORÇAMENTO!$W$15,ROW(AH24)-ROW(AH$15),0),15-13*ORÇAMENTO!$AF$11)),0)</f>
        <v>0</v>
      </c>
      <c r="AI24" s="523">
        <f ca="1">IF(AND($D24="Serviço",AI$12&lt;&gt;0,$H24&gt;0,OR(AUTOEVENTO&lt;&gt;"manual",$M24&lt;&gt;1)),
IF(Import.TipoArredondamento&lt;&gt;"TransfereGOV",
ROUND(OFFSET($P24,0,AI$13),15-13*ORÇAMENTO!$AF$7)/$H24*OFFSET(ORÇAMENTO!$X$15,ROW(AI24)-ROW(AI$15),0),
ROUND(ROUND(OFFSET($P24,0,AI$13),15-13*ORÇAMENTO!$AF$7)*OFFSET(ORÇAMENTO!$W$15,ROW(AI24)-ROW(AI$15),0),15-13*ORÇAMENTO!$AF$11)),0)</f>
        <v>0</v>
      </c>
      <c r="AJ24" s="523">
        <f ca="1">IF(AND($D24="Serviço",AJ$12&lt;&gt;0,$H24&gt;0,OR(AUTOEVENTO&lt;&gt;"manual",$M24&lt;&gt;1)),
IF(Import.TipoArredondamento&lt;&gt;"TransfereGOV",
ROUND(OFFSET($P24,0,AJ$13),15-13*ORÇAMENTO!$AF$7)/$H24*OFFSET(ORÇAMENTO!$X$15,ROW(AJ24)-ROW(AJ$15),0),
ROUND(ROUND(OFFSET($P24,0,AJ$13),15-13*ORÇAMENTO!$AF$7)*OFFSET(ORÇAMENTO!$W$15,ROW(AJ24)-ROW(AJ$15),0),15-13*ORÇAMENTO!$AF$11)),0)</f>
        <v>0</v>
      </c>
      <c r="AK24" s="524">
        <f ca="1">IF(AND($D24="Serviço",AK$12&lt;&gt;0,$H24&gt;0,OR(AUTOEVENTO&lt;&gt;"manual",$M24&lt;&gt;1)),
IF(Import.TipoArredondamento&lt;&gt;"TransfereGOV",
ROUND(OFFSET($P24,0,AK$13),15-13*ORÇAMENTO!$AF$7)/$H24*OFFSET(ORÇAMENTO!$X$15,ROW(AK24)-ROW(AK$15),0),
ROUND(ROUND(OFFSET($P24,0,AK$13),15-13*ORÇAMENTO!$AF$7)*OFFSET(ORÇAMENTO!$W$15,ROW(AK24)-ROW(AK$15),0),15-13*ORÇAMENTO!$AF$11)),0)</f>
        <v>0</v>
      </c>
      <c r="AM24" s="181">
        <f ca="1">IF($D24&lt;&gt;"Serviço",0,IF(AND(AUTOEVENTO="Manual",$M24=1),0,IF(OFFSET(CRONOPLE!$F$14,$M24,AM$13)="",10^12,OFFSET(CRONOPLE!$F$14,$M24,AM$13))))</f>
        <v>1</v>
      </c>
      <c r="AN24" s="181">
        <f ca="1">IF($D24&lt;&gt;"Serviço",0,IF(AND(AUTOEVENTO="Manual",$M24=1),0,IF(OFFSET(CRONOPLE!$F$14,$M24,AN$13)="",10^12,OFFSET(CRONOPLE!$F$14,$M24,AN$13))))</f>
        <v>1000000000000</v>
      </c>
      <c r="AO24" s="181">
        <f ca="1">IF($D24&lt;&gt;"Serviço",0,IF(AND(AUTOEVENTO="Manual",$M24=1),0,IF(OFFSET(CRONOPLE!$F$14,$M24,AO$13)="",10^12,OFFSET(CRONOPLE!$F$14,$M24,AO$13))))</f>
        <v>1000000000000</v>
      </c>
      <c r="AP24" s="181">
        <f ca="1">IF($D24&lt;&gt;"Serviço",0,IF(AND(AUTOEVENTO="Manual",$M24=1),0,IF(OFFSET(CRONOPLE!$F$14,$M24,AP$13)="",10^12,OFFSET(CRONOPLE!$F$14,$M24,AP$13))))</f>
        <v>1000000000000</v>
      </c>
      <c r="AQ24" s="181">
        <f ca="1">IF($D24&lt;&gt;"Serviço",0,IF(AND(AUTOEVENTO="Manual",$M24=1),0,IF(OFFSET(CRONOPLE!$F$14,$M24,AQ$13)="",10^12,OFFSET(CRONOPLE!$F$14,$M24,AQ$13))))</f>
        <v>1000000000000</v>
      </c>
      <c r="AR24" s="181">
        <f ca="1">IF($D24&lt;&gt;"Serviço",0,IF(AND(AUTOEVENTO="Manual",$M24=1),0,IF(OFFSET(CRONOPLE!$F$14,$M24,AR$13)="",10^12,OFFSET(CRONOPLE!$F$14,$M24,AR$13))))</f>
        <v>1000000000000</v>
      </c>
      <c r="AS24" s="181">
        <f ca="1">IF($D24&lt;&gt;"Serviço",0,IF(AND(AUTOEVENTO="Manual",$M24=1),0,IF(OFFSET(CRONOPLE!$F$14,$M24,AS$13)="",10^12,OFFSET(CRONOPLE!$F$14,$M24,AS$13))))</f>
        <v>1000000000000</v>
      </c>
      <c r="AT24" s="181">
        <f ca="1">IF($D24&lt;&gt;"Serviço",0,IF(AND(AUTOEVENTO="Manual",$M24=1),0,IF(OFFSET(CRONOPLE!$F$14,$M24,AT$13)="",10^12,OFFSET(CRONOPLE!$F$14,$M24,AT$13))))</f>
        <v>1000000000000</v>
      </c>
      <c r="AU24" s="181">
        <f ca="1">IF($D24&lt;&gt;"Serviço",0,IF(AND(AUTOEVENTO="Manual",$M24=1),0,IF(OFFSET(CRONOPLE!$F$14,$M24,AU$13)="",10^12,OFFSET(CRONOPLE!$F$14,$M24,AU$13))))</f>
        <v>1000000000000</v>
      </c>
      <c r="AV24" s="181">
        <f ca="1">IF($D24&lt;&gt;"Serviço",0,IF(AND(AUTOEVENTO="Manual",$M24=1),0,IF(OFFSET(CRONOPLE!$F$14,$M24,AV$13)="",10^12,OFFSET(CRONOPLE!$F$14,$M24,AV$13))))</f>
        <v>1000000000000</v>
      </c>
      <c r="AX24" s="182">
        <f ca="1">IF($D24&lt;&gt;"Serviço",0,IF(OR(AND(AUTOEVENTO="Manual",$M24=1),$M24&gt;(ROW(PLE.lastrow)-ROW(PLE.firstrow))),0,IF(OFFSET(PLE!$G$14,$M24,AX$13)="",10^12,OFFSET(PLE!$G$14,$M24,AX$13))))</f>
        <v>1000000000000</v>
      </c>
      <c r="AY24" s="182">
        <f ca="1">IF($D24&lt;&gt;"Serviço",0,IF(OR(AND(AUTOEVENTO="Manual",$M24=1),$M24&gt;(ROW(PLE.lastrow)-ROW(PLE.firstrow))),0,IF(OFFSET(PLE!$G$14,$M24,AY$13)="",10^12,OFFSET(PLE!$G$14,$M24,AY$13))))</f>
        <v>1000000000000</v>
      </c>
      <c r="AZ24" s="182">
        <f ca="1">IF($D24&lt;&gt;"Serviço",0,IF(OR(AND(AUTOEVENTO="Manual",$M24=1),$M24&gt;(ROW(PLE.lastrow)-ROW(PLE.firstrow))),0,IF(OFFSET(PLE!$G$14,$M24,AZ$13)="",10^12,OFFSET(PLE!$G$14,$M24,AZ$13))))</f>
        <v>1000000000000</v>
      </c>
      <c r="BA24" s="182">
        <f ca="1">IF($D24&lt;&gt;"Serviço",0,IF(OR(AND(AUTOEVENTO="Manual",$M24=1),$M24&gt;(ROW(PLE.lastrow)-ROW(PLE.firstrow))),0,IF(OFFSET(PLE!$G$14,$M24,BA$13)="",10^12,OFFSET(PLE!$G$14,$M24,BA$13))))</f>
        <v>1000000000000</v>
      </c>
      <c r="BB24" s="182">
        <f ca="1">IF($D24&lt;&gt;"Serviço",0,IF(OR(AND(AUTOEVENTO="Manual",$M24=1),$M24&gt;(ROW(PLE.lastrow)-ROW(PLE.firstrow))),0,IF(OFFSET(PLE!$G$14,$M24,BB$13)="",10^12,OFFSET(PLE!$G$14,$M24,BB$13))))</f>
        <v>1000000000000</v>
      </c>
      <c r="BC24" s="182">
        <f ca="1">IF($D24&lt;&gt;"Serviço",0,IF(OR(AND(AUTOEVENTO="Manual",$M24=1),$M24&gt;(ROW(PLE.lastrow)-ROW(PLE.firstrow))),0,IF(OFFSET(PLE!$G$14,$M24,BC$13)="",10^12,OFFSET(PLE!$G$14,$M24,BC$13))))</f>
        <v>1000000000000</v>
      </c>
      <c r="BD24" s="182">
        <f ca="1">IF($D24&lt;&gt;"Serviço",0,IF(OR(AND(AUTOEVENTO="Manual",$M24=1),$M24&gt;(ROW(PLE.lastrow)-ROW(PLE.firstrow))),0,IF(OFFSET(PLE!$G$14,$M24,BD$13)="",10^12,OFFSET(PLE!$G$14,$M24,BD$13))))</f>
        <v>1000000000000</v>
      </c>
      <c r="BE24" s="182">
        <f ca="1">IF($D24&lt;&gt;"Serviço",0,IF(OR(AND(AUTOEVENTO="Manual",$M24=1),$M24&gt;(ROW(PLE.lastrow)-ROW(PLE.firstrow))),0,IF(OFFSET(PLE!$G$14,$M24,BE$13)="",10^12,OFFSET(PLE!$G$14,$M24,BE$13))))</f>
        <v>1000000000000</v>
      </c>
      <c r="BF24" s="182">
        <f ca="1">IF($D24&lt;&gt;"Serviço",0,IF(OR(AND(AUTOEVENTO="Manual",$M24=1),$M24&gt;(ROW(PLE.lastrow)-ROW(PLE.firstrow))),0,IF(OFFSET(PLE!$G$14,$M24,BF$13)="",10^12,OFFSET(PLE!$G$14,$M24,BF$13))))</f>
        <v>1000000000000</v>
      </c>
      <c r="BG24" s="182">
        <f ca="1">IF($D24&lt;&gt;"Serviço",0,IF(OR(AND(AUTOEVENTO="Manual",$M24=1),$M24&gt;(ROW(PLE.lastrow)-ROW(PLE.firstrow))),0,IF(OFFSET(PLE!$G$14,$M24,BG$13)="",10^12,OFFSET(PLE!$G$14,$M24,BG$13))))</f>
        <v>1000000000000</v>
      </c>
    </row>
    <row r="25" spans="1:59" ht="25.5" x14ac:dyDescent="0.2">
      <c r="A25" s="7" t="str">
        <f ca="1">IF(AUTOEVENTO="Manual",IF(K25&lt;&gt;"",MIN(VALUE(LEFT(K25,FIND(".",K25)-1)),COUNTA(EVENTOS.Lista)),0),IF(OR($B25&gt;AUTOEVENTO,$B25="S",$B25=0),SUBSTITUTE(OFFSET($A25,-1,0),IF($D25="Serviço",".",""),""),ROW(A25)-ROW($A$15)&amp;"."))</f>
        <v>7</v>
      </c>
      <c r="B25" s="7" t="str">
        <f ca="1">OFFSET(ORÇAMENTO!C$15,ROW(B25)-ROW(B$15),0)</f>
        <v>S</v>
      </c>
      <c r="C25" s="7" t="str">
        <f ca="1">OFFSET(ORÇAMENTO!L$15,ROW(C25)-ROW(C$15),0)</f>
        <v/>
      </c>
      <c r="D25" s="118" t="str">
        <f ca="1">OFFSET(ORÇAMENTO!N$15,ROW(D25)-ROW(D$15),0)</f>
        <v>Serviço</v>
      </c>
      <c r="E25" s="119" t="str">
        <f ca="1">OFFSET(ORÇAMENTO!O$15,ROW(E25)-ROW(E$15),0)</f>
        <v>-</v>
      </c>
      <c r="F25" s="172" t="str">
        <f ca="1">OFFSET(ORÇAMENTO!R$15,ROW(F25)-ROW(F$15),0)</f>
        <v>(abra o arquivo 'Referência 05-Friday.xlsm)</v>
      </c>
      <c r="G25" s="173" t="str">
        <f ca="1">IF($D25&lt;&gt;"Serviço","",OFFSET(ORÇAMENTO!S$15,ROW(G25)-ROW(G$15),0))</f>
        <v>-</v>
      </c>
      <c r="H25" s="124">
        <f ca="1">IF($D25&lt;&gt;"Serviço",0,IF(ACOMPANHAMENTO="BM",ROUND(OFFSET(ORÇAMENTO!AJ$15,ROW(H25)-ROW(H$15),0),15-13*ORÇAMENTO!$AF$7),SUMPRODUCT(($Q$12:$AA$12&lt;&gt;"")*ROUND($Q25:$AA25,15-13*ORÇAMENTO!$AF$7))))</f>
        <v>27.45</v>
      </c>
      <c r="I25" s="539" t="s">
        <v>522</v>
      </c>
      <c r="K25" s="174"/>
      <c r="L25" s="175" t="s">
        <v>254</v>
      </c>
      <c r="M25" s="176">
        <f ca="1">IF($D25&lt;&gt;"Serviço","",IF(AUTOEVENTO="manual",$A25,IF(ISERROR(MATCH($A25,$A$15:OFFSET($A25,-1,0),0)),MAX($M$15:OFFSET(M25,-1,0))+1,INDEX($M$15:OFFSET(M25,-1,0),MATCH($A25,$A$15:OFFSET($A25,-1,0),0)))))</f>
        <v>3</v>
      </c>
      <c r="N25" s="177" t="str">
        <f ca="1">IF($D25&lt;&gt;"Serviço","",IF(AUTOEVENTO="Manual",IF($A25=0,"&lt;-- defina o número do agrupador",OFFSET(EVENTOS!$D$14,$A25,0)),OFFSET($F$15,$A25,0)))</f>
        <v>DRENAGEM</v>
      </c>
      <c r="O25" s="178"/>
      <c r="Q25" s="178">
        <f>61*1.5*0.3</f>
        <v>27.45</v>
      </c>
      <c r="R25" s="179"/>
      <c r="S25" s="179"/>
      <c r="T25" s="179"/>
      <c r="U25" s="179"/>
      <c r="V25" s="179"/>
      <c r="W25" s="179"/>
      <c r="X25" s="179"/>
      <c r="Y25" s="179"/>
      <c r="Z25" s="180"/>
      <c r="AB25" s="522">
        <f ca="1">IF(AND($D25="Serviço",AB$12&lt;&gt;0,$H25&gt;0,OR(AUTOEVENTO&lt;&gt;"manual",$M25&lt;&gt;1)),
IF(Import.TipoArredondamento&lt;&gt;"TransfereGOV",
ROUND(OFFSET($P25,0,AB$13),15-13*ORÇAMENTO!$AF$7)/$H25*OFFSET(ORÇAMENTO!$X$15,ROW(AB25)-ROW(AB$15),0),
ROUND(ROUND(OFFSET($P25,0,AB$13),15-13*ORÇAMENTO!$AF$7)*OFFSET(ORÇAMENTO!$W$15,ROW(AB25)-ROW(AB$15),0),15-13*ORÇAMENTO!$AF$11)),0)</f>
        <v>0</v>
      </c>
      <c r="AC25" s="523">
        <f ca="1">IF(AND($D25="Serviço",AC$12&lt;&gt;0,$H25&gt;0,OR(AUTOEVENTO&lt;&gt;"manual",$M25&lt;&gt;1)),
IF(Import.TipoArredondamento&lt;&gt;"TransfereGOV",
ROUND(OFFSET($P25,0,AC$13),15-13*ORÇAMENTO!$AF$7)/$H25*OFFSET(ORÇAMENTO!$X$15,ROW(AC25)-ROW(AC$15),0),
ROUND(ROUND(OFFSET($P25,0,AC$13),15-13*ORÇAMENTO!$AF$7)*OFFSET(ORÇAMENTO!$W$15,ROW(AC25)-ROW(AC$15),0),15-13*ORÇAMENTO!$AF$11)),0)</f>
        <v>0</v>
      </c>
      <c r="AD25" s="523">
        <f ca="1">IF(AND($D25="Serviço",AD$12&lt;&gt;0,$H25&gt;0,OR(AUTOEVENTO&lt;&gt;"manual",$M25&lt;&gt;1)),
IF(Import.TipoArredondamento&lt;&gt;"TransfereGOV",
ROUND(OFFSET($P25,0,AD$13),15-13*ORÇAMENTO!$AF$7)/$H25*OFFSET(ORÇAMENTO!$X$15,ROW(AD25)-ROW(AD$15),0),
ROUND(ROUND(OFFSET($P25,0,AD$13),15-13*ORÇAMENTO!$AF$7)*OFFSET(ORÇAMENTO!$W$15,ROW(AD25)-ROW(AD$15),0),15-13*ORÇAMENTO!$AF$11)),0)</f>
        <v>0</v>
      </c>
      <c r="AE25" s="523">
        <f ca="1">IF(AND($D25="Serviço",AE$12&lt;&gt;0,$H25&gt;0,OR(AUTOEVENTO&lt;&gt;"manual",$M25&lt;&gt;1)),
IF(Import.TipoArredondamento&lt;&gt;"TransfereGOV",
ROUND(OFFSET($P25,0,AE$13),15-13*ORÇAMENTO!$AF$7)/$H25*OFFSET(ORÇAMENTO!$X$15,ROW(AE25)-ROW(AE$15),0),
ROUND(ROUND(OFFSET($P25,0,AE$13),15-13*ORÇAMENTO!$AF$7)*OFFSET(ORÇAMENTO!$W$15,ROW(AE25)-ROW(AE$15),0),15-13*ORÇAMENTO!$AF$11)),0)</f>
        <v>0</v>
      </c>
      <c r="AF25" s="523">
        <f ca="1">IF(AND($D25="Serviço",AF$12&lt;&gt;0,$H25&gt;0,OR(AUTOEVENTO&lt;&gt;"manual",$M25&lt;&gt;1)),
IF(Import.TipoArredondamento&lt;&gt;"TransfereGOV",
ROUND(OFFSET($P25,0,AF$13),15-13*ORÇAMENTO!$AF$7)/$H25*OFFSET(ORÇAMENTO!$X$15,ROW(AF25)-ROW(AF$15),0),
ROUND(ROUND(OFFSET($P25,0,AF$13),15-13*ORÇAMENTO!$AF$7)*OFFSET(ORÇAMENTO!$W$15,ROW(AF25)-ROW(AF$15),0),15-13*ORÇAMENTO!$AF$11)),0)</f>
        <v>0</v>
      </c>
      <c r="AG25" s="523">
        <f ca="1">IF(AND($D25="Serviço",AG$12&lt;&gt;0,$H25&gt;0,OR(AUTOEVENTO&lt;&gt;"manual",$M25&lt;&gt;1)),
IF(Import.TipoArredondamento&lt;&gt;"TransfereGOV",
ROUND(OFFSET($P25,0,AG$13),15-13*ORÇAMENTO!$AF$7)/$H25*OFFSET(ORÇAMENTO!$X$15,ROW(AG25)-ROW(AG$15),0),
ROUND(ROUND(OFFSET($P25,0,AG$13),15-13*ORÇAMENTO!$AF$7)*OFFSET(ORÇAMENTO!$W$15,ROW(AG25)-ROW(AG$15),0),15-13*ORÇAMENTO!$AF$11)),0)</f>
        <v>0</v>
      </c>
      <c r="AH25" s="523">
        <f ca="1">IF(AND($D25="Serviço",AH$12&lt;&gt;0,$H25&gt;0,OR(AUTOEVENTO&lt;&gt;"manual",$M25&lt;&gt;1)),
IF(Import.TipoArredondamento&lt;&gt;"TransfereGOV",
ROUND(OFFSET($P25,0,AH$13),15-13*ORÇAMENTO!$AF$7)/$H25*OFFSET(ORÇAMENTO!$X$15,ROW(AH25)-ROW(AH$15),0),
ROUND(ROUND(OFFSET($P25,0,AH$13),15-13*ORÇAMENTO!$AF$7)*OFFSET(ORÇAMENTO!$W$15,ROW(AH25)-ROW(AH$15),0),15-13*ORÇAMENTO!$AF$11)),0)</f>
        <v>0</v>
      </c>
      <c r="AI25" s="523">
        <f ca="1">IF(AND($D25="Serviço",AI$12&lt;&gt;0,$H25&gt;0,OR(AUTOEVENTO&lt;&gt;"manual",$M25&lt;&gt;1)),
IF(Import.TipoArredondamento&lt;&gt;"TransfereGOV",
ROUND(OFFSET($P25,0,AI$13),15-13*ORÇAMENTO!$AF$7)/$H25*OFFSET(ORÇAMENTO!$X$15,ROW(AI25)-ROW(AI$15),0),
ROUND(ROUND(OFFSET($P25,0,AI$13),15-13*ORÇAMENTO!$AF$7)*OFFSET(ORÇAMENTO!$W$15,ROW(AI25)-ROW(AI$15),0),15-13*ORÇAMENTO!$AF$11)),0)</f>
        <v>0</v>
      </c>
      <c r="AJ25" s="523">
        <f ca="1">IF(AND($D25="Serviço",AJ$12&lt;&gt;0,$H25&gt;0,OR(AUTOEVENTO&lt;&gt;"manual",$M25&lt;&gt;1)),
IF(Import.TipoArredondamento&lt;&gt;"TransfereGOV",
ROUND(OFFSET($P25,0,AJ$13),15-13*ORÇAMENTO!$AF$7)/$H25*OFFSET(ORÇAMENTO!$X$15,ROW(AJ25)-ROW(AJ$15),0),
ROUND(ROUND(OFFSET($P25,0,AJ$13),15-13*ORÇAMENTO!$AF$7)*OFFSET(ORÇAMENTO!$W$15,ROW(AJ25)-ROW(AJ$15),0),15-13*ORÇAMENTO!$AF$11)),0)</f>
        <v>0</v>
      </c>
      <c r="AK25" s="524">
        <f ca="1">IF(AND($D25="Serviço",AK$12&lt;&gt;0,$H25&gt;0,OR(AUTOEVENTO&lt;&gt;"manual",$M25&lt;&gt;1)),
IF(Import.TipoArredondamento&lt;&gt;"TransfereGOV",
ROUND(OFFSET($P25,0,AK$13),15-13*ORÇAMENTO!$AF$7)/$H25*OFFSET(ORÇAMENTO!$X$15,ROW(AK25)-ROW(AK$15),0),
ROUND(ROUND(OFFSET($P25,0,AK$13),15-13*ORÇAMENTO!$AF$7)*OFFSET(ORÇAMENTO!$W$15,ROW(AK25)-ROW(AK$15),0),15-13*ORÇAMENTO!$AF$11)),0)</f>
        <v>0</v>
      </c>
      <c r="AM25" s="181">
        <f ca="1">IF($D25&lt;&gt;"Serviço",0,IF(AND(AUTOEVENTO="Manual",$M25=1),0,IF(OFFSET(CRONOPLE!$F$14,$M25,AM$13)="",10^12,OFFSET(CRONOPLE!$F$14,$M25,AM$13))))</f>
        <v>1</v>
      </c>
      <c r="AN25" s="181">
        <f ca="1">IF($D25&lt;&gt;"Serviço",0,IF(AND(AUTOEVENTO="Manual",$M25=1),0,IF(OFFSET(CRONOPLE!$F$14,$M25,AN$13)="",10^12,OFFSET(CRONOPLE!$F$14,$M25,AN$13))))</f>
        <v>1000000000000</v>
      </c>
      <c r="AO25" s="181">
        <f ca="1">IF($D25&lt;&gt;"Serviço",0,IF(AND(AUTOEVENTO="Manual",$M25=1),0,IF(OFFSET(CRONOPLE!$F$14,$M25,AO$13)="",10^12,OFFSET(CRONOPLE!$F$14,$M25,AO$13))))</f>
        <v>1000000000000</v>
      </c>
      <c r="AP25" s="181">
        <f ca="1">IF($D25&lt;&gt;"Serviço",0,IF(AND(AUTOEVENTO="Manual",$M25=1),0,IF(OFFSET(CRONOPLE!$F$14,$M25,AP$13)="",10^12,OFFSET(CRONOPLE!$F$14,$M25,AP$13))))</f>
        <v>1000000000000</v>
      </c>
      <c r="AQ25" s="181">
        <f ca="1">IF($D25&lt;&gt;"Serviço",0,IF(AND(AUTOEVENTO="Manual",$M25=1),0,IF(OFFSET(CRONOPLE!$F$14,$M25,AQ$13)="",10^12,OFFSET(CRONOPLE!$F$14,$M25,AQ$13))))</f>
        <v>1000000000000</v>
      </c>
      <c r="AR25" s="181">
        <f ca="1">IF($D25&lt;&gt;"Serviço",0,IF(AND(AUTOEVENTO="Manual",$M25=1),0,IF(OFFSET(CRONOPLE!$F$14,$M25,AR$13)="",10^12,OFFSET(CRONOPLE!$F$14,$M25,AR$13))))</f>
        <v>1000000000000</v>
      </c>
      <c r="AS25" s="181">
        <f ca="1">IF($D25&lt;&gt;"Serviço",0,IF(AND(AUTOEVENTO="Manual",$M25=1),0,IF(OFFSET(CRONOPLE!$F$14,$M25,AS$13)="",10^12,OFFSET(CRONOPLE!$F$14,$M25,AS$13))))</f>
        <v>1000000000000</v>
      </c>
      <c r="AT25" s="181">
        <f ca="1">IF($D25&lt;&gt;"Serviço",0,IF(AND(AUTOEVENTO="Manual",$M25=1),0,IF(OFFSET(CRONOPLE!$F$14,$M25,AT$13)="",10^12,OFFSET(CRONOPLE!$F$14,$M25,AT$13))))</f>
        <v>1000000000000</v>
      </c>
      <c r="AU25" s="181">
        <f ca="1">IF($D25&lt;&gt;"Serviço",0,IF(AND(AUTOEVENTO="Manual",$M25=1),0,IF(OFFSET(CRONOPLE!$F$14,$M25,AU$13)="",10^12,OFFSET(CRONOPLE!$F$14,$M25,AU$13))))</f>
        <v>1000000000000</v>
      </c>
      <c r="AV25" s="181">
        <f ca="1">IF($D25&lt;&gt;"Serviço",0,IF(AND(AUTOEVENTO="Manual",$M25=1),0,IF(OFFSET(CRONOPLE!$F$14,$M25,AV$13)="",10^12,OFFSET(CRONOPLE!$F$14,$M25,AV$13))))</f>
        <v>1000000000000</v>
      </c>
      <c r="AX25" s="182">
        <f ca="1">IF($D25&lt;&gt;"Serviço",0,IF(OR(AND(AUTOEVENTO="Manual",$M25=1),$M25&gt;(ROW(PLE.lastrow)-ROW(PLE.firstrow))),0,IF(OFFSET(PLE!$G$14,$M25,AX$13)="",10^12,OFFSET(PLE!$G$14,$M25,AX$13))))</f>
        <v>1000000000000</v>
      </c>
      <c r="AY25" s="182">
        <f ca="1">IF($D25&lt;&gt;"Serviço",0,IF(OR(AND(AUTOEVENTO="Manual",$M25=1),$M25&gt;(ROW(PLE.lastrow)-ROW(PLE.firstrow))),0,IF(OFFSET(PLE!$G$14,$M25,AY$13)="",10^12,OFFSET(PLE!$G$14,$M25,AY$13))))</f>
        <v>1000000000000</v>
      </c>
      <c r="AZ25" s="182">
        <f ca="1">IF($D25&lt;&gt;"Serviço",0,IF(OR(AND(AUTOEVENTO="Manual",$M25=1),$M25&gt;(ROW(PLE.lastrow)-ROW(PLE.firstrow))),0,IF(OFFSET(PLE!$G$14,$M25,AZ$13)="",10^12,OFFSET(PLE!$G$14,$M25,AZ$13))))</f>
        <v>1000000000000</v>
      </c>
      <c r="BA25" s="182">
        <f ca="1">IF($D25&lt;&gt;"Serviço",0,IF(OR(AND(AUTOEVENTO="Manual",$M25=1),$M25&gt;(ROW(PLE.lastrow)-ROW(PLE.firstrow))),0,IF(OFFSET(PLE!$G$14,$M25,BA$13)="",10^12,OFFSET(PLE!$G$14,$M25,BA$13))))</f>
        <v>1000000000000</v>
      </c>
      <c r="BB25" s="182">
        <f ca="1">IF($D25&lt;&gt;"Serviço",0,IF(OR(AND(AUTOEVENTO="Manual",$M25=1),$M25&gt;(ROW(PLE.lastrow)-ROW(PLE.firstrow))),0,IF(OFFSET(PLE!$G$14,$M25,BB$13)="",10^12,OFFSET(PLE!$G$14,$M25,BB$13))))</f>
        <v>1000000000000</v>
      </c>
      <c r="BC25" s="182">
        <f ca="1">IF($D25&lt;&gt;"Serviço",0,IF(OR(AND(AUTOEVENTO="Manual",$M25=1),$M25&gt;(ROW(PLE.lastrow)-ROW(PLE.firstrow))),0,IF(OFFSET(PLE!$G$14,$M25,BC$13)="",10^12,OFFSET(PLE!$G$14,$M25,BC$13))))</f>
        <v>1000000000000</v>
      </c>
      <c r="BD25" s="182">
        <f ca="1">IF($D25&lt;&gt;"Serviço",0,IF(OR(AND(AUTOEVENTO="Manual",$M25=1),$M25&gt;(ROW(PLE.lastrow)-ROW(PLE.firstrow))),0,IF(OFFSET(PLE!$G$14,$M25,BD$13)="",10^12,OFFSET(PLE!$G$14,$M25,BD$13))))</f>
        <v>1000000000000</v>
      </c>
      <c r="BE25" s="182">
        <f ca="1">IF($D25&lt;&gt;"Serviço",0,IF(OR(AND(AUTOEVENTO="Manual",$M25=1),$M25&gt;(ROW(PLE.lastrow)-ROW(PLE.firstrow))),0,IF(OFFSET(PLE!$G$14,$M25,BE$13)="",10^12,OFFSET(PLE!$G$14,$M25,BE$13))))</f>
        <v>1000000000000</v>
      </c>
      <c r="BF25" s="182">
        <f ca="1">IF($D25&lt;&gt;"Serviço",0,IF(OR(AND(AUTOEVENTO="Manual",$M25=1),$M25&gt;(ROW(PLE.lastrow)-ROW(PLE.firstrow))),0,IF(OFFSET(PLE!$G$14,$M25,BF$13)="",10^12,OFFSET(PLE!$G$14,$M25,BF$13))))</f>
        <v>1000000000000</v>
      </c>
      <c r="BG25" s="182">
        <f ca="1">IF($D25&lt;&gt;"Serviço",0,IF(OR(AND(AUTOEVENTO="Manual",$M25=1),$M25&gt;(ROW(PLE.lastrow)-ROW(PLE.firstrow))),0,IF(OFFSET(PLE!$G$14,$M25,BG$13)="",10^12,OFFSET(PLE!$G$14,$M25,BG$13))))</f>
        <v>1000000000000</v>
      </c>
    </row>
    <row r="26" spans="1:59" ht="12.75" x14ac:dyDescent="0.2">
      <c r="A26" s="7" t="str">
        <f t="shared" ca="1" si="9"/>
        <v>7</v>
      </c>
      <c r="B26" s="7" t="str">
        <f ca="1">OFFSET(ORÇAMENTO!C$15,ROW(B26)-ROW(B$15),0)</f>
        <v>S</v>
      </c>
      <c r="C26" s="7" t="str">
        <f ca="1">OFFSET(ORÇAMENTO!L$15,ROW(C26)-ROW(C$15),0)</f>
        <v/>
      </c>
      <c r="D26" s="118" t="str">
        <f ca="1">OFFSET(ORÇAMENTO!N$15,ROW(D26)-ROW(D$15),0)</f>
        <v>Serviço</v>
      </c>
      <c r="E26" s="119" t="str">
        <f ca="1">OFFSET(ORÇAMENTO!O$15,ROW(E26)-ROW(E$15),0)</f>
        <v>-</v>
      </c>
      <c r="F26" s="172" t="str">
        <f ca="1">OFFSET(ORÇAMENTO!R$15,ROW(F26)-ROW(F$15),0)</f>
        <v>(abra o arquivo 'Referência 05-Friday.xlsm)</v>
      </c>
      <c r="G26" s="173" t="str">
        <f ca="1">IF($D26&lt;&gt;"Serviço","",OFFSET(ORÇAMENTO!S$15,ROW(G26)-ROW(G$15),0))</f>
        <v>-</v>
      </c>
      <c r="H26" s="124">
        <f ca="1">IF($D26&lt;&gt;"Serviço",0,IF(ACOMPANHAMENTO="BM",ROUND(OFFSET(ORÇAMENTO!AJ$15,ROW(H26)-ROW(H$15),0),15-13*ORÇAMENTO!$AF$7),SUMPRODUCT(($Q$12:$AA$12&lt;&gt;"")*ROUND($Q26:$AA26,15-13*ORÇAMENTO!$AF$7))))</f>
        <v>6.1</v>
      </c>
      <c r="I26" s="539" t="s">
        <v>523</v>
      </c>
      <c r="K26" s="174"/>
      <c r="L26" s="175" t="s">
        <v>254</v>
      </c>
      <c r="M26" s="176">
        <f ca="1">IF($D26&lt;&gt;"Serviço","",IF(AUTOEVENTO="manual",$A26,IF(ISERROR(MATCH($A26,$A$15:OFFSET($A26,-1,0),0)),MAX($M$15:OFFSET(M26,-1,0))+1,INDEX($M$15:OFFSET(M26,-1,0),MATCH($A26,$A$15:OFFSET($A26,-1,0),0)))))</f>
        <v>3</v>
      </c>
      <c r="N26" s="177" t="str">
        <f ca="1">IF($D26&lt;&gt;"Serviço","",IF(AUTOEVENTO="Manual",IF($A26=0,"&lt;-- defina o número do agrupador",OFFSET(EVENTOS!$D$14,$A26,0)),OFFSET($F$15,$A26,0)))</f>
        <v>DRENAGEM</v>
      </c>
      <c r="O26" s="178"/>
      <c r="Q26" s="178">
        <f>61*0.1</f>
        <v>6.1000000000000005</v>
      </c>
      <c r="R26" s="179"/>
      <c r="S26" s="179"/>
      <c r="T26" s="179"/>
      <c r="U26" s="179"/>
      <c r="V26" s="179"/>
      <c r="W26" s="179"/>
      <c r="X26" s="179"/>
      <c r="Y26" s="179"/>
      <c r="Z26" s="180"/>
      <c r="AB26" s="522">
        <f ca="1">IF(AND($D26="Serviço",AB$12&lt;&gt;0,$H26&gt;0,OR(AUTOEVENTO&lt;&gt;"manual",$M26&lt;&gt;1)),
IF(Import.TipoArredondamento&lt;&gt;"TransfereGOV",
ROUND(OFFSET($P26,0,AB$13),15-13*ORÇAMENTO!$AF$7)/$H26*OFFSET(ORÇAMENTO!$X$15,ROW(AB26)-ROW(AB$15),0),
ROUND(ROUND(OFFSET($P26,0,AB$13),15-13*ORÇAMENTO!$AF$7)*OFFSET(ORÇAMENTO!$W$15,ROW(AB26)-ROW(AB$15),0),15-13*ORÇAMENTO!$AF$11)),0)</f>
        <v>0</v>
      </c>
      <c r="AC26" s="523">
        <f ca="1">IF(AND($D26="Serviço",AC$12&lt;&gt;0,$H26&gt;0,OR(AUTOEVENTO&lt;&gt;"manual",$M26&lt;&gt;1)),
IF(Import.TipoArredondamento&lt;&gt;"TransfereGOV",
ROUND(OFFSET($P26,0,AC$13),15-13*ORÇAMENTO!$AF$7)/$H26*OFFSET(ORÇAMENTO!$X$15,ROW(AC26)-ROW(AC$15),0),
ROUND(ROUND(OFFSET($P26,0,AC$13),15-13*ORÇAMENTO!$AF$7)*OFFSET(ORÇAMENTO!$W$15,ROW(AC26)-ROW(AC$15),0),15-13*ORÇAMENTO!$AF$11)),0)</f>
        <v>0</v>
      </c>
      <c r="AD26" s="523">
        <f ca="1">IF(AND($D26="Serviço",AD$12&lt;&gt;0,$H26&gt;0,OR(AUTOEVENTO&lt;&gt;"manual",$M26&lt;&gt;1)),
IF(Import.TipoArredondamento&lt;&gt;"TransfereGOV",
ROUND(OFFSET($P26,0,AD$13),15-13*ORÇAMENTO!$AF$7)/$H26*OFFSET(ORÇAMENTO!$X$15,ROW(AD26)-ROW(AD$15),0),
ROUND(ROUND(OFFSET($P26,0,AD$13),15-13*ORÇAMENTO!$AF$7)*OFFSET(ORÇAMENTO!$W$15,ROW(AD26)-ROW(AD$15),0),15-13*ORÇAMENTO!$AF$11)),0)</f>
        <v>0</v>
      </c>
      <c r="AE26" s="523">
        <f ca="1">IF(AND($D26="Serviço",AE$12&lt;&gt;0,$H26&gt;0,OR(AUTOEVENTO&lt;&gt;"manual",$M26&lt;&gt;1)),
IF(Import.TipoArredondamento&lt;&gt;"TransfereGOV",
ROUND(OFFSET($P26,0,AE$13),15-13*ORÇAMENTO!$AF$7)/$H26*OFFSET(ORÇAMENTO!$X$15,ROW(AE26)-ROW(AE$15),0),
ROUND(ROUND(OFFSET($P26,0,AE$13),15-13*ORÇAMENTO!$AF$7)*OFFSET(ORÇAMENTO!$W$15,ROW(AE26)-ROW(AE$15),0),15-13*ORÇAMENTO!$AF$11)),0)</f>
        <v>0</v>
      </c>
      <c r="AF26" s="523">
        <f ca="1">IF(AND($D26="Serviço",AF$12&lt;&gt;0,$H26&gt;0,OR(AUTOEVENTO&lt;&gt;"manual",$M26&lt;&gt;1)),
IF(Import.TipoArredondamento&lt;&gt;"TransfereGOV",
ROUND(OFFSET($P26,0,AF$13),15-13*ORÇAMENTO!$AF$7)/$H26*OFFSET(ORÇAMENTO!$X$15,ROW(AF26)-ROW(AF$15),0),
ROUND(ROUND(OFFSET($P26,0,AF$13),15-13*ORÇAMENTO!$AF$7)*OFFSET(ORÇAMENTO!$W$15,ROW(AF26)-ROW(AF$15),0),15-13*ORÇAMENTO!$AF$11)),0)</f>
        <v>0</v>
      </c>
      <c r="AG26" s="523">
        <f ca="1">IF(AND($D26="Serviço",AG$12&lt;&gt;0,$H26&gt;0,OR(AUTOEVENTO&lt;&gt;"manual",$M26&lt;&gt;1)),
IF(Import.TipoArredondamento&lt;&gt;"TransfereGOV",
ROUND(OFFSET($P26,0,AG$13),15-13*ORÇAMENTO!$AF$7)/$H26*OFFSET(ORÇAMENTO!$X$15,ROW(AG26)-ROW(AG$15),0),
ROUND(ROUND(OFFSET($P26,0,AG$13),15-13*ORÇAMENTO!$AF$7)*OFFSET(ORÇAMENTO!$W$15,ROW(AG26)-ROW(AG$15),0),15-13*ORÇAMENTO!$AF$11)),0)</f>
        <v>0</v>
      </c>
      <c r="AH26" s="523">
        <f ca="1">IF(AND($D26="Serviço",AH$12&lt;&gt;0,$H26&gt;0,OR(AUTOEVENTO&lt;&gt;"manual",$M26&lt;&gt;1)),
IF(Import.TipoArredondamento&lt;&gt;"TransfereGOV",
ROUND(OFFSET($P26,0,AH$13),15-13*ORÇAMENTO!$AF$7)/$H26*OFFSET(ORÇAMENTO!$X$15,ROW(AH26)-ROW(AH$15),0),
ROUND(ROUND(OFFSET($P26,0,AH$13),15-13*ORÇAMENTO!$AF$7)*OFFSET(ORÇAMENTO!$W$15,ROW(AH26)-ROW(AH$15),0),15-13*ORÇAMENTO!$AF$11)),0)</f>
        <v>0</v>
      </c>
      <c r="AI26" s="523">
        <f ca="1">IF(AND($D26="Serviço",AI$12&lt;&gt;0,$H26&gt;0,OR(AUTOEVENTO&lt;&gt;"manual",$M26&lt;&gt;1)),
IF(Import.TipoArredondamento&lt;&gt;"TransfereGOV",
ROUND(OFFSET($P26,0,AI$13),15-13*ORÇAMENTO!$AF$7)/$H26*OFFSET(ORÇAMENTO!$X$15,ROW(AI26)-ROW(AI$15),0),
ROUND(ROUND(OFFSET($P26,0,AI$13),15-13*ORÇAMENTO!$AF$7)*OFFSET(ORÇAMENTO!$W$15,ROW(AI26)-ROW(AI$15),0),15-13*ORÇAMENTO!$AF$11)),0)</f>
        <v>0</v>
      </c>
      <c r="AJ26" s="523">
        <f ca="1">IF(AND($D26="Serviço",AJ$12&lt;&gt;0,$H26&gt;0,OR(AUTOEVENTO&lt;&gt;"manual",$M26&lt;&gt;1)),
IF(Import.TipoArredondamento&lt;&gt;"TransfereGOV",
ROUND(OFFSET($P26,0,AJ$13),15-13*ORÇAMENTO!$AF$7)/$H26*OFFSET(ORÇAMENTO!$X$15,ROW(AJ26)-ROW(AJ$15),0),
ROUND(ROUND(OFFSET($P26,0,AJ$13),15-13*ORÇAMENTO!$AF$7)*OFFSET(ORÇAMENTO!$W$15,ROW(AJ26)-ROW(AJ$15),0),15-13*ORÇAMENTO!$AF$11)),0)</f>
        <v>0</v>
      </c>
      <c r="AK26" s="524">
        <f ca="1">IF(AND($D26="Serviço",AK$12&lt;&gt;0,$H26&gt;0,OR(AUTOEVENTO&lt;&gt;"manual",$M26&lt;&gt;1)),
IF(Import.TipoArredondamento&lt;&gt;"TransfereGOV",
ROUND(OFFSET($P26,0,AK$13),15-13*ORÇAMENTO!$AF$7)/$H26*OFFSET(ORÇAMENTO!$X$15,ROW(AK26)-ROW(AK$15),0),
ROUND(ROUND(OFFSET($P26,0,AK$13),15-13*ORÇAMENTO!$AF$7)*OFFSET(ORÇAMENTO!$W$15,ROW(AK26)-ROW(AK$15),0),15-13*ORÇAMENTO!$AF$11)),0)</f>
        <v>0</v>
      </c>
      <c r="AM26" s="181">
        <f ca="1">IF($D26&lt;&gt;"Serviço",0,IF(AND(AUTOEVENTO="Manual",$M26=1),0,IF(OFFSET(CRONOPLE!$F$14,$M26,AM$13)="",10^12,OFFSET(CRONOPLE!$F$14,$M26,AM$13))))</f>
        <v>1</v>
      </c>
      <c r="AN26" s="181">
        <f ca="1">IF($D26&lt;&gt;"Serviço",0,IF(AND(AUTOEVENTO="Manual",$M26=1),0,IF(OFFSET(CRONOPLE!$F$14,$M26,AN$13)="",10^12,OFFSET(CRONOPLE!$F$14,$M26,AN$13))))</f>
        <v>1000000000000</v>
      </c>
      <c r="AO26" s="181">
        <f ca="1">IF($D26&lt;&gt;"Serviço",0,IF(AND(AUTOEVENTO="Manual",$M26=1),0,IF(OFFSET(CRONOPLE!$F$14,$M26,AO$13)="",10^12,OFFSET(CRONOPLE!$F$14,$M26,AO$13))))</f>
        <v>1000000000000</v>
      </c>
      <c r="AP26" s="181">
        <f ca="1">IF($D26&lt;&gt;"Serviço",0,IF(AND(AUTOEVENTO="Manual",$M26=1),0,IF(OFFSET(CRONOPLE!$F$14,$M26,AP$13)="",10^12,OFFSET(CRONOPLE!$F$14,$M26,AP$13))))</f>
        <v>1000000000000</v>
      </c>
      <c r="AQ26" s="181">
        <f ca="1">IF($D26&lt;&gt;"Serviço",0,IF(AND(AUTOEVENTO="Manual",$M26=1),0,IF(OFFSET(CRONOPLE!$F$14,$M26,AQ$13)="",10^12,OFFSET(CRONOPLE!$F$14,$M26,AQ$13))))</f>
        <v>1000000000000</v>
      </c>
      <c r="AR26" s="181">
        <f ca="1">IF($D26&lt;&gt;"Serviço",0,IF(AND(AUTOEVENTO="Manual",$M26=1),0,IF(OFFSET(CRONOPLE!$F$14,$M26,AR$13)="",10^12,OFFSET(CRONOPLE!$F$14,$M26,AR$13))))</f>
        <v>1000000000000</v>
      </c>
      <c r="AS26" s="181">
        <f ca="1">IF($D26&lt;&gt;"Serviço",0,IF(AND(AUTOEVENTO="Manual",$M26=1),0,IF(OFFSET(CRONOPLE!$F$14,$M26,AS$13)="",10^12,OFFSET(CRONOPLE!$F$14,$M26,AS$13))))</f>
        <v>1000000000000</v>
      </c>
      <c r="AT26" s="181">
        <f ca="1">IF($D26&lt;&gt;"Serviço",0,IF(AND(AUTOEVENTO="Manual",$M26=1),0,IF(OFFSET(CRONOPLE!$F$14,$M26,AT$13)="",10^12,OFFSET(CRONOPLE!$F$14,$M26,AT$13))))</f>
        <v>1000000000000</v>
      </c>
      <c r="AU26" s="181">
        <f ca="1">IF($D26&lt;&gt;"Serviço",0,IF(AND(AUTOEVENTO="Manual",$M26=1),0,IF(OFFSET(CRONOPLE!$F$14,$M26,AU$13)="",10^12,OFFSET(CRONOPLE!$F$14,$M26,AU$13))))</f>
        <v>1000000000000</v>
      </c>
      <c r="AV26" s="181">
        <f ca="1">IF($D26&lt;&gt;"Serviço",0,IF(AND(AUTOEVENTO="Manual",$M26=1),0,IF(OFFSET(CRONOPLE!$F$14,$M26,AV$13)="",10^12,OFFSET(CRONOPLE!$F$14,$M26,AV$13))))</f>
        <v>1000000000000</v>
      </c>
      <c r="AX26" s="182">
        <f ca="1">IF($D26&lt;&gt;"Serviço",0,IF(OR(AND(AUTOEVENTO="Manual",$M26=1),$M26&gt;(ROW(PLE.lastrow)-ROW(PLE.firstrow))),0,IF(OFFSET(PLE!$G$14,$M26,AX$13)="",10^12,OFFSET(PLE!$G$14,$M26,AX$13))))</f>
        <v>1000000000000</v>
      </c>
      <c r="AY26" s="182">
        <f ca="1">IF($D26&lt;&gt;"Serviço",0,IF(OR(AND(AUTOEVENTO="Manual",$M26=1),$M26&gt;(ROW(PLE.lastrow)-ROW(PLE.firstrow))),0,IF(OFFSET(PLE!$G$14,$M26,AY$13)="",10^12,OFFSET(PLE!$G$14,$M26,AY$13))))</f>
        <v>1000000000000</v>
      </c>
      <c r="AZ26" s="182">
        <f ca="1">IF($D26&lt;&gt;"Serviço",0,IF(OR(AND(AUTOEVENTO="Manual",$M26=1),$M26&gt;(ROW(PLE.lastrow)-ROW(PLE.firstrow))),0,IF(OFFSET(PLE!$G$14,$M26,AZ$13)="",10^12,OFFSET(PLE!$G$14,$M26,AZ$13))))</f>
        <v>1000000000000</v>
      </c>
      <c r="BA26" s="182">
        <f ca="1">IF($D26&lt;&gt;"Serviço",0,IF(OR(AND(AUTOEVENTO="Manual",$M26=1),$M26&gt;(ROW(PLE.lastrow)-ROW(PLE.firstrow))),0,IF(OFFSET(PLE!$G$14,$M26,BA$13)="",10^12,OFFSET(PLE!$G$14,$M26,BA$13))))</f>
        <v>1000000000000</v>
      </c>
      <c r="BB26" s="182">
        <f ca="1">IF($D26&lt;&gt;"Serviço",0,IF(OR(AND(AUTOEVENTO="Manual",$M26=1),$M26&gt;(ROW(PLE.lastrow)-ROW(PLE.firstrow))),0,IF(OFFSET(PLE!$G$14,$M26,BB$13)="",10^12,OFFSET(PLE!$G$14,$M26,BB$13))))</f>
        <v>1000000000000</v>
      </c>
      <c r="BC26" s="182">
        <f ca="1">IF($D26&lt;&gt;"Serviço",0,IF(OR(AND(AUTOEVENTO="Manual",$M26=1),$M26&gt;(ROW(PLE.lastrow)-ROW(PLE.firstrow))),0,IF(OFFSET(PLE!$G$14,$M26,BC$13)="",10^12,OFFSET(PLE!$G$14,$M26,BC$13))))</f>
        <v>1000000000000</v>
      </c>
      <c r="BD26" s="182">
        <f ca="1">IF($D26&lt;&gt;"Serviço",0,IF(OR(AND(AUTOEVENTO="Manual",$M26=1),$M26&gt;(ROW(PLE.lastrow)-ROW(PLE.firstrow))),0,IF(OFFSET(PLE!$G$14,$M26,BD$13)="",10^12,OFFSET(PLE!$G$14,$M26,BD$13))))</f>
        <v>1000000000000</v>
      </c>
      <c r="BE26" s="182">
        <f ca="1">IF($D26&lt;&gt;"Serviço",0,IF(OR(AND(AUTOEVENTO="Manual",$M26=1),$M26&gt;(ROW(PLE.lastrow)-ROW(PLE.firstrow))),0,IF(OFFSET(PLE!$G$14,$M26,BE$13)="",10^12,OFFSET(PLE!$G$14,$M26,BE$13))))</f>
        <v>1000000000000</v>
      </c>
      <c r="BF26" s="182">
        <f ca="1">IF($D26&lt;&gt;"Serviço",0,IF(OR(AND(AUTOEVENTO="Manual",$M26=1),$M26&gt;(ROW(PLE.lastrow)-ROW(PLE.firstrow))),0,IF(OFFSET(PLE!$G$14,$M26,BF$13)="",10^12,OFFSET(PLE!$G$14,$M26,BF$13))))</f>
        <v>1000000000000</v>
      </c>
      <c r="BG26" s="182">
        <f ca="1">IF($D26&lt;&gt;"Serviço",0,IF(OR(AND(AUTOEVENTO="Manual",$M26=1),$M26&gt;(ROW(PLE.lastrow)-ROW(PLE.firstrow))),0,IF(OFFSET(PLE!$G$14,$M26,BG$13)="",10^12,OFFSET(PLE!$G$14,$M26,BG$13))))</f>
        <v>1000000000000</v>
      </c>
    </row>
    <row r="27" spans="1:59" ht="51" x14ac:dyDescent="0.2">
      <c r="A27" s="7" t="str">
        <f t="shared" ca="1" si="9"/>
        <v>7</v>
      </c>
      <c r="B27" s="7" t="str">
        <f ca="1">OFFSET(ORÇAMENTO!C$15,ROW(B27)-ROW(B$15),0)</f>
        <v>S</v>
      </c>
      <c r="C27" s="7" t="str">
        <f ca="1">OFFSET(ORÇAMENTO!L$15,ROW(C27)-ROW(C$15),0)</f>
        <v/>
      </c>
      <c r="D27" s="118" t="str">
        <f ca="1">OFFSET(ORÇAMENTO!N$15,ROW(D27)-ROW(D$15),0)</f>
        <v>Serviço</v>
      </c>
      <c r="E27" s="119" t="str">
        <f ca="1">OFFSET(ORÇAMENTO!O$15,ROW(E27)-ROW(E$15),0)</f>
        <v>-</v>
      </c>
      <c r="F27" s="172" t="str">
        <f ca="1">OFFSET(ORÇAMENTO!R$15,ROW(F27)-ROW(F$15),0)</f>
        <v>(abra o arquivo 'Referência 05-Friday.xlsm)</v>
      </c>
      <c r="G27" s="173" t="str">
        <f ca="1">IF($D27&lt;&gt;"Serviço","",OFFSET(ORÇAMENTO!S$15,ROW(G27)-ROW(G$15),0))</f>
        <v>-</v>
      </c>
      <c r="H27" s="124">
        <f ca="1">IF($D27&lt;&gt;"Serviço",0,IF(ACOMPANHAMENTO="BM",ROUND(OFFSET(ORÇAMENTO!AJ$15,ROW(H27)-ROW(H$15),0),15-13*ORÇAMENTO!$AF$7),SUMPRODUCT(($Q$12:$AA$12&lt;&gt;"")*ROUND($Q27:$AA27,15-13*ORÇAMENTO!$AF$7))))</f>
        <v>12</v>
      </c>
      <c r="I27" s="539" t="s">
        <v>539</v>
      </c>
      <c r="K27" s="174"/>
      <c r="L27" s="175" t="s">
        <v>254</v>
      </c>
      <c r="M27" s="176">
        <f ca="1">IF($D27&lt;&gt;"Serviço","",IF(AUTOEVENTO="manual",$A27,IF(ISERROR(MATCH($A27,$A$15:OFFSET($A27,-1,0),0)),MAX($M$15:OFFSET(M27,-1,0))+1,INDEX($M$15:OFFSET(M27,-1,0),MATCH($A27,$A$15:OFFSET($A27,-1,0),0)))))</f>
        <v>3</v>
      </c>
      <c r="N27" s="177" t="str">
        <f ca="1">IF($D27&lt;&gt;"Serviço","",IF(AUTOEVENTO="Manual",IF($A27=0,"&lt;-- defina o número do agrupador",OFFSET(EVENTOS!$D$14,$A27,0)),OFFSET($F$15,$A27,0)))</f>
        <v>DRENAGEM</v>
      </c>
      <c r="O27" s="178"/>
      <c r="Q27" s="178">
        <v>12</v>
      </c>
      <c r="R27" s="179"/>
      <c r="S27" s="179"/>
      <c r="T27" s="179"/>
      <c r="U27" s="179"/>
      <c r="V27" s="179"/>
      <c r="W27" s="179"/>
      <c r="X27" s="179"/>
      <c r="Y27" s="179"/>
      <c r="Z27" s="180"/>
      <c r="AB27" s="522">
        <f ca="1">IF(AND($D27="Serviço",AB$12&lt;&gt;0,$H27&gt;0,OR(AUTOEVENTO&lt;&gt;"manual",$M27&lt;&gt;1)),
IF(Import.TipoArredondamento&lt;&gt;"TransfereGOV",
ROUND(OFFSET($P27,0,AB$13),15-13*ORÇAMENTO!$AF$7)/$H27*OFFSET(ORÇAMENTO!$X$15,ROW(AB27)-ROW(AB$15),0),
ROUND(ROUND(OFFSET($P27,0,AB$13),15-13*ORÇAMENTO!$AF$7)*OFFSET(ORÇAMENTO!$W$15,ROW(AB27)-ROW(AB$15),0),15-13*ORÇAMENTO!$AF$11)),0)</f>
        <v>0</v>
      </c>
      <c r="AC27" s="523">
        <f ca="1">IF(AND($D27="Serviço",AC$12&lt;&gt;0,$H27&gt;0,OR(AUTOEVENTO&lt;&gt;"manual",$M27&lt;&gt;1)),
IF(Import.TipoArredondamento&lt;&gt;"TransfereGOV",
ROUND(OFFSET($P27,0,AC$13),15-13*ORÇAMENTO!$AF$7)/$H27*OFFSET(ORÇAMENTO!$X$15,ROW(AC27)-ROW(AC$15),0),
ROUND(ROUND(OFFSET($P27,0,AC$13),15-13*ORÇAMENTO!$AF$7)*OFFSET(ORÇAMENTO!$W$15,ROW(AC27)-ROW(AC$15),0),15-13*ORÇAMENTO!$AF$11)),0)</f>
        <v>0</v>
      </c>
      <c r="AD27" s="523">
        <f ca="1">IF(AND($D27="Serviço",AD$12&lt;&gt;0,$H27&gt;0,OR(AUTOEVENTO&lt;&gt;"manual",$M27&lt;&gt;1)),
IF(Import.TipoArredondamento&lt;&gt;"TransfereGOV",
ROUND(OFFSET($P27,0,AD$13),15-13*ORÇAMENTO!$AF$7)/$H27*OFFSET(ORÇAMENTO!$X$15,ROW(AD27)-ROW(AD$15),0),
ROUND(ROUND(OFFSET($P27,0,AD$13),15-13*ORÇAMENTO!$AF$7)*OFFSET(ORÇAMENTO!$W$15,ROW(AD27)-ROW(AD$15),0),15-13*ORÇAMENTO!$AF$11)),0)</f>
        <v>0</v>
      </c>
      <c r="AE27" s="523">
        <f ca="1">IF(AND($D27="Serviço",AE$12&lt;&gt;0,$H27&gt;0,OR(AUTOEVENTO&lt;&gt;"manual",$M27&lt;&gt;1)),
IF(Import.TipoArredondamento&lt;&gt;"TransfereGOV",
ROUND(OFFSET($P27,0,AE$13),15-13*ORÇAMENTO!$AF$7)/$H27*OFFSET(ORÇAMENTO!$X$15,ROW(AE27)-ROW(AE$15),0),
ROUND(ROUND(OFFSET($P27,0,AE$13),15-13*ORÇAMENTO!$AF$7)*OFFSET(ORÇAMENTO!$W$15,ROW(AE27)-ROW(AE$15),0),15-13*ORÇAMENTO!$AF$11)),0)</f>
        <v>0</v>
      </c>
      <c r="AF27" s="523">
        <f ca="1">IF(AND($D27="Serviço",AF$12&lt;&gt;0,$H27&gt;0,OR(AUTOEVENTO&lt;&gt;"manual",$M27&lt;&gt;1)),
IF(Import.TipoArredondamento&lt;&gt;"TransfereGOV",
ROUND(OFFSET($P27,0,AF$13),15-13*ORÇAMENTO!$AF$7)/$H27*OFFSET(ORÇAMENTO!$X$15,ROW(AF27)-ROW(AF$15),0),
ROUND(ROUND(OFFSET($P27,0,AF$13),15-13*ORÇAMENTO!$AF$7)*OFFSET(ORÇAMENTO!$W$15,ROW(AF27)-ROW(AF$15),0),15-13*ORÇAMENTO!$AF$11)),0)</f>
        <v>0</v>
      </c>
      <c r="AG27" s="523">
        <f ca="1">IF(AND($D27="Serviço",AG$12&lt;&gt;0,$H27&gt;0,OR(AUTOEVENTO&lt;&gt;"manual",$M27&lt;&gt;1)),
IF(Import.TipoArredondamento&lt;&gt;"TransfereGOV",
ROUND(OFFSET($P27,0,AG$13),15-13*ORÇAMENTO!$AF$7)/$H27*OFFSET(ORÇAMENTO!$X$15,ROW(AG27)-ROW(AG$15),0),
ROUND(ROUND(OFFSET($P27,0,AG$13),15-13*ORÇAMENTO!$AF$7)*OFFSET(ORÇAMENTO!$W$15,ROW(AG27)-ROW(AG$15),0),15-13*ORÇAMENTO!$AF$11)),0)</f>
        <v>0</v>
      </c>
      <c r="AH27" s="523">
        <f ca="1">IF(AND($D27="Serviço",AH$12&lt;&gt;0,$H27&gt;0,OR(AUTOEVENTO&lt;&gt;"manual",$M27&lt;&gt;1)),
IF(Import.TipoArredondamento&lt;&gt;"TransfereGOV",
ROUND(OFFSET($P27,0,AH$13),15-13*ORÇAMENTO!$AF$7)/$H27*OFFSET(ORÇAMENTO!$X$15,ROW(AH27)-ROW(AH$15),0),
ROUND(ROUND(OFFSET($P27,0,AH$13),15-13*ORÇAMENTO!$AF$7)*OFFSET(ORÇAMENTO!$W$15,ROW(AH27)-ROW(AH$15),0),15-13*ORÇAMENTO!$AF$11)),0)</f>
        <v>0</v>
      </c>
      <c r="AI27" s="523">
        <f ca="1">IF(AND($D27="Serviço",AI$12&lt;&gt;0,$H27&gt;0,OR(AUTOEVENTO&lt;&gt;"manual",$M27&lt;&gt;1)),
IF(Import.TipoArredondamento&lt;&gt;"TransfereGOV",
ROUND(OFFSET($P27,0,AI$13),15-13*ORÇAMENTO!$AF$7)/$H27*OFFSET(ORÇAMENTO!$X$15,ROW(AI27)-ROW(AI$15),0),
ROUND(ROUND(OFFSET($P27,0,AI$13),15-13*ORÇAMENTO!$AF$7)*OFFSET(ORÇAMENTO!$W$15,ROW(AI27)-ROW(AI$15),0),15-13*ORÇAMENTO!$AF$11)),0)</f>
        <v>0</v>
      </c>
      <c r="AJ27" s="523">
        <f ca="1">IF(AND($D27="Serviço",AJ$12&lt;&gt;0,$H27&gt;0,OR(AUTOEVENTO&lt;&gt;"manual",$M27&lt;&gt;1)),
IF(Import.TipoArredondamento&lt;&gt;"TransfereGOV",
ROUND(OFFSET($P27,0,AJ$13),15-13*ORÇAMENTO!$AF$7)/$H27*OFFSET(ORÇAMENTO!$X$15,ROW(AJ27)-ROW(AJ$15),0),
ROUND(ROUND(OFFSET($P27,0,AJ$13),15-13*ORÇAMENTO!$AF$7)*OFFSET(ORÇAMENTO!$W$15,ROW(AJ27)-ROW(AJ$15),0),15-13*ORÇAMENTO!$AF$11)),0)</f>
        <v>0</v>
      </c>
      <c r="AK27" s="524">
        <f ca="1">IF(AND($D27="Serviço",AK$12&lt;&gt;0,$H27&gt;0,OR(AUTOEVENTO&lt;&gt;"manual",$M27&lt;&gt;1)),
IF(Import.TipoArredondamento&lt;&gt;"TransfereGOV",
ROUND(OFFSET($P27,0,AK$13),15-13*ORÇAMENTO!$AF$7)/$H27*OFFSET(ORÇAMENTO!$X$15,ROW(AK27)-ROW(AK$15),0),
ROUND(ROUND(OFFSET($P27,0,AK$13),15-13*ORÇAMENTO!$AF$7)*OFFSET(ORÇAMENTO!$W$15,ROW(AK27)-ROW(AK$15),0),15-13*ORÇAMENTO!$AF$11)),0)</f>
        <v>0</v>
      </c>
      <c r="AM27" s="181">
        <f ca="1">IF($D27&lt;&gt;"Serviço",0,IF(AND(AUTOEVENTO="Manual",$M27=1),0,IF(OFFSET(CRONOPLE!$F$14,$M27,AM$13)="",10^12,OFFSET(CRONOPLE!$F$14,$M27,AM$13))))</f>
        <v>1</v>
      </c>
      <c r="AN27" s="181">
        <f ca="1">IF($D27&lt;&gt;"Serviço",0,IF(AND(AUTOEVENTO="Manual",$M27=1),0,IF(OFFSET(CRONOPLE!$F$14,$M27,AN$13)="",10^12,OFFSET(CRONOPLE!$F$14,$M27,AN$13))))</f>
        <v>1000000000000</v>
      </c>
      <c r="AO27" s="181">
        <f ca="1">IF($D27&lt;&gt;"Serviço",0,IF(AND(AUTOEVENTO="Manual",$M27=1),0,IF(OFFSET(CRONOPLE!$F$14,$M27,AO$13)="",10^12,OFFSET(CRONOPLE!$F$14,$M27,AO$13))))</f>
        <v>1000000000000</v>
      </c>
      <c r="AP27" s="181">
        <f ca="1">IF($D27&lt;&gt;"Serviço",0,IF(AND(AUTOEVENTO="Manual",$M27=1),0,IF(OFFSET(CRONOPLE!$F$14,$M27,AP$13)="",10^12,OFFSET(CRONOPLE!$F$14,$M27,AP$13))))</f>
        <v>1000000000000</v>
      </c>
      <c r="AQ27" s="181">
        <f ca="1">IF($D27&lt;&gt;"Serviço",0,IF(AND(AUTOEVENTO="Manual",$M27=1),0,IF(OFFSET(CRONOPLE!$F$14,$M27,AQ$13)="",10^12,OFFSET(CRONOPLE!$F$14,$M27,AQ$13))))</f>
        <v>1000000000000</v>
      </c>
      <c r="AR27" s="181">
        <f ca="1">IF($D27&lt;&gt;"Serviço",0,IF(AND(AUTOEVENTO="Manual",$M27=1),0,IF(OFFSET(CRONOPLE!$F$14,$M27,AR$13)="",10^12,OFFSET(CRONOPLE!$F$14,$M27,AR$13))))</f>
        <v>1000000000000</v>
      </c>
      <c r="AS27" s="181">
        <f ca="1">IF($D27&lt;&gt;"Serviço",0,IF(AND(AUTOEVENTO="Manual",$M27=1),0,IF(OFFSET(CRONOPLE!$F$14,$M27,AS$13)="",10^12,OFFSET(CRONOPLE!$F$14,$M27,AS$13))))</f>
        <v>1000000000000</v>
      </c>
      <c r="AT27" s="181">
        <f ca="1">IF($D27&lt;&gt;"Serviço",0,IF(AND(AUTOEVENTO="Manual",$M27=1),0,IF(OFFSET(CRONOPLE!$F$14,$M27,AT$13)="",10^12,OFFSET(CRONOPLE!$F$14,$M27,AT$13))))</f>
        <v>1000000000000</v>
      </c>
      <c r="AU27" s="181">
        <f ca="1">IF($D27&lt;&gt;"Serviço",0,IF(AND(AUTOEVENTO="Manual",$M27=1),0,IF(OFFSET(CRONOPLE!$F$14,$M27,AU$13)="",10^12,OFFSET(CRONOPLE!$F$14,$M27,AU$13))))</f>
        <v>1000000000000</v>
      </c>
      <c r="AV27" s="181">
        <f ca="1">IF($D27&lt;&gt;"Serviço",0,IF(AND(AUTOEVENTO="Manual",$M27=1),0,IF(OFFSET(CRONOPLE!$F$14,$M27,AV$13)="",10^12,OFFSET(CRONOPLE!$F$14,$M27,AV$13))))</f>
        <v>1000000000000</v>
      </c>
      <c r="AX27" s="182">
        <f ca="1">IF($D27&lt;&gt;"Serviço",0,IF(OR(AND(AUTOEVENTO="Manual",$M27=1),$M27&gt;(ROW(PLE.lastrow)-ROW(PLE.firstrow))),0,IF(OFFSET(PLE!$G$14,$M27,AX$13)="",10^12,OFFSET(PLE!$G$14,$M27,AX$13))))</f>
        <v>1000000000000</v>
      </c>
      <c r="AY27" s="182">
        <f ca="1">IF($D27&lt;&gt;"Serviço",0,IF(OR(AND(AUTOEVENTO="Manual",$M27=1),$M27&gt;(ROW(PLE.lastrow)-ROW(PLE.firstrow))),0,IF(OFFSET(PLE!$G$14,$M27,AY$13)="",10^12,OFFSET(PLE!$G$14,$M27,AY$13))))</f>
        <v>1000000000000</v>
      </c>
      <c r="AZ27" s="182">
        <f ca="1">IF($D27&lt;&gt;"Serviço",0,IF(OR(AND(AUTOEVENTO="Manual",$M27=1),$M27&gt;(ROW(PLE.lastrow)-ROW(PLE.firstrow))),0,IF(OFFSET(PLE!$G$14,$M27,AZ$13)="",10^12,OFFSET(PLE!$G$14,$M27,AZ$13))))</f>
        <v>1000000000000</v>
      </c>
      <c r="BA27" s="182">
        <f ca="1">IF($D27&lt;&gt;"Serviço",0,IF(OR(AND(AUTOEVENTO="Manual",$M27=1),$M27&gt;(ROW(PLE.lastrow)-ROW(PLE.firstrow))),0,IF(OFFSET(PLE!$G$14,$M27,BA$13)="",10^12,OFFSET(PLE!$G$14,$M27,BA$13))))</f>
        <v>1000000000000</v>
      </c>
      <c r="BB27" s="182">
        <f ca="1">IF($D27&lt;&gt;"Serviço",0,IF(OR(AND(AUTOEVENTO="Manual",$M27=1),$M27&gt;(ROW(PLE.lastrow)-ROW(PLE.firstrow))),0,IF(OFFSET(PLE!$G$14,$M27,BB$13)="",10^12,OFFSET(PLE!$G$14,$M27,BB$13))))</f>
        <v>1000000000000</v>
      </c>
      <c r="BC27" s="182">
        <f ca="1">IF($D27&lt;&gt;"Serviço",0,IF(OR(AND(AUTOEVENTO="Manual",$M27=1),$M27&gt;(ROW(PLE.lastrow)-ROW(PLE.firstrow))),0,IF(OFFSET(PLE!$G$14,$M27,BC$13)="",10^12,OFFSET(PLE!$G$14,$M27,BC$13))))</f>
        <v>1000000000000</v>
      </c>
      <c r="BD27" s="182">
        <f ca="1">IF($D27&lt;&gt;"Serviço",0,IF(OR(AND(AUTOEVENTO="Manual",$M27=1),$M27&gt;(ROW(PLE.lastrow)-ROW(PLE.firstrow))),0,IF(OFFSET(PLE!$G$14,$M27,BD$13)="",10^12,OFFSET(PLE!$G$14,$M27,BD$13))))</f>
        <v>1000000000000</v>
      </c>
      <c r="BE27" s="182">
        <f ca="1">IF($D27&lt;&gt;"Serviço",0,IF(OR(AND(AUTOEVENTO="Manual",$M27=1),$M27&gt;(ROW(PLE.lastrow)-ROW(PLE.firstrow))),0,IF(OFFSET(PLE!$G$14,$M27,BE$13)="",10^12,OFFSET(PLE!$G$14,$M27,BE$13))))</f>
        <v>1000000000000</v>
      </c>
      <c r="BF27" s="182">
        <f ca="1">IF($D27&lt;&gt;"Serviço",0,IF(OR(AND(AUTOEVENTO="Manual",$M27=1),$M27&gt;(ROW(PLE.lastrow)-ROW(PLE.firstrow))),0,IF(OFFSET(PLE!$G$14,$M27,BF$13)="",10^12,OFFSET(PLE!$G$14,$M27,BF$13))))</f>
        <v>1000000000000</v>
      </c>
      <c r="BG27" s="182">
        <f ca="1">IF($D27&lt;&gt;"Serviço",0,IF(OR(AND(AUTOEVENTO="Manual",$M27=1),$M27&gt;(ROW(PLE.lastrow)-ROW(PLE.firstrow))),0,IF(OFFSET(PLE!$G$14,$M27,BG$13)="",10^12,OFFSET(PLE!$G$14,$M27,BG$13))))</f>
        <v>1000000000000</v>
      </c>
    </row>
    <row r="28" spans="1:59" ht="51" x14ac:dyDescent="0.2">
      <c r="A28" s="7" t="str">
        <f t="shared" ca="1" si="9"/>
        <v>7</v>
      </c>
      <c r="B28" s="7" t="str">
        <f ca="1">OFFSET(ORÇAMENTO!C$15,ROW(B28)-ROW(B$15),0)</f>
        <v>S</v>
      </c>
      <c r="C28" s="7" t="str">
        <f ca="1">OFFSET(ORÇAMENTO!L$15,ROW(C28)-ROW(C$15),0)</f>
        <v/>
      </c>
      <c r="D28" s="118" t="str">
        <f ca="1">OFFSET(ORÇAMENTO!N$15,ROW(D28)-ROW(D$15),0)</f>
        <v>Serviço</v>
      </c>
      <c r="E28" s="119" t="str">
        <f ca="1">OFFSET(ORÇAMENTO!O$15,ROW(E28)-ROW(E$15),0)</f>
        <v>-</v>
      </c>
      <c r="F28" s="172" t="str">
        <f ca="1">OFFSET(ORÇAMENTO!R$15,ROW(F28)-ROW(F$15),0)</f>
        <v>(abra o arquivo 'Referência 05-Friday.xlsm)</v>
      </c>
      <c r="G28" s="173" t="str">
        <f ca="1">IF($D28&lt;&gt;"Serviço","",OFFSET(ORÇAMENTO!S$15,ROW(G28)-ROW(G$15),0))</f>
        <v>-</v>
      </c>
      <c r="H28" s="124">
        <f ca="1">IF($D28&lt;&gt;"Serviço",0,IF(ACOMPANHAMENTO="BM",ROUND(OFFSET(ORÇAMENTO!AJ$15,ROW(H28)-ROW(H$15),0),15-13*ORÇAMENTO!$AF$7),SUMPRODUCT(($Q$12:$AA$12&lt;&gt;"")*ROUND($Q28:$AA28,15-13*ORÇAMENTO!$AF$7))))</f>
        <v>49</v>
      </c>
      <c r="I28" s="539" t="s">
        <v>540</v>
      </c>
      <c r="K28" s="174"/>
      <c r="L28" s="175" t="s">
        <v>254</v>
      </c>
      <c r="M28" s="176">
        <f ca="1">IF($D28&lt;&gt;"Serviço","",IF(AUTOEVENTO="manual",$A28,IF(ISERROR(MATCH($A28,$A$15:OFFSET($A28,-1,0),0)),MAX($M$15:OFFSET(M28,-1,0))+1,INDEX($M$15:OFFSET(M28,-1,0),MATCH($A28,$A$15:OFFSET($A28,-1,0),0)))))</f>
        <v>3</v>
      </c>
      <c r="N28" s="177" t="str">
        <f ca="1">IF($D28&lt;&gt;"Serviço","",IF(AUTOEVENTO="Manual",IF($A28=0,"&lt;-- defina o número do agrupador",OFFSET(EVENTOS!$D$14,$A28,0)),OFFSET($F$15,$A28,0)))</f>
        <v>DRENAGEM</v>
      </c>
      <c r="O28" s="178"/>
      <c r="Q28" s="178">
        <v>49</v>
      </c>
      <c r="R28" s="179"/>
      <c r="S28" s="179"/>
      <c r="T28" s="179"/>
      <c r="U28" s="179"/>
      <c r="V28" s="179"/>
      <c r="W28" s="179"/>
      <c r="X28" s="179"/>
      <c r="Y28" s="179"/>
      <c r="Z28" s="180"/>
      <c r="AB28" s="522">
        <f ca="1">IF(AND($D28="Serviço",AB$12&lt;&gt;0,$H28&gt;0,OR(AUTOEVENTO&lt;&gt;"manual",$M28&lt;&gt;1)),
IF(Import.TipoArredondamento&lt;&gt;"TransfereGOV",
ROUND(OFFSET($P28,0,AB$13),15-13*ORÇAMENTO!$AF$7)/$H28*OFFSET(ORÇAMENTO!$X$15,ROW(AB28)-ROW(AB$15),0),
ROUND(ROUND(OFFSET($P28,0,AB$13),15-13*ORÇAMENTO!$AF$7)*OFFSET(ORÇAMENTO!$W$15,ROW(AB28)-ROW(AB$15),0),15-13*ORÇAMENTO!$AF$11)),0)</f>
        <v>0</v>
      </c>
      <c r="AC28" s="523">
        <f ca="1">IF(AND($D28="Serviço",AC$12&lt;&gt;0,$H28&gt;0,OR(AUTOEVENTO&lt;&gt;"manual",$M28&lt;&gt;1)),
IF(Import.TipoArredondamento&lt;&gt;"TransfereGOV",
ROUND(OFFSET($P28,0,AC$13),15-13*ORÇAMENTO!$AF$7)/$H28*OFFSET(ORÇAMENTO!$X$15,ROW(AC28)-ROW(AC$15),0),
ROUND(ROUND(OFFSET($P28,0,AC$13),15-13*ORÇAMENTO!$AF$7)*OFFSET(ORÇAMENTO!$W$15,ROW(AC28)-ROW(AC$15),0),15-13*ORÇAMENTO!$AF$11)),0)</f>
        <v>0</v>
      </c>
      <c r="AD28" s="523">
        <f ca="1">IF(AND($D28="Serviço",AD$12&lt;&gt;0,$H28&gt;0,OR(AUTOEVENTO&lt;&gt;"manual",$M28&lt;&gt;1)),
IF(Import.TipoArredondamento&lt;&gt;"TransfereGOV",
ROUND(OFFSET($P28,0,AD$13),15-13*ORÇAMENTO!$AF$7)/$H28*OFFSET(ORÇAMENTO!$X$15,ROW(AD28)-ROW(AD$15),0),
ROUND(ROUND(OFFSET($P28,0,AD$13),15-13*ORÇAMENTO!$AF$7)*OFFSET(ORÇAMENTO!$W$15,ROW(AD28)-ROW(AD$15),0),15-13*ORÇAMENTO!$AF$11)),0)</f>
        <v>0</v>
      </c>
      <c r="AE28" s="523">
        <f ca="1">IF(AND($D28="Serviço",AE$12&lt;&gt;0,$H28&gt;0,OR(AUTOEVENTO&lt;&gt;"manual",$M28&lt;&gt;1)),
IF(Import.TipoArredondamento&lt;&gt;"TransfereGOV",
ROUND(OFFSET($P28,0,AE$13),15-13*ORÇAMENTO!$AF$7)/$H28*OFFSET(ORÇAMENTO!$X$15,ROW(AE28)-ROW(AE$15),0),
ROUND(ROUND(OFFSET($P28,0,AE$13),15-13*ORÇAMENTO!$AF$7)*OFFSET(ORÇAMENTO!$W$15,ROW(AE28)-ROW(AE$15),0),15-13*ORÇAMENTO!$AF$11)),0)</f>
        <v>0</v>
      </c>
      <c r="AF28" s="523">
        <f ca="1">IF(AND($D28="Serviço",AF$12&lt;&gt;0,$H28&gt;0,OR(AUTOEVENTO&lt;&gt;"manual",$M28&lt;&gt;1)),
IF(Import.TipoArredondamento&lt;&gt;"TransfereGOV",
ROUND(OFFSET($P28,0,AF$13),15-13*ORÇAMENTO!$AF$7)/$H28*OFFSET(ORÇAMENTO!$X$15,ROW(AF28)-ROW(AF$15),0),
ROUND(ROUND(OFFSET($P28,0,AF$13),15-13*ORÇAMENTO!$AF$7)*OFFSET(ORÇAMENTO!$W$15,ROW(AF28)-ROW(AF$15),0),15-13*ORÇAMENTO!$AF$11)),0)</f>
        <v>0</v>
      </c>
      <c r="AG28" s="523">
        <f ca="1">IF(AND($D28="Serviço",AG$12&lt;&gt;0,$H28&gt;0,OR(AUTOEVENTO&lt;&gt;"manual",$M28&lt;&gt;1)),
IF(Import.TipoArredondamento&lt;&gt;"TransfereGOV",
ROUND(OFFSET($P28,0,AG$13),15-13*ORÇAMENTO!$AF$7)/$H28*OFFSET(ORÇAMENTO!$X$15,ROW(AG28)-ROW(AG$15),0),
ROUND(ROUND(OFFSET($P28,0,AG$13),15-13*ORÇAMENTO!$AF$7)*OFFSET(ORÇAMENTO!$W$15,ROW(AG28)-ROW(AG$15),0),15-13*ORÇAMENTO!$AF$11)),0)</f>
        <v>0</v>
      </c>
      <c r="AH28" s="523">
        <f ca="1">IF(AND($D28="Serviço",AH$12&lt;&gt;0,$H28&gt;0,OR(AUTOEVENTO&lt;&gt;"manual",$M28&lt;&gt;1)),
IF(Import.TipoArredondamento&lt;&gt;"TransfereGOV",
ROUND(OFFSET($P28,0,AH$13),15-13*ORÇAMENTO!$AF$7)/$H28*OFFSET(ORÇAMENTO!$X$15,ROW(AH28)-ROW(AH$15),0),
ROUND(ROUND(OFFSET($P28,0,AH$13),15-13*ORÇAMENTO!$AF$7)*OFFSET(ORÇAMENTO!$W$15,ROW(AH28)-ROW(AH$15),0),15-13*ORÇAMENTO!$AF$11)),0)</f>
        <v>0</v>
      </c>
      <c r="AI28" s="523">
        <f ca="1">IF(AND($D28="Serviço",AI$12&lt;&gt;0,$H28&gt;0,OR(AUTOEVENTO&lt;&gt;"manual",$M28&lt;&gt;1)),
IF(Import.TipoArredondamento&lt;&gt;"TransfereGOV",
ROUND(OFFSET($P28,0,AI$13),15-13*ORÇAMENTO!$AF$7)/$H28*OFFSET(ORÇAMENTO!$X$15,ROW(AI28)-ROW(AI$15),0),
ROUND(ROUND(OFFSET($P28,0,AI$13),15-13*ORÇAMENTO!$AF$7)*OFFSET(ORÇAMENTO!$W$15,ROW(AI28)-ROW(AI$15),0),15-13*ORÇAMENTO!$AF$11)),0)</f>
        <v>0</v>
      </c>
      <c r="AJ28" s="523">
        <f ca="1">IF(AND($D28="Serviço",AJ$12&lt;&gt;0,$H28&gt;0,OR(AUTOEVENTO&lt;&gt;"manual",$M28&lt;&gt;1)),
IF(Import.TipoArredondamento&lt;&gt;"TransfereGOV",
ROUND(OFFSET($P28,0,AJ$13),15-13*ORÇAMENTO!$AF$7)/$H28*OFFSET(ORÇAMENTO!$X$15,ROW(AJ28)-ROW(AJ$15),0),
ROUND(ROUND(OFFSET($P28,0,AJ$13),15-13*ORÇAMENTO!$AF$7)*OFFSET(ORÇAMENTO!$W$15,ROW(AJ28)-ROW(AJ$15),0),15-13*ORÇAMENTO!$AF$11)),0)</f>
        <v>0</v>
      </c>
      <c r="AK28" s="524">
        <f ca="1">IF(AND($D28="Serviço",AK$12&lt;&gt;0,$H28&gt;0,OR(AUTOEVENTO&lt;&gt;"manual",$M28&lt;&gt;1)),
IF(Import.TipoArredondamento&lt;&gt;"TransfereGOV",
ROUND(OFFSET($P28,0,AK$13),15-13*ORÇAMENTO!$AF$7)/$H28*OFFSET(ORÇAMENTO!$X$15,ROW(AK28)-ROW(AK$15),0),
ROUND(ROUND(OFFSET($P28,0,AK$13),15-13*ORÇAMENTO!$AF$7)*OFFSET(ORÇAMENTO!$W$15,ROW(AK28)-ROW(AK$15),0),15-13*ORÇAMENTO!$AF$11)),0)</f>
        <v>0</v>
      </c>
      <c r="AM28" s="181">
        <f ca="1">IF($D28&lt;&gt;"Serviço",0,IF(AND(AUTOEVENTO="Manual",$M28=1),0,IF(OFFSET(CRONOPLE!$F$14,$M28,AM$13)="",10^12,OFFSET(CRONOPLE!$F$14,$M28,AM$13))))</f>
        <v>1</v>
      </c>
      <c r="AN28" s="181">
        <f ca="1">IF($D28&lt;&gt;"Serviço",0,IF(AND(AUTOEVENTO="Manual",$M28=1),0,IF(OFFSET(CRONOPLE!$F$14,$M28,AN$13)="",10^12,OFFSET(CRONOPLE!$F$14,$M28,AN$13))))</f>
        <v>1000000000000</v>
      </c>
      <c r="AO28" s="181">
        <f ca="1">IF($D28&lt;&gt;"Serviço",0,IF(AND(AUTOEVENTO="Manual",$M28=1),0,IF(OFFSET(CRONOPLE!$F$14,$M28,AO$13)="",10^12,OFFSET(CRONOPLE!$F$14,$M28,AO$13))))</f>
        <v>1000000000000</v>
      </c>
      <c r="AP28" s="181">
        <f ca="1">IF($D28&lt;&gt;"Serviço",0,IF(AND(AUTOEVENTO="Manual",$M28=1),0,IF(OFFSET(CRONOPLE!$F$14,$M28,AP$13)="",10^12,OFFSET(CRONOPLE!$F$14,$M28,AP$13))))</f>
        <v>1000000000000</v>
      </c>
      <c r="AQ28" s="181">
        <f ca="1">IF($D28&lt;&gt;"Serviço",0,IF(AND(AUTOEVENTO="Manual",$M28=1),0,IF(OFFSET(CRONOPLE!$F$14,$M28,AQ$13)="",10^12,OFFSET(CRONOPLE!$F$14,$M28,AQ$13))))</f>
        <v>1000000000000</v>
      </c>
      <c r="AR28" s="181">
        <f ca="1">IF($D28&lt;&gt;"Serviço",0,IF(AND(AUTOEVENTO="Manual",$M28=1),0,IF(OFFSET(CRONOPLE!$F$14,$M28,AR$13)="",10^12,OFFSET(CRONOPLE!$F$14,$M28,AR$13))))</f>
        <v>1000000000000</v>
      </c>
      <c r="AS28" s="181">
        <f ca="1">IF($D28&lt;&gt;"Serviço",0,IF(AND(AUTOEVENTO="Manual",$M28=1),0,IF(OFFSET(CRONOPLE!$F$14,$M28,AS$13)="",10^12,OFFSET(CRONOPLE!$F$14,$M28,AS$13))))</f>
        <v>1000000000000</v>
      </c>
      <c r="AT28" s="181">
        <f ca="1">IF($D28&lt;&gt;"Serviço",0,IF(AND(AUTOEVENTO="Manual",$M28=1),0,IF(OFFSET(CRONOPLE!$F$14,$M28,AT$13)="",10^12,OFFSET(CRONOPLE!$F$14,$M28,AT$13))))</f>
        <v>1000000000000</v>
      </c>
      <c r="AU28" s="181">
        <f ca="1">IF($D28&lt;&gt;"Serviço",0,IF(AND(AUTOEVENTO="Manual",$M28=1),0,IF(OFFSET(CRONOPLE!$F$14,$M28,AU$13)="",10^12,OFFSET(CRONOPLE!$F$14,$M28,AU$13))))</f>
        <v>1000000000000</v>
      </c>
      <c r="AV28" s="181">
        <f ca="1">IF($D28&lt;&gt;"Serviço",0,IF(AND(AUTOEVENTO="Manual",$M28=1),0,IF(OFFSET(CRONOPLE!$F$14,$M28,AV$13)="",10^12,OFFSET(CRONOPLE!$F$14,$M28,AV$13))))</f>
        <v>1000000000000</v>
      </c>
      <c r="AX28" s="182">
        <f ca="1">IF($D28&lt;&gt;"Serviço",0,IF(OR(AND(AUTOEVENTO="Manual",$M28=1),$M28&gt;(ROW(PLE.lastrow)-ROW(PLE.firstrow))),0,IF(OFFSET(PLE!$G$14,$M28,AX$13)="",10^12,OFFSET(PLE!$G$14,$M28,AX$13))))</f>
        <v>1000000000000</v>
      </c>
      <c r="AY28" s="182">
        <f ca="1">IF($D28&lt;&gt;"Serviço",0,IF(OR(AND(AUTOEVENTO="Manual",$M28=1),$M28&gt;(ROW(PLE.lastrow)-ROW(PLE.firstrow))),0,IF(OFFSET(PLE!$G$14,$M28,AY$13)="",10^12,OFFSET(PLE!$G$14,$M28,AY$13))))</f>
        <v>1000000000000</v>
      </c>
      <c r="AZ28" s="182">
        <f ca="1">IF($D28&lt;&gt;"Serviço",0,IF(OR(AND(AUTOEVENTO="Manual",$M28=1),$M28&gt;(ROW(PLE.lastrow)-ROW(PLE.firstrow))),0,IF(OFFSET(PLE!$G$14,$M28,AZ$13)="",10^12,OFFSET(PLE!$G$14,$M28,AZ$13))))</f>
        <v>1000000000000</v>
      </c>
      <c r="BA28" s="182">
        <f ca="1">IF($D28&lt;&gt;"Serviço",0,IF(OR(AND(AUTOEVENTO="Manual",$M28=1),$M28&gt;(ROW(PLE.lastrow)-ROW(PLE.firstrow))),0,IF(OFFSET(PLE!$G$14,$M28,BA$13)="",10^12,OFFSET(PLE!$G$14,$M28,BA$13))))</f>
        <v>1000000000000</v>
      </c>
      <c r="BB28" s="182">
        <f ca="1">IF($D28&lt;&gt;"Serviço",0,IF(OR(AND(AUTOEVENTO="Manual",$M28=1),$M28&gt;(ROW(PLE.lastrow)-ROW(PLE.firstrow))),0,IF(OFFSET(PLE!$G$14,$M28,BB$13)="",10^12,OFFSET(PLE!$G$14,$M28,BB$13))))</f>
        <v>1000000000000</v>
      </c>
      <c r="BC28" s="182">
        <f ca="1">IF($D28&lt;&gt;"Serviço",0,IF(OR(AND(AUTOEVENTO="Manual",$M28=1),$M28&gt;(ROW(PLE.lastrow)-ROW(PLE.firstrow))),0,IF(OFFSET(PLE!$G$14,$M28,BC$13)="",10^12,OFFSET(PLE!$G$14,$M28,BC$13))))</f>
        <v>1000000000000</v>
      </c>
      <c r="BD28" s="182">
        <f ca="1">IF($D28&lt;&gt;"Serviço",0,IF(OR(AND(AUTOEVENTO="Manual",$M28=1),$M28&gt;(ROW(PLE.lastrow)-ROW(PLE.firstrow))),0,IF(OFFSET(PLE!$G$14,$M28,BD$13)="",10^12,OFFSET(PLE!$G$14,$M28,BD$13))))</f>
        <v>1000000000000</v>
      </c>
      <c r="BE28" s="182">
        <f ca="1">IF($D28&lt;&gt;"Serviço",0,IF(OR(AND(AUTOEVENTO="Manual",$M28=1),$M28&gt;(ROW(PLE.lastrow)-ROW(PLE.firstrow))),0,IF(OFFSET(PLE!$G$14,$M28,BE$13)="",10^12,OFFSET(PLE!$G$14,$M28,BE$13))))</f>
        <v>1000000000000</v>
      </c>
      <c r="BF28" s="182">
        <f ca="1">IF($D28&lt;&gt;"Serviço",0,IF(OR(AND(AUTOEVENTO="Manual",$M28=1),$M28&gt;(ROW(PLE.lastrow)-ROW(PLE.firstrow))),0,IF(OFFSET(PLE!$G$14,$M28,BF$13)="",10^12,OFFSET(PLE!$G$14,$M28,BF$13))))</f>
        <v>1000000000000</v>
      </c>
      <c r="BG28" s="182">
        <f ca="1">IF($D28&lt;&gt;"Serviço",0,IF(OR(AND(AUTOEVENTO="Manual",$M28=1),$M28&gt;(ROW(PLE.lastrow)-ROW(PLE.firstrow))),0,IF(OFFSET(PLE!$G$14,$M28,BG$13)="",10^12,OFFSET(PLE!$G$14,$M28,BG$13))))</f>
        <v>1000000000000</v>
      </c>
    </row>
    <row r="29" spans="1:59" ht="38.25" x14ac:dyDescent="0.2">
      <c r="A29" s="7" t="str">
        <f t="shared" ca="1" si="9"/>
        <v>7</v>
      </c>
      <c r="B29" s="7" t="str">
        <f ca="1">OFFSET(ORÇAMENTO!C$15,ROW(B29)-ROW(B$15),0)</f>
        <v>S</v>
      </c>
      <c r="C29" s="7" t="str">
        <f ca="1">OFFSET(ORÇAMENTO!L$15,ROW(C29)-ROW(C$15),0)</f>
        <v/>
      </c>
      <c r="D29" s="118" t="str">
        <f ca="1">OFFSET(ORÇAMENTO!N$15,ROW(D29)-ROW(D$15),0)</f>
        <v>Serviço</v>
      </c>
      <c r="E29" s="119" t="str">
        <f ca="1">OFFSET(ORÇAMENTO!O$15,ROW(E29)-ROW(E$15),0)</f>
        <v>-</v>
      </c>
      <c r="F29" s="172" t="str">
        <f ca="1">OFFSET(ORÇAMENTO!R$15,ROW(F29)-ROW(F$15),0)</f>
        <v>(abra o arquivo 'Referência 05-Friday.xlsm)</v>
      </c>
      <c r="G29" s="173" t="str">
        <f ca="1">IF($D29&lt;&gt;"Serviço","",OFFSET(ORÇAMENTO!S$15,ROW(G29)-ROW(G$15),0))</f>
        <v>-</v>
      </c>
      <c r="H29" s="124">
        <f ca="1">IF($D29&lt;&gt;"Serviço",0,IF(ACOMPANHAMENTO="BM",ROUND(OFFSET(ORÇAMENTO!AJ$15,ROW(H29)-ROW(H$15),0),15-13*ORÇAMENTO!$AF$7),SUMPRODUCT(($Q$12:$AA$12&lt;&gt;"")*ROUND($Q29:$AA29,15-13*ORÇAMENTO!$AF$7))))</f>
        <v>2</v>
      </c>
      <c r="I29" s="539"/>
      <c r="K29" s="174"/>
      <c r="L29" s="175" t="s">
        <v>254</v>
      </c>
      <c r="M29" s="176">
        <f ca="1">IF($D29&lt;&gt;"Serviço","",IF(AUTOEVENTO="manual",$A29,IF(ISERROR(MATCH($A29,$A$15:OFFSET($A29,-1,0),0)),MAX($M$15:OFFSET(M29,-1,0))+1,INDEX($M$15:OFFSET(M29,-1,0),MATCH($A29,$A$15:OFFSET($A29,-1,0),0)))))</f>
        <v>3</v>
      </c>
      <c r="N29" s="177" t="str">
        <f ca="1">IF($D29&lt;&gt;"Serviço","",IF(AUTOEVENTO="Manual",IF($A29=0,"&lt;-- defina o número do agrupador",OFFSET(EVENTOS!$D$14,$A29,0)),OFFSET($F$15,$A29,0)))</f>
        <v>DRENAGEM</v>
      </c>
      <c r="O29" s="178"/>
      <c r="Q29" s="178">
        <v>2</v>
      </c>
      <c r="R29" s="179"/>
      <c r="S29" s="179"/>
      <c r="T29" s="179"/>
      <c r="U29" s="179"/>
      <c r="V29" s="179"/>
      <c r="W29" s="179"/>
      <c r="X29" s="179"/>
      <c r="Y29" s="179"/>
      <c r="Z29" s="180"/>
      <c r="AB29" s="522">
        <f ca="1">IF(AND($D29="Serviço",AB$12&lt;&gt;0,$H29&gt;0,OR(AUTOEVENTO&lt;&gt;"manual",$M29&lt;&gt;1)),
IF(Import.TipoArredondamento&lt;&gt;"TransfereGOV",
ROUND(OFFSET($P29,0,AB$13),15-13*ORÇAMENTO!$AF$7)/$H29*OFFSET(ORÇAMENTO!$X$15,ROW(AB29)-ROW(AB$15),0),
ROUND(ROUND(OFFSET($P29,0,AB$13),15-13*ORÇAMENTO!$AF$7)*OFFSET(ORÇAMENTO!$W$15,ROW(AB29)-ROW(AB$15),0),15-13*ORÇAMENTO!$AF$11)),0)</f>
        <v>0</v>
      </c>
      <c r="AC29" s="523">
        <f ca="1">IF(AND($D29="Serviço",AC$12&lt;&gt;0,$H29&gt;0,OR(AUTOEVENTO&lt;&gt;"manual",$M29&lt;&gt;1)),
IF(Import.TipoArredondamento&lt;&gt;"TransfereGOV",
ROUND(OFFSET($P29,0,AC$13),15-13*ORÇAMENTO!$AF$7)/$H29*OFFSET(ORÇAMENTO!$X$15,ROW(AC29)-ROW(AC$15),0),
ROUND(ROUND(OFFSET($P29,0,AC$13),15-13*ORÇAMENTO!$AF$7)*OFFSET(ORÇAMENTO!$W$15,ROW(AC29)-ROW(AC$15),0),15-13*ORÇAMENTO!$AF$11)),0)</f>
        <v>0</v>
      </c>
      <c r="AD29" s="523">
        <f ca="1">IF(AND($D29="Serviço",AD$12&lt;&gt;0,$H29&gt;0,OR(AUTOEVENTO&lt;&gt;"manual",$M29&lt;&gt;1)),
IF(Import.TipoArredondamento&lt;&gt;"TransfereGOV",
ROUND(OFFSET($P29,0,AD$13),15-13*ORÇAMENTO!$AF$7)/$H29*OFFSET(ORÇAMENTO!$X$15,ROW(AD29)-ROW(AD$15),0),
ROUND(ROUND(OFFSET($P29,0,AD$13),15-13*ORÇAMENTO!$AF$7)*OFFSET(ORÇAMENTO!$W$15,ROW(AD29)-ROW(AD$15),0),15-13*ORÇAMENTO!$AF$11)),0)</f>
        <v>0</v>
      </c>
      <c r="AE29" s="523">
        <f ca="1">IF(AND($D29="Serviço",AE$12&lt;&gt;0,$H29&gt;0,OR(AUTOEVENTO&lt;&gt;"manual",$M29&lt;&gt;1)),
IF(Import.TipoArredondamento&lt;&gt;"TransfereGOV",
ROUND(OFFSET($P29,0,AE$13),15-13*ORÇAMENTO!$AF$7)/$H29*OFFSET(ORÇAMENTO!$X$15,ROW(AE29)-ROW(AE$15),0),
ROUND(ROUND(OFFSET($P29,0,AE$13),15-13*ORÇAMENTO!$AF$7)*OFFSET(ORÇAMENTO!$W$15,ROW(AE29)-ROW(AE$15),0),15-13*ORÇAMENTO!$AF$11)),0)</f>
        <v>0</v>
      </c>
      <c r="AF29" s="523">
        <f ca="1">IF(AND($D29="Serviço",AF$12&lt;&gt;0,$H29&gt;0,OR(AUTOEVENTO&lt;&gt;"manual",$M29&lt;&gt;1)),
IF(Import.TipoArredondamento&lt;&gt;"TransfereGOV",
ROUND(OFFSET($P29,0,AF$13),15-13*ORÇAMENTO!$AF$7)/$H29*OFFSET(ORÇAMENTO!$X$15,ROW(AF29)-ROW(AF$15),0),
ROUND(ROUND(OFFSET($P29,0,AF$13),15-13*ORÇAMENTO!$AF$7)*OFFSET(ORÇAMENTO!$W$15,ROW(AF29)-ROW(AF$15),0),15-13*ORÇAMENTO!$AF$11)),0)</f>
        <v>0</v>
      </c>
      <c r="AG29" s="523">
        <f ca="1">IF(AND($D29="Serviço",AG$12&lt;&gt;0,$H29&gt;0,OR(AUTOEVENTO&lt;&gt;"manual",$M29&lt;&gt;1)),
IF(Import.TipoArredondamento&lt;&gt;"TransfereGOV",
ROUND(OFFSET($P29,0,AG$13),15-13*ORÇAMENTO!$AF$7)/$H29*OFFSET(ORÇAMENTO!$X$15,ROW(AG29)-ROW(AG$15),0),
ROUND(ROUND(OFFSET($P29,0,AG$13),15-13*ORÇAMENTO!$AF$7)*OFFSET(ORÇAMENTO!$W$15,ROW(AG29)-ROW(AG$15),0),15-13*ORÇAMENTO!$AF$11)),0)</f>
        <v>0</v>
      </c>
      <c r="AH29" s="523">
        <f ca="1">IF(AND($D29="Serviço",AH$12&lt;&gt;0,$H29&gt;0,OR(AUTOEVENTO&lt;&gt;"manual",$M29&lt;&gt;1)),
IF(Import.TipoArredondamento&lt;&gt;"TransfereGOV",
ROUND(OFFSET($P29,0,AH$13),15-13*ORÇAMENTO!$AF$7)/$H29*OFFSET(ORÇAMENTO!$X$15,ROW(AH29)-ROW(AH$15),0),
ROUND(ROUND(OFFSET($P29,0,AH$13),15-13*ORÇAMENTO!$AF$7)*OFFSET(ORÇAMENTO!$W$15,ROW(AH29)-ROW(AH$15),0),15-13*ORÇAMENTO!$AF$11)),0)</f>
        <v>0</v>
      </c>
      <c r="AI29" s="523">
        <f ca="1">IF(AND($D29="Serviço",AI$12&lt;&gt;0,$H29&gt;0,OR(AUTOEVENTO&lt;&gt;"manual",$M29&lt;&gt;1)),
IF(Import.TipoArredondamento&lt;&gt;"TransfereGOV",
ROUND(OFFSET($P29,0,AI$13),15-13*ORÇAMENTO!$AF$7)/$H29*OFFSET(ORÇAMENTO!$X$15,ROW(AI29)-ROW(AI$15),0),
ROUND(ROUND(OFFSET($P29,0,AI$13),15-13*ORÇAMENTO!$AF$7)*OFFSET(ORÇAMENTO!$W$15,ROW(AI29)-ROW(AI$15),0),15-13*ORÇAMENTO!$AF$11)),0)</f>
        <v>0</v>
      </c>
      <c r="AJ29" s="523">
        <f ca="1">IF(AND($D29="Serviço",AJ$12&lt;&gt;0,$H29&gt;0,OR(AUTOEVENTO&lt;&gt;"manual",$M29&lt;&gt;1)),
IF(Import.TipoArredondamento&lt;&gt;"TransfereGOV",
ROUND(OFFSET($P29,0,AJ$13),15-13*ORÇAMENTO!$AF$7)/$H29*OFFSET(ORÇAMENTO!$X$15,ROW(AJ29)-ROW(AJ$15),0),
ROUND(ROUND(OFFSET($P29,0,AJ$13),15-13*ORÇAMENTO!$AF$7)*OFFSET(ORÇAMENTO!$W$15,ROW(AJ29)-ROW(AJ$15),0),15-13*ORÇAMENTO!$AF$11)),0)</f>
        <v>0</v>
      </c>
      <c r="AK29" s="524">
        <f ca="1">IF(AND($D29="Serviço",AK$12&lt;&gt;0,$H29&gt;0,OR(AUTOEVENTO&lt;&gt;"manual",$M29&lt;&gt;1)),
IF(Import.TipoArredondamento&lt;&gt;"TransfereGOV",
ROUND(OFFSET($P29,0,AK$13),15-13*ORÇAMENTO!$AF$7)/$H29*OFFSET(ORÇAMENTO!$X$15,ROW(AK29)-ROW(AK$15),0),
ROUND(ROUND(OFFSET($P29,0,AK$13),15-13*ORÇAMENTO!$AF$7)*OFFSET(ORÇAMENTO!$W$15,ROW(AK29)-ROW(AK$15),0),15-13*ORÇAMENTO!$AF$11)),0)</f>
        <v>0</v>
      </c>
      <c r="AM29" s="181">
        <f ca="1">IF($D29&lt;&gt;"Serviço",0,IF(AND(AUTOEVENTO="Manual",$M29=1),0,IF(OFFSET(CRONOPLE!$F$14,$M29,AM$13)="",10^12,OFFSET(CRONOPLE!$F$14,$M29,AM$13))))</f>
        <v>1</v>
      </c>
      <c r="AN29" s="181">
        <f ca="1">IF($D29&lt;&gt;"Serviço",0,IF(AND(AUTOEVENTO="Manual",$M29=1),0,IF(OFFSET(CRONOPLE!$F$14,$M29,AN$13)="",10^12,OFFSET(CRONOPLE!$F$14,$M29,AN$13))))</f>
        <v>1000000000000</v>
      </c>
      <c r="AO29" s="181">
        <f ca="1">IF($D29&lt;&gt;"Serviço",0,IF(AND(AUTOEVENTO="Manual",$M29=1),0,IF(OFFSET(CRONOPLE!$F$14,$M29,AO$13)="",10^12,OFFSET(CRONOPLE!$F$14,$M29,AO$13))))</f>
        <v>1000000000000</v>
      </c>
      <c r="AP29" s="181">
        <f ca="1">IF($D29&lt;&gt;"Serviço",0,IF(AND(AUTOEVENTO="Manual",$M29=1),0,IF(OFFSET(CRONOPLE!$F$14,$M29,AP$13)="",10^12,OFFSET(CRONOPLE!$F$14,$M29,AP$13))))</f>
        <v>1000000000000</v>
      </c>
      <c r="AQ29" s="181">
        <f ca="1">IF($D29&lt;&gt;"Serviço",0,IF(AND(AUTOEVENTO="Manual",$M29=1),0,IF(OFFSET(CRONOPLE!$F$14,$M29,AQ$13)="",10^12,OFFSET(CRONOPLE!$F$14,$M29,AQ$13))))</f>
        <v>1000000000000</v>
      </c>
      <c r="AR29" s="181">
        <f ca="1">IF($D29&lt;&gt;"Serviço",0,IF(AND(AUTOEVENTO="Manual",$M29=1),0,IF(OFFSET(CRONOPLE!$F$14,$M29,AR$13)="",10^12,OFFSET(CRONOPLE!$F$14,$M29,AR$13))))</f>
        <v>1000000000000</v>
      </c>
      <c r="AS29" s="181">
        <f ca="1">IF($D29&lt;&gt;"Serviço",0,IF(AND(AUTOEVENTO="Manual",$M29=1),0,IF(OFFSET(CRONOPLE!$F$14,$M29,AS$13)="",10^12,OFFSET(CRONOPLE!$F$14,$M29,AS$13))))</f>
        <v>1000000000000</v>
      </c>
      <c r="AT29" s="181">
        <f ca="1">IF($D29&lt;&gt;"Serviço",0,IF(AND(AUTOEVENTO="Manual",$M29=1),0,IF(OFFSET(CRONOPLE!$F$14,$M29,AT$13)="",10^12,OFFSET(CRONOPLE!$F$14,$M29,AT$13))))</f>
        <v>1000000000000</v>
      </c>
      <c r="AU29" s="181">
        <f ca="1">IF($D29&lt;&gt;"Serviço",0,IF(AND(AUTOEVENTO="Manual",$M29=1),0,IF(OFFSET(CRONOPLE!$F$14,$M29,AU$13)="",10^12,OFFSET(CRONOPLE!$F$14,$M29,AU$13))))</f>
        <v>1000000000000</v>
      </c>
      <c r="AV29" s="181">
        <f ca="1">IF($D29&lt;&gt;"Serviço",0,IF(AND(AUTOEVENTO="Manual",$M29=1),0,IF(OFFSET(CRONOPLE!$F$14,$M29,AV$13)="",10^12,OFFSET(CRONOPLE!$F$14,$M29,AV$13))))</f>
        <v>1000000000000</v>
      </c>
      <c r="AX29" s="182">
        <f ca="1">IF($D29&lt;&gt;"Serviço",0,IF(OR(AND(AUTOEVENTO="Manual",$M29=1),$M29&gt;(ROW(PLE.lastrow)-ROW(PLE.firstrow))),0,IF(OFFSET(PLE!$G$14,$M29,AX$13)="",10^12,OFFSET(PLE!$G$14,$M29,AX$13))))</f>
        <v>1000000000000</v>
      </c>
      <c r="AY29" s="182">
        <f ca="1">IF($D29&lt;&gt;"Serviço",0,IF(OR(AND(AUTOEVENTO="Manual",$M29=1),$M29&gt;(ROW(PLE.lastrow)-ROW(PLE.firstrow))),0,IF(OFFSET(PLE!$G$14,$M29,AY$13)="",10^12,OFFSET(PLE!$G$14,$M29,AY$13))))</f>
        <v>1000000000000</v>
      </c>
      <c r="AZ29" s="182">
        <f ca="1">IF($D29&lt;&gt;"Serviço",0,IF(OR(AND(AUTOEVENTO="Manual",$M29=1),$M29&gt;(ROW(PLE.lastrow)-ROW(PLE.firstrow))),0,IF(OFFSET(PLE!$G$14,$M29,AZ$13)="",10^12,OFFSET(PLE!$G$14,$M29,AZ$13))))</f>
        <v>1000000000000</v>
      </c>
      <c r="BA29" s="182">
        <f ca="1">IF($D29&lt;&gt;"Serviço",0,IF(OR(AND(AUTOEVENTO="Manual",$M29=1),$M29&gt;(ROW(PLE.lastrow)-ROW(PLE.firstrow))),0,IF(OFFSET(PLE!$G$14,$M29,BA$13)="",10^12,OFFSET(PLE!$G$14,$M29,BA$13))))</f>
        <v>1000000000000</v>
      </c>
      <c r="BB29" s="182">
        <f ca="1">IF($D29&lt;&gt;"Serviço",0,IF(OR(AND(AUTOEVENTO="Manual",$M29=1),$M29&gt;(ROW(PLE.lastrow)-ROW(PLE.firstrow))),0,IF(OFFSET(PLE!$G$14,$M29,BB$13)="",10^12,OFFSET(PLE!$G$14,$M29,BB$13))))</f>
        <v>1000000000000</v>
      </c>
      <c r="BC29" s="182">
        <f ca="1">IF($D29&lt;&gt;"Serviço",0,IF(OR(AND(AUTOEVENTO="Manual",$M29=1),$M29&gt;(ROW(PLE.lastrow)-ROW(PLE.firstrow))),0,IF(OFFSET(PLE!$G$14,$M29,BC$13)="",10^12,OFFSET(PLE!$G$14,$M29,BC$13))))</f>
        <v>1000000000000</v>
      </c>
      <c r="BD29" s="182">
        <f ca="1">IF($D29&lt;&gt;"Serviço",0,IF(OR(AND(AUTOEVENTO="Manual",$M29=1),$M29&gt;(ROW(PLE.lastrow)-ROW(PLE.firstrow))),0,IF(OFFSET(PLE!$G$14,$M29,BD$13)="",10^12,OFFSET(PLE!$G$14,$M29,BD$13))))</f>
        <v>1000000000000</v>
      </c>
      <c r="BE29" s="182">
        <f ca="1">IF($D29&lt;&gt;"Serviço",0,IF(OR(AND(AUTOEVENTO="Manual",$M29=1),$M29&gt;(ROW(PLE.lastrow)-ROW(PLE.firstrow))),0,IF(OFFSET(PLE!$G$14,$M29,BE$13)="",10^12,OFFSET(PLE!$G$14,$M29,BE$13))))</f>
        <v>1000000000000</v>
      </c>
      <c r="BF29" s="182">
        <f ca="1">IF($D29&lt;&gt;"Serviço",0,IF(OR(AND(AUTOEVENTO="Manual",$M29=1),$M29&gt;(ROW(PLE.lastrow)-ROW(PLE.firstrow))),0,IF(OFFSET(PLE!$G$14,$M29,BF$13)="",10^12,OFFSET(PLE!$G$14,$M29,BF$13))))</f>
        <v>1000000000000</v>
      </c>
      <c r="BG29" s="182">
        <f ca="1">IF($D29&lt;&gt;"Serviço",0,IF(OR(AND(AUTOEVENTO="Manual",$M29=1),$M29&gt;(ROW(PLE.lastrow)-ROW(PLE.firstrow))),0,IF(OFFSET(PLE!$G$14,$M29,BG$13)="",10^12,OFFSET(PLE!$G$14,$M29,BG$13))))</f>
        <v>1000000000000</v>
      </c>
    </row>
    <row r="30" spans="1:59" ht="38.25" x14ac:dyDescent="0.2">
      <c r="A30" s="7" t="str">
        <f t="shared" ca="1" si="9"/>
        <v>7</v>
      </c>
      <c r="B30" s="7" t="str">
        <f ca="1">OFFSET(ORÇAMENTO!C$15,ROW(B30)-ROW(B$15),0)</f>
        <v>S</v>
      </c>
      <c r="C30" s="7" t="str">
        <f ca="1">OFFSET(ORÇAMENTO!L$15,ROW(C30)-ROW(C$15),0)</f>
        <v/>
      </c>
      <c r="D30" s="118" t="str">
        <f ca="1">OFFSET(ORÇAMENTO!N$15,ROW(D30)-ROW(D$15),0)</f>
        <v>Serviço</v>
      </c>
      <c r="E30" s="119" t="str">
        <f ca="1">OFFSET(ORÇAMENTO!O$15,ROW(E30)-ROW(E$15),0)</f>
        <v>-</v>
      </c>
      <c r="F30" s="172" t="str">
        <f ca="1">OFFSET(ORÇAMENTO!R$15,ROW(F30)-ROW(F$15),0)</f>
        <v>(abra o arquivo 'Referência 05-Friday.xlsm)</v>
      </c>
      <c r="G30" s="173" t="str">
        <f ca="1">IF($D30&lt;&gt;"Serviço","",OFFSET(ORÇAMENTO!S$15,ROW(G30)-ROW(G$15),0))</f>
        <v>-</v>
      </c>
      <c r="H30" s="124">
        <f ca="1">IF($D30&lt;&gt;"Serviço",0,IF(ACOMPANHAMENTO="BM",ROUND(OFFSET(ORÇAMENTO!AJ$15,ROW(H30)-ROW(H$15),0),15-13*ORÇAMENTO!$AF$7),SUMPRODUCT(($Q$12:$AA$12&lt;&gt;"")*ROUND($Q30:$AA30,15-13*ORÇAMENTO!$AF$7))))</f>
        <v>3</v>
      </c>
      <c r="I30" s="539"/>
      <c r="K30" s="174"/>
      <c r="L30" s="175" t="s">
        <v>254</v>
      </c>
      <c r="M30" s="176">
        <f ca="1">IF($D30&lt;&gt;"Serviço","",IF(AUTOEVENTO="manual",$A30,IF(ISERROR(MATCH($A30,$A$15:OFFSET($A30,-1,0),0)),MAX($M$15:OFFSET(M30,-1,0))+1,INDEX($M$15:OFFSET(M30,-1,0),MATCH($A30,$A$15:OFFSET($A30,-1,0),0)))))</f>
        <v>3</v>
      </c>
      <c r="N30" s="177" t="str">
        <f ca="1">IF($D30&lt;&gt;"Serviço","",IF(AUTOEVENTO="Manual",IF($A30=0,"&lt;-- defina o número do agrupador",OFFSET(EVENTOS!$D$14,$A30,0)),OFFSET($F$15,$A30,0)))</f>
        <v>DRENAGEM</v>
      </c>
      <c r="O30" s="178"/>
      <c r="Q30" s="178">
        <v>3</v>
      </c>
      <c r="R30" s="179"/>
      <c r="S30" s="179"/>
      <c r="T30" s="179"/>
      <c r="U30" s="179"/>
      <c r="V30" s="179"/>
      <c r="W30" s="179"/>
      <c r="X30" s="179"/>
      <c r="Y30" s="179"/>
      <c r="Z30" s="180"/>
      <c r="AB30" s="522">
        <f ca="1">IF(AND($D30="Serviço",AB$12&lt;&gt;0,$H30&gt;0,OR(AUTOEVENTO&lt;&gt;"manual",$M30&lt;&gt;1)),
IF(Import.TipoArredondamento&lt;&gt;"TransfereGOV",
ROUND(OFFSET($P30,0,AB$13),15-13*ORÇAMENTO!$AF$7)/$H30*OFFSET(ORÇAMENTO!$X$15,ROW(AB30)-ROW(AB$15),0),
ROUND(ROUND(OFFSET($P30,0,AB$13),15-13*ORÇAMENTO!$AF$7)*OFFSET(ORÇAMENTO!$W$15,ROW(AB30)-ROW(AB$15),0),15-13*ORÇAMENTO!$AF$11)),0)</f>
        <v>0</v>
      </c>
      <c r="AC30" s="523">
        <f ca="1">IF(AND($D30="Serviço",AC$12&lt;&gt;0,$H30&gt;0,OR(AUTOEVENTO&lt;&gt;"manual",$M30&lt;&gt;1)),
IF(Import.TipoArredondamento&lt;&gt;"TransfereGOV",
ROUND(OFFSET($P30,0,AC$13),15-13*ORÇAMENTO!$AF$7)/$H30*OFFSET(ORÇAMENTO!$X$15,ROW(AC30)-ROW(AC$15),0),
ROUND(ROUND(OFFSET($P30,0,AC$13),15-13*ORÇAMENTO!$AF$7)*OFFSET(ORÇAMENTO!$W$15,ROW(AC30)-ROW(AC$15),0),15-13*ORÇAMENTO!$AF$11)),0)</f>
        <v>0</v>
      </c>
      <c r="AD30" s="523">
        <f ca="1">IF(AND($D30="Serviço",AD$12&lt;&gt;0,$H30&gt;0,OR(AUTOEVENTO&lt;&gt;"manual",$M30&lt;&gt;1)),
IF(Import.TipoArredondamento&lt;&gt;"TransfereGOV",
ROUND(OFFSET($P30,0,AD$13),15-13*ORÇAMENTO!$AF$7)/$H30*OFFSET(ORÇAMENTO!$X$15,ROW(AD30)-ROW(AD$15),0),
ROUND(ROUND(OFFSET($P30,0,AD$13),15-13*ORÇAMENTO!$AF$7)*OFFSET(ORÇAMENTO!$W$15,ROW(AD30)-ROW(AD$15),0),15-13*ORÇAMENTO!$AF$11)),0)</f>
        <v>0</v>
      </c>
      <c r="AE30" s="523">
        <f ca="1">IF(AND($D30="Serviço",AE$12&lt;&gt;0,$H30&gt;0,OR(AUTOEVENTO&lt;&gt;"manual",$M30&lt;&gt;1)),
IF(Import.TipoArredondamento&lt;&gt;"TransfereGOV",
ROUND(OFFSET($P30,0,AE$13),15-13*ORÇAMENTO!$AF$7)/$H30*OFFSET(ORÇAMENTO!$X$15,ROW(AE30)-ROW(AE$15),0),
ROUND(ROUND(OFFSET($P30,0,AE$13),15-13*ORÇAMENTO!$AF$7)*OFFSET(ORÇAMENTO!$W$15,ROW(AE30)-ROW(AE$15),0),15-13*ORÇAMENTO!$AF$11)),0)</f>
        <v>0</v>
      </c>
      <c r="AF30" s="523">
        <f ca="1">IF(AND($D30="Serviço",AF$12&lt;&gt;0,$H30&gt;0,OR(AUTOEVENTO&lt;&gt;"manual",$M30&lt;&gt;1)),
IF(Import.TipoArredondamento&lt;&gt;"TransfereGOV",
ROUND(OFFSET($P30,0,AF$13),15-13*ORÇAMENTO!$AF$7)/$H30*OFFSET(ORÇAMENTO!$X$15,ROW(AF30)-ROW(AF$15),0),
ROUND(ROUND(OFFSET($P30,0,AF$13),15-13*ORÇAMENTO!$AF$7)*OFFSET(ORÇAMENTO!$W$15,ROW(AF30)-ROW(AF$15),0),15-13*ORÇAMENTO!$AF$11)),0)</f>
        <v>0</v>
      </c>
      <c r="AG30" s="523">
        <f ca="1">IF(AND($D30="Serviço",AG$12&lt;&gt;0,$H30&gt;0,OR(AUTOEVENTO&lt;&gt;"manual",$M30&lt;&gt;1)),
IF(Import.TipoArredondamento&lt;&gt;"TransfereGOV",
ROUND(OFFSET($P30,0,AG$13),15-13*ORÇAMENTO!$AF$7)/$H30*OFFSET(ORÇAMENTO!$X$15,ROW(AG30)-ROW(AG$15),0),
ROUND(ROUND(OFFSET($P30,0,AG$13),15-13*ORÇAMENTO!$AF$7)*OFFSET(ORÇAMENTO!$W$15,ROW(AG30)-ROW(AG$15),0),15-13*ORÇAMENTO!$AF$11)),0)</f>
        <v>0</v>
      </c>
      <c r="AH30" s="523">
        <f ca="1">IF(AND($D30="Serviço",AH$12&lt;&gt;0,$H30&gt;0,OR(AUTOEVENTO&lt;&gt;"manual",$M30&lt;&gt;1)),
IF(Import.TipoArredondamento&lt;&gt;"TransfereGOV",
ROUND(OFFSET($P30,0,AH$13),15-13*ORÇAMENTO!$AF$7)/$H30*OFFSET(ORÇAMENTO!$X$15,ROW(AH30)-ROW(AH$15),0),
ROUND(ROUND(OFFSET($P30,0,AH$13),15-13*ORÇAMENTO!$AF$7)*OFFSET(ORÇAMENTO!$W$15,ROW(AH30)-ROW(AH$15),0),15-13*ORÇAMENTO!$AF$11)),0)</f>
        <v>0</v>
      </c>
      <c r="AI30" s="523">
        <f ca="1">IF(AND($D30="Serviço",AI$12&lt;&gt;0,$H30&gt;0,OR(AUTOEVENTO&lt;&gt;"manual",$M30&lt;&gt;1)),
IF(Import.TipoArredondamento&lt;&gt;"TransfereGOV",
ROUND(OFFSET($P30,0,AI$13),15-13*ORÇAMENTO!$AF$7)/$H30*OFFSET(ORÇAMENTO!$X$15,ROW(AI30)-ROW(AI$15),0),
ROUND(ROUND(OFFSET($P30,0,AI$13),15-13*ORÇAMENTO!$AF$7)*OFFSET(ORÇAMENTO!$W$15,ROW(AI30)-ROW(AI$15),0),15-13*ORÇAMENTO!$AF$11)),0)</f>
        <v>0</v>
      </c>
      <c r="AJ30" s="523">
        <f ca="1">IF(AND($D30="Serviço",AJ$12&lt;&gt;0,$H30&gt;0,OR(AUTOEVENTO&lt;&gt;"manual",$M30&lt;&gt;1)),
IF(Import.TipoArredondamento&lt;&gt;"TransfereGOV",
ROUND(OFFSET($P30,0,AJ$13),15-13*ORÇAMENTO!$AF$7)/$H30*OFFSET(ORÇAMENTO!$X$15,ROW(AJ30)-ROW(AJ$15),0),
ROUND(ROUND(OFFSET($P30,0,AJ$13),15-13*ORÇAMENTO!$AF$7)*OFFSET(ORÇAMENTO!$W$15,ROW(AJ30)-ROW(AJ$15),0),15-13*ORÇAMENTO!$AF$11)),0)</f>
        <v>0</v>
      </c>
      <c r="AK30" s="524">
        <f ca="1">IF(AND($D30="Serviço",AK$12&lt;&gt;0,$H30&gt;0,OR(AUTOEVENTO&lt;&gt;"manual",$M30&lt;&gt;1)),
IF(Import.TipoArredondamento&lt;&gt;"TransfereGOV",
ROUND(OFFSET($P30,0,AK$13),15-13*ORÇAMENTO!$AF$7)/$H30*OFFSET(ORÇAMENTO!$X$15,ROW(AK30)-ROW(AK$15),0),
ROUND(ROUND(OFFSET($P30,0,AK$13),15-13*ORÇAMENTO!$AF$7)*OFFSET(ORÇAMENTO!$W$15,ROW(AK30)-ROW(AK$15),0),15-13*ORÇAMENTO!$AF$11)),0)</f>
        <v>0</v>
      </c>
      <c r="AM30" s="181">
        <f ca="1">IF($D30&lt;&gt;"Serviço",0,IF(AND(AUTOEVENTO="Manual",$M30=1),0,IF(OFFSET(CRONOPLE!$F$14,$M30,AM$13)="",10^12,OFFSET(CRONOPLE!$F$14,$M30,AM$13))))</f>
        <v>1</v>
      </c>
      <c r="AN30" s="181">
        <f ca="1">IF($D30&lt;&gt;"Serviço",0,IF(AND(AUTOEVENTO="Manual",$M30=1),0,IF(OFFSET(CRONOPLE!$F$14,$M30,AN$13)="",10^12,OFFSET(CRONOPLE!$F$14,$M30,AN$13))))</f>
        <v>1000000000000</v>
      </c>
      <c r="AO30" s="181">
        <f ca="1">IF($D30&lt;&gt;"Serviço",0,IF(AND(AUTOEVENTO="Manual",$M30=1),0,IF(OFFSET(CRONOPLE!$F$14,$M30,AO$13)="",10^12,OFFSET(CRONOPLE!$F$14,$M30,AO$13))))</f>
        <v>1000000000000</v>
      </c>
      <c r="AP30" s="181">
        <f ca="1">IF($D30&lt;&gt;"Serviço",0,IF(AND(AUTOEVENTO="Manual",$M30=1),0,IF(OFFSET(CRONOPLE!$F$14,$M30,AP$13)="",10^12,OFFSET(CRONOPLE!$F$14,$M30,AP$13))))</f>
        <v>1000000000000</v>
      </c>
      <c r="AQ30" s="181">
        <f ca="1">IF($D30&lt;&gt;"Serviço",0,IF(AND(AUTOEVENTO="Manual",$M30=1),0,IF(OFFSET(CRONOPLE!$F$14,$M30,AQ$13)="",10^12,OFFSET(CRONOPLE!$F$14,$M30,AQ$13))))</f>
        <v>1000000000000</v>
      </c>
      <c r="AR30" s="181">
        <f ca="1">IF($D30&lt;&gt;"Serviço",0,IF(AND(AUTOEVENTO="Manual",$M30=1),0,IF(OFFSET(CRONOPLE!$F$14,$M30,AR$13)="",10^12,OFFSET(CRONOPLE!$F$14,$M30,AR$13))))</f>
        <v>1000000000000</v>
      </c>
      <c r="AS30" s="181">
        <f ca="1">IF($D30&lt;&gt;"Serviço",0,IF(AND(AUTOEVENTO="Manual",$M30=1),0,IF(OFFSET(CRONOPLE!$F$14,$M30,AS$13)="",10^12,OFFSET(CRONOPLE!$F$14,$M30,AS$13))))</f>
        <v>1000000000000</v>
      </c>
      <c r="AT30" s="181">
        <f ca="1">IF($D30&lt;&gt;"Serviço",0,IF(AND(AUTOEVENTO="Manual",$M30=1),0,IF(OFFSET(CRONOPLE!$F$14,$M30,AT$13)="",10^12,OFFSET(CRONOPLE!$F$14,$M30,AT$13))))</f>
        <v>1000000000000</v>
      </c>
      <c r="AU30" s="181">
        <f ca="1">IF($D30&lt;&gt;"Serviço",0,IF(AND(AUTOEVENTO="Manual",$M30=1),0,IF(OFFSET(CRONOPLE!$F$14,$M30,AU$13)="",10^12,OFFSET(CRONOPLE!$F$14,$M30,AU$13))))</f>
        <v>1000000000000</v>
      </c>
      <c r="AV30" s="181">
        <f ca="1">IF($D30&lt;&gt;"Serviço",0,IF(AND(AUTOEVENTO="Manual",$M30=1),0,IF(OFFSET(CRONOPLE!$F$14,$M30,AV$13)="",10^12,OFFSET(CRONOPLE!$F$14,$M30,AV$13))))</f>
        <v>1000000000000</v>
      </c>
      <c r="AX30" s="182">
        <f ca="1">IF($D30&lt;&gt;"Serviço",0,IF(OR(AND(AUTOEVENTO="Manual",$M30=1),$M30&gt;(ROW(PLE.lastrow)-ROW(PLE.firstrow))),0,IF(OFFSET(PLE!$G$14,$M30,AX$13)="",10^12,OFFSET(PLE!$G$14,$M30,AX$13))))</f>
        <v>1000000000000</v>
      </c>
      <c r="AY30" s="182">
        <f ca="1">IF($D30&lt;&gt;"Serviço",0,IF(OR(AND(AUTOEVENTO="Manual",$M30=1),$M30&gt;(ROW(PLE.lastrow)-ROW(PLE.firstrow))),0,IF(OFFSET(PLE!$G$14,$M30,AY$13)="",10^12,OFFSET(PLE!$G$14,$M30,AY$13))))</f>
        <v>1000000000000</v>
      </c>
      <c r="AZ30" s="182">
        <f ca="1">IF($D30&lt;&gt;"Serviço",0,IF(OR(AND(AUTOEVENTO="Manual",$M30=1),$M30&gt;(ROW(PLE.lastrow)-ROW(PLE.firstrow))),0,IF(OFFSET(PLE!$G$14,$M30,AZ$13)="",10^12,OFFSET(PLE!$G$14,$M30,AZ$13))))</f>
        <v>1000000000000</v>
      </c>
      <c r="BA30" s="182">
        <f ca="1">IF($D30&lt;&gt;"Serviço",0,IF(OR(AND(AUTOEVENTO="Manual",$M30=1),$M30&gt;(ROW(PLE.lastrow)-ROW(PLE.firstrow))),0,IF(OFFSET(PLE!$G$14,$M30,BA$13)="",10^12,OFFSET(PLE!$G$14,$M30,BA$13))))</f>
        <v>1000000000000</v>
      </c>
      <c r="BB30" s="182">
        <f ca="1">IF($D30&lt;&gt;"Serviço",0,IF(OR(AND(AUTOEVENTO="Manual",$M30=1),$M30&gt;(ROW(PLE.lastrow)-ROW(PLE.firstrow))),0,IF(OFFSET(PLE!$G$14,$M30,BB$13)="",10^12,OFFSET(PLE!$G$14,$M30,BB$13))))</f>
        <v>1000000000000</v>
      </c>
      <c r="BC30" s="182">
        <f ca="1">IF($D30&lt;&gt;"Serviço",0,IF(OR(AND(AUTOEVENTO="Manual",$M30=1),$M30&gt;(ROW(PLE.lastrow)-ROW(PLE.firstrow))),0,IF(OFFSET(PLE!$G$14,$M30,BC$13)="",10^12,OFFSET(PLE!$G$14,$M30,BC$13))))</f>
        <v>1000000000000</v>
      </c>
      <c r="BD30" s="182">
        <f ca="1">IF($D30&lt;&gt;"Serviço",0,IF(OR(AND(AUTOEVENTO="Manual",$M30=1),$M30&gt;(ROW(PLE.lastrow)-ROW(PLE.firstrow))),0,IF(OFFSET(PLE!$G$14,$M30,BD$13)="",10^12,OFFSET(PLE!$G$14,$M30,BD$13))))</f>
        <v>1000000000000</v>
      </c>
      <c r="BE30" s="182">
        <f ca="1">IF($D30&lt;&gt;"Serviço",0,IF(OR(AND(AUTOEVENTO="Manual",$M30=1),$M30&gt;(ROW(PLE.lastrow)-ROW(PLE.firstrow))),0,IF(OFFSET(PLE!$G$14,$M30,BE$13)="",10^12,OFFSET(PLE!$G$14,$M30,BE$13))))</f>
        <v>1000000000000</v>
      </c>
      <c r="BF30" s="182">
        <f ca="1">IF($D30&lt;&gt;"Serviço",0,IF(OR(AND(AUTOEVENTO="Manual",$M30=1),$M30&gt;(ROW(PLE.lastrow)-ROW(PLE.firstrow))),0,IF(OFFSET(PLE!$G$14,$M30,BF$13)="",10^12,OFFSET(PLE!$G$14,$M30,BF$13))))</f>
        <v>1000000000000</v>
      </c>
      <c r="BG30" s="182">
        <f ca="1">IF($D30&lt;&gt;"Serviço",0,IF(OR(AND(AUTOEVENTO="Manual",$M30=1),$M30&gt;(ROW(PLE.lastrow)-ROW(PLE.firstrow))),0,IF(OFFSET(PLE!$G$14,$M30,BG$13)="",10^12,OFFSET(PLE!$G$14,$M30,BG$13))))</f>
        <v>1000000000000</v>
      </c>
    </row>
    <row r="31" spans="1:59" ht="25.5" x14ac:dyDescent="0.2">
      <c r="A31" s="7" t="str">
        <f t="shared" ca="1" si="9"/>
        <v>7</v>
      </c>
      <c r="B31" s="7" t="str">
        <f ca="1">OFFSET(ORÇAMENTO!C$15,ROW(B31)-ROW(B$15),0)</f>
        <v>S</v>
      </c>
      <c r="C31" s="7" t="str">
        <f ca="1">OFFSET(ORÇAMENTO!L$15,ROW(C31)-ROW(C$15),0)</f>
        <v/>
      </c>
      <c r="D31" s="118" t="str">
        <f ca="1">OFFSET(ORÇAMENTO!N$15,ROW(D31)-ROW(D$15),0)</f>
        <v>Serviço</v>
      </c>
      <c r="E31" s="119" t="str">
        <f ca="1">OFFSET(ORÇAMENTO!O$15,ROW(E31)-ROW(E$15),0)</f>
        <v>-</v>
      </c>
      <c r="F31" s="172" t="str">
        <f ca="1">OFFSET(ORÇAMENTO!R$15,ROW(F31)-ROW(F$15),0)</f>
        <v>(abra o arquivo 'Referência 05-Friday.xlsm)</v>
      </c>
      <c r="G31" s="173" t="str">
        <f ca="1">IF($D31&lt;&gt;"Serviço","",OFFSET(ORÇAMENTO!S$15,ROW(G31)-ROW(G$15),0))</f>
        <v>-</v>
      </c>
      <c r="H31" s="124">
        <f ca="1">IF($D31&lt;&gt;"Serviço",0,IF(ACOMPANHAMENTO="BM",ROUND(OFFSET(ORÇAMENTO!AJ$15,ROW(H31)-ROW(H$15),0),15-13*ORÇAMENTO!$AF$7),SUMPRODUCT(($Q$12:$AA$12&lt;&gt;"")*ROUND($Q31:$AA31,15-13*ORÇAMENTO!$AF$7))))</f>
        <v>5</v>
      </c>
      <c r="I31" s="539"/>
      <c r="K31" s="174"/>
      <c r="L31" s="175" t="s">
        <v>254</v>
      </c>
      <c r="M31" s="176">
        <f ca="1">IF($D31&lt;&gt;"Serviço","",IF(AUTOEVENTO="manual",$A31,IF(ISERROR(MATCH($A31,$A$15:OFFSET($A31,-1,0),0)),MAX($M$15:OFFSET(M31,-1,0))+1,INDEX($M$15:OFFSET(M31,-1,0),MATCH($A31,$A$15:OFFSET($A31,-1,0),0)))))</f>
        <v>3</v>
      </c>
      <c r="N31" s="177" t="str">
        <f ca="1">IF($D31&lt;&gt;"Serviço","",IF(AUTOEVENTO="Manual",IF($A31=0,"&lt;-- defina o número do agrupador",OFFSET(EVENTOS!$D$14,$A31,0)),OFFSET($F$15,$A31,0)))</f>
        <v>DRENAGEM</v>
      </c>
      <c r="O31" s="178"/>
      <c r="Q31" s="178">
        <v>5</v>
      </c>
      <c r="R31" s="179"/>
      <c r="S31" s="179"/>
      <c r="T31" s="179"/>
      <c r="U31" s="179"/>
      <c r="V31" s="179"/>
      <c r="W31" s="179"/>
      <c r="X31" s="179"/>
      <c r="Y31" s="179"/>
      <c r="Z31" s="180"/>
      <c r="AB31" s="522">
        <f ca="1">IF(AND($D31="Serviço",AB$12&lt;&gt;0,$H31&gt;0,OR(AUTOEVENTO&lt;&gt;"manual",$M31&lt;&gt;1)),
IF(Import.TipoArredondamento&lt;&gt;"TransfereGOV",
ROUND(OFFSET($P31,0,AB$13),15-13*ORÇAMENTO!$AF$7)/$H31*OFFSET(ORÇAMENTO!$X$15,ROW(AB31)-ROW(AB$15),0),
ROUND(ROUND(OFFSET($P31,0,AB$13),15-13*ORÇAMENTO!$AF$7)*OFFSET(ORÇAMENTO!$W$15,ROW(AB31)-ROW(AB$15),0),15-13*ORÇAMENTO!$AF$11)),0)</f>
        <v>0</v>
      </c>
      <c r="AC31" s="523">
        <f ca="1">IF(AND($D31="Serviço",AC$12&lt;&gt;0,$H31&gt;0,OR(AUTOEVENTO&lt;&gt;"manual",$M31&lt;&gt;1)),
IF(Import.TipoArredondamento&lt;&gt;"TransfereGOV",
ROUND(OFFSET($P31,0,AC$13),15-13*ORÇAMENTO!$AF$7)/$H31*OFFSET(ORÇAMENTO!$X$15,ROW(AC31)-ROW(AC$15),0),
ROUND(ROUND(OFFSET($P31,0,AC$13),15-13*ORÇAMENTO!$AF$7)*OFFSET(ORÇAMENTO!$W$15,ROW(AC31)-ROW(AC$15),0),15-13*ORÇAMENTO!$AF$11)),0)</f>
        <v>0</v>
      </c>
      <c r="AD31" s="523">
        <f ca="1">IF(AND($D31="Serviço",AD$12&lt;&gt;0,$H31&gt;0,OR(AUTOEVENTO&lt;&gt;"manual",$M31&lt;&gt;1)),
IF(Import.TipoArredondamento&lt;&gt;"TransfereGOV",
ROUND(OFFSET($P31,0,AD$13),15-13*ORÇAMENTO!$AF$7)/$H31*OFFSET(ORÇAMENTO!$X$15,ROW(AD31)-ROW(AD$15),0),
ROUND(ROUND(OFFSET($P31,0,AD$13),15-13*ORÇAMENTO!$AF$7)*OFFSET(ORÇAMENTO!$W$15,ROW(AD31)-ROW(AD$15),0),15-13*ORÇAMENTO!$AF$11)),0)</f>
        <v>0</v>
      </c>
      <c r="AE31" s="523">
        <f ca="1">IF(AND($D31="Serviço",AE$12&lt;&gt;0,$H31&gt;0,OR(AUTOEVENTO&lt;&gt;"manual",$M31&lt;&gt;1)),
IF(Import.TipoArredondamento&lt;&gt;"TransfereGOV",
ROUND(OFFSET($P31,0,AE$13),15-13*ORÇAMENTO!$AF$7)/$H31*OFFSET(ORÇAMENTO!$X$15,ROW(AE31)-ROW(AE$15),0),
ROUND(ROUND(OFFSET($P31,0,AE$13),15-13*ORÇAMENTO!$AF$7)*OFFSET(ORÇAMENTO!$W$15,ROW(AE31)-ROW(AE$15),0),15-13*ORÇAMENTO!$AF$11)),0)</f>
        <v>0</v>
      </c>
      <c r="AF31" s="523">
        <f ca="1">IF(AND($D31="Serviço",AF$12&lt;&gt;0,$H31&gt;0,OR(AUTOEVENTO&lt;&gt;"manual",$M31&lt;&gt;1)),
IF(Import.TipoArredondamento&lt;&gt;"TransfereGOV",
ROUND(OFFSET($P31,0,AF$13),15-13*ORÇAMENTO!$AF$7)/$H31*OFFSET(ORÇAMENTO!$X$15,ROW(AF31)-ROW(AF$15),0),
ROUND(ROUND(OFFSET($P31,0,AF$13),15-13*ORÇAMENTO!$AF$7)*OFFSET(ORÇAMENTO!$W$15,ROW(AF31)-ROW(AF$15),0),15-13*ORÇAMENTO!$AF$11)),0)</f>
        <v>0</v>
      </c>
      <c r="AG31" s="523">
        <f ca="1">IF(AND($D31="Serviço",AG$12&lt;&gt;0,$H31&gt;0,OR(AUTOEVENTO&lt;&gt;"manual",$M31&lt;&gt;1)),
IF(Import.TipoArredondamento&lt;&gt;"TransfereGOV",
ROUND(OFFSET($P31,0,AG$13),15-13*ORÇAMENTO!$AF$7)/$H31*OFFSET(ORÇAMENTO!$X$15,ROW(AG31)-ROW(AG$15),0),
ROUND(ROUND(OFFSET($P31,0,AG$13),15-13*ORÇAMENTO!$AF$7)*OFFSET(ORÇAMENTO!$W$15,ROW(AG31)-ROW(AG$15),0),15-13*ORÇAMENTO!$AF$11)),0)</f>
        <v>0</v>
      </c>
      <c r="AH31" s="523">
        <f ca="1">IF(AND($D31="Serviço",AH$12&lt;&gt;0,$H31&gt;0,OR(AUTOEVENTO&lt;&gt;"manual",$M31&lt;&gt;1)),
IF(Import.TipoArredondamento&lt;&gt;"TransfereGOV",
ROUND(OFFSET($P31,0,AH$13),15-13*ORÇAMENTO!$AF$7)/$H31*OFFSET(ORÇAMENTO!$X$15,ROW(AH31)-ROW(AH$15),0),
ROUND(ROUND(OFFSET($P31,0,AH$13),15-13*ORÇAMENTO!$AF$7)*OFFSET(ORÇAMENTO!$W$15,ROW(AH31)-ROW(AH$15),0),15-13*ORÇAMENTO!$AF$11)),0)</f>
        <v>0</v>
      </c>
      <c r="AI31" s="523">
        <f ca="1">IF(AND($D31="Serviço",AI$12&lt;&gt;0,$H31&gt;0,OR(AUTOEVENTO&lt;&gt;"manual",$M31&lt;&gt;1)),
IF(Import.TipoArredondamento&lt;&gt;"TransfereGOV",
ROUND(OFFSET($P31,0,AI$13),15-13*ORÇAMENTO!$AF$7)/$H31*OFFSET(ORÇAMENTO!$X$15,ROW(AI31)-ROW(AI$15),0),
ROUND(ROUND(OFFSET($P31,0,AI$13),15-13*ORÇAMENTO!$AF$7)*OFFSET(ORÇAMENTO!$W$15,ROW(AI31)-ROW(AI$15),0),15-13*ORÇAMENTO!$AF$11)),0)</f>
        <v>0</v>
      </c>
      <c r="AJ31" s="523">
        <f ca="1">IF(AND($D31="Serviço",AJ$12&lt;&gt;0,$H31&gt;0,OR(AUTOEVENTO&lt;&gt;"manual",$M31&lt;&gt;1)),
IF(Import.TipoArredondamento&lt;&gt;"TransfereGOV",
ROUND(OFFSET($P31,0,AJ$13),15-13*ORÇAMENTO!$AF$7)/$H31*OFFSET(ORÇAMENTO!$X$15,ROW(AJ31)-ROW(AJ$15),0),
ROUND(ROUND(OFFSET($P31,0,AJ$13),15-13*ORÇAMENTO!$AF$7)*OFFSET(ORÇAMENTO!$W$15,ROW(AJ31)-ROW(AJ$15),0),15-13*ORÇAMENTO!$AF$11)),0)</f>
        <v>0</v>
      </c>
      <c r="AK31" s="524">
        <f ca="1">IF(AND($D31="Serviço",AK$12&lt;&gt;0,$H31&gt;0,OR(AUTOEVENTO&lt;&gt;"manual",$M31&lt;&gt;1)),
IF(Import.TipoArredondamento&lt;&gt;"TransfereGOV",
ROUND(OFFSET($P31,0,AK$13),15-13*ORÇAMENTO!$AF$7)/$H31*OFFSET(ORÇAMENTO!$X$15,ROW(AK31)-ROW(AK$15),0),
ROUND(ROUND(OFFSET($P31,0,AK$13),15-13*ORÇAMENTO!$AF$7)*OFFSET(ORÇAMENTO!$W$15,ROW(AK31)-ROW(AK$15),0),15-13*ORÇAMENTO!$AF$11)),0)</f>
        <v>0</v>
      </c>
      <c r="AM31" s="181">
        <f ca="1">IF($D31&lt;&gt;"Serviço",0,IF(AND(AUTOEVENTO="Manual",$M31=1),0,IF(OFFSET(CRONOPLE!$F$14,$M31,AM$13)="",10^12,OFFSET(CRONOPLE!$F$14,$M31,AM$13))))</f>
        <v>1</v>
      </c>
      <c r="AN31" s="181">
        <f ca="1">IF($D31&lt;&gt;"Serviço",0,IF(AND(AUTOEVENTO="Manual",$M31=1),0,IF(OFFSET(CRONOPLE!$F$14,$M31,AN$13)="",10^12,OFFSET(CRONOPLE!$F$14,$M31,AN$13))))</f>
        <v>1000000000000</v>
      </c>
      <c r="AO31" s="181">
        <f ca="1">IF($D31&lt;&gt;"Serviço",0,IF(AND(AUTOEVENTO="Manual",$M31=1),0,IF(OFFSET(CRONOPLE!$F$14,$M31,AO$13)="",10^12,OFFSET(CRONOPLE!$F$14,$M31,AO$13))))</f>
        <v>1000000000000</v>
      </c>
      <c r="AP31" s="181">
        <f ca="1">IF($D31&lt;&gt;"Serviço",0,IF(AND(AUTOEVENTO="Manual",$M31=1),0,IF(OFFSET(CRONOPLE!$F$14,$M31,AP$13)="",10^12,OFFSET(CRONOPLE!$F$14,$M31,AP$13))))</f>
        <v>1000000000000</v>
      </c>
      <c r="AQ31" s="181">
        <f ca="1">IF($D31&lt;&gt;"Serviço",0,IF(AND(AUTOEVENTO="Manual",$M31=1),0,IF(OFFSET(CRONOPLE!$F$14,$M31,AQ$13)="",10^12,OFFSET(CRONOPLE!$F$14,$M31,AQ$13))))</f>
        <v>1000000000000</v>
      </c>
      <c r="AR31" s="181">
        <f ca="1">IF($D31&lt;&gt;"Serviço",0,IF(AND(AUTOEVENTO="Manual",$M31=1),0,IF(OFFSET(CRONOPLE!$F$14,$M31,AR$13)="",10^12,OFFSET(CRONOPLE!$F$14,$M31,AR$13))))</f>
        <v>1000000000000</v>
      </c>
      <c r="AS31" s="181">
        <f ca="1">IF($D31&lt;&gt;"Serviço",0,IF(AND(AUTOEVENTO="Manual",$M31=1),0,IF(OFFSET(CRONOPLE!$F$14,$M31,AS$13)="",10^12,OFFSET(CRONOPLE!$F$14,$M31,AS$13))))</f>
        <v>1000000000000</v>
      </c>
      <c r="AT31" s="181">
        <f ca="1">IF($D31&lt;&gt;"Serviço",0,IF(AND(AUTOEVENTO="Manual",$M31=1),0,IF(OFFSET(CRONOPLE!$F$14,$M31,AT$13)="",10^12,OFFSET(CRONOPLE!$F$14,$M31,AT$13))))</f>
        <v>1000000000000</v>
      </c>
      <c r="AU31" s="181">
        <f ca="1">IF($D31&lt;&gt;"Serviço",0,IF(AND(AUTOEVENTO="Manual",$M31=1),0,IF(OFFSET(CRONOPLE!$F$14,$M31,AU$13)="",10^12,OFFSET(CRONOPLE!$F$14,$M31,AU$13))))</f>
        <v>1000000000000</v>
      </c>
      <c r="AV31" s="181">
        <f ca="1">IF($D31&lt;&gt;"Serviço",0,IF(AND(AUTOEVENTO="Manual",$M31=1),0,IF(OFFSET(CRONOPLE!$F$14,$M31,AV$13)="",10^12,OFFSET(CRONOPLE!$F$14,$M31,AV$13))))</f>
        <v>1000000000000</v>
      </c>
      <c r="AX31" s="182">
        <f ca="1">IF($D31&lt;&gt;"Serviço",0,IF(OR(AND(AUTOEVENTO="Manual",$M31=1),$M31&gt;(ROW(PLE.lastrow)-ROW(PLE.firstrow))),0,IF(OFFSET(PLE!$G$14,$M31,AX$13)="",10^12,OFFSET(PLE!$G$14,$M31,AX$13))))</f>
        <v>1000000000000</v>
      </c>
      <c r="AY31" s="182">
        <f ca="1">IF($D31&lt;&gt;"Serviço",0,IF(OR(AND(AUTOEVENTO="Manual",$M31=1),$M31&gt;(ROW(PLE.lastrow)-ROW(PLE.firstrow))),0,IF(OFFSET(PLE!$G$14,$M31,AY$13)="",10^12,OFFSET(PLE!$G$14,$M31,AY$13))))</f>
        <v>1000000000000</v>
      </c>
      <c r="AZ31" s="182">
        <f ca="1">IF($D31&lt;&gt;"Serviço",0,IF(OR(AND(AUTOEVENTO="Manual",$M31=1),$M31&gt;(ROW(PLE.lastrow)-ROW(PLE.firstrow))),0,IF(OFFSET(PLE!$G$14,$M31,AZ$13)="",10^12,OFFSET(PLE!$G$14,$M31,AZ$13))))</f>
        <v>1000000000000</v>
      </c>
      <c r="BA31" s="182">
        <f ca="1">IF($D31&lt;&gt;"Serviço",0,IF(OR(AND(AUTOEVENTO="Manual",$M31=1),$M31&gt;(ROW(PLE.lastrow)-ROW(PLE.firstrow))),0,IF(OFFSET(PLE!$G$14,$M31,BA$13)="",10^12,OFFSET(PLE!$G$14,$M31,BA$13))))</f>
        <v>1000000000000</v>
      </c>
      <c r="BB31" s="182">
        <f ca="1">IF($D31&lt;&gt;"Serviço",0,IF(OR(AND(AUTOEVENTO="Manual",$M31=1),$M31&gt;(ROW(PLE.lastrow)-ROW(PLE.firstrow))),0,IF(OFFSET(PLE!$G$14,$M31,BB$13)="",10^12,OFFSET(PLE!$G$14,$M31,BB$13))))</f>
        <v>1000000000000</v>
      </c>
      <c r="BC31" s="182">
        <f ca="1">IF($D31&lt;&gt;"Serviço",0,IF(OR(AND(AUTOEVENTO="Manual",$M31=1),$M31&gt;(ROW(PLE.lastrow)-ROW(PLE.firstrow))),0,IF(OFFSET(PLE!$G$14,$M31,BC$13)="",10^12,OFFSET(PLE!$G$14,$M31,BC$13))))</f>
        <v>1000000000000</v>
      </c>
      <c r="BD31" s="182">
        <f ca="1">IF($D31&lt;&gt;"Serviço",0,IF(OR(AND(AUTOEVENTO="Manual",$M31=1),$M31&gt;(ROW(PLE.lastrow)-ROW(PLE.firstrow))),0,IF(OFFSET(PLE!$G$14,$M31,BD$13)="",10^12,OFFSET(PLE!$G$14,$M31,BD$13))))</f>
        <v>1000000000000</v>
      </c>
      <c r="BE31" s="182">
        <f ca="1">IF($D31&lt;&gt;"Serviço",0,IF(OR(AND(AUTOEVENTO="Manual",$M31=1),$M31&gt;(ROW(PLE.lastrow)-ROW(PLE.firstrow))),0,IF(OFFSET(PLE!$G$14,$M31,BE$13)="",10^12,OFFSET(PLE!$G$14,$M31,BE$13))))</f>
        <v>1000000000000</v>
      </c>
      <c r="BF31" s="182">
        <f ca="1">IF($D31&lt;&gt;"Serviço",0,IF(OR(AND(AUTOEVENTO="Manual",$M31=1),$M31&gt;(ROW(PLE.lastrow)-ROW(PLE.firstrow))),0,IF(OFFSET(PLE!$G$14,$M31,BF$13)="",10^12,OFFSET(PLE!$G$14,$M31,BF$13))))</f>
        <v>1000000000000</v>
      </c>
      <c r="BG31" s="182">
        <f ca="1">IF($D31&lt;&gt;"Serviço",0,IF(OR(AND(AUTOEVENTO="Manual",$M31=1),$M31&gt;(ROW(PLE.lastrow)-ROW(PLE.firstrow))),0,IF(OFFSET(PLE!$G$14,$M31,BG$13)="",10^12,OFFSET(PLE!$G$14,$M31,BG$13))))</f>
        <v>1000000000000</v>
      </c>
    </row>
    <row r="32" spans="1:59" ht="63.75" x14ac:dyDescent="0.2">
      <c r="A32" s="7" t="str">
        <f t="shared" ca="1" si="9"/>
        <v>7</v>
      </c>
      <c r="B32" s="7" t="str">
        <f ca="1">OFFSET(ORÇAMENTO!C$15,ROW(B32)-ROW(B$15),0)</f>
        <v>S</v>
      </c>
      <c r="C32" s="7" t="str">
        <f ca="1">OFFSET(ORÇAMENTO!L$15,ROW(C32)-ROW(C$15),0)</f>
        <v/>
      </c>
      <c r="D32" s="118" t="str">
        <f ca="1">OFFSET(ORÇAMENTO!N$15,ROW(D32)-ROW(D$15),0)</f>
        <v>Serviço</v>
      </c>
      <c r="E32" s="119" t="str">
        <f ca="1">OFFSET(ORÇAMENTO!O$15,ROW(E32)-ROW(E$15),0)</f>
        <v>-</v>
      </c>
      <c r="F32" s="172" t="str">
        <f ca="1">OFFSET(ORÇAMENTO!R$15,ROW(F32)-ROW(F$15),0)</f>
        <v>(abra o arquivo 'Referência 05-Friday.xlsm)</v>
      </c>
      <c r="G32" s="173" t="str">
        <f ca="1">IF($D32&lt;&gt;"Serviço","",OFFSET(ORÇAMENTO!S$15,ROW(G32)-ROW(G$15),0))</f>
        <v>-</v>
      </c>
      <c r="H32" s="124">
        <f ca="1">IF($D32&lt;&gt;"Serviço",0,IF(ACOMPANHAMENTO="BM",ROUND(OFFSET(ORÇAMENTO!AJ$15,ROW(H32)-ROW(H$15),0),15-13*ORÇAMENTO!$AF$7),SUMPRODUCT(($Q$12:$AA$12&lt;&gt;"")*ROUND($Q32:$AA32,15-13*ORÇAMENTO!$AF$7))))</f>
        <v>80.98</v>
      </c>
      <c r="I32" s="539"/>
      <c r="K32" s="174"/>
      <c r="L32" s="175" t="s">
        <v>254</v>
      </c>
      <c r="M32" s="176">
        <f ca="1">IF($D32&lt;&gt;"Serviço","",IF(AUTOEVENTO="manual",$A32,IF(ISERROR(MATCH($A32,$A$15:OFFSET($A32,-1,0),0)),MAX($M$15:OFFSET(M32,-1,0))+1,INDEX($M$15:OFFSET(M32,-1,0),MATCH($A32,$A$15:OFFSET($A32,-1,0),0)))))</f>
        <v>3</v>
      </c>
      <c r="N32" s="177" t="str">
        <f ca="1">IF($D32&lt;&gt;"Serviço","",IF(AUTOEVENTO="Manual",IF($A32=0,"&lt;-- defina o número do agrupador",OFFSET(EVENTOS!$D$14,$A32,0)),OFFSET($F$15,$A32,0)))</f>
        <v>DRENAGEM</v>
      </c>
      <c r="O32" s="178"/>
      <c r="Q32" s="178">
        <v>80.98</v>
      </c>
      <c r="R32" s="179"/>
      <c r="S32" s="179"/>
      <c r="T32" s="179"/>
      <c r="U32" s="179"/>
      <c r="V32" s="179"/>
      <c r="W32" s="179"/>
      <c r="X32" s="179"/>
      <c r="Y32" s="179"/>
      <c r="Z32" s="180"/>
      <c r="AB32" s="522">
        <f ca="1">IF(AND($D32="Serviço",AB$12&lt;&gt;0,$H32&gt;0,OR(AUTOEVENTO&lt;&gt;"manual",$M32&lt;&gt;1)),
IF(Import.TipoArredondamento&lt;&gt;"TransfereGOV",
ROUND(OFFSET($P32,0,AB$13),15-13*ORÇAMENTO!$AF$7)/$H32*OFFSET(ORÇAMENTO!$X$15,ROW(AB32)-ROW(AB$15),0),
ROUND(ROUND(OFFSET($P32,0,AB$13),15-13*ORÇAMENTO!$AF$7)*OFFSET(ORÇAMENTO!$W$15,ROW(AB32)-ROW(AB$15),0),15-13*ORÇAMENTO!$AF$11)),0)</f>
        <v>0</v>
      </c>
      <c r="AC32" s="523">
        <f ca="1">IF(AND($D32="Serviço",AC$12&lt;&gt;0,$H32&gt;0,OR(AUTOEVENTO&lt;&gt;"manual",$M32&lt;&gt;1)),
IF(Import.TipoArredondamento&lt;&gt;"TransfereGOV",
ROUND(OFFSET($P32,0,AC$13),15-13*ORÇAMENTO!$AF$7)/$H32*OFFSET(ORÇAMENTO!$X$15,ROW(AC32)-ROW(AC$15),0),
ROUND(ROUND(OFFSET($P32,0,AC$13),15-13*ORÇAMENTO!$AF$7)*OFFSET(ORÇAMENTO!$W$15,ROW(AC32)-ROW(AC$15),0),15-13*ORÇAMENTO!$AF$11)),0)</f>
        <v>0</v>
      </c>
      <c r="AD32" s="523">
        <f ca="1">IF(AND($D32="Serviço",AD$12&lt;&gt;0,$H32&gt;0,OR(AUTOEVENTO&lt;&gt;"manual",$M32&lt;&gt;1)),
IF(Import.TipoArredondamento&lt;&gt;"TransfereGOV",
ROUND(OFFSET($P32,0,AD$13),15-13*ORÇAMENTO!$AF$7)/$H32*OFFSET(ORÇAMENTO!$X$15,ROW(AD32)-ROW(AD$15),0),
ROUND(ROUND(OFFSET($P32,0,AD$13),15-13*ORÇAMENTO!$AF$7)*OFFSET(ORÇAMENTO!$W$15,ROW(AD32)-ROW(AD$15),0),15-13*ORÇAMENTO!$AF$11)),0)</f>
        <v>0</v>
      </c>
      <c r="AE32" s="523">
        <f ca="1">IF(AND($D32="Serviço",AE$12&lt;&gt;0,$H32&gt;0,OR(AUTOEVENTO&lt;&gt;"manual",$M32&lt;&gt;1)),
IF(Import.TipoArredondamento&lt;&gt;"TransfereGOV",
ROUND(OFFSET($P32,0,AE$13),15-13*ORÇAMENTO!$AF$7)/$H32*OFFSET(ORÇAMENTO!$X$15,ROW(AE32)-ROW(AE$15),0),
ROUND(ROUND(OFFSET($P32,0,AE$13),15-13*ORÇAMENTO!$AF$7)*OFFSET(ORÇAMENTO!$W$15,ROW(AE32)-ROW(AE$15),0),15-13*ORÇAMENTO!$AF$11)),0)</f>
        <v>0</v>
      </c>
      <c r="AF32" s="523">
        <f ca="1">IF(AND($D32="Serviço",AF$12&lt;&gt;0,$H32&gt;0,OR(AUTOEVENTO&lt;&gt;"manual",$M32&lt;&gt;1)),
IF(Import.TipoArredondamento&lt;&gt;"TransfereGOV",
ROUND(OFFSET($P32,0,AF$13),15-13*ORÇAMENTO!$AF$7)/$H32*OFFSET(ORÇAMENTO!$X$15,ROW(AF32)-ROW(AF$15),0),
ROUND(ROUND(OFFSET($P32,0,AF$13),15-13*ORÇAMENTO!$AF$7)*OFFSET(ORÇAMENTO!$W$15,ROW(AF32)-ROW(AF$15),0),15-13*ORÇAMENTO!$AF$11)),0)</f>
        <v>0</v>
      </c>
      <c r="AG32" s="523">
        <f ca="1">IF(AND($D32="Serviço",AG$12&lt;&gt;0,$H32&gt;0,OR(AUTOEVENTO&lt;&gt;"manual",$M32&lt;&gt;1)),
IF(Import.TipoArredondamento&lt;&gt;"TransfereGOV",
ROUND(OFFSET($P32,0,AG$13),15-13*ORÇAMENTO!$AF$7)/$H32*OFFSET(ORÇAMENTO!$X$15,ROW(AG32)-ROW(AG$15),0),
ROUND(ROUND(OFFSET($P32,0,AG$13),15-13*ORÇAMENTO!$AF$7)*OFFSET(ORÇAMENTO!$W$15,ROW(AG32)-ROW(AG$15),0),15-13*ORÇAMENTO!$AF$11)),0)</f>
        <v>0</v>
      </c>
      <c r="AH32" s="523">
        <f ca="1">IF(AND($D32="Serviço",AH$12&lt;&gt;0,$H32&gt;0,OR(AUTOEVENTO&lt;&gt;"manual",$M32&lt;&gt;1)),
IF(Import.TipoArredondamento&lt;&gt;"TransfereGOV",
ROUND(OFFSET($P32,0,AH$13),15-13*ORÇAMENTO!$AF$7)/$H32*OFFSET(ORÇAMENTO!$X$15,ROW(AH32)-ROW(AH$15),0),
ROUND(ROUND(OFFSET($P32,0,AH$13),15-13*ORÇAMENTO!$AF$7)*OFFSET(ORÇAMENTO!$W$15,ROW(AH32)-ROW(AH$15),0),15-13*ORÇAMENTO!$AF$11)),0)</f>
        <v>0</v>
      </c>
      <c r="AI32" s="523">
        <f ca="1">IF(AND($D32="Serviço",AI$12&lt;&gt;0,$H32&gt;0,OR(AUTOEVENTO&lt;&gt;"manual",$M32&lt;&gt;1)),
IF(Import.TipoArredondamento&lt;&gt;"TransfereGOV",
ROUND(OFFSET($P32,0,AI$13),15-13*ORÇAMENTO!$AF$7)/$H32*OFFSET(ORÇAMENTO!$X$15,ROW(AI32)-ROW(AI$15),0),
ROUND(ROUND(OFFSET($P32,0,AI$13),15-13*ORÇAMENTO!$AF$7)*OFFSET(ORÇAMENTO!$W$15,ROW(AI32)-ROW(AI$15),0),15-13*ORÇAMENTO!$AF$11)),0)</f>
        <v>0</v>
      </c>
      <c r="AJ32" s="523">
        <f ca="1">IF(AND($D32="Serviço",AJ$12&lt;&gt;0,$H32&gt;0,OR(AUTOEVENTO&lt;&gt;"manual",$M32&lt;&gt;1)),
IF(Import.TipoArredondamento&lt;&gt;"TransfereGOV",
ROUND(OFFSET($P32,0,AJ$13),15-13*ORÇAMENTO!$AF$7)/$H32*OFFSET(ORÇAMENTO!$X$15,ROW(AJ32)-ROW(AJ$15),0),
ROUND(ROUND(OFFSET($P32,0,AJ$13),15-13*ORÇAMENTO!$AF$7)*OFFSET(ORÇAMENTO!$W$15,ROW(AJ32)-ROW(AJ$15),0),15-13*ORÇAMENTO!$AF$11)),0)</f>
        <v>0</v>
      </c>
      <c r="AK32" s="524">
        <f ca="1">IF(AND($D32="Serviço",AK$12&lt;&gt;0,$H32&gt;0,OR(AUTOEVENTO&lt;&gt;"manual",$M32&lt;&gt;1)),
IF(Import.TipoArredondamento&lt;&gt;"TransfereGOV",
ROUND(OFFSET($P32,0,AK$13),15-13*ORÇAMENTO!$AF$7)/$H32*OFFSET(ORÇAMENTO!$X$15,ROW(AK32)-ROW(AK$15),0),
ROUND(ROUND(OFFSET($P32,0,AK$13),15-13*ORÇAMENTO!$AF$7)*OFFSET(ORÇAMENTO!$W$15,ROW(AK32)-ROW(AK$15),0),15-13*ORÇAMENTO!$AF$11)),0)</f>
        <v>0</v>
      </c>
      <c r="AM32" s="181">
        <f ca="1">IF($D32&lt;&gt;"Serviço",0,IF(AND(AUTOEVENTO="Manual",$M32=1),0,IF(OFFSET(CRONOPLE!$F$14,$M32,AM$13)="",10^12,OFFSET(CRONOPLE!$F$14,$M32,AM$13))))</f>
        <v>1</v>
      </c>
      <c r="AN32" s="181">
        <f ca="1">IF($D32&lt;&gt;"Serviço",0,IF(AND(AUTOEVENTO="Manual",$M32=1),0,IF(OFFSET(CRONOPLE!$F$14,$M32,AN$13)="",10^12,OFFSET(CRONOPLE!$F$14,$M32,AN$13))))</f>
        <v>1000000000000</v>
      </c>
      <c r="AO32" s="181">
        <f ca="1">IF($D32&lt;&gt;"Serviço",0,IF(AND(AUTOEVENTO="Manual",$M32=1),0,IF(OFFSET(CRONOPLE!$F$14,$M32,AO$13)="",10^12,OFFSET(CRONOPLE!$F$14,$M32,AO$13))))</f>
        <v>1000000000000</v>
      </c>
      <c r="AP32" s="181">
        <f ca="1">IF($D32&lt;&gt;"Serviço",0,IF(AND(AUTOEVENTO="Manual",$M32=1),0,IF(OFFSET(CRONOPLE!$F$14,$M32,AP$13)="",10^12,OFFSET(CRONOPLE!$F$14,$M32,AP$13))))</f>
        <v>1000000000000</v>
      </c>
      <c r="AQ32" s="181">
        <f ca="1">IF($D32&lt;&gt;"Serviço",0,IF(AND(AUTOEVENTO="Manual",$M32=1),0,IF(OFFSET(CRONOPLE!$F$14,$M32,AQ$13)="",10^12,OFFSET(CRONOPLE!$F$14,$M32,AQ$13))))</f>
        <v>1000000000000</v>
      </c>
      <c r="AR32" s="181">
        <f ca="1">IF($D32&lt;&gt;"Serviço",0,IF(AND(AUTOEVENTO="Manual",$M32=1),0,IF(OFFSET(CRONOPLE!$F$14,$M32,AR$13)="",10^12,OFFSET(CRONOPLE!$F$14,$M32,AR$13))))</f>
        <v>1000000000000</v>
      </c>
      <c r="AS32" s="181">
        <f ca="1">IF($D32&lt;&gt;"Serviço",0,IF(AND(AUTOEVENTO="Manual",$M32=1),0,IF(OFFSET(CRONOPLE!$F$14,$M32,AS$13)="",10^12,OFFSET(CRONOPLE!$F$14,$M32,AS$13))))</f>
        <v>1000000000000</v>
      </c>
      <c r="AT32" s="181">
        <f ca="1">IF($D32&lt;&gt;"Serviço",0,IF(AND(AUTOEVENTO="Manual",$M32=1),0,IF(OFFSET(CRONOPLE!$F$14,$M32,AT$13)="",10^12,OFFSET(CRONOPLE!$F$14,$M32,AT$13))))</f>
        <v>1000000000000</v>
      </c>
      <c r="AU32" s="181">
        <f ca="1">IF($D32&lt;&gt;"Serviço",0,IF(AND(AUTOEVENTO="Manual",$M32=1),0,IF(OFFSET(CRONOPLE!$F$14,$M32,AU$13)="",10^12,OFFSET(CRONOPLE!$F$14,$M32,AU$13))))</f>
        <v>1000000000000</v>
      </c>
      <c r="AV32" s="181">
        <f ca="1">IF($D32&lt;&gt;"Serviço",0,IF(AND(AUTOEVENTO="Manual",$M32=1),0,IF(OFFSET(CRONOPLE!$F$14,$M32,AV$13)="",10^12,OFFSET(CRONOPLE!$F$14,$M32,AV$13))))</f>
        <v>1000000000000</v>
      </c>
      <c r="AX32" s="182">
        <f ca="1">IF($D32&lt;&gt;"Serviço",0,IF(OR(AND(AUTOEVENTO="Manual",$M32=1),$M32&gt;(ROW(PLE.lastrow)-ROW(PLE.firstrow))),0,IF(OFFSET(PLE!$G$14,$M32,AX$13)="",10^12,OFFSET(PLE!$G$14,$M32,AX$13))))</f>
        <v>1000000000000</v>
      </c>
      <c r="AY32" s="182">
        <f ca="1">IF($D32&lt;&gt;"Serviço",0,IF(OR(AND(AUTOEVENTO="Manual",$M32=1),$M32&gt;(ROW(PLE.lastrow)-ROW(PLE.firstrow))),0,IF(OFFSET(PLE!$G$14,$M32,AY$13)="",10^12,OFFSET(PLE!$G$14,$M32,AY$13))))</f>
        <v>1000000000000</v>
      </c>
      <c r="AZ32" s="182">
        <f ca="1">IF($D32&lt;&gt;"Serviço",0,IF(OR(AND(AUTOEVENTO="Manual",$M32=1),$M32&gt;(ROW(PLE.lastrow)-ROW(PLE.firstrow))),0,IF(OFFSET(PLE!$G$14,$M32,AZ$13)="",10^12,OFFSET(PLE!$G$14,$M32,AZ$13))))</f>
        <v>1000000000000</v>
      </c>
      <c r="BA32" s="182">
        <f ca="1">IF($D32&lt;&gt;"Serviço",0,IF(OR(AND(AUTOEVENTO="Manual",$M32=1),$M32&gt;(ROW(PLE.lastrow)-ROW(PLE.firstrow))),0,IF(OFFSET(PLE!$G$14,$M32,BA$13)="",10^12,OFFSET(PLE!$G$14,$M32,BA$13))))</f>
        <v>1000000000000</v>
      </c>
      <c r="BB32" s="182">
        <f ca="1">IF($D32&lt;&gt;"Serviço",0,IF(OR(AND(AUTOEVENTO="Manual",$M32=1),$M32&gt;(ROW(PLE.lastrow)-ROW(PLE.firstrow))),0,IF(OFFSET(PLE!$G$14,$M32,BB$13)="",10^12,OFFSET(PLE!$G$14,$M32,BB$13))))</f>
        <v>1000000000000</v>
      </c>
      <c r="BC32" s="182">
        <f ca="1">IF($D32&lt;&gt;"Serviço",0,IF(OR(AND(AUTOEVENTO="Manual",$M32=1),$M32&gt;(ROW(PLE.lastrow)-ROW(PLE.firstrow))),0,IF(OFFSET(PLE!$G$14,$M32,BC$13)="",10^12,OFFSET(PLE!$G$14,$M32,BC$13))))</f>
        <v>1000000000000</v>
      </c>
      <c r="BD32" s="182">
        <f ca="1">IF($D32&lt;&gt;"Serviço",0,IF(OR(AND(AUTOEVENTO="Manual",$M32=1),$M32&gt;(ROW(PLE.lastrow)-ROW(PLE.firstrow))),0,IF(OFFSET(PLE!$G$14,$M32,BD$13)="",10^12,OFFSET(PLE!$G$14,$M32,BD$13))))</f>
        <v>1000000000000</v>
      </c>
      <c r="BE32" s="182">
        <f ca="1">IF($D32&lt;&gt;"Serviço",0,IF(OR(AND(AUTOEVENTO="Manual",$M32=1),$M32&gt;(ROW(PLE.lastrow)-ROW(PLE.firstrow))),0,IF(OFFSET(PLE!$G$14,$M32,BE$13)="",10^12,OFFSET(PLE!$G$14,$M32,BE$13))))</f>
        <v>1000000000000</v>
      </c>
      <c r="BF32" s="182">
        <f ca="1">IF($D32&lt;&gt;"Serviço",0,IF(OR(AND(AUTOEVENTO="Manual",$M32=1),$M32&gt;(ROW(PLE.lastrow)-ROW(PLE.firstrow))),0,IF(OFFSET(PLE!$G$14,$M32,BF$13)="",10^12,OFFSET(PLE!$G$14,$M32,BF$13))))</f>
        <v>1000000000000</v>
      </c>
      <c r="BG32" s="182">
        <f ca="1">IF($D32&lt;&gt;"Serviço",0,IF(OR(AND(AUTOEVENTO="Manual",$M32=1),$M32&gt;(ROW(PLE.lastrow)-ROW(PLE.firstrow))),0,IF(OFFSET(PLE!$G$14,$M32,BG$13)="",10^12,OFFSET(PLE!$G$14,$M32,BG$13))))</f>
        <v>1000000000000</v>
      </c>
    </row>
    <row r="33" spans="1:59" ht="12.75" x14ac:dyDescent="0.2">
      <c r="A33" s="7" t="str">
        <f t="shared" ca="1" si="9"/>
        <v>18.</v>
      </c>
      <c r="B33" s="7">
        <f ca="1">OFFSET(ORÇAMENTO!C$15,ROW(B33)-ROW(B$15),0)</f>
        <v>2</v>
      </c>
      <c r="C33" s="7" t="str">
        <f ca="1">OFFSET(ORÇAMENTO!L$15,ROW(C33)-ROW(C$15),0)</f>
        <v>F</v>
      </c>
      <c r="D33" s="118" t="str">
        <f ca="1">OFFSET(ORÇAMENTO!N$15,ROW(D33)-ROW(D$15),0)</f>
        <v>Nível 2</v>
      </c>
      <c r="E33" s="119" t="str">
        <f ca="1">OFFSET(ORÇAMENTO!O$15,ROW(E33)-ROW(E$15),0)</f>
        <v>1.3.</v>
      </c>
      <c r="F33" s="172" t="str">
        <f ca="1">OFFSET(ORÇAMENTO!R$15,ROW(F33)-ROW(F$15),0)</f>
        <v>PAVIMENTAÇÃO ASFÁLTICA</v>
      </c>
      <c r="G33" s="173" t="str">
        <f ca="1">IF($D33&lt;&gt;"Serviço","",OFFSET(ORÇAMENTO!S$15,ROW(G33)-ROW(G$15),0))</f>
        <v/>
      </c>
      <c r="H33" s="124">
        <f ca="1">IF($D33&lt;&gt;"Serviço",0,IF(ACOMPANHAMENTO="BM",ROUND(OFFSET(ORÇAMENTO!AJ$15,ROW(H33)-ROW(H$15),0),15-13*ORÇAMENTO!$AF$7),SUMPRODUCT(($Q$12:$AA$12&lt;&gt;"")*ROUND($Q33:$AA33,15-13*ORÇAMENTO!$AF$7))))</f>
        <v>0</v>
      </c>
      <c r="I33" s="539"/>
      <c r="K33" s="174"/>
      <c r="L33" s="175" t="s">
        <v>254</v>
      </c>
      <c r="M33" s="176" t="str">
        <f ca="1">IF($D33&lt;&gt;"Serviço","",IF(AUTOEVENTO="manual",$A33,IF(ISERROR(MATCH($A33,$A$15:OFFSET($A33,-1,0),0)),MAX($M$15:OFFSET(M33,-1,0))+1,INDEX($M$15:OFFSET(M33,-1,0),MATCH($A33,$A$15:OFFSET($A33,-1,0),0)))))</f>
        <v/>
      </c>
      <c r="N33" s="177" t="str">
        <f ca="1">IF($D33&lt;&gt;"Serviço","",IF(AUTOEVENTO="Manual",IF($A33=0,"&lt;-- defina o número do agrupador",OFFSET(EVENTOS!$D$14,$A33,0)),OFFSET($F$15,$A33,0)))</f>
        <v/>
      </c>
      <c r="O33" s="178"/>
      <c r="Q33" s="178"/>
      <c r="R33" s="179"/>
      <c r="S33" s="179"/>
      <c r="T33" s="179"/>
      <c r="U33" s="179"/>
      <c r="V33" s="179"/>
      <c r="W33" s="179"/>
      <c r="X33" s="179"/>
      <c r="Y33" s="179"/>
      <c r="Z33" s="180"/>
      <c r="AB33" s="522">
        <f ca="1">IF(AND($D33="Serviço",AB$12&lt;&gt;0,$H33&gt;0,OR(AUTOEVENTO&lt;&gt;"manual",$M33&lt;&gt;1)),
IF(Import.TipoArredondamento&lt;&gt;"TransfereGOV",
ROUND(OFFSET($P33,0,AB$13),15-13*ORÇAMENTO!$AF$7)/$H33*OFFSET(ORÇAMENTO!$X$15,ROW(AB33)-ROW(AB$15),0),
ROUND(ROUND(OFFSET($P33,0,AB$13),15-13*ORÇAMENTO!$AF$7)*OFFSET(ORÇAMENTO!$W$15,ROW(AB33)-ROW(AB$15),0),15-13*ORÇAMENTO!$AF$11)),0)</f>
        <v>0</v>
      </c>
      <c r="AC33" s="523">
        <f ca="1">IF(AND($D33="Serviço",AC$12&lt;&gt;0,$H33&gt;0,OR(AUTOEVENTO&lt;&gt;"manual",$M33&lt;&gt;1)),
IF(Import.TipoArredondamento&lt;&gt;"TransfereGOV",
ROUND(OFFSET($P33,0,AC$13),15-13*ORÇAMENTO!$AF$7)/$H33*OFFSET(ORÇAMENTO!$X$15,ROW(AC33)-ROW(AC$15),0),
ROUND(ROUND(OFFSET($P33,0,AC$13),15-13*ORÇAMENTO!$AF$7)*OFFSET(ORÇAMENTO!$W$15,ROW(AC33)-ROW(AC$15),0),15-13*ORÇAMENTO!$AF$11)),0)</f>
        <v>0</v>
      </c>
      <c r="AD33" s="523">
        <f ca="1">IF(AND($D33="Serviço",AD$12&lt;&gt;0,$H33&gt;0,OR(AUTOEVENTO&lt;&gt;"manual",$M33&lt;&gt;1)),
IF(Import.TipoArredondamento&lt;&gt;"TransfereGOV",
ROUND(OFFSET($P33,0,AD$13),15-13*ORÇAMENTO!$AF$7)/$H33*OFFSET(ORÇAMENTO!$X$15,ROW(AD33)-ROW(AD$15),0),
ROUND(ROUND(OFFSET($P33,0,AD$13),15-13*ORÇAMENTO!$AF$7)*OFFSET(ORÇAMENTO!$W$15,ROW(AD33)-ROW(AD$15),0),15-13*ORÇAMENTO!$AF$11)),0)</f>
        <v>0</v>
      </c>
      <c r="AE33" s="523">
        <f ca="1">IF(AND($D33="Serviço",AE$12&lt;&gt;0,$H33&gt;0,OR(AUTOEVENTO&lt;&gt;"manual",$M33&lt;&gt;1)),
IF(Import.TipoArredondamento&lt;&gt;"TransfereGOV",
ROUND(OFFSET($P33,0,AE$13),15-13*ORÇAMENTO!$AF$7)/$H33*OFFSET(ORÇAMENTO!$X$15,ROW(AE33)-ROW(AE$15),0),
ROUND(ROUND(OFFSET($P33,0,AE$13),15-13*ORÇAMENTO!$AF$7)*OFFSET(ORÇAMENTO!$W$15,ROW(AE33)-ROW(AE$15),0),15-13*ORÇAMENTO!$AF$11)),0)</f>
        <v>0</v>
      </c>
      <c r="AF33" s="523">
        <f ca="1">IF(AND($D33="Serviço",AF$12&lt;&gt;0,$H33&gt;0,OR(AUTOEVENTO&lt;&gt;"manual",$M33&lt;&gt;1)),
IF(Import.TipoArredondamento&lt;&gt;"TransfereGOV",
ROUND(OFFSET($P33,0,AF$13),15-13*ORÇAMENTO!$AF$7)/$H33*OFFSET(ORÇAMENTO!$X$15,ROW(AF33)-ROW(AF$15),0),
ROUND(ROUND(OFFSET($P33,0,AF$13),15-13*ORÇAMENTO!$AF$7)*OFFSET(ORÇAMENTO!$W$15,ROW(AF33)-ROW(AF$15),0),15-13*ORÇAMENTO!$AF$11)),0)</f>
        <v>0</v>
      </c>
      <c r="AG33" s="523">
        <f ca="1">IF(AND($D33="Serviço",AG$12&lt;&gt;0,$H33&gt;0,OR(AUTOEVENTO&lt;&gt;"manual",$M33&lt;&gt;1)),
IF(Import.TipoArredondamento&lt;&gt;"TransfereGOV",
ROUND(OFFSET($P33,0,AG$13),15-13*ORÇAMENTO!$AF$7)/$H33*OFFSET(ORÇAMENTO!$X$15,ROW(AG33)-ROW(AG$15),0),
ROUND(ROUND(OFFSET($P33,0,AG$13),15-13*ORÇAMENTO!$AF$7)*OFFSET(ORÇAMENTO!$W$15,ROW(AG33)-ROW(AG$15),0),15-13*ORÇAMENTO!$AF$11)),0)</f>
        <v>0</v>
      </c>
      <c r="AH33" s="523">
        <f ca="1">IF(AND($D33="Serviço",AH$12&lt;&gt;0,$H33&gt;0,OR(AUTOEVENTO&lt;&gt;"manual",$M33&lt;&gt;1)),
IF(Import.TipoArredondamento&lt;&gt;"TransfereGOV",
ROUND(OFFSET($P33,0,AH$13),15-13*ORÇAMENTO!$AF$7)/$H33*OFFSET(ORÇAMENTO!$X$15,ROW(AH33)-ROW(AH$15),0),
ROUND(ROUND(OFFSET($P33,0,AH$13),15-13*ORÇAMENTO!$AF$7)*OFFSET(ORÇAMENTO!$W$15,ROW(AH33)-ROW(AH$15),0),15-13*ORÇAMENTO!$AF$11)),0)</f>
        <v>0</v>
      </c>
      <c r="AI33" s="523">
        <f ca="1">IF(AND($D33="Serviço",AI$12&lt;&gt;0,$H33&gt;0,OR(AUTOEVENTO&lt;&gt;"manual",$M33&lt;&gt;1)),
IF(Import.TipoArredondamento&lt;&gt;"TransfereGOV",
ROUND(OFFSET($P33,0,AI$13),15-13*ORÇAMENTO!$AF$7)/$H33*OFFSET(ORÇAMENTO!$X$15,ROW(AI33)-ROW(AI$15),0),
ROUND(ROUND(OFFSET($P33,0,AI$13),15-13*ORÇAMENTO!$AF$7)*OFFSET(ORÇAMENTO!$W$15,ROW(AI33)-ROW(AI$15),0),15-13*ORÇAMENTO!$AF$11)),0)</f>
        <v>0</v>
      </c>
      <c r="AJ33" s="523">
        <f ca="1">IF(AND($D33="Serviço",AJ$12&lt;&gt;0,$H33&gt;0,OR(AUTOEVENTO&lt;&gt;"manual",$M33&lt;&gt;1)),
IF(Import.TipoArredondamento&lt;&gt;"TransfereGOV",
ROUND(OFFSET($P33,0,AJ$13),15-13*ORÇAMENTO!$AF$7)/$H33*OFFSET(ORÇAMENTO!$X$15,ROW(AJ33)-ROW(AJ$15),0),
ROUND(ROUND(OFFSET($P33,0,AJ$13),15-13*ORÇAMENTO!$AF$7)*OFFSET(ORÇAMENTO!$W$15,ROW(AJ33)-ROW(AJ$15),0),15-13*ORÇAMENTO!$AF$11)),0)</f>
        <v>0</v>
      </c>
      <c r="AK33" s="524">
        <f ca="1">IF(AND($D33="Serviço",AK$12&lt;&gt;0,$H33&gt;0,OR(AUTOEVENTO&lt;&gt;"manual",$M33&lt;&gt;1)),
IF(Import.TipoArredondamento&lt;&gt;"TransfereGOV",
ROUND(OFFSET($P33,0,AK$13),15-13*ORÇAMENTO!$AF$7)/$H33*OFFSET(ORÇAMENTO!$X$15,ROW(AK33)-ROW(AK$15),0),
ROUND(ROUND(OFFSET($P33,0,AK$13),15-13*ORÇAMENTO!$AF$7)*OFFSET(ORÇAMENTO!$W$15,ROW(AK33)-ROW(AK$15),0),15-13*ORÇAMENTO!$AF$11)),0)</f>
        <v>0</v>
      </c>
      <c r="AM33" s="181">
        <f ca="1">IF($D33&lt;&gt;"Serviço",0,IF(AND(AUTOEVENTO="Manual",$M33=1),0,IF(OFFSET(CRONOPLE!$F$14,$M33,AM$13)="",10^12,OFFSET(CRONOPLE!$F$14,$M33,AM$13))))</f>
        <v>0</v>
      </c>
      <c r="AN33" s="181">
        <f ca="1">IF($D33&lt;&gt;"Serviço",0,IF(AND(AUTOEVENTO="Manual",$M33=1),0,IF(OFFSET(CRONOPLE!$F$14,$M33,AN$13)="",10^12,OFFSET(CRONOPLE!$F$14,$M33,AN$13))))</f>
        <v>0</v>
      </c>
      <c r="AO33" s="181">
        <f ca="1">IF($D33&lt;&gt;"Serviço",0,IF(AND(AUTOEVENTO="Manual",$M33=1),0,IF(OFFSET(CRONOPLE!$F$14,$M33,AO$13)="",10^12,OFFSET(CRONOPLE!$F$14,$M33,AO$13))))</f>
        <v>0</v>
      </c>
      <c r="AP33" s="181">
        <f ca="1">IF($D33&lt;&gt;"Serviço",0,IF(AND(AUTOEVENTO="Manual",$M33=1),0,IF(OFFSET(CRONOPLE!$F$14,$M33,AP$13)="",10^12,OFFSET(CRONOPLE!$F$14,$M33,AP$13))))</f>
        <v>0</v>
      </c>
      <c r="AQ33" s="181">
        <f ca="1">IF($D33&lt;&gt;"Serviço",0,IF(AND(AUTOEVENTO="Manual",$M33=1),0,IF(OFFSET(CRONOPLE!$F$14,$M33,AQ$13)="",10^12,OFFSET(CRONOPLE!$F$14,$M33,AQ$13))))</f>
        <v>0</v>
      </c>
      <c r="AR33" s="181">
        <f ca="1">IF($D33&lt;&gt;"Serviço",0,IF(AND(AUTOEVENTO="Manual",$M33=1),0,IF(OFFSET(CRONOPLE!$F$14,$M33,AR$13)="",10^12,OFFSET(CRONOPLE!$F$14,$M33,AR$13))))</f>
        <v>0</v>
      </c>
      <c r="AS33" s="181">
        <f ca="1">IF($D33&lt;&gt;"Serviço",0,IF(AND(AUTOEVENTO="Manual",$M33=1),0,IF(OFFSET(CRONOPLE!$F$14,$M33,AS$13)="",10^12,OFFSET(CRONOPLE!$F$14,$M33,AS$13))))</f>
        <v>0</v>
      </c>
      <c r="AT33" s="181">
        <f ca="1">IF($D33&lt;&gt;"Serviço",0,IF(AND(AUTOEVENTO="Manual",$M33=1),0,IF(OFFSET(CRONOPLE!$F$14,$M33,AT$13)="",10^12,OFFSET(CRONOPLE!$F$14,$M33,AT$13))))</f>
        <v>0</v>
      </c>
      <c r="AU33" s="181">
        <f ca="1">IF($D33&lt;&gt;"Serviço",0,IF(AND(AUTOEVENTO="Manual",$M33=1),0,IF(OFFSET(CRONOPLE!$F$14,$M33,AU$13)="",10^12,OFFSET(CRONOPLE!$F$14,$M33,AU$13))))</f>
        <v>0</v>
      </c>
      <c r="AV33" s="181">
        <f ca="1">IF($D33&lt;&gt;"Serviço",0,IF(AND(AUTOEVENTO="Manual",$M33=1),0,IF(OFFSET(CRONOPLE!$F$14,$M33,AV$13)="",10^12,OFFSET(CRONOPLE!$F$14,$M33,AV$13))))</f>
        <v>0</v>
      </c>
      <c r="AX33" s="182">
        <f ca="1">IF($D33&lt;&gt;"Serviço",0,IF(OR(AND(AUTOEVENTO="Manual",$M33=1),$M33&gt;(ROW(PLE.lastrow)-ROW(PLE.firstrow))),0,IF(OFFSET(PLE!$G$14,$M33,AX$13)="",10^12,OFFSET(PLE!$G$14,$M33,AX$13))))</f>
        <v>0</v>
      </c>
      <c r="AY33" s="182">
        <f ca="1">IF($D33&lt;&gt;"Serviço",0,IF(OR(AND(AUTOEVENTO="Manual",$M33=1),$M33&gt;(ROW(PLE.lastrow)-ROW(PLE.firstrow))),0,IF(OFFSET(PLE!$G$14,$M33,AY$13)="",10^12,OFFSET(PLE!$G$14,$M33,AY$13))))</f>
        <v>0</v>
      </c>
      <c r="AZ33" s="182">
        <f ca="1">IF($D33&lt;&gt;"Serviço",0,IF(OR(AND(AUTOEVENTO="Manual",$M33=1),$M33&gt;(ROW(PLE.lastrow)-ROW(PLE.firstrow))),0,IF(OFFSET(PLE!$G$14,$M33,AZ$13)="",10^12,OFFSET(PLE!$G$14,$M33,AZ$13))))</f>
        <v>0</v>
      </c>
      <c r="BA33" s="182">
        <f ca="1">IF($D33&lt;&gt;"Serviço",0,IF(OR(AND(AUTOEVENTO="Manual",$M33=1),$M33&gt;(ROW(PLE.lastrow)-ROW(PLE.firstrow))),0,IF(OFFSET(PLE!$G$14,$M33,BA$13)="",10^12,OFFSET(PLE!$G$14,$M33,BA$13))))</f>
        <v>0</v>
      </c>
      <c r="BB33" s="182">
        <f ca="1">IF($D33&lt;&gt;"Serviço",0,IF(OR(AND(AUTOEVENTO="Manual",$M33=1),$M33&gt;(ROW(PLE.lastrow)-ROW(PLE.firstrow))),0,IF(OFFSET(PLE!$G$14,$M33,BB$13)="",10^12,OFFSET(PLE!$G$14,$M33,BB$13))))</f>
        <v>0</v>
      </c>
      <c r="BC33" s="182">
        <f ca="1">IF($D33&lt;&gt;"Serviço",0,IF(OR(AND(AUTOEVENTO="Manual",$M33=1),$M33&gt;(ROW(PLE.lastrow)-ROW(PLE.firstrow))),0,IF(OFFSET(PLE!$G$14,$M33,BC$13)="",10^12,OFFSET(PLE!$G$14,$M33,BC$13))))</f>
        <v>0</v>
      </c>
      <c r="BD33" s="182">
        <f ca="1">IF($D33&lt;&gt;"Serviço",0,IF(OR(AND(AUTOEVENTO="Manual",$M33=1),$M33&gt;(ROW(PLE.lastrow)-ROW(PLE.firstrow))),0,IF(OFFSET(PLE!$G$14,$M33,BD$13)="",10^12,OFFSET(PLE!$G$14,$M33,BD$13))))</f>
        <v>0</v>
      </c>
      <c r="BE33" s="182">
        <f ca="1">IF($D33&lt;&gt;"Serviço",0,IF(OR(AND(AUTOEVENTO="Manual",$M33=1),$M33&gt;(ROW(PLE.lastrow)-ROW(PLE.firstrow))),0,IF(OFFSET(PLE!$G$14,$M33,BE$13)="",10^12,OFFSET(PLE!$G$14,$M33,BE$13))))</f>
        <v>0</v>
      </c>
      <c r="BF33" s="182">
        <f ca="1">IF($D33&lt;&gt;"Serviço",0,IF(OR(AND(AUTOEVENTO="Manual",$M33=1),$M33&gt;(ROW(PLE.lastrow)-ROW(PLE.firstrow))),0,IF(OFFSET(PLE!$G$14,$M33,BF$13)="",10^12,OFFSET(PLE!$G$14,$M33,BF$13))))</f>
        <v>0</v>
      </c>
      <c r="BG33" s="182">
        <f ca="1">IF($D33&lt;&gt;"Serviço",0,IF(OR(AND(AUTOEVENTO="Manual",$M33=1),$M33&gt;(ROW(PLE.lastrow)-ROW(PLE.firstrow))),0,IF(OFFSET(PLE!$G$14,$M33,BG$13)="",10^12,OFFSET(PLE!$G$14,$M33,BG$13))))</f>
        <v>0</v>
      </c>
    </row>
    <row r="34" spans="1:59" ht="51" x14ac:dyDescent="0.2">
      <c r="A34" s="7" t="str">
        <f t="shared" ca="1" si="9"/>
        <v>18</v>
      </c>
      <c r="B34" s="7" t="str">
        <f ca="1">OFFSET(ORÇAMENTO!C$15,ROW(B34)-ROW(B$15),0)</f>
        <v>S</v>
      </c>
      <c r="C34" s="7" t="str">
        <f ca="1">OFFSET(ORÇAMENTO!L$15,ROW(C34)-ROW(C$15),0)</f>
        <v/>
      </c>
      <c r="D34" s="118" t="str">
        <f ca="1">OFFSET(ORÇAMENTO!N$15,ROW(D34)-ROW(D$15),0)</f>
        <v>Serviço</v>
      </c>
      <c r="E34" s="119" t="str">
        <f ca="1">OFFSET(ORÇAMENTO!O$15,ROW(E34)-ROW(E$15),0)</f>
        <v>-</v>
      </c>
      <c r="F34" s="172" t="str">
        <f ca="1">OFFSET(ORÇAMENTO!R$15,ROW(F34)-ROW(F$15),0)</f>
        <v>(abra o arquivo 'Referência 05-Friday.xlsm)</v>
      </c>
      <c r="G34" s="173" t="str">
        <f ca="1">IF($D34&lt;&gt;"Serviço","",OFFSET(ORÇAMENTO!S$15,ROW(G34)-ROW(G$15),0))</f>
        <v>-</v>
      </c>
      <c r="H34" s="124">
        <f ca="1">IF($D34&lt;&gt;"Serviço",0,IF(ACOMPANHAMENTO="BM",ROUND(OFFSET(ORÇAMENTO!AJ$15,ROW(H34)-ROW(H$15),0),15-13*ORÇAMENTO!$AF$7),SUMPRODUCT(($Q$12:$AA$12&lt;&gt;"")*ROUND($Q34:$AA34,15-13*ORÇAMENTO!$AF$7))))</f>
        <v>22</v>
      </c>
      <c r="I34" s="539"/>
      <c r="K34" s="174"/>
      <c r="L34" s="175" t="s">
        <v>254</v>
      </c>
      <c r="M34" s="176">
        <f ca="1">IF($D34&lt;&gt;"Serviço","",IF(AUTOEVENTO="manual",$A34,IF(ISERROR(MATCH($A34,$A$15:OFFSET($A34,-1,0),0)),MAX($M$15:OFFSET(M34,-1,0))+1,INDEX($M$15:OFFSET(M34,-1,0),MATCH($A34,$A$15:OFFSET($A34,-1,0),0)))))</f>
        <v>4</v>
      </c>
      <c r="N34" s="177" t="str">
        <f ca="1">IF($D34&lt;&gt;"Serviço","",IF(AUTOEVENTO="Manual",IF($A34=0,"&lt;-- defina o número do agrupador",OFFSET(EVENTOS!$D$14,$A34,0)),OFFSET($F$15,$A34,0)))</f>
        <v>PAVIMENTAÇÃO ASFÁLTICA</v>
      </c>
      <c r="O34" s="178"/>
      <c r="Q34" s="178">
        <v>22</v>
      </c>
      <c r="R34" s="179"/>
      <c r="S34" s="179"/>
      <c r="T34" s="179"/>
      <c r="U34" s="179"/>
      <c r="V34" s="179"/>
      <c r="W34" s="179"/>
      <c r="X34" s="179"/>
      <c r="Y34" s="179"/>
      <c r="Z34" s="180"/>
      <c r="AB34" s="522">
        <f ca="1">IF(AND($D34="Serviço",AB$12&lt;&gt;0,$H34&gt;0,OR(AUTOEVENTO&lt;&gt;"manual",$M34&lt;&gt;1)),
IF(Import.TipoArredondamento&lt;&gt;"TransfereGOV",
ROUND(OFFSET($P34,0,AB$13),15-13*ORÇAMENTO!$AF$7)/$H34*OFFSET(ORÇAMENTO!$X$15,ROW(AB34)-ROW(AB$15),0),
ROUND(ROUND(OFFSET($P34,0,AB$13),15-13*ORÇAMENTO!$AF$7)*OFFSET(ORÇAMENTO!$W$15,ROW(AB34)-ROW(AB$15),0),15-13*ORÇAMENTO!$AF$11)),0)</f>
        <v>0</v>
      </c>
      <c r="AC34" s="523">
        <f ca="1">IF(AND($D34="Serviço",AC$12&lt;&gt;0,$H34&gt;0,OR(AUTOEVENTO&lt;&gt;"manual",$M34&lt;&gt;1)),
IF(Import.TipoArredondamento&lt;&gt;"TransfereGOV",
ROUND(OFFSET($P34,0,AC$13),15-13*ORÇAMENTO!$AF$7)/$H34*OFFSET(ORÇAMENTO!$X$15,ROW(AC34)-ROW(AC$15),0),
ROUND(ROUND(OFFSET($P34,0,AC$13),15-13*ORÇAMENTO!$AF$7)*OFFSET(ORÇAMENTO!$W$15,ROW(AC34)-ROW(AC$15),0),15-13*ORÇAMENTO!$AF$11)),0)</f>
        <v>0</v>
      </c>
      <c r="AD34" s="523">
        <f ca="1">IF(AND($D34="Serviço",AD$12&lt;&gt;0,$H34&gt;0,OR(AUTOEVENTO&lt;&gt;"manual",$M34&lt;&gt;1)),
IF(Import.TipoArredondamento&lt;&gt;"TransfereGOV",
ROUND(OFFSET($P34,0,AD$13),15-13*ORÇAMENTO!$AF$7)/$H34*OFFSET(ORÇAMENTO!$X$15,ROW(AD34)-ROW(AD$15),0),
ROUND(ROUND(OFFSET($P34,0,AD$13),15-13*ORÇAMENTO!$AF$7)*OFFSET(ORÇAMENTO!$W$15,ROW(AD34)-ROW(AD$15),0),15-13*ORÇAMENTO!$AF$11)),0)</f>
        <v>0</v>
      </c>
      <c r="AE34" s="523">
        <f ca="1">IF(AND($D34="Serviço",AE$12&lt;&gt;0,$H34&gt;0,OR(AUTOEVENTO&lt;&gt;"manual",$M34&lt;&gt;1)),
IF(Import.TipoArredondamento&lt;&gt;"TransfereGOV",
ROUND(OFFSET($P34,0,AE$13),15-13*ORÇAMENTO!$AF$7)/$H34*OFFSET(ORÇAMENTO!$X$15,ROW(AE34)-ROW(AE$15),0),
ROUND(ROUND(OFFSET($P34,0,AE$13),15-13*ORÇAMENTO!$AF$7)*OFFSET(ORÇAMENTO!$W$15,ROW(AE34)-ROW(AE$15),0),15-13*ORÇAMENTO!$AF$11)),0)</f>
        <v>0</v>
      </c>
      <c r="AF34" s="523">
        <f ca="1">IF(AND($D34="Serviço",AF$12&lt;&gt;0,$H34&gt;0,OR(AUTOEVENTO&lt;&gt;"manual",$M34&lt;&gt;1)),
IF(Import.TipoArredondamento&lt;&gt;"TransfereGOV",
ROUND(OFFSET($P34,0,AF$13),15-13*ORÇAMENTO!$AF$7)/$H34*OFFSET(ORÇAMENTO!$X$15,ROW(AF34)-ROW(AF$15),0),
ROUND(ROUND(OFFSET($P34,0,AF$13),15-13*ORÇAMENTO!$AF$7)*OFFSET(ORÇAMENTO!$W$15,ROW(AF34)-ROW(AF$15),0),15-13*ORÇAMENTO!$AF$11)),0)</f>
        <v>0</v>
      </c>
      <c r="AG34" s="523">
        <f ca="1">IF(AND($D34="Serviço",AG$12&lt;&gt;0,$H34&gt;0,OR(AUTOEVENTO&lt;&gt;"manual",$M34&lt;&gt;1)),
IF(Import.TipoArredondamento&lt;&gt;"TransfereGOV",
ROUND(OFFSET($P34,0,AG$13),15-13*ORÇAMENTO!$AF$7)/$H34*OFFSET(ORÇAMENTO!$X$15,ROW(AG34)-ROW(AG$15),0),
ROUND(ROUND(OFFSET($P34,0,AG$13),15-13*ORÇAMENTO!$AF$7)*OFFSET(ORÇAMENTO!$W$15,ROW(AG34)-ROW(AG$15),0),15-13*ORÇAMENTO!$AF$11)),0)</f>
        <v>0</v>
      </c>
      <c r="AH34" s="523">
        <f ca="1">IF(AND($D34="Serviço",AH$12&lt;&gt;0,$H34&gt;0,OR(AUTOEVENTO&lt;&gt;"manual",$M34&lt;&gt;1)),
IF(Import.TipoArredondamento&lt;&gt;"TransfereGOV",
ROUND(OFFSET($P34,0,AH$13),15-13*ORÇAMENTO!$AF$7)/$H34*OFFSET(ORÇAMENTO!$X$15,ROW(AH34)-ROW(AH$15),0),
ROUND(ROUND(OFFSET($P34,0,AH$13),15-13*ORÇAMENTO!$AF$7)*OFFSET(ORÇAMENTO!$W$15,ROW(AH34)-ROW(AH$15),0),15-13*ORÇAMENTO!$AF$11)),0)</f>
        <v>0</v>
      </c>
      <c r="AI34" s="523">
        <f ca="1">IF(AND($D34="Serviço",AI$12&lt;&gt;0,$H34&gt;0,OR(AUTOEVENTO&lt;&gt;"manual",$M34&lt;&gt;1)),
IF(Import.TipoArredondamento&lt;&gt;"TransfereGOV",
ROUND(OFFSET($P34,0,AI$13),15-13*ORÇAMENTO!$AF$7)/$H34*OFFSET(ORÇAMENTO!$X$15,ROW(AI34)-ROW(AI$15),0),
ROUND(ROUND(OFFSET($P34,0,AI$13),15-13*ORÇAMENTO!$AF$7)*OFFSET(ORÇAMENTO!$W$15,ROW(AI34)-ROW(AI$15),0),15-13*ORÇAMENTO!$AF$11)),0)</f>
        <v>0</v>
      </c>
      <c r="AJ34" s="523">
        <f ca="1">IF(AND($D34="Serviço",AJ$12&lt;&gt;0,$H34&gt;0,OR(AUTOEVENTO&lt;&gt;"manual",$M34&lt;&gt;1)),
IF(Import.TipoArredondamento&lt;&gt;"TransfereGOV",
ROUND(OFFSET($P34,0,AJ$13),15-13*ORÇAMENTO!$AF$7)/$H34*OFFSET(ORÇAMENTO!$X$15,ROW(AJ34)-ROW(AJ$15),0),
ROUND(ROUND(OFFSET($P34,0,AJ$13),15-13*ORÇAMENTO!$AF$7)*OFFSET(ORÇAMENTO!$W$15,ROW(AJ34)-ROW(AJ$15),0),15-13*ORÇAMENTO!$AF$11)),0)</f>
        <v>0</v>
      </c>
      <c r="AK34" s="524">
        <f ca="1">IF(AND($D34="Serviço",AK$12&lt;&gt;0,$H34&gt;0,OR(AUTOEVENTO&lt;&gt;"manual",$M34&lt;&gt;1)),
IF(Import.TipoArredondamento&lt;&gt;"TransfereGOV",
ROUND(OFFSET($P34,0,AK$13),15-13*ORÇAMENTO!$AF$7)/$H34*OFFSET(ORÇAMENTO!$X$15,ROW(AK34)-ROW(AK$15),0),
ROUND(ROUND(OFFSET($P34,0,AK$13),15-13*ORÇAMENTO!$AF$7)*OFFSET(ORÇAMENTO!$W$15,ROW(AK34)-ROW(AK$15),0),15-13*ORÇAMENTO!$AF$11)),0)</f>
        <v>0</v>
      </c>
      <c r="AM34" s="181">
        <f ca="1">IF($D34&lt;&gt;"Serviço",0,IF(AND(AUTOEVENTO="Manual",$M34=1),0,IF(OFFSET(CRONOPLE!$F$14,$M34,AM$13)="",10^12,OFFSET(CRONOPLE!$F$14,$M34,AM$13))))</f>
        <v>1</v>
      </c>
      <c r="AN34" s="181">
        <f ca="1">IF($D34&lt;&gt;"Serviço",0,IF(AND(AUTOEVENTO="Manual",$M34=1),0,IF(OFFSET(CRONOPLE!$F$14,$M34,AN$13)="",10^12,OFFSET(CRONOPLE!$F$14,$M34,AN$13))))</f>
        <v>2</v>
      </c>
      <c r="AO34" s="181">
        <f ca="1">IF($D34&lt;&gt;"Serviço",0,IF(AND(AUTOEVENTO="Manual",$M34=1),0,IF(OFFSET(CRONOPLE!$F$14,$M34,AO$13)="",10^12,OFFSET(CRONOPLE!$F$14,$M34,AO$13))))</f>
        <v>1000000000000</v>
      </c>
      <c r="AP34" s="181">
        <f ca="1">IF($D34&lt;&gt;"Serviço",0,IF(AND(AUTOEVENTO="Manual",$M34=1),0,IF(OFFSET(CRONOPLE!$F$14,$M34,AP$13)="",10^12,OFFSET(CRONOPLE!$F$14,$M34,AP$13))))</f>
        <v>1000000000000</v>
      </c>
      <c r="AQ34" s="181">
        <f ca="1">IF($D34&lt;&gt;"Serviço",0,IF(AND(AUTOEVENTO="Manual",$M34=1),0,IF(OFFSET(CRONOPLE!$F$14,$M34,AQ$13)="",10^12,OFFSET(CRONOPLE!$F$14,$M34,AQ$13))))</f>
        <v>1000000000000</v>
      </c>
      <c r="AR34" s="181">
        <f ca="1">IF($D34&lt;&gt;"Serviço",0,IF(AND(AUTOEVENTO="Manual",$M34=1),0,IF(OFFSET(CRONOPLE!$F$14,$M34,AR$13)="",10^12,OFFSET(CRONOPLE!$F$14,$M34,AR$13))))</f>
        <v>1000000000000</v>
      </c>
      <c r="AS34" s="181">
        <f ca="1">IF($D34&lt;&gt;"Serviço",0,IF(AND(AUTOEVENTO="Manual",$M34=1),0,IF(OFFSET(CRONOPLE!$F$14,$M34,AS$13)="",10^12,OFFSET(CRONOPLE!$F$14,$M34,AS$13))))</f>
        <v>1000000000000</v>
      </c>
      <c r="AT34" s="181">
        <f ca="1">IF($D34&lt;&gt;"Serviço",0,IF(AND(AUTOEVENTO="Manual",$M34=1),0,IF(OFFSET(CRONOPLE!$F$14,$M34,AT$13)="",10^12,OFFSET(CRONOPLE!$F$14,$M34,AT$13))))</f>
        <v>1000000000000</v>
      </c>
      <c r="AU34" s="181">
        <f ca="1">IF($D34&lt;&gt;"Serviço",0,IF(AND(AUTOEVENTO="Manual",$M34=1),0,IF(OFFSET(CRONOPLE!$F$14,$M34,AU$13)="",10^12,OFFSET(CRONOPLE!$F$14,$M34,AU$13))))</f>
        <v>1000000000000</v>
      </c>
      <c r="AV34" s="181">
        <f ca="1">IF($D34&lt;&gt;"Serviço",0,IF(AND(AUTOEVENTO="Manual",$M34=1),0,IF(OFFSET(CRONOPLE!$F$14,$M34,AV$13)="",10^12,OFFSET(CRONOPLE!$F$14,$M34,AV$13))))</f>
        <v>1000000000000</v>
      </c>
      <c r="AX34" s="182">
        <f ca="1">IF($D34&lt;&gt;"Serviço",0,IF(OR(AND(AUTOEVENTO="Manual",$M34=1),$M34&gt;(ROW(PLE.lastrow)-ROW(PLE.firstrow))),0,IF(OFFSET(PLE!$G$14,$M34,AX$13)="",10^12,OFFSET(PLE!$G$14,$M34,AX$13))))</f>
        <v>1000000000000</v>
      </c>
      <c r="AY34" s="182">
        <f ca="1">IF($D34&lt;&gt;"Serviço",0,IF(OR(AND(AUTOEVENTO="Manual",$M34=1),$M34&gt;(ROW(PLE.lastrow)-ROW(PLE.firstrow))),0,IF(OFFSET(PLE!$G$14,$M34,AY$13)="",10^12,OFFSET(PLE!$G$14,$M34,AY$13))))</f>
        <v>1000000000000</v>
      </c>
      <c r="AZ34" s="182">
        <f ca="1">IF($D34&lt;&gt;"Serviço",0,IF(OR(AND(AUTOEVENTO="Manual",$M34=1),$M34&gt;(ROW(PLE.lastrow)-ROW(PLE.firstrow))),0,IF(OFFSET(PLE!$G$14,$M34,AZ$13)="",10^12,OFFSET(PLE!$G$14,$M34,AZ$13))))</f>
        <v>1000000000000</v>
      </c>
      <c r="BA34" s="182">
        <f ca="1">IF($D34&lt;&gt;"Serviço",0,IF(OR(AND(AUTOEVENTO="Manual",$M34=1),$M34&gt;(ROW(PLE.lastrow)-ROW(PLE.firstrow))),0,IF(OFFSET(PLE!$G$14,$M34,BA$13)="",10^12,OFFSET(PLE!$G$14,$M34,BA$13))))</f>
        <v>1000000000000</v>
      </c>
      <c r="BB34" s="182">
        <f ca="1">IF($D34&lt;&gt;"Serviço",0,IF(OR(AND(AUTOEVENTO="Manual",$M34=1),$M34&gt;(ROW(PLE.lastrow)-ROW(PLE.firstrow))),0,IF(OFFSET(PLE!$G$14,$M34,BB$13)="",10^12,OFFSET(PLE!$G$14,$M34,BB$13))))</f>
        <v>1000000000000</v>
      </c>
      <c r="BC34" s="182">
        <f ca="1">IF($D34&lt;&gt;"Serviço",0,IF(OR(AND(AUTOEVENTO="Manual",$M34=1),$M34&gt;(ROW(PLE.lastrow)-ROW(PLE.firstrow))),0,IF(OFFSET(PLE!$G$14,$M34,BC$13)="",10^12,OFFSET(PLE!$G$14,$M34,BC$13))))</f>
        <v>1000000000000</v>
      </c>
      <c r="BD34" s="182">
        <f ca="1">IF($D34&lt;&gt;"Serviço",0,IF(OR(AND(AUTOEVENTO="Manual",$M34=1),$M34&gt;(ROW(PLE.lastrow)-ROW(PLE.firstrow))),0,IF(OFFSET(PLE!$G$14,$M34,BD$13)="",10^12,OFFSET(PLE!$G$14,$M34,BD$13))))</f>
        <v>1000000000000</v>
      </c>
      <c r="BE34" s="182">
        <f ca="1">IF($D34&lt;&gt;"Serviço",0,IF(OR(AND(AUTOEVENTO="Manual",$M34=1),$M34&gt;(ROW(PLE.lastrow)-ROW(PLE.firstrow))),0,IF(OFFSET(PLE!$G$14,$M34,BE$13)="",10^12,OFFSET(PLE!$G$14,$M34,BE$13))))</f>
        <v>1000000000000</v>
      </c>
      <c r="BF34" s="182">
        <f ca="1">IF($D34&lt;&gt;"Serviço",0,IF(OR(AND(AUTOEVENTO="Manual",$M34=1),$M34&gt;(ROW(PLE.lastrow)-ROW(PLE.firstrow))),0,IF(OFFSET(PLE!$G$14,$M34,BF$13)="",10^12,OFFSET(PLE!$G$14,$M34,BF$13))))</f>
        <v>1000000000000</v>
      </c>
      <c r="BG34" s="182">
        <f ca="1">IF($D34&lt;&gt;"Serviço",0,IF(OR(AND(AUTOEVENTO="Manual",$M34=1),$M34&gt;(ROW(PLE.lastrow)-ROW(PLE.firstrow))),0,IF(OFFSET(PLE!$G$14,$M34,BG$13)="",10^12,OFFSET(PLE!$G$14,$M34,BG$13))))</f>
        <v>1000000000000</v>
      </c>
    </row>
    <row r="35" spans="1:59" ht="51" x14ac:dyDescent="0.2">
      <c r="A35" s="7" t="str">
        <f ca="1">IF(AUTOEVENTO="Manual",IF(K35&lt;&gt;"",MIN(VALUE(LEFT(K35,FIND(".",K35)-1)),COUNTA(EVENTOS.Lista)),0),IF(OR($B35&gt;AUTOEVENTO,$B35="S",$B35=0),SUBSTITUTE(OFFSET($A35,-1,0),IF($D35="Serviço",".",""),""),ROW(A35)-ROW($A$15)&amp;"."))</f>
        <v>18</v>
      </c>
      <c r="B35" s="7" t="str">
        <f ca="1">OFFSET(ORÇAMENTO!C$15,ROW(B35)-ROW(B$15),0)</f>
        <v>S</v>
      </c>
      <c r="C35" s="7" t="str">
        <f ca="1">OFFSET(ORÇAMENTO!L$15,ROW(C35)-ROW(C$15),0)</f>
        <v/>
      </c>
      <c r="D35" s="118" t="str">
        <f ca="1">OFFSET(ORÇAMENTO!N$15,ROW(D35)-ROW(D$15),0)</f>
        <v>Serviço</v>
      </c>
      <c r="E35" s="119" t="str">
        <f ca="1">OFFSET(ORÇAMENTO!O$15,ROW(E35)-ROW(E$15),0)</f>
        <v>-</v>
      </c>
      <c r="F35" s="172" t="str">
        <f ca="1">OFFSET(ORÇAMENTO!R$15,ROW(F35)-ROW(F$15),0)</f>
        <v>(abra o arquivo 'Referência 05-Friday.xlsm)</v>
      </c>
      <c r="G35" s="173" t="str">
        <f ca="1">IF($D35&lt;&gt;"Serviço","",OFFSET(ORÇAMENTO!S$15,ROW(G35)-ROW(G$15),0))</f>
        <v>-</v>
      </c>
      <c r="H35" s="124">
        <f ca="1">IF($D35&lt;&gt;"Serviço",0,IF(ACOMPANHAMENTO="BM",ROUND(OFFSET(ORÇAMENTO!AJ$15,ROW(H35)-ROW(H$15),0),15-13*ORÇAMENTO!$AF$7),SUMPRODUCT(($Q$12:$AA$12&lt;&gt;"")*ROUND($Q35:$AA35,15-13*ORÇAMENTO!$AF$7))))</f>
        <v>12.2</v>
      </c>
      <c r="I35" s="539" t="s">
        <v>524</v>
      </c>
      <c r="K35" s="174"/>
      <c r="L35" s="175" t="s">
        <v>254</v>
      </c>
      <c r="M35" s="176">
        <f ca="1">IF($D35&lt;&gt;"Serviço","",IF(AUTOEVENTO="manual",$A35,IF(ISERROR(MATCH($A35,$A$15:OFFSET($A35,-1,0),0)),MAX($M$15:OFFSET(M35,-1,0))+1,INDEX($M$15:OFFSET(M35,-1,0),MATCH($A35,$A$15:OFFSET($A35,-1,0),0)))))</f>
        <v>4</v>
      </c>
      <c r="N35" s="177" t="str">
        <f ca="1">IF($D35&lt;&gt;"Serviço","",IF(AUTOEVENTO="Manual",IF($A35=0,"&lt;-- defina o número do agrupador",OFFSET(EVENTOS!$D$14,$A35,0)),OFFSET($F$15,$A35,0)))</f>
        <v>PAVIMENTAÇÃO ASFÁLTICA</v>
      </c>
      <c r="O35" s="178"/>
      <c r="Q35" s="178">
        <v>12.2</v>
      </c>
      <c r="R35" s="179"/>
      <c r="S35" s="179"/>
      <c r="T35" s="179"/>
      <c r="U35" s="179"/>
      <c r="V35" s="179"/>
      <c r="W35" s="179"/>
      <c r="X35" s="179"/>
      <c r="Y35" s="179"/>
      <c r="Z35" s="180"/>
      <c r="AB35" s="522">
        <f ca="1">IF(AND($D35="Serviço",AB$12&lt;&gt;0,$H35&gt;0,OR(AUTOEVENTO&lt;&gt;"manual",$M35&lt;&gt;1)),
IF(Import.TipoArredondamento&lt;&gt;"TransfereGOV",
ROUND(OFFSET($P35,0,AB$13),15-13*ORÇAMENTO!$AF$7)/$H35*OFFSET(ORÇAMENTO!$X$15,ROW(AB35)-ROW(AB$15),0),
ROUND(ROUND(OFFSET($P35,0,AB$13),15-13*ORÇAMENTO!$AF$7)*OFFSET(ORÇAMENTO!$W$15,ROW(AB35)-ROW(AB$15),0),15-13*ORÇAMENTO!$AF$11)),0)</f>
        <v>0</v>
      </c>
      <c r="AC35" s="523">
        <f ca="1">IF(AND($D35="Serviço",AC$12&lt;&gt;0,$H35&gt;0,OR(AUTOEVENTO&lt;&gt;"manual",$M35&lt;&gt;1)),
IF(Import.TipoArredondamento&lt;&gt;"TransfereGOV",
ROUND(OFFSET($P35,0,AC$13),15-13*ORÇAMENTO!$AF$7)/$H35*OFFSET(ORÇAMENTO!$X$15,ROW(AC35)-ROW(AC$15),0),
ROUND(ROUND(OFFSET($P35,0,AC$13),15-13*ORÇAMENTO!$AF$7)*OFFSET(ORÇAMENTO!$W$15,ROW(AC35)-ROW(AC$15),0),15-13*ORÇAMENTO!$AF$11)),0)</f>
        <v>0</v>
      </c>
      <c r="AD35" s="523">
        <f ca="1">IF(AND($D35="Serviço",AD$12&lt;&gt;0,$H35&gt;0,OR(AUTOEVENTO&lt;&gt;"manual",$M35&lt;&gt;1)),
IF(Import.TipoArredondamento&lt;&gt;"TransfereGOV",
ROUND(OFFSET($P35,0,AD$13),15-13*ORÇAMENTO!$AF$7)/$H35*OFFSET(ORÇAMENTO!$X$15,ROW(AD35)-ROW(AD$15),0),
ROUND(ROUND(OFFSET($P35,0,AD$13),15-13*ORÇAMENTO!$AF$7)*OFFSET(ORÇAMENTO!$W$15,ROW(AD35)-ROW(AD$15),0),15-13*ORÇAMENTO!$AF$11)),0)</f>
        <v>0</v>
      </c>
      <c r="AE35" s="523">
        <f ca="1">IF(AND($D35="Serviço",AE$12&lt;&gt;0,$H35&gt;0,OR(AUTOEVENTO&lt;&gt;"manual",$M35&lt;&gt;1)),
IF(Import.TipoArredondamento&lt;&gt;"TransfereGOV",
ROUND(OFFSET($P35,0,AE$13),15-13*ORÇAMENTO!$AF$7)/$H35*OFFSET(ORÇAMENTO!$X$15,ROW(AE35)-ROW(AE$15),0),
ROUND(ROUND(OFFSET($P35,0,AE$13),15-13*ORÇAMENTO!$AF$7)*OFFSET(ORÇAMENTO!$W$15,ROW(AE35)-ROW(AE$15),0),15-13*ORÇAMENTO!$AF$11)),0)</f>
        <v>0</v>
      </c>
      <c r="AF35" s="523">
        <f ca="1">IF(AND($D35="Serviço",AF$12&lt;&gt;0,$H35&gt;0,OR(AUTOEVENTO&lt;&gt;"manual",$M35&lt;&gt;1)),
IF(Import.TipoArredondamento&lt;&gt;"TransfereGOV",
ROUND(OFFSET($P35,0,AF$13),15-13*ORÇAMENTO!$AF$7)/$H35*OFFSET(ORÇAMENTO!$X$15,ROW(AF35)-ROW(AF$15),0),
ROUND(ROUND(OFFSET($P35,0,AF$13),15-13*ORÇAMENTO!$AF$7)*OFFSET(ORÇAMENTO!$W$15,ROW(AF35)-ROW(AF$15),0),15-13*ORÇAMENTO!$AF$11)),0)</f>
        <v>0</v>
      </c>
      <c r="AG35" s="523">
        <f ca="1">IF(AND($D35="Serviço",AG$12&lt;&gt;0,$H35&gt;0,OR(AUTOEVENTO&lt;&gt;"manual",$M35&lt;&gt;1)),
IF(Import.TipoArredondamento&lt;&gt;"TransfereGOV",
ROUND(OFFSET($P35,0,AG$13),15-13*ORÇAMENTO!$AF$7)/$H35*OFFSET(ORÇAMENTO!$X$15,ROW(AG35)-ROW(AG$15),0),
ROUND(ROUND(OFFSET($P35,0,AG$13),15-13*ORÇAMENTO!$AF$7)*OFFSET(ORÇAMENTO!$W$15,ROW(AG35)-ROW(AG$15),0),15-13*ORÇAMENTO!$AF$11)),0)</f>
        <v>0</v>
      </c>
      <c r="AH35" s="523">
        <f ca="1">IF(AND($D35="Serviço",AH$12&lt;&gt;0,$H35&gt;0,OR(AUTOEVENTO&lt;&gt;"manual",$M35&lt;&gt;1)),
IF(Import.TipoArredondamento&lt;&gt;"TransfereGOV",
ROUND(OFFSET($P35,0,AH$13),15-13*ORÇAMENTO!$AF$7)/$H35*OFFSET(ORÇAMENTO!$X$15,ROW(AH35)-ROW(AH$15),0),
ROUND(ROUND(OFFSET($P35,0,AH$13),15-13*ORÇAMENTO!$AF$7)*OFFSET(ORÇAMENTO!$W$15,ROW(AH35)-ROW(AH$15),0),15-13*ORÇAMENTO!$AF$11)),0)</f>
        <v>0</v>
      </c>
      <c r="AI35" s="523">
        <f ca="1">IF(AND($D35="Serviço",AI$12&lt;&gt;0,$H35&gt;0,OR(AUTOEVENTO&lt;&gt;"manual",$M35&lt;&gt;1)),
IF(Import.TipoArredondamento&lt;&gt;"TransfereGOV",
ROUND(OFFSET($P35,0,AI$13),15-13*ORÇAMENTO!$AF$7)/$H35*OFFSET(ORÇAMENTO!$X$15,ROW(AI35)-ROW(AI$15),0),
ROUND(ROUND(OFFSET($P35,0,AI$13),15-13*ORÇAMENTO!$AF$7)*OFFSET(ORÇAMENTO!$W$15,ROW(AI35)-ROW(AI$15),0),15-13*ORÇAMENTO!$AF$11)),0)</f>
        <v>0</v>
      </c>
      <c r="AJ35" s="523">
        <f ca="1">IF(AND($D35="Serviço",AJ$12&lt;&gt;0,$H35&gt;0,OR(AUTOEVENTO&lt;&gt;"manual",$M35&lt;&gt;1)),
IF(Import.TipoArredondamento&lt;&gt;"TransfereGOV",
ROUND(OFFSET($P35,0,AJ$13),15-13*ORÇAMENTO!$AF$7)/$H35*OFFSET(ORÇAMENTO!$X$15,ROW(AJ35)-ROW(AJ$15),0),
ROUND(ROUND(OFFSET($P35,0,AJ$13),15-13*ORÇAMENTO!$AF$7)*OFFSET(ORÇAMENTO!$W$15,ROW(AJ35)-ROW(AJ$15),0),15-13*ORÇAMENTO!$AF$11)),0)</f>
        <v>0</v>
      </c>
      <c r="AK35" s="524">
        <f ca="1">IF(AND($D35="Serviço",AK$12&lt;&gt;0,$H35&gt;0,OR(AUTOEVENTO&lt;&gt;"manual",$M35&lt;&gt;1)),
IF(Import.TipoArredondamento&lt;&gt;"TransfereGOV",
ROUND(OFFSET($P35,0,AK$13),15-13*ORÇAMENTO!$AF$7)/$H35*OFFSET(ORÇAMENTO!$X$15,ROW(AK35)-ROW(AK$15),0),
ROUND(ROUND(OFFSET($P35,0,AK$13),15-13*ORÇAMENTO!$AF$7)*OFFSET(ORÇAMENTO!$W$15,ROW(AK35)-ROW(AK$15),0),15-13*ORÇAMENTO!$AF$11)),0)</f>
        <v>0</v>
      </c>
      <c r="AM35" s="181">
        <f ca="1">IF($D35&lt;&gt;"Serviço",0,IF(AND(AUTOEVENTO="Manual",$M35=1),0,IF(OFFSET(CRONOPLE!$F$14,$M35,AM$13)="",10^12,OFFSET(CRONOPLE!$F$14,$M35,AM$13))))</f>
        <v>1</v>
      </c>
      <c r="AN35" s="181">
        <f ca="1">IF($D35&lt;&gt;"Serviço",0,IF(AND(AUTOEVENTO="Manual",$M35=1),0,IF(OFFSET(CRONOPLE!$F$14,$M35,AN$13)="",10^12,OFFSET(CRONOPLE!$F$14,$M35,AN$13))))</f>
        <v>2</v>
      </c>
      <c r="AO35" s="181">
        <f ca="1">IF($D35&lt;&gt;"Serviço",0,IF(AND(AUTOEVENTO="Manual",$M35=1),0,IF(OFFSET(CRONOPLE!$F$14,$M35,AO$13)="",10^12,OFFSET(CRONOPLE!$F$14,$M35,AO$13))))</f>
        <v>1000000000000</v>
      </c>
      <c r="AP35" s="181">
        <f ca="1">IF($D35&lt;&gt;"Serviço",0,IF(AND(AUTOEVENTO="Manual",$M35=1),0,IF(OFFSET(CRONOPLE!$F$14,$M35,AP$13)="",10^12,OFFSET(CRONOPLE!$F$14,$M35,AP$13))))</f>
        <v>1000000000000</v>
      </c>
      <c r="AQ35" s="181">
        <f ca="1">IF($D35&lt;&gt;"Serviço",0,IF(AND(AUTOEVENTO="Manual",$M35=1),0,IF(OFFSET(CRONOPLE!$F$14,$M35,AQ$13)="",10^12,OFFSET(CRONOPLE!$F$14,$M35,AQ$13))))</f>
        <v>1000000000000</v>
      </c>
      <c r="AR35" s="181">
        <f ca="1">IF($D35&lt;&gt;"Serviço",0,IF(AND(AUTOEVENTO="Manual",$M35=1),0,IF(OFFSET(CRONOPLE!$F$14,$M35,AR$13)="",10^12,OFFSET(CRONOPLE!$F$14,$M35,AR$13))))</f>
        <v>1000000000000</v>
      </c>
      <c r="AS35" s="181">
        <f ca="1">IF($D35&lt;&gt;"Serviço",0,IF(AND(AUTOEVENTO="Manual",$M35=1),0,IF(OFFSET(CRONOPLE!$F$14,$M35,AS$13)="",10^12,OFFSET(CRONOPLE!$F$14,$M35,AS$13))))</f>
        <v>1000000000000</v>
      </c>
      <c r="AT35" s="181">
        <f ca="1">IF($D35&lt;&gt;"Serviço",0,IF(AND(AUTOEVENTO="Manual",$M35=1),0,IF(OFFSET(CRONOPLE!$F$14,$M35,AT$13)="",10^12,OFFSET(CRONOPLE!$F$14,$M35,AT$13))))</f>
        <v>1000000000000</v>
      </c>
      <c r="AU35" s="181">
        <f ca="1">IF($D35&lt;&gt;"Serviço",0,IF(AND(AUTOEVENTO="Manual",$M35=1),0,IF(OFFSET(CRONOPLE!$F$14,$M35,AU$13)="",10^12,OFFSET(CRONOPLE!$F$14,$M35,AU$13))))</f>
        <v>1000000000000</v>
      </c>
      <c r="AV35" s="181">
        <f ca="1">IF($D35&lt;&gt;"Serviço",0,IF(AND(AUTOEVENTO="Manual",$M35=1),0,IF(OFFSET(CRONOPLE!$F$14,$M35,AV$13)="",10^12,OFFSET(CRONOPLE!$F$14,$M35,AV$13))))</f>
        <v>1000000000000</v>
      </c>
      <c r="AX35" s="182">
        <f ca="1">IF($D35&lt;&gt;"Serviço",0,IF(OR(AND(AUTOEVENTO="Manual",$M35=1),$M35&gt;(ROW(PLE.lastrow)-ROW(PLE.firstrow))),0,IF(OFFSET(PLE!$G$14,$M35,AX$13)="",10^12,OFFSET(PLE!$G$14,$M35,AX$13))))</f>
        <v>1000000000000</v>
      </c>
      <c r="AY35" s="182">
        <f ca="1">IF($D35&lt;&gt;"Serviço",0,IF(OR(AND(AUTOEVENTO="Manual",$M35=1),$M35&gt;(ROW(PLE.lastrow)-ROW(PLE.firstrow))),0,IF(OFFSET(PLE!$G$14,$M35,AY$13)="",10^12,OFFSET(PLE!$G$14,$M35,AY$13))))</f>
        <v>1000000000000</v>
      </c>
      <c r="AZ35" s="182">
        <f ca="1">IF($D35&lt;&gt;"Serviço",0,IF(OR(AND(AUTOEVENTO="Manual",$M35=1),$M35&gt;(ROW(PLE.lastrow)-ROW(PLE.firstrow))),0,IF(OFFSET(PLE!$G$14,$M35,AZ$13)="",10^12,OFFSET(PLE!$G$14,$M35,AZ$13))))</f>
        <v>1000000000000</v>
      </c>
      <c r="BA35" s="182">
        <f ca="1">IF($D35&lt;&gt;"Serviço",0,IF(OR(AND(AUTOEVENTO="Manual",$M35=1),$M35&gt;(ROW(PLE.lastrow)-ROW(PLE.firstrow))),0,IF(OFFSET(PLE!$G$14,$M35,BA$13)="",10^12,OFFSET(PLE!$G$14,$M35,BA$13))))</f>
        <v>1000000000000</v>
      </c>
      <c r="BB35" s="182">
        <f ca="1">IF($D35&lt;&gt;"Serviço",0,IF(OR(AND(AUTOEVENTO="Manual",$M35=1),$M35&gt;(ROW(PLE.lastrow)-ROW(PLE.firstrow))),0,IF(OFFSET(PLE!$G$14,$M35,BB$13)="",10^12,OFFSET(PLE!$G$14,$M35,BB$13))))</f>
        <v>1000000000000</v>
      </c>
      <c r="BC35" s="182">
        <f ca="1">IF($D35&lt;&gt;"Serviço",0,IF(OR(AND(AUTOEVENTO="Manual",$M35=1),$M35&gt;(ROW(PLE.lastrow)-ROW(PLE.firstrow))),0,IF(OFFSET(PLE!$G$14,$M35,BC$13)="",10^12,OFFSET(PLE!$G$14,$M35,BC$13))))</f>
        <v>1000000000000</v>
      </c>
      <c r="BD35" s="182">
        <f ca="1">IF($D35&lt;&gt;"Serviço",0,IF(OR(AND(AUTOEVENTO="Manual",$M35=1),$M35&gt;(ROW(PLE.lastrow)-ROW(PLE.firstrow))),0,IF(OFFSET(PLE!$G$14,$M35,BD$13)="",10^12,OFFSET(PLE!$G$14,$M35,BD$13))))</f>
        <v>1000000000000</v>
      </c>
      <c r="BE35" s="182">
        <f ca="1">IF($D35&lt;&gt;"Serviço",0,IF(OR(AND(AUTOEVENTO="Manual",$M35=1),$M35&gt;(ROW(PLE.lastrow)-ROW(PLE.firstrow))),0,IF(OFFSET(PLE!$G$14,$M35,BE$13)="",10^12,OFFSET(PLE!$G$14,$M35,BE$13))))</f>
        <v>1000000000000</v>
      </c>
      <c r="BF35" s="182">
        <f ca="1">IF($D35&lt;&gt;"Serviço",0,IF(OR(AND(AUTOEVENTO="Manual",$M35=1),$M35&gt;(ROW(PLE.lastrow)-ROW(PLE.firstrow))),0,IF(OFFSET(PLE!$G$14,$M35,BF$13)="",10^12,OFFSET(PLE!$G$14,$M35,BF$13))))</f>
        <v>1000000000000</v>
      </c>
      <c r="BG35" s="182">
        <f ca="1">IF($D35&lt;&gt;"Serviço",0,IF(OR(AND(AUTOEVENTO="Manual",$M35=1),$M35&gt;(ROW(PLE.lastrow)-ROW(PLE.firstrow))),0,IF(OFFSET(PLE!$G$14,$M35,BG$13)="",10^12,OFFSET(PLE!$G$14,$M35,BG$13))))</f>
        <v>1000000000000</v>
      </c>
    </row>
    <row r="36" spans="1:59" ht="38.25" x14ac:dyDescent="0.2">
      <c r="A36" s="7" t="str">
        <f t="shared" ca="1" si="9"/>
        <v>18</v>
      </c>
      <c r="B36" s="7" t="str">
        <f ca="1">OFFSET(ORÇAMENTO!C$15,ROW(B36)-ROW(B$15),0)</f>
        <v>S</v>
      </c>
      <c r="C36" s="7" t="str">
        <f ca="1">OFFSET(ORÇAMENTO!L$15,ROW(C36)-ROW(C$15),0)</f>
        <v/>
      </c>
      <c r="D36" s="118" t="str">
        <f ca="1">OFFSET(ORÇAMENTO!N$15,ROW(D36)-ROW(D$15),0)</f>
        <v>Serviço</v>
      </c>
      <c r="E36" s="119" t="str">
        <f ca="1">OFFSET(ORÇAMENTO!O$15,ROW(E36)-ROW(E$15),0)</f>
        <v>-</v>
      </c>
      <c r="F36" s="172" t="str">
        <f ca="1">OFFSET(ORÇAMENTO!R$15,ROW(F36)-ROW(F$15),0)</f>
        <v>(abra o arquivo 'Referência 05-Friday.xlsm)</v>
      </c>
      <c r="G36" s="173" t="str">
        <f ca="1">IF($D36&lt;&gt;"Serviço","",OFFSET(ORÇAMENTO!S$15,ROW(G36)-ROW(G$15),0))</f>
        <v>-</v>
      </c>
      <c r="H36" s="124">
        <f ca="1">IF($D36&lt;&gt;"Serviço",0,IF(ACOMPANHAMENTO="BM",ROUND(OFFSET(ORÇAMENTO!AJ$15,ROW(H36)-ROW(H$15),0),15-13*ORÇAMENTO!$AF$7),SUMPRODUCT(($Q$12:$AA$12&lt;&gt;"")*ROUND($Q36:$AA36,15-13*ORÇAMENTO!$AF$7))))</f>
        <v>61</v>
      </c>
      <c r="I36" s="539" t="s">
        <v>525</v>
      </c>
      <c r="K36" s="174"/>
      <c r="L36" s="175" t="s">
        <v>254</v>
      </c>
      <c r="M36" s="176">
        <f ca="1">IF($D36&lt;&gt;"Serviço","",IF(AUTOEVENTO="manual",$A36,IF(ISERROR(MATCH($A36,$A$15:OFFSET($A36,-1,0),0)),MAX($M$15:OFFSET(M36,-1,0))+1,INDEX($M$15:OFFSET(M36,-1,0),MATCH($A36,$A$15:OFFSET($A36,-1,0),0)))))</f>
        <v>4</v>
      </c>
      <c r="N36" s="177" t="str">
        <f ca="1">IF($D36&lt;&gt;"Serviço","",IF(AUTOEVENTO="Manual",IF($A36=0,"&lt;-- defina o número do agrupador",OFFSET(EVENTOS!$D$14,$A36,0)),OFFSET($F$15,$A36,0)))</f>
        <v>PAVIMENTAÇÃO ASFÁLTICA</v>
      </c>
      <c r="O36" s="178"/>
      <c r="Q36" s="178">
        <v>61</v>
      </c>
      <c r="R36" s="179"/>
      <c r="S36" s="179"/>
      <c r="T36" s="179"/>
      <c r="U36" s="179"/>
      <c r="V36" s="179"/>
      <c r="W36" s="179"/>
      <c r="X36" s="179"/>
      <c r="Y36" s="179"/>
      <c r="Z36" s="180"/>
      <c r="AB36" s="522">
        <f ca="1">IF(AND($D36="Serviço",AB$12&lt;&gt;0,$H36&gt;0,OR(AUTOEVENTO&lt;&gt;"manual",$M36&lt;&gt;1)),
IF(Import.TipoArredondamento&lt;&gt;"TransfereGOV",
ROUND(OFFSET($P36,0,AB$13),15-13*ORÇAMENTO!$AF$7)/$H36*OFFSET(ORÇAMENTO!$X$15,ROW(AB36)-ROW(AB$15),0),
ROUND(ROUND(OFFSET($P36,0,AB$13),15-13*ORÇAMENTO!$AF$7)*OFFSET(ORÇAMENTO!$W$15,ROW(AB36)-ROW(AB$15),0),15-13*ORÇAMENTO!$AF$11)),0)</f>
        <v>0</v>
      </c>
      <c r="AC36" s="523">
        <f ca="1">IF(AND($D36="Serviço",AC$12&lt;&gt;0,$H36&gt;0,OR(AUTOEVENTO&lt;&gt;"manual",$M36&lt;&gt;1)),
IF(Import.TipoArredondamento&lt;&gt;"TransfereGOV",
ROUND(OFFSET($P36,0,AC$13),15-13*ORÇAMENTO!$AF$7)/$H36*OFFSET(ORÇAMENTO!$X$15,ROW(AC36)-ROW(AC$15),0),
ROUND(ROUND(OFFSET($P36,0,AC$13),15-13*ORÇAMENTO!$AF$7)*OFFSET(ORÇAMENTO!$W$15,ROW(AC36)-ROW(AC$15),0),15-13*ORÇAMENTO!$AF$11)),0)</f>
        <v>0</v>
      </c>
      <c r="AD36" s="523">
        <f ca="1">IF(AND($D36="Serviço",AD$12&lt;&gt;0,$H36&gt;0,OR(AUTOEVENTO&lt;&gt;"manual",$M36&lt;&gt;1)),
IF(Import.TipoArredondamento&lt;&gt;"TransfereGOV",
ROUND(OFFSET($P36,0,AD$13),15-13*ORÇAMENTO!$AF$7)/$H36*OFFSET(ORÇAMENTO!$X$15,ROW(AD36)-ROW(AD$15),0),
ROUND(ROUND(OFFSET($P36,0,AD$13),15-13*ORÇAMENTO!$AF$7)*OFFSET(ORÇAMENTO!$W$15,ROW(AD36)-ROW(AD$15),0),15-13*ORÇAMENTO!$AF$11)),0)</f>
        <v>0</v>
      </c>
      <c r="AE36" s="523">
        <f ca="1">IF(AND($D36="Serviço",AE$12&lt;&gt;0,$H36&gt;0,OR(AUTOEVENTO&lt;&gt;"manual",$M36&lt;&gt;1)),
IF(Import.TipoArredondamento&lt;&gt;"TransfereGOV",
ROUND(OFFSET($P36,0,AE$13),15-13*ORÇAMENTO!$AF$7)/$H36*OFFSET(ORÇAMENTO!$X$15,ROW(AE36)-ROW(AE$15),0),
ROUND(ROUND(OFFSET($P36,0,AE$13),15-13*ORÇAMENTO!$AF$7)*OFFSET(ORÇAMENTO!$W$15,ROW(AE36)-ROW(AE$15),0),15-13*ORÇAMENTO!$AF$11)),0)</f>
        <v>0</v>
      </c>
      <c r="AF36" s="523">
        <f ca="1">IF(AND($D36="Serviço",AF$12&lt;&gt;0,$H36&gt;0,OR(AUTOEVENTO&lt;&gt;"manual",$M36&lt;&gt;1)),
IF(Import.TipoArredondamento&lt;&gt;"TransfereGOV",
ROUND(OFFSET($P36,0,AF$13),15-13*ORÇAMENTO!$AF$7)/$H36*OFFSET(ORÇAMENTO!$X$15,ROW(AF36)-ROW(AF$15),0),
ROUND(ROUND(OFFSET($P36,0,AF$13),15-13*ORÇAMENTO!$AF$7)*OFFSET(ORÇAMENTO!$W$15,ROW(AF36)-ROW(AF$15),0),15-13*ORÇAMENTO!$AF$11)),0)</f>
        <v>0</v>
      </c>
      <c r="AG36" s="523">
        <f ca="1">IF(AND($D36="Serviço",AG$12&lt;&gt;0,$H36&gt;0,OR(AUTOEVENTO&lt;&gt;"manual",$M36&lt;&gt;1)),
IF(Import.TipoArredondamento&lt;&gt;"TransfereGOV",
ROUND(OFFSET($P36,0,AG$13),15-13*ORÇAMENTO!$AF$7)/$H36*OFFSET(ORÇAMENTO!$X$15,ROW(AG36)-ROW(AG$15),0),
ROUND(ROUND(OFFSET($P36,0,AG$13),15-13*ORÇAMENTO!$AF$7)*OFFSET(ORÇAMENTO!$W$15,ROW(AG36)-ROW(AG$15),0),15-13*ORÇAMENTO!$AF$11)),0)</f>
        <v>0</v>
      </c>
      <c r="AH36" s="523">
        <f ca="1">IF(AND($D36="Serviço",AH$12&lt;&gt;0,$H36&gt;0,OR(AUTOEVENTO&lt;&gt;"manual",$M36&lt;&gt;1)),
IF(Import.TipoArredondamento&lt;&gt;"TransfereGOV",
ROUND(OFFSET($P36,0,AH$13),15-13*ORÇAMENTO!$AF$7)/$H36*OFFSET(ORÇAMENTO!$X$15,ROW(AH36)-ROW(AH$15),0),
ROUND(ROUND(OFFSET($P36,0,AH$13),15-13*ORÇAMENTO!$AF$7)*OFFSET(ORÇAMENTO!$W$15,ROW(AH36)-ROW(AH$15),0),15-13*ORÇAMENTO!$AF$11)),0)</f>
        <v>0</v>
      </c>
      <c r="AI36" s="523">
        <f ca="1">IF(AND($D36="Serviço",AI$12&lt;&gt;0,$H36&gt;0,OR(AUTOEVENTO&lt;&gt;"manual",$M36&lt;&gt;1)),
IF(Import.TipoArredondamento&lt;&gt;"TransfereGOV",
ROUND(OFFSET($P36,0,AI$13),15-13*ORÇAMENTO!$AF$7)/$H36*OFFSET(ORÇAMENTO!$X$15,ROW(AI36)-ROW(AI$15),0),
ROUND(ROUND(OFFSET($P36,0,AI$13),15-13*ORÇAMENTO!$AF$7)*OFFSET(ORÇAMENTO!$W$15,ROW(AI36)-ROW(AI$15),0),15-13*ORÇAMENTO!$AF$11)),0)</f>
        <v>0</v>
      </c>
      <c r="AJ36" s="523">
        <f ca="1">IF(AND($D36="Serviço",AJ$12&lt;&gt;0,$H36&gt;0,OR(AUTOEVENTO&lt;&gt;"manual",$M36&lt;&gt;1)),
IF(Import.TipoArredondamento&lt;&gt;"TransfereGOV",
ROUND(OFFSET($P36,0,AJ$13),15-13*ORÇAMENTO!$AF$7)/$H36*OFFSET(ORÇAMENTO!$X$15,ROW(AJ36)-ROW(AJ$15),0),
ROUND(ROUND(OFFSET($P36,0,AJ$13),15-13*ORÇAMENTO!$AF$7)*OFFSET(ORÇAMENTO!$W$15,ROW(AJ36)-ROW(AJ$15),0),15-13*ORÇAMENTO!$AF$11)),0)</f>
        <v>0</v>
      </c>
      <c r="AK36" s="524">
        <f ca="1">IF(AND($D36="Serviço",AK$12&lt;&gt;0,$H36&gt;0,OR(AUTOEVENTO&lt;&gt;"manual",$M36&lt;&gt;1)),
IF(Import.TipoArredondamento&lt;&gt;"TransfereGOV",
ROUND(OFFSET($P36,0,AK$13),15-13*ORÇAMENTO!$AF$7)/$H36*OFFSET(ORÇAMENTO!$X$15,ROW(AK36)-ROW(AK$15),0),
ROUND(ROUND(OFFSET($P36,0,AK$13),15-13*ORÇAMENTO!$AF$7)*OFFSET(ORÇAMENTO!$W$15,ROW(AK36)-ROW(AK$15),0),15-13*ORÇAMENTO!$AF$11)),0)</f>
        <v>0</v>
      </c>
      <c r="AM36" s="181">
        <f ca="1">IF($D36&lt;&gt;"Serviço",0,IF(AND(AUTOEVENTO="Manual",$M36=1),0,IF(OFFSET(CRONOPLE!$F$14,$M36,AM$13)="",10^12,OFFSET(CRONOPLE!$F$14,$M36,AM$13))))</f>
        <v>1</v>
      </c>
      <c r="AN36" s="181">
        <f ca="1">IF($D36&lt;&gt;"Serviço",0,IF(AND(AUTOEVENTO="Manual",$M36=1),0,IF(OFFSET(CRONOPLE!$F$14,$M36,AN$13)="",10^12,OFFSET(CRONOPLE!$F$14,$M36,AN$13))))</f>
        <v>2</v>
      </c>
      <c r="AO36" s="181">
        <f ca="1">IF($D36&lt;&gt;"Serviço",0,IF(AND(AUTOEVENTO="Manual",$M36=1),0,IF(OFFSET(CRONOPLE!$F$14,$M36,AO$13)="",10^12,OFFSET(CRONOPLE!$F$14,$M36,AO$13))))</f>
        <v>1000000000000</v>
      </c>
      <c r="AP36" s="181">
        <f ca="1">IF($D36&lt;&gt;"Serviço",0,IF(AND(AUTOEVENTO="Manual",$M36=1),0,IF(OFFSET(CRONOPLE!$F$14,$M36,AP$13)="",10^12,OFFSET(CRONOPLE!$F$14,$M36,AP$13))))</f>
        <v>1000000000000</v>
      </c>
      <c r="AQ36" s="181">
        <f ca="1">IF($D36&lt;&gt;"Serviço",0,IF(AND(AUTOEVENTO="Manual",$M36=1),0,IF(OFFSET(CRONOPLE!$F$14,$M36,AQ$13)="",10^12,OFFSET(CRONOPLE!$F$14,$M36,AQ$13))))</f>
        <v>1000000000000</v>
      </c>
      <c r="AR36" s="181">
        <f ca="1">IF($D36&lt;&gt;"Serviço",0,IF(AND(AUTOEVENTO="Manual",$M36=1),0,IF(OFFSET(CRONOPLE!$F$14,$M36,AR$13)="",10^12,OFFSET(CRONOPLE!$F$14,$M36,AR$13))))</f>
        <v>1000000000000</v>
      </c>
      <c r="AS36" s="181">
        <f ca="1">IF($D36&lt;&gt;"Serviço",0,IF(AND(AUTOEVENTO="Manual",$M36=1),0,IF(OFFSET(CRONOPLE!$F$14,$M36,AS$13)="",10^12,OFFSET(CRONOPLE!$F$14,$M36,AS$13))))</f>
        <v>1000000000000</v>
      </c>
      <c r="AT36" s="181">
        <f ca="1">IF($D36&lt;&gt;"Serviço",0,IF(AND(AUTOEVENTO="Manual",$M36=1),0,IF(OFFSET(CRONOPLE!$F$14,$M36,AT$13)="",10^12,OFFSET(CRONOPLE!$F$14,$M36,AT$13))))</f>
        <v>1000000000000</v>
      </c>
      <c r="AU36" s="181">
        <f ca="1">IF($D36&lt;&gt;"Serviço",0,IF(AND(AUTOEVENTO="Manual",$M36=1),0,IF(OFFSET(CRONOPLE!$F$14,$M36,AU$13)="",10^12,OFFSET(CRONOPLE!$F$14,$M36,AU$13))))</f>
        <v>1000000000000</v>
      </c>
      <c r="AV36" s="181">
        <f ca="1">IF($D36&lt;&gt;"Serviço",0,IF(AND(AUTOEVENTO="Manual",$M36=1),0,IF(OFFSET(CRONOPLE!$F$14,$M36,AV$13)="",10^12,OFFSET(CRONOPLE!$F$14,$M36,AV$13))))</f>
        <v>1000000000000</v>
      </c>
      <c r="AX36" s="182">
        <f ca="1">IF($D36&lt;&gt;"Serviço",0,IF(OR(AND(AUTOEVENTO="Manual",$M36=1),$M36&gt;(ROW(PLE.lastrow)-ROW(PLE.firstrow))),0,IF(OFFSET(PLE!$G$14,$M36,AX$13)="",10^12,OFFSET(PLE!$G$14,$M36,AX$13))))</f>
        <v>1000000000000</v>
      </c>
      <c r="AY36" s="182">
        <f ca="1">IF($D36&lt;&gt;"Serviço",0,IF(OR(AND(AUTOEVENTO="Manual",$M36=1),$M36&gt;(ROW(PLE.lastrow)-ROW(PLE.firstrow))),0,IF(OFFSET(PLE!$G$14,$M36,AY$13)="",10^12,OFFSET(PLE!$G$14,$M36,AY$13))))</f>
        <v>1000000000000</v>
      </c>
      <c r="AZ36" s="182">
        <f ca="1">IF($D36&lt;&gt;"Serviço",0,IF(OR(AND(AUTOEVENTO="Manual",$M36=1),$M36&gt;(ROW(PLE.lastrow)-ROW(PLE.firstrow))),0,IF(OFFSET(PLE!$G$14,$M36,AZ$13)="",10^12,OFFSET(PLE!$G$14,$M36,AZ$13))))</f>
        <v>1000000000000</v>
      </c>
      <c r="BA36" s="182">
        <f ca="1">IF($D36&lt;&gt;"Serviço",0,IF(OR(AND(AUTOEVENTO="Manual",$M36=1),$M36&gt;(ROW(PLE.lastrow)-ROW(PLE.firstrow))),0,IF(OFFSET(PLE!$G$14,$M36,BA$13)="",10^12,OFFSET(PLE!$G$14,$M36,BA$13))))</f>
        <v>1000000000000</v>
      </c>
      <c r="BB36" s="182">
        <f ca="1">IF($D36&lt;&gt;"Serviço",0,IF(OR(AND(AUTOEVENTO="Manual",$M36=1),$M36&gt;(ROW(PLE.lastrow)-ROW(PLE.firstrow))),0,IF(OFFSET(PLE!$G$14,$M36,BB$13)="",10^12,OFFSET(PLE!$G$14,$M36,BB$13))))</f>
        <v>1000000000000</v>
      </c>
      <c r="BC36" s="182">
        <f ca="1">IF($D36&lt;&gt;"Serviço",0,IF(OR(AND(AUTOEVENTO="Manual",$M36=1),$M36&gt;(ROW(PLE.lastrow)-ROW(PLE.firstrow))),0,IF(OFFSET(PLE!$G$14,$M36,BC$13)="",10^12,OFFSET(PLE!$G$14,$M36,BC$13))))</f>
        <v>1000000000000</v>
      </c>
      <c r="BD36" s="182">
        <f ca="1">IF($D36&lt;&gt;"Serviço",0,IF(OR(AND(AUTOEVENTO="Manual",$M36=1),$M36&gt;(ROW(PLE.lastrow)-ROW(PLE.firstrow))),0,IF(OFFSET(PLE!$G$14,$M36,BD$13)="",10^12,OFFSET(PLE!$G$14,$M36,BD$13))))</f>
        <v>1000000000000</v>
      </c>
      <c r="BE36" s="182">
        <f ca="1">IF($D36&lt;&gt;"Serviço",0,IF(OR(AND(AUTOEVENTO="Manual",$M36=1),$M36&gt;(ROW(PLE.lastrow)-ROW(PLE.firstrow))),0,IF(OFFSET(PLE!$G$14,$M36,BE$13)="",10^12,OFFSET(PLE!$G$14,$M36,BE$13))))</f>
        <v>1000000000000</v>
      </c>
      <c r="BF36" s="182">
        <f ca="1">IF($D36&lt;&gt;"Serviço",0,IF(OR(AND(AUTOEVENTO="Manual",$M36=1),$M36&gt;(ROW(PLE.lastrow)-ROW(PLE.firstrow))),0,IF(OFFSET(PLE!$G$14,$M36,BF$13)="",10^12,OFFSET(PLE!$G$14,$M36,BF$13))))</f>
        <v>1000000000000</v>
      </c>
      <c r="BG36" s="182">
        <f ca="1">IF($D36&lt;&gt;"Serviço",0,IF(OR(AND(AUTOEVENTO="Manual",$M36=1),$M36&gt;(ROW(PLE.lastrow)-ROW(PLE.firstrow))),0,IF(OFFSET(PLE!$G$14,$M36,BG$13)="",10^12,OFFSET(PLE!$G$14,$M36,BG$13))))</f>
        <v>1000000000000</v>
      </c>
    </row>
    <row r="37" spans="1:59" ht="25.5" x14ac:dyDescent="0.2">
      <c r="A37" s="7" t="str">
        <f t="shared" ca="1" si="9"/>
        <v>18</v>
      </c>
      <c r="B37" s="7" t="str">
        <f ca="1">OFFSET(ORÇAMENTO!C$15,ROW(B37)-ROW(B$15),0)</f>
        <v>S</v>
      </c>
      <c r="C37" s="7" t="str">
        <f ca="1">OFFSET(ORÇAMENTO!L$15,ROW(C37)-ROW(C$15),0)</f>
        <v/>
      </c>
      <c r="D37" s="118" t="str">
        <f ca="1">OFFSET(ORÇAMENTO!N$15,ROW(D37)-ROW(D$15),0)</f>
        <v>Serviço</v>
      </c>
      <c r="E37" s="119" t="str">
        <f ca="1">OFFSET(ORÇAMENTO!O$15,ROW(E37)-ROW(E$15),0)</f>
        <v>-</v>
      </c>
      <c r="F37" s="172" t="str">
        <f ca="1">OFFSET(ORÇAMENTO!R$15,ROW(F37)-ROW(F$15),0)</f>
        <v>(abra o arquivo 'Referência 05-Friday.xlsm)</v>
      </c>
      <c r="G37" s="173" t="str">
        <f ca="1">IF($D37&lt;&gt;"Serviço","",OFFSET(ORÇAMENTO!S$15,ROW(G37)-ROW(G$15),0))</f>
        <v>-</v>
      </c>
      <c r="H37" s="124">
        <f ca="1">IF($D37&lt;&gt;"Serviço",0,IF(ACOMPANHAMENTO="BM",ROUND(OFFSET(ORÇAMENTO!AJ$15,ROW(H37)-ROW(H$15),0),15-13*ORÇAMENTO!$AF$7),SUMPRODUCT(($Q$12:$AA$12&lt;&gt;"")*ROUND($Q37:$AA37,15-13*ORÇAMENTO!$AF$7))))</f>
        <v>1536</v>
      </c>
      <c r="I37" s="539" t="s">
        <v>526</v>
      </c>
      <c r="K37" s="174"/>
      <c r="L37" s="175" t="s">
        <v>254</v>
      </c>
      <c r="M37" s="176">
        <f ca="1">IF($D37&lt;&gt;"Serviço","",IF(AUTOEVENTO="manual",$A37,IF(ISERROR(MATCH($A37,$A$15:OFFSET($A37,-1,0),0)),MAX($M$15:OFFSET(M37,-1,0))+1,INDEX($M$15:OFFSET(M37,-1,0),MATCH($A37,$A$15:OFFSET($A37,-1,0),0)))))</f>
        <v>4</v>
      </c>
      <c r="N37" s="177" t="str">
        <f ca="1">IF($D37&lt;&gt;"Serviço","",IF(AUTOEVENTO="Manual",IF($A37=0,"&lt;-- defina o número do agrupador",OFFSET(EVENTOS!$D$14,$A37,0)),OFFSET($F$15,$A37,0)))</f>
        <v>PAVIMENTAÇÃO ASFÁLTICA</v>
      </c>
      <c r="O37" s="178"/>
      <c r="Q37" s="178">
        <v>1536</v>
      </c>
      <c r="R37" s="179"/>
      <c r="S37" s="179"/>
      <c r="T37" s="179"/>
      <c r="U37" s="179"/>
      <c r="V37" s="179"/>
      <c r="W37" s="179"/>
      <c r="X37" s="179"/>
      <c r="Y37" s="179"/>
      <c r="Z37" s="180"/>
      <c r="AB37" s="522">
        <f ca="1">IF(AND($D37="Serviço",AB$12&lt;&gt;0,$H37&gt;0,OR(AUTOEVENTO&lt;&gt;"manual",$M37&lt;&gt;1)),
IF(Import.TipoArredondamento&lt;&gt;"TransfereGOV",
ROUND(OFFSET($P37,0,AB$13),15-13*ORÇAMENTO!$AF$7)/$H37*OFFSET(ORÇAMENTO!$X$15,ROW(AB37)-ROW(AB$15),0),
ROUND(ROUND(OFFSET($P37,0,AB$13),15-13*ORÇAMENTO!$AF$7)*OFFSET(ORÇAMENTO!$W$15,ROW(AB37)-ROW(AB$15),0),15-13*ORÇAMENTO!$AF$11)),0)</f>
        <v>0</v>
      </c>
      <c r="AC37" s="523">
        <f ca="1">IF(AND($D37="Serviço",AC$12&lt;&gt;0,$H37&gt;0,OR(AUTOEVENTO&lt;&gt;"manual",$M37&lt;&gt;1)),
IF(Import.TipoArredondamento&lt;&gt;"TransfereGOV",
ROUND(OFFSET($P37,0,AC$13),15-13*ORÇAMENTO!$AF$7)/$H37*OFFSET(ORÇAMENTO!$X$15,ROW(AC37)-ROW(AC$15),0),
ROUND(ROUND(OFFSET($P37,0,AC$13),15-13*ORÇAMENTO!$AF$7)*OFFSET(ORÇAMENTO!$W$15,ROW(AC37)-ROW(AC$15),0),15-13*ORÇAMENTO!$AF$11)),0)</f>
        <v>0</v>
      </c>
      <c r="AD37" s="523">
        <f ca="1">IF(AND($D37="Serviço",AD$12&lt;&gt;0,$H37&gt;0,OR(AUTOEVENTO&lt;&gt;"manual",$M37&lt;&gt;1)),
IF(Import.TipoArredondamento&lt;&gt;"TransfereGOV",
ROUND(OFFSET($P37,0,AD$13),15-13*ORÇAMENTO!$AF$7)/$H37*OFFSET(ORÇAMENTO!$X$15,ROW(AD37)-ROW(AD$15),0),
ROUND(ROUND(OFFSET($P37,0,AD$13),15-13*ORÇAMENTO!$AF$7)*OFFSET(ORÇAMENTO!$W$15,ROW(AD37)-ROW(AD$15),0),15-13*ORÇAMENTO!$AF$11)),0)</f>
        <v>0</v>
      </c>
      <c r="AE37" s="523">
        <f ca="1">IF(AND($D37="Serviço",AE$12&lt;&gt;0,$H37&gt;0,OR(AUTOEVENTO&lt;&gt;"manual",$M37&lt;&gt;1)),
IF(Import.TipoArredondamento&lt;&gt;"TransfereGOV",
ROUND(OFFSET($P37,0,AE$13),15-13*ORÇAMENTO!$AF$7)/$H37*OFFSET(ORÇAMENTO!$X$15,ROW(AE37)-ROW(AE$15),0),
ROUND(ROUND(OFFSET($P37,0,AE$13),15-13*ORÇAMENTO!$AF$7)*OFFSET(ORÇAMENTO!$W$15,ROW(AE37)-ROW(AE$15),0),15-13*ORÇAMENTO!$AF$11)),0)</f>
        <v>0</v>
      </c>
      <c r="AF37" s="523">
        <f ca="1">IF(AND($D37="Serviço",AF$12&lt;&gt;0,$H37&gt;0,OR(AUTOEVENTO&lt;&gt;"manual",$M37&lt;&gt;1)),
IF(Import.TipoArredondamento&lt;&gt;"TransfereGOV",
ROUND(OFFSET($P37,0,AF$13),15-13*ORÇAMENTO!$AF$7)/$H37*OFFSET(ORÇAMENTO!$X$15,ROW(AF37)-ROW(AF$15),0),
ROUND(ROUND(OFFSET($P37,0,AF$13),15-13*ORÇAMENTO!$AF$7)*OFFSET(ORÇAMENTO!$W$15,ROW(AF37)-ROW(AF$15),0),15-13*ORÇAMENTO!$AF$11)),0)</f>
        <v>0</v>
      </c>
      <c r="AG37" s="523">
        <f ca="1">IF(AND($D37="Serviço",AG$12&lt;&gt;0,$H37&gt;0,OR(AUTOEVENTO&lt;&gt;"manual",$M37&lt;&gt;1)),
IF(Import.TipoArredondamento&lt;&gt;"TransfereGOV",
ROUND(OFFSET($P37,0,AG$13),15-13*ORÇAMENTO!$AF$7)/$H37*OFFSET(ORÇAMENTO!$X$15,ROW(AG37)-ROW(AG$15),0),
ROUND(ROUND(OFFSET($P37,0,AG$13),15-13*ORÇAMENTO!$AF$7)*OFFSET(ORÇAMENTO!$W$15,ROW(AG37)-ROW(AG$15),0),15-13*ORÇAMENTO!$AF$11)),0)</f>
        <v>0</v>
      </c>
      <c r="AH37" s="523">
        <f ca="1">IF(AND($D37="Serviço",AH$12&lt;&gt;0,$H37&gt;0,OR(AUTOEVENTO&lt;&gt;"manual",$M37&lt;&gt;1)),
IF(Import.TipoArredondamento&lt;&gt;"TransfereGOV",
ROUND(OFFSET($P37,0,AH$13),15-13*ORÇAMENTO!$AF$7)/$H37*OFFSET(ORÇAMENTO!$X$15,ROW(AH37)-ROW(AH$15),0),
ROUND(ROUND(OFFSET($P37,0,AH$13),15-13*ORÇAMENTO!$AF$7)*OFFSET(ORÇAMENTO!$W$15,ROW(AH37)-ROW(AH$15),0),15-13*ORÇAMENTO!$AF$11)),0)</f>
        <v>0</v>
      </c>
      <c r="AI37" s="523">
        <f ca="1">IF(AND($D37="Serviço",AI$12&lt;&gt;0,$H37&gt;0,OR(AUTOEVENTO&lt;&gt;"manual",$M37&lt;&gt;1)),
IF(Import.TipoArredondamento&lt;&gt;"TransfereGOV",
ROUND(OFFSET($P37,0,AI$13),15-13*ORÇAMENTO!$AF$7)/$H37*OFFSET(ORÇAMENTO!$X$15,ROW(AI37)-ROW(AI$15),0),
ROUND(ROUND(OFFSET($P37,0,AI$13),15-13*ORÇAMENTO!$AF$7)*OFFSET(ORÇAMENTO!$W$15,ROW(AI37)-ROW(AI$15),0),15-13*ORÇAMENTO!$AF$11)),0)</f>
        <v>0</v>
      </c>
      <c r="AJ37" s="523">
        <f ca="1">IF(AND($D37="Serviço",AJ$12&lt;&gt;0,$H37&gt;0,OR(AUTOEVENTO&lt;&gt;"manual",$M37&lt;&gt;1)),
IF(Import.TipoArredondamento&lt;&gt;"TransfereGOV",
ROUND(OFFSET($P37,0,AJ$13),15-13*ORÇAMENTO!$AF$7)/$H37*OFFSET(ORÇAMENTO!$X$15,ROW(AJ37)-ROW(AJ$15),0),
ROUND(ROUND(OFFSET($P37,0,AJ$13),15-13*ORÇAMENTO!$AF$7)*OFFSET(ORÇAMENTO!$W$15,ROW(AJ37)-ROW(AJ$15),0),15-13*ORÇAMENTO!$AF$11)),0)</f>
        <v>0</v>
      </c>
      <c r="AK37" s="524">
        <f ca="1">IF(AND($D37="Serviço",AK$12&lt;&gt;0,$H37&gt;0,OR(AUTOEVENTO&lt;&gt;"manual",$M37&lt;&gt;1)),
IF(Import.TipoArredondamento&lt;&gt;"TransfereGOV",
ROUND(OFFSET($P37,0,AK$13),15-13*ORÇAMENTO!$AF$7)/$H37*OFFSET(ORÇAMENTO!$X$15,ROW(AK37)-ROW(AK$15),0),
ROUND(ROUND(OFFSET($P37,0,AK$13),15-13*ORÇAMENTO!$AF$7)*OFFSET(ORÇAMENTO!$W$15,ROW(AK37)-ROW(AK$15),0),15-13*ORÇAMENTO!$AF$11)),0)</f>
        <v>0</v>
      </c>
      <c r="AM37" s="181">
        <f ca="1">IF($D37&lt;&gt;"Serviço",0,IF(AND(AUTOEVENTO="Manual",$M37=1),0,IF(OFFSET(CRONOPLE!$F$14,$M37,AM$13)="",10^12,OFFSET(CRONOPLE!$F$14,$M37,AM$13))))</f>
        <v>1</v>
      </c>
      <c r="AN37" s="181">
        <f ca="1">IF($D37&lt;&gt;"Serviço",0,IF(AND(AUTOEVENTO="Manual",$M37=1),0,IF(OFFSET(CRONOPLE!$F$14,$M37,AN$13)="",10^12,OFFSET(CRONOPLE!$F$14,$M37,AN$13))))</f>
        <v>2</v>
      </c>
      <c r="AO37" s="181">
        <f ca="1">IF($D37&lt;&gt;"Serviço",0,IF(AND(AUTOEVENTO="Manual",$M37=1),0,IF(OFFSET(CRONOPLE!$F$14,$M37,AO$13)="",10^12,OFFSET(CRONOPLE!$F$14,$M37,AO$13))))</f>
        <v>1000000000000</v>
      </c>
      <c r="AP37" s="181">
        <f ca="1">IF($D37&lt;&gt;"Serviço",0,IF(AND(AUTOEVENTO="Manual",$M37=1),0,IF(OFFSET(CRONOPLE!$F$14,$M37,AP$13)="",10^12,OFFSET(CRONOPLE!$F$14,$M37,AP$13))))</f>
        <v>1000000000000</v>
      </c>
      <c r="AQ37" s="181">
        <f ca="1">IF($D37&lt;&gt;"Serviço",0,IF(AND(AUTOEVENTO="Manual",$M37=1),0,IF(OFFSET(CRONOPLE!$F$14,$M37,AQ$13)="",10^12,OFFSET(CRONOPLE!$F$14,$M37,AQ$13))))</f>
        <v>1000000000000</v>
      </c>
      <c r="AR37" s="181">
        <f ca="1">IF($D37&lt;&gt;"Serviço",0,IF(AND(AUTOEVENTO="Manual",$M37=1),0,IF(OFFSET(CRONOPLE!$F$14,$M37,AR$13)="",10^12,OFFSET(CRONOPLE!$F$14,$M37,AR$13))))</f>
        <v>1000000000000</v>
      </c>
      <c r="AS37" s="181">
        <f ca="1">IF($D37&lt;&gt;"Serviço",0,IF(AND(AUTOEVENTO="Manual",$M37=1),0,IF(OFFSET(CRONOPLE!$F$14,$M37,AS$13)="",10^12,OFFSET(CRONOPLE!$F$14,$M37,AS$13))))</f>
        <v>1000000000000</v>
      </c>
      <c r="AT37" s="181">
        <f ca="1">IF($D37&lt;&gt;"Serviço",0,IF(AND(AUTOEVENTO="Manual",$M37=1),0,IF(OFFSET(CRONOPLE!$F$14,$M37,AT$13)="",10^12,OFFSET(CRONOPLE!$F$14,$M37,AT$13))))</f>
        <v>1000000000000</v>
      </c>
      <c r="AU37" s="181">
        <f ca="1">IF($D37&lt;&gt;"Serviço",0,IF(AND(AUTOEVENTO="Manual",$M37=1),0,IF(OFFSET(CRONOPLE!$F$14,$M37,AU$13)="",10^12,OFFSET(CRONOPLE!$F$14,$M37,AU$13))))</f>
        <v>1000000000000</v>
      </c>
      <c r="AV37" s="181">
        <f ca="1">IF($D37&lt;&gt;"Serviço",0,IF(AND(AUTOEVENTO="Manual",$M37=1),0,IF(OFFSET(CRONOPLE!$F$14,$M37,AV$13)="",10^12,OFFSET(CRONOPLE!$F$14,$M37,AV$13))))</f>
        <v>1000000000000</v>
      </c>
      <c r="AX37" s="182">
        <f ca="1">IF($D37&lt;&gt;"Serviço",0,IF(OR(AND(AUTOEVENTO="Manual",$M37=1),$M37&gt;(ROW(PLE.lastrow)-ROW(PLE.firstrow))),0,IF(OFFSET(PLE!$G$14,$M37,AX$13)="",10^12,OFFSET(PLE!$G$14,$M37,AX$13))))</f>
        <v>1000000000000</v>
      </c>
      <c r="AY37" s="182">
        <f ca="1">IF($D37&lt;&gt;"Serviço",0,IF(OR(AND(AUTOEVENTO="Manual",$M37=1),$M37&gt;(ROW(PLE.lastrow)-ROW(PLE.firstrow))),0,IF(OFFSET(PLE!$G$14,$M37,AY$13)="",10^12,OFFSET(PLE!$G$14,$M37,AY$13))))</f>
        <v>1000000000000</v>
      </c>
      <c r="AZ37" s="182">
        <f ca="1">IF($D37&lt;&gt;"Serviço",0,IF(OR(AND(AUTOEVENTO="Manual",$M37=1),$M37&gt;(ROW(PLE.lastrow)-ROW(PLE.firstrow))),0,IF(OFFSET(PLE!$G$14,$M37,AZ$13)="",10^12,OFFSET(PLE!$G$14,$M37,AZ$13))))</f>
        <v>1000000000000</v>
      </c>
      <c r="BA37" s="182">
        <f ca="1">IF($D37&lt;&gt;"Serviço",0,IF(OR(AND(AUTOEVENTO="Manual",$M37=1),$M37&gt;(ROW(PLE.lastrow)-ROW(PLE.firstrow))),0,IF(OFFSET(PLE!$G$14,$M37,BA$13)="",10^12,OFFSET(PLE!$G$14,$M37,BA$13))))</f>
        <v>1000000000000</v>
      </c>
      <c r="BB37" s="182">
        <f ca="1">IF($D37&lt;&gt;"Serviço",0,IF(OR(AND(AUTOEVENTO="Manual",$M37=1),$M37&gt;(ROW(PLE.lastrow)-ROW(PLE.firstrow))),0,IF(OFFSET(PLE!$G$14,$M37,BB$13)="",10^12,OFFSET(PLE!$G$14,$M37,BB$13))))</f>
        <v>1000000000000</v>
      </c>
      <c r="BC37" s="182">
        <f ca="1">IF($D37&lt;&gt;"Serviço",0,IF(OR(AND(AUTOEVENTO="Manual",$M37=1),$M37&gt;(ROW(PLE.lastrow)-ROW(PLE.firstrow))),0,IF(OFFSET(PLE!$G$14,$M37,BC$13)="",10^12,OFFSET(PLE!$G$14,$M37,BC$13))))</f>
        <v>1000000000000</v>
      </c>
      <c r="BD37" s="182">
        <f ca="1">IF($D37&lt;&gt;"Serviço",0,IF(OR(AND(AUTOEVENTO="Manual",$M37=1),$M37&gt;(ROW(PLE.lastrow)-ROW(PLE.firstrow))),0,IF(OFFSET(PLE!$G$14,$M37,BD$13)="",10^12,OFFSET(PLE!$G$14,$M37,BD$13))))</f>
        <v>1000000000000</v>
      </c>
      <c r="BE37" s="182">
        <f ca="1">IF($D37&lt;&gt;"Serviço",0,IF(OR(AND(AUTOEVENTO="Manual",$M37=1),$M37&gt;(ROW(PLE.lastrow)-ROW(PLE.firstrow))),0,IF(OFFSET(PLE!$G$14,$M37,BE$13)="",10^12,OFFSET(PLE!$G$14,$M37,BE$13))))</f>
        <v>1000000000000</v>
      </c>
      <c r="BF37" s="182">
        <f ca="1">IF($D37&lt;&gt;"Serviço",0,IF(OR(AND(AUTOEVENTO="Manual",$M37=1),$M37&gt;(ROW(PLE.lastrow)-ROW(PLE.firstrow))),0,IF(OFFSET(PLE!$G$14,$M37,BF$13)="",10^12,OFFSET(PLE!$G$14,$M37,BF$13))))</f>
        <v>1000000000000</v>
      </c>
      <c r="BG37" s="182">
        <f ca="1">IF($D37&lt;&gt;"Serviço",0,IF(OR(AND(AUTOEVENTO="Manual",$M37=1),$M37&gt;(ROW(PLE.lastrow)-ROW(PLE.firstrow))),0,IF(OFFSET(PLE!$G$14,$M37,BG$13)="",10^12,OFFSET(PLE!$G$14,$M37,BG$13))))</f>
        <v>1000000000000</v>
      </c>
    </row>
    <row r="38" spans="1:59" ht="12.75" x14ac:dyDescent="0.2">
      <c r="A38" s="7" t="str">
        <f ca="1">IF(AUTOEVENTO="Manual",IF(K38&lt;&gt;"",MIN(VALUE(LEFT(K38,FIND(".",K38)-1)),COUNTA(EVENTOS.Lista)),0),IF(OR($B38&gt;AUTOEVENTO,$B38="S",$B38=0),SUBSTITUTE(OFFSET($A38,-1,0),IF($D38="Serviço",".",""),""),ROW(A38)-ROW($A$15)&amp;"."))</f>
        <v>18</v>
      </c>
      <c r="B38" s="7" t="str">
        <f ca="1">OFFSET(ORÇAMENTO!C$15,ROW(B38)-ROW(B$15),0)</f>
        <v>S</v>
      </c>
      <c r="C38" s="7" t="str">
        <f ca="1">OFFSET(ORÇAMENTO!L$15,ROW(C38)-ROW(C$15),0)</f>
        <v/>
      </c>
      <c r="D38" s="118" t="str">
        <f ca="1">OFFSET(ORÇAMENTO!N$15,ROW(D38)-ROW(D$15),0)</f>
        <v>Serviço</v>
      </c>
      <c r="E38" s="119" t="str">
        <f ca="1">OFFSET(ORÇAMENTO!O$15,ROW(E38)-ROW(E$15),0)</f>
        <v>-</v>
      </c>
      <c r="F38" s="172" t="str">
        <f ca="1">OFFSET(ORÇAMENTO!R$15,ROW(F38)-ROW(F$15),0)</f>
        <v>(abra o arquivo 'Referência 05-Friday.xlsm)</v>
      </c>
      <c r="G38" s="173" t="str">
        <f ca="1">IF($D38&lt;&gt;"Serviço","",OFFSET(ORÇAMENTO!S$15,ROW(G38)-ROW(G$15),0))</f>
        <v>-</v>
      </c>
      <c r="H38" s="124">
        <f ca="1">IF($D38&lt;&gt;"Serviço",0,IF(ACOMPANHAMENTO="BM",ROUND(OFFSET(ORÇAMENTO!AJ$15,ROW(H38)-ROW(H$15),0),15-13*ORÇAMENTO!$AF$7),SUMPRODUCT(($Q$12:$AA$12&lt;&gt;"")*ROUND($Q38:$AA38,15-13*ORÇAMENTO!$AF$7))))</f>
        <v>61</v>
      </c>
      <c r="I38" s="539" t="s">
        <v>526</v>
      </c>
      <c r="K38" s="174"/>
      <c r="L38" s="175" t="s">
        <v>254</v>
      </c>
      <c r="M38" s="176">
        <f ca="1">IF($D38&lt;&gt;"Serviço","",IF(AUTOEVENTO="manual",$A38,IF(ISERROR(MATCH($A38,$A$15:OFFSET($A38,-1,0),0)),MAX($M$15:OFFSET(M38,-1,0))+1,INDEX($M$15:OFFSET(M38,-1,0),MATCH($A38,$A$15:OFFSET($A38,-1,0),0)))))</f>
        <v>4</v>
      </c>
      <c r="N38" s="177" t="str">
        <f ca="1">IF($D38&lt;&gt;"Serviço","",IF(AUTOEVENTO="Manual",IF($A38=0,"&lt;-- defina o número do agrupador",OFFSET(EVENTOS!$D$14,$A38,0)),OFFSET($F$15,$A38,0)))</f>
        <v>PAVIMENTAÇÃO ASFÁLTICA</v>
      </c>
      <c r="O38" s="178"/>
      <c r="Q38" s="178">
        <v>61</v>
      </c>
      <c r="R38" s="179"/>
      <c r="S38" s="179"/>
      <c r="T38" s="179"/>
      <c r="U38" s="179"/>
      <c r="V38" s="179"/>
      <c r="W38" s="179"/>
      <c r="X38" s="179"/>
      <c r="Y38" s="179"/>
      <c r="Z38" s="180"/>
      <c r="AB38" s="522">
        <f ca="1">IF(AND($D38="Serviço",AB$12&lt;&gt;0,$H38&gt;0,OR(AUTOEVENTO&lt;&gt;"manual",$M38&lt;&gt;1)),
IF(Import.TipoArredondamento&lt;&gt;"TransfereGOV",
ROUND(OFFSET($P38,0,AB$13),15-13*ORÇAMENTO!$AF$7)/$H38*OFFSET(ORÇAMENTO!$X$15,ROW(AB38)-ROW(AB$15),0),
ROUND(ROUND(OFFSET($P38,0,AB$13),15-13*ORÇAMENTO!$AF$7)*OFFSET(ORÇAMENTO!$W$15,ROW(AB38)-ROW(AB$15),0),15-13*ORÇAMENTO!$AF$11)),0)</f>
        <v>0</v>
      </c>
      <c r="AC38" s="523">
        <f ca="1">IF(AND($D38="Serviço",AC$12&lt;&gt;0,$H38&gt;0,OR(AUTOEVENTO&lt;&gt;"manual",$M38&lt;&gt;1)),
IF(Import.TipoArredondamento&lt;&gt;"TransfereGOV",
ROUND(OFFSET($P38,0,AC$13),15-13*ORÇAMENTO!$AF$7)/$H38*OFFSET(ORÇAMENTO!$X$15,ROW(AC38)-ROW(AC$15),0),
ROUND(ROUND(OFFSET($P38,0,AC$13),15-13*ORÇAMENTO!$AF$7)*OFFSET(ORÇAMENTO!$W$15,ROW(AC38)-ROW(AC$15),0),15-13*ORÇAMENTO!$AF$11)),0)</f>
        <v>0</v>
      </c>
      <c r="AD38" s="523">
        <f ca="1">IF(AND($D38="Serviço",AD$12&lt;&gt;0,$H38&gt;0,OR(AUTOEVENTO&lt;&gt;"manual",$M38&lt;&gt;1)),
IF(Import.TipoArredondamento&lt;&gt;"TransfereGOV",
ROUND(OFFSET($P38,0,AD$13),15-13*ORÇAMENTO!$AF$7)/$H38*OFFSET(ORÇAMENTO!$X$15,ROW(AD38)-ROW(AD$15),0),
ROUND(ROUND(OFFSET($P38,0,AD$13),15-13*ORÇAMENTO!$AF$7)*OFFSET(ORÇAMENTO!$W$15,ROW(AD38)-ROW(AD$15),0),15-13*ORÇAMENTO!$AF$11)),0)</f>
        <v>0</v>
      </c>
      <c r="AE38" s="523">
        <f ca="1">IF(AND($D38="Serviço",AE$12&lt;&gt;0,$H38&gt;0,OR(AUTOEVENTO&lt;&gt;"manual",$M38&lt;&gt;1)),
IF(Import.TipoArredondamento&lt;&gt;"TransfereGOV",
ROUND(OFFSET($P38,0,AE$13),15-13*ORÇAMENTO!$AF$7)/$H38*OFFSET(ORÇAMENTO!$X$15,ROW(AE38)-ROW(AE$15),0),
ROUND(ROUND(OFFSET($P38,0,AE$13),15-13*ORÇAMENTO!$AF$7)*OFFSET(ORÇAMENTO!$W$15,ROW(AE38)-ROW(AE$15),0),15-13*ORÇAMENTO!$AF$11)),0)</f>
        <v>0</v>
      </c>
      <c r="AF38" s="523">
        <f ca="1">IF(AND($D38="Serviço",AF$12&lt;&gt;0,$H38&gt;0,OR(AUTOEVENTO&lt;&gt;"manual",$M38&lt;&gt;1)),
IF(Import.TipoArredondamento&lt;&gt;"TransfereGOV",
ROUND(OFFSET($P38,0,AF$13),15-13*ORÇAMENTO!$AF$7)/$H38*OFFSET(ORÇAMENTO!$X$15,ROW(AF38)-ROW(AF$15),0),
ROUND(ROUND(OFFSET($P38,0,AF$13),15-13*ORÇAMENTO!$AF$7)*OFFSET(ORÇAMENTO!$W$15,ROW(AF38)-ROW(AF$15),0),15-13*ORÇAMENTO!$AF$11)),0)</f>
        <v>0</v>
      </c>
      <c r="AG38" s="523">
        <f ca="1">IF(AND($D38="Serviço",AG$12&lt;&gt;0,$H38&gt;0,OR(AUTOEVENTO&lt;&gt;"manual",$M38&lt;&gt;1)),
IF(Import.TipoArredondamento&lt;&gt;"TransfereGOV",
ROUND(OFFSET($P38,0,AG$13),15-13*ORÇAMENTO!$AF$7)/$H38*OFFSET(ORÇAMENTO!$X$15,ROW(AG38)-ROW(AG$15),0),
ROUND(ROUND(OFFSET($P38,0,AG$13),15-13*ORÇAMENTO!$AF$7)*OFFSET(ORÇAMENTO!$W$15,ROW(AG38)-ROW(AG$15),0),15-13*ORÇAMENTO!$AF$11)),0)</f>
        <v>0</v>
      </c>
      <c r="AH38" s="523">
        <f ca="1">IF(AND($D38="Serviço",AH$12&lt;&gt;0,$H38&gt;0,OR(AUTOEVENTO&lt;&gt;"manual",$M38&lt;&gt;1)),
IF(Import.TipoArredondamento&lt;&gt;"TransfereGOV",
ROUND(OFFSET($P38,0,AH$13),15-13*ORÇAMENTO!$AF$7)/$H38*OFFSET(ORÇAMENTO!$X$15,ROW(AH38)-ROW(AH$15),0),
ROUND(ROUND(OFFSET($P38,0,AH$13),15-13*ORÇAMENTO!$AF$7)*OFFSET(ORÇAMENTO!$W$15,ROW(AH38)-ROW(AH$15),0),15-13*ORÇAMENTO!$AF$11)),0)</f>
        <v>0</v>
      </c>
      <c r="AI38" s="523">
        <f ca="1">IF(AND($D38="Serviço",AI$12&lt;&gt;0,$H38&gt;0,OR(AUTOEVENTO&lt;&gt;"manual",$M38&lt;&gt;1)),
IF(Import.TipoArredondamento&lt;&gt;"TransfereGOV",
ROUND(OFFSET($P38,0,AI$13),15-13*ORÇAMENTO!$AF$7)/$H38*OFFSET(ORÇAMENTO!$X$15,ROW(AI38)-ROW(AI$15),0),
ROUND(ROUND(OFFSET($P38,0,AI$13),15-13*ORÇAMENTO!$AF$7)*OFFSET(ORÇAMENTO!$W$15,ROW(AI38)-ROW(AI$15),0),15-13*ORÇAMENTO!$AF$11)),0)</f>
        <v>0</v>
      </c>
      <c r="AJ38" s="523">
        <f ca="1">IF(AND($D38="Serviço",AJ$12&lt;&gt;0,$H38&gt;0,OR(AUTOEVENTO&lt;&gt;"manual",$M38&lt;&gt;1)),
IF(Import.TipoArredondamento&lt;&gt;"TransfereGOV",
ROUND(OFFSET($P38,0,AJ$13),15-13*ORÇAMENTO!$AF$7)/$H38*OFFSET(ORÇAMENTO!$X$15,ROW(AJ38)-ROW(AJ$15),0),
ROUND(ROUND(OFFSET($P38,0,AJ$13),15-13*ORÇAMENTO!$AF$7)*OFFSET(ORÇAMENTO!$W$15,ROW(AJ38)-ROW(AJ$15),0),15-13*ORÇAMENTO!$AF$11)),0)</f>
        <v>0</v>
      </c>
      <c r="AK38" s="524">
        <f ca="1">IF(AND($D38="Serviço",AK$12&lt;&gt;0,$H38&gt;0,OR(AUTOEVENTO&lt;&gt;"manual",$M38&lt;&gt;1)),
IF(Import.TipoArredondamento&lt;&gt;"TransfereGOV",
ROUND(OFFSET($P38,0,AK$13),15-13*ORÇAMENTO!$AF$7)/$H38*OFFSET(ORÇAMENTO!$X$15,ROW(AK38)-ROW(AK$15),0),
ROUND(ROUND(OFFSET($P38,0,AK$13),15-13*ORÇAMENTO!$AF$7)*OFFSET(ORÇAMENTO!$W$15,ROW(AK38)-ROW(AK$15),0),15-13*ORÇAMENTO!$AF$11)),0)</f>
        <v>0</v>
      </c>
      <c r="AM38" s="181">
        <f ca="1">IF($D38&lt;&gt;"Serviço",0,IF(AND(AUTOEVENTO="Manual",$M38=1),0,IF(OFFSET(CRONOPLE!$F$14,$M38,AM$13)="",10^12,OFFSET(CRONOPLE!$F$14,$M38,AM$13))))</f>
        <v>1</v>
      </c>
      <c r="AN38" s="181">
        <f ca="1">IF($D38&lt;&gt;"Serviço",0,IF(AND(AUTOEVENTO="Manual",$M38=1),0,IF(OFFSET(CRONOPLE!$F$14,$M38,AN$13)="",10^12,OFFSET(CRONOPLE!$F$14,$M38,AN$13))))</f>
        <v>2</v>
      </c>
      <c r="AO38" s="181">
        <f ca="1">IF($D38&lt;&gt;"Serviço",0,IF(AND(AUTOEVENTO="Manual",$M38=1),0,IF(OFFSET(CRONOPLE!$F$14,$M38,AO$13)="",10^12,OFFSET(CRONOPLE!$F$14,$M38,AO$13))))</f>
        <v>1000000000000</v>
      </c>
      <c r="AP38" s="181">
        <f ca="1">IF($D38&lt;&gt;"Serviço",0,IF(AND(AUTOEVENTO="Manual",$M38=1),0,IF(OFFSET(CRONOPLE!$F$14,$M38,AP$13)="",10^12,OFFSET(CRONOPLE!$F$14,$M38,AP$13))))</f>
        <v>1000000000000</v>
      </c>
      <c r="AQ38" s="181">
        <f ca="1">IF($D38&lt;&gt;"Serviço",0,IF(AND(AUTOEVENTO="Manual",$M38=1),0,IF(OFFSET(CRONOPLE!$F$14,$M38,AQ$13)="",10^12,OFFSET(CRONOPLE!$F$14,$M38,AQ$13))))</f>
        <v>1000000000000</v>
      </c>
      <c r="AR38" s="181">
        <f ca="1">IF($D38&lt;&gt;"Serviço",0,IF(AND(AUTOEVENTO="Manual",$M38=1),0,IF(OFFSET(CRONOPLE!$F$14,$M38,AR$13)="",10^12,OFFSET(CRONOPLE!$F$14,$M38,AR$13))))</f>
        <v>1000000000000</v>
      </c>
      <c r="AS38" s="181">
        <f ca="1">IF($D38&lt;&gt;"Serviço",0,IF(AND(AUTOEVENTO="Manual",$M38=1),0,IF(OFFSET(CRONOPLE!$F$14,$M38,AS$13)="",10^12,OFFSET(CRONOPLE!$F$14,$M38,AS$13))))</f>
        <v>1000000000000</v>
      </c>
      <c r="AT38" s="181">
        <f ca="1">IF($D38&lt;&gt;"Serviço",0,IF(AND(AUTOEVENTO="Manual",$M38=1),0,IF(OFFSET(CRONOPLE!$F$14,$M38,AT$13)="",10^12,OFFSET(CRONOPLE!$F$14,$M38,AT$13))))</f>
        <v>1000000000000</v>
      </c>
      <c r="AU38" s="181">
        <f ca="1">IF($D38&lt;&gt;"Serviço",0,IF(AND(AUTOEVENTO="Manual",$M38=1),0,IF(OFFSET(CRONOPLE!$F$14,$M38,AU$13)="",10^12,OFFSET(CRONOPLE!$F$14,$M38,AU$13))))</f>
        <v>1000000000000</v>
      </c>
      <c r="AV38" s="181">
        <f ca="1">IF($D38&lt;&gt;"Serviço",0,IF(AND(AUTOEVENTO="Manual",$M38=1),0,IF(OFFSET(CRONOPLE!$F$14,$M38,AV$13)="",10^12,OFFSET(CRONOPLE!$F$14,$M38,AV$13))))</f>
        <v>1000000000000</v>
      </c>
      <c r="AX38" s="182">
        <f ca="1">IF($D38&lt;&gt;"Serviço",0,IF(OR(AND(AUTOEVENTO="Manual",$M38=1),$M38&gt;(ROW(PLE.lastrow)-ROW(PLE.firstrow))),0,IF(OFFSET(PLE!$G$14,$M38,AX$13)="",10^12,OFFSET(PLE!$G$14,$M38,AX$13))))</f>
        <v>1000000000000</v>
      </c>
      <c r="AY38" s="182">
        <f ca="1">IF($D38&lt;&gt;"Serviço",0,IF(OR(AND(AUTOEVENTO="Manual",$M38=1),$M38&gt;(ROW(PLE.lastrow)-ROW(PLE.firstrow))),0,IF(OFFSET(PLE!$G$14,$M38,AY$13)="",10^12,OFFSET(PLE!$G$14,$M38,AY$13))))</f>
        <v>1000000000000</v>
      </c>
      <c r="AZ38" s="182">
        <f ca="1">IF($D38&lt;&gt;"Serviço",0,IF(OR(AND(AUTOEVENTO="Manual",$M38=1),$M38&gt;(ROW(PLE.lastrow)-ROW(PLE.firstrow))),0,IF(OFFSET(PLE!$G$14,$M38,AZ$13)="",10^12,OFFSET(PLE!$G$14,$M38,AZ$13))))</f>
        <v>1000000000000</v>
      </c>
      <c r="BA38" s="182">
        <f ca="1">IF($D38&lt;&gt;"Serviço",0,IF(OR(AND(AUTOEVENTO="Manual",$M38=1),$M38&gt;(ROW(PLE.lastrow)-ROW(PLE.firstrow))),0,IF(OFFSET(PLE!$G$14,$M38,BA$13)="",10^12,OFFSET(PLE!$G$14,$M38,BA$13))))</f>
        <v>1000000000000</v>
      </c>
      <c r="BB38" s="182">
        <f ca="1">IF($D38&lt;&gt;"Serviço",0,IF(OR(AND(AUTOEVENTO="Manual",$M38=1),$M38&gt;(ROW(PLE.lastrow)-ROW(PLE.firstrow))),0,IF(OFFSET(PLE!$G$14,$M38,BB$13)="",10^12,OFFSET(PLE!$G$14,$M38,BB$13))))</f>
        <v>1000000000000</v>
      </c>
      <c r="BC38" s="182">
        <f ca="1">IF($D38&lt;&gt;"Serviço",0,IF(OR(AND(AUTOEVENTO="Manual",$M38=1),$M38&gt;(ROW(PLE.lastrow)-ROW(PLE.firstrow))),0,IF(OFFSET(PLE!$G$14,$M38,BC$13)="",10^12,OFFSET(PLE!$G$14,$M38,BC$13))))</f>
        <v>1000000000000</v>
      </c>
      <c r="BD38" s="182">
        <f ca="1">IF($D38&lt;&gt;"Serviço",0,IF(OR(AND(AUTOEVENTO="Manual",$M38=1),$M38&gt;(ROW(PLE.lastrow)-ROW(PLE.firstrow))),0,IF(OFFSET(PLE!$G$14,$M38,BD$13)="",10^12,OFFSET(PLE!$G$14,$M38,BD$13))))</f>
        <v>1000000000000</v>
      </c>
      <c r="BE38" s="182">
        <f ca="1">IF($D38&lt;&gt;"Serviço",0,IF(OR(AND(AUTOEVENTO="Manual",$M38=1),$M38&gt;(ROW(PLE.lastrow)-ROW(PLE.firstrow))),0,IF(OFFSET(PLE!$G$14,$M38,BE$13)="",10^12,OFFSET(PLE!$G$14,$M38,BE$13))))</f>
        <v>1000000000000</v>
      </c>
      <c r="BF38" s="182">
        <f ca="1">IF($D38&lt;&gt;"Serviço",0,IF(OR(AND(AUTOEVENTO="Manual",$M38=1),$M38&gt;(ROW(PLE.lastrow)-ROW(PLE.firstrow))),0,IF(OFFSET(PLE!$G$14,$M38,BF$13)="",10^12,OFFSET(PLE!$G$14,$M38,BF$13))))</f>
        <v>1000000000000</v>
      </c>
      <c r="BG38" s="182">
        <f ca="1">IF($D38&lt;&gt;"Serviço",0,IF(OR(AND(AUTOEVENTO="Manual",$M38=1),$M38&gt;(ROW(PLE.lastrow)-ROW(PLE.firstrow))),0,IF(OFFSET(PLE!$G$14,$M38,BG$13)="",10^12,OFFSET(PLE!$G$14,$M38,BG$13))))</f>
        <v>1000000000000</v>
      </c>
    </row>
    <row r="39" spans="1:59" ht="25.5" x14ac:dyDescent="0.2">
      <c r="A39" s="7" t="str">
        <f ca="1">IF(AUTOEVENTO="Manual",IF(K39&lt;&gt;"",MIN(VALUE(LEFT(K39,FIND(".",K39)-1)),COUNTA(EVENTOS.Lista)),0),IF(OR($B39&gt;AUTOEVENTO,$B39="S",$B39=0),SUBSTITUTE(OFFSET($A39,-1,0),IF($D39="Serviço",".",""),""),ROW(A39)-ROW($A$15)&amp;"."))</f>
        <v>18</v>
      </c>
      <c r="B39" s="7" t="str">
        <f ca="1">OFFSET(ORÇAMENTO!C$15,ROW(B39)-ROW(B$15),0)</f>
        <v>S</v>
      </c>
      <c r="C39" s="7" t="str">
        <f ca="1">OFFSET(ORÇAMENTO!L$15,ROW(C39)-ROW(C$15),0)</f>
        <v/>
      </c>
      <c r="D39" s="118" t="str">
        <f ca="1">OFFSET(ORÇAMENTO!N$15,ROW(D39)-ROW(D$15),0)</f>
        <v>Serviço</v>
      </c>
      <c r="E39" s="119" t="str">
        <f ca="1">OFFSET(ORÇAMENTO!O$15,ROW(E39)-ROW(E$15),0)</f>
        <v>-</v>
      </c>
      <c r="F39" s="172" t="str">
        <f ca="1">OFFSET(ORÇAMENTO!R$15,ROW(F39)-ROW(F$15),0)</f>
        <v>(abra o arquivo 'Referência 05-Friday.xlsm)</v>
      </c>
      <c r="G39" s="173" t="str">
        <f ca="1">IF($D39&lt;&gt;"Serviço","",OFFSET(ORÇAMENTO!S$15,ROW(G39)-ROW(G$15),0))</f>
        <v>-</v>
      </c>
      <c r="H39" s="124">
        <f ca="1">IF($D39&lt;&gt;"Serviço",0,IF(ACOMPANHAMENTO="BM",ROUND(OFFSET(ORÇAMENTO!AJ$15,ROW(H39)-ROW(H$15),0),15-13*ORÇAMENTO!$AF$7),SUMPRODUCT(($Q$12:$AA$12&lt;&gt;"")*ROUND($Q39:$AA39,15-13*ORÇAMENTO!$AF$7))))</f>
        <v>73.81</v>
      </c>
      <c r="I39" s="539" t="s">
        <v>534</v>
      </c>
      <c r="K39" s="174"/>
      <c r="L39" s="175" t="s">
        <v>254</v>
      </c>
      <c r="M39" s="176">
        <f ca="1">IF($D39&lt;&gt;"Serviço","",IF(AUTOEVENTO="manual",$A39,IF(ISERROR(MATCH($A39,$A$15:OFFSET($A39,-1,0),0)),MAX($M$15:OFFSET(M39,-1,0))+1,INDEX($M$15:OFFSET(M39,-1,0),MATCH($A39,$A$15:OFFSET($A39,-1,0),0)))))</f>
        <v>4</v>
      </c>
      <c r="N39" s="177" t="str">
        <f ca="1">IF($D39&lt;&gt;"Serviço","",IF(AUTOEVENTO="Manual",IF($A39=0,"&lt;-- defina o número do agrupador",OFFSET(EVENTOS!$D$14,$A39,0)),OFFSET($F$15,$A39,0)))</f>
        <v>PAVIMENTAÇÃO ASFÁLTICA</v>
      </c>
      <c r="O39" s="178"/>
      <c r="Q39" s="178">
        <v>73.81</v>
      </c>
      <c r="R39" s="179"/>
      <c r="S39" s="179"/>
      <c r="T39" s="179"/>
      <c r="U39" s="179"/>
      <c r="V39" s="179"/>
      <c r="W39" s="179"/>
      <c r="X39" s="179"/>
      <c r="Y39" s="179"/>
      <c r="Z39" s="180"/>
      <c r="AB39" s="522">
        <f ca="1">IF(AND($D39="Serviço",AB$12&lt;&gt;0,$H39&gt;0,OR(AUTOEVENTO&lt;&gt;"manual",$M39&lt;&gt;1)),
IF(Import.TipoArredondamento&lt;&gt;"TransfereGOV",
ROUND(OFFSET($P39,0,AB$13),15-13*ORÇAMENTO!$AF$7)/$H39*OFFSET(ORÇAMENTO!$X$15,ROW(AB39)-ROW(AB$15),0),
ROUND(ROUND(OFFSET($P39,0,AB$13),15-13*ORÇAMENTO!$AF$7)*OFFSET(ORÇAMENTO!$W$15,ROW(AB39)-ROW(AB$15),0),15-13*ORÇAMENTO!$AF$11)),0)</f>
        <v>0</v>
      </c>
      <c r="AC39" s="523">
        <f ca="1">IF(AND($D39="Serviço",AC$12&lt;&gt;0,$H39&gt;0,OR(AUTOEVENTO&lt;&gt;"manual",$M39&lt;&gt;1)),
IF(Import.TipoArredondamento&lt;&gt;"TransfereGOV",
ROUND(OFFSET($P39,0,AC$13),15-13*ORÇAMENTO!$AF$7)/$H39*OFFSET(ORÇAMENTO!$X$15,ROW(AC39)-ROW(AC$15),0),
ROUND(ROUND(OFFSET($P39,0,AC$13),15-13*ORÇAMENTO!$AF$7)*OFFSET(ORÇAMENTO!$W$15,ROW(AC39)-ROW(AC$15),0),15-13*ORÇAMENTO!$AF$11)),0)</f>
        <v>0</v>
      </c>
      <c r="AD39" s="523">
        <f ca="1">IF(AND($D39="Serviço",AD$12&lt;&gt;0,$H39&gt;0,OR(AUTOEVENTO&lt;&gt;"manual",$M39&lt;&gt;1)),
IF(Import.TipoArredondamento&lt;&gt;"TransfereGOV",
ROUND(OFFSET($P39,0,AD$13),15-13*ORÇAMENTO!$AF$7)/$H39*OFFSET(ORÇAMENTO!$X$15,ROW(AD39)-ROW(AD$15),0),
ROUND(ROUND(OFFSET($P39,0,AD$13),15-13*ORÇAMENTO!$AF$7)*OFFSET(ORÇAMENTO!$W$15,ROW(AD39)-ROW(AD$15),0),15-13*ORÇAMENTO!$AF$11)),0)</f>
        <v>0</v>
      </c>
      <c r="AE39" s="523">
        <f ca="1">IF(AND($D39="Serviço",AE$12&lt;&gt;0,$H39&gt;0,OR(AUTOEVENTO&lt;&gt;"manual",$M39&lt;&gt;1)),
IF(Import.TipoArredondamento&lt;&gt;"TransfereGOV",
ROUND(OFFSET($P39,0,AE$13),15-13*ORÇAMENTO!$AF$7)/$H39*OFFSET(ORÇAMENTO!$X$15,ROW(AE39)-ROW(AE$15),0),
ROUND(ROUND(OFFSET($P39,0,AE$13),15-13*ORÇAMENTO!$AF$7)*OFFSET(ORÇAMENTO!$W$15,ROW(AE39)-ROW(AE$15),0),15-13*ORÇAMENTO!$AF$11)),0)</f>
        <v>0</v>
      </c>
      <c r="AF39" s="523">
        <f ca="1">IF(AND($D39="Serviço",AF$12&lt;&gt;0,$H39&gt;0,OR(AUTOEVENTO&lt;&gt;"manual",$M39&lt;&gt;1)),
IF(Import.TipoArredondamento&lt;&gt;"TransfereGOV",
ROUND(OFFSET($P39,0,AF$13),15-13*ORÇAMENTO!$AF$7)/$H39*OFFSET(ORÇAMENTO!$X$15,ROW(AF39)-ROW(AF$15),0),
ROUND(ROUND(OFFSET($P39,0,AF$13),15-13*ORÇAMENTO!$AF$7)*OFFSET(ORÇAMENTO!$W$15,ROW(AF39)-ROW(AF$15),0),15-13*ORÇAMENTO!$AF$11)),0)</f>
        <v>0</v>
      </c>
      <c r="AG39" s="523">
        <f ca="1">IF(AND($D39="Serviço",AG$12&lt;&gt;0,$H39&gt;0,OR(AUTOEVENTO&lt;&gt;"manual",$M39&lt;&gt;1)),
IF(Import.TipoArredondamento&lt;&gt;"TransfereGOV",
ROUND(OFFSET($P39,0,AG$13),15-13*ORÇAMENTO!$AF$7)/$H39*OFFSET(ORÇAMENTO!$X$15,ROW(AG39)-ROW(AG$15),0),
ROUND(ROUND(OFFSET($P39,0,AG$13),15-13*ORÇAMENTO!$AF$7)*OFFSET(ORÇAMENTO!$W$15,ROW(AG39)-ROW(AG$15),0),15-13*ORÇAMENTO!$AF$11)),0)</f>
        <v>0</v>
      </c>
      <c r="AH39" s="523">
        <f ca="1">IF(AND($D39="Serviço",AH$12&lt;&gt;0,$H39&gt;0,OR(AUTOEVENTO&lt;&gt;"manual",$M39&lt;&gt;1)),
IF(Import.TipoArredondamento&lt;&gt;"TransfereGOV",
ROUND(OFFSET($P39,0,AH$13),15-13*ORÇAMENTO!$AF$7)/$H39*OFFSET(ORÇAMENTO!$X$15,ROW(AH39)-ROW(AH$15),0),
ROUND(ROUND(OFFSET($P39,0,AH$13),15-13*ORÇAMENTO!$AF$7)*OFFSET(ORÇAMENTO!$W$15,ROW(AH39)-ROW(AH$15),0),15-13*ORÇAMENTO!$AF$11)),0)</f>
        <v>0</v>
      </c>
      <c r="AI39" s="523">
        <f ca="1">IF(AND($D39="Serviço",AI$12&lt;&gt;0,$H39&gt;0,OR(AUTOEVENTO&lt;&gt;"manual",$M39&lt;&gt;1)),
IF(Import.TipoArredondamento&lt;&gt;"TransfereGOV",
ROUND(OFFSET($P39,0,AI$13),15-13*ORÇAMENTO!$AF$7)/$H39*OFFSET(ORÇAMENTO!$X$15,ROW(AI39)-ROW(AI$15),0),
ROUND(ROUND(OFFSET($P39,0,AI$13),15-13*ORÇAMENTO!$AF$7)*OFFSET(ORÇAMENTO!$W$15,ROW(AI39)-ROW(AI$15),0),15-13*ORÇAMENTO!$AF$11)),0)</f>
        <v>0</v>
      </c>
      <c r="AJ39" s="523">
        <f ca="1">IF(AND($D39="Serviço",AJ$12&lt;&gt;0,$H39&gt;0,OR(AUTOEVENTO&lt;&gt;"manual",$M39&lt;&gt;1)),
IF(Import.TipoArredondamento&lt;&gt;"TransfereGOV",
ROUND(OFFSET($P39,0,AJ$13),15-13*ORÇAMENTO!$AF$7)/$H39*OFFSET(ORÇAMENTO!$X$15,ROW(AJ39)-ROW(AJ$15),0),
ROUND(ROUND(OFFSET($P39,0,AJ$13),15-13*ORÇAMENTO!$AF$7)*OFFSET(ORÇAMENTO!$W$15,ROW(AJ39)-ROW(AJ$15),0),15-13*ORÇAMENTO!$AF$11)),0)</f>
        <v>0</v>
      </c>
      <c r="AK39" s="524">
        <f ca="1">IF(AND($D39="Serviço",AK$12&lt;&gt;0,$H39&gt;0,OR(AUTOEVENTO&lt;&gt;"manual",$M39&lt;&gt;1)),
IF(Import.TipoArredondamento&lt;&gt;"TransfereGOV",
ROUND(OFFSET($P39,0,AK$13),15-13*ORÇAMENTO!$AF$7)/$H39*OFFSET(ORÇAMENTO!$X$15,ROW(AK39)-ROW(AK$15),0),
ROUND(ROUND(OFFSET($P39,0,AK$13),15-13*ORÇAMENTO!$AF$7)*OFFSET(ORÇAMENTO!$W$15,ROW(AK39)-ROW(AK$15),0),15-13*ORÇAMENTO!$AF$11)),0)</f>
        <v>0</v>
      </c>
      <c r="AM39" s="181">
        <f ca="1">IF($D39&lt;&gt;"Serviço",0,IF(AND(AUTOEVENTO="Manual",$M39=1),0,IF(OFFSET(CRONOPLE!$F$14,$M39,AM$13)="",10^12,OFFSET(CRONOPLE!$F$14,$M39,AM$13))))</f>
        <v>1</v>
      </c>
      <c r="AN39" s="181">
        <f ca="1">IF($D39&lt;&gt;"Serviço",0,IF(AND(AUTOEVENTO="Manual",$M39=1),0,IF(OFFSET(CRONOPLE!$F$14,$M39,AN$13)="",10^12,OFFSET(CRONOPLE!$F$14,$M39,AN$13))))</f>
        <v>2</v>
      </c>
      <c r="AO39" s="181">
        <f ca="1">IF($D39&lt;&gt;"Serviço",0,IF(AND(AUTOEVENTO="Manual",$M39=1),0,IF(OFFSET(CRONOPLE!$F$14,$M39,AO$13)="",10^12,OFFSET(CRONOPLE!$F$14,$M39,AO$13))))</f>
        <v>1000000000000</v>
      </c>
      <c r="AP39" s="181">
        <f ca="1">IF($D39&lt;&gt;"Serviço",0,IF(AND(AUTOEVENTO="Manual",$M39=1),0,IF(OFFSET(CRONOPLE!$F$14,$M39,AP$13)="",10^12,OFFSET(CRONOPLE!$F$14,$M39,AP$13))))</f>
        <v>1000000000000</v>
      </c>
      <c r="AQ39" s="181">
        <f ca="1">IF($D39&lt;&gt;"Serviço",0,IF(AND(AUTOEVENTO="Manual",$M39=1),0,IF(OFFSET(CRONOPLE!$F$14,$M39,AQ$13)="",10^12,OFFSET(CRONOPLE!$F$14,$M39,AQ$13))))</f>
        <v>1000000000000</v>
      </c>
      <c r="AR39" s="181">
        <f ca="1">IF($D39&lt;&gt;"Serviço",0,IF(AND(AUTOEVENTO="Manual",$M39=1),0,IF(OFFSET(CRONOPLE!$F$14,$M39,AR$13)="",10^12,OFFSET(CRONOPLE!$F$14,$M39,AR$13))))</f>
        <v>1000000000000</v>
      </c>
      <c r="AS39" s="181">
        <f ca="1">IF($D39&lt;&gt;"Serviço",0,IF(AND(AUTOEVENTO="Manual",$M39=1),0,IF(OFFSET(CRONOPLE!$F$14,$M39,AS$13)="",10^12,OFFSET(CRONOPLE!$F$14,$M39,AS$13))))</f>
        <v>1000000000000</v>
      </c>
      <c r="AT39" s="181">
        <f ca="1">IF($D39&lt;&gt;"Serviço",0,IF(AND(AUTOEVENTO="Manual",$M39=1),0,IF(OFFSET(CRONOPLE!$F$14,$M39,AT$13)="",10^12,OFFSET(CRONOPLE!$F$14,$M39,AT$13))))</f>
        <v>1000000000000</v>
      </c>
      <c r="AU39" s="181">
        <f ca="1">IF($D39&lt;&gt;"Serviço",0,IF(AND(AUTOEVENTO="Manual",$M39=1),0,IF(OFFSET(CRONOPLE!$F$14,$M39,AU$13)="",10^12,OFFSET(CRONOPLE!$F$14,$M39,AU$13))))</f>
        <v>1000000000000</v>
      </c>
      <c r="AV39" s="181">
        <f ca="1">IF($D39&lt;&gt;"Serviço",0,IF(AND(AUTOEVENTO="Manual",$M39=1),0,IF(OFFSET(CRONOPLE!$F$14,$M39,AV$13)="",10^12,OFFSET(CRONOPLE!$F$14,$M39,AV$13))))</f>
        <v>1000000000000</v>
      </c>
      <c r="AX39" s="182">
        <f ca="1">IF($D39&lt;&gt;"Serviço",0,IF(OR(AND(AUTOEVENTO="Manual",$M39=1),$M39&gt;(ROW(PLE.lastrow)-ROW(PLE.firstrow))),0,IF(OFFSET(PLE!$G$14,$M39,AX$13)="",10^12,OFFSET(PLE!$G$14,$M39,AX$13))))</f>
        <v>1000000000000</v>
      </c>
      <c r="AY39" s="182">
        <f ca="1">IF($D39&lt;&gt;"Serviço",0,IF(OR(AND(AUTOEVENTO="Manual",$M39=1),$M39&gt;(ROW(PLE.lastrow)-ROW(PLE.firstrow))),0,IF(OFFSET(PLE!$G$14,$M39,AY$13)="",10^12,OFFSET(PLE!$G$14,$M39,AY$13))))</f>
        <v>1000000000000</v>
      </c>
      <c r="AZ39" s="182">
        <f ca="1">IF($D39&lt;&gt;"Serviço",0,IF(OR(AND(AUTOEVENTO="Manual",$M39=1),$M39&gt;(ROW(PLE.lastrow)-ROW(PLE.firstrow))),0,IF(OFFSET(PLE!$G$14,$M39,AZ$13)="",10^12,OFFSET(PLE!$G$14,$M39,AZ$13))))</f>
        <v>1000000000000</v>
      </c>
      <c r="BA39" s="182">
        <f ca="1">IF($D39&lt;&gt;"Serviço",0,IF(OR(AND(AUTOEVENTO="Manual",$M39=1),$M39&gt;(ROW(PLE.lastrow)-ROW(PLE.firstrow))),0,IF(OFFSET(PLE!$G$14,$M39,BA$13)="",10^12,OFFSET(PLE!$G$14,$M39,BA$13))))</f>
        <v>1000000000000</v>
      </c>
      <c r="BB39" s="182">
        <f ca="1">IF($D39&lt;&gt;"Serviço",0,IF(OR(AND(AUTOEVENTO="Manual",$M39=1),$M39&gt;(ROW(PLE.lastrow)-ROW(PLE.firstrow))),0,IF(OFFSET(PLE!$G$14,$M39,BB$13)="",10^12,OFFSET(PLE!$G$14,$M39,BB$13))))</f>
        <v>1000000000000</v>
      </c>
      <c r="BC39" s="182">
        <f ca="1">IF($D39&lt;&gt;"Serviço",0,IF(OR(AND(AUTOEVENTO="Manual",$M39=1),$M39&gt;(ROW(PLE.lastrow)-ROW(PLE.firstrow))),0,IF(OFFSET(PLE!$G$14,$M39,BC$13)="",10^12,OFFSET(PLE!$G$14,$M39,BC$13))))</f>
        <v>1000000000000</v>
      </c>
      <c r="BD39" s="182">
        <f ca="1">IF($D39&lt;&gt;"Serviço",0,IF(OR(AND(AUTOEVENTO="Manual",$M39=1),$M39&gt;(ROW(PLE.lastrow)-ROW(PLE.firstrow))),0,IF(OFFSET(PLE!$G$14,$M39,BD$13)="",10^12,OFFSET(PLE!$G$14,$M39,BD$13))))</f>
        <v>1000000000000</v>
      </c>
      <c r="BE39" s="182">
        <f ca="1">IF($D39&lt;&gt;"Serviço",0,IF(OR(AND(AUTOEVENTO="Manual",$M39=1),$M39&gt;(ROW(PLE.lastrow)-ROW(PLE.firstrow))),0,IF(OFFSET(PLE!$G$14,$M39,BE$13)="",10^12,OFFSET(PLE!$G$14,$M39,BE$13))))</f>
        <v>1000000000000</v>
      </c>
      <c r="BF39" s="182">
        <f ca="1">IF($D39&lt;&gt;"Serviço",0,IF(OR(AND(AUTOEVENTO="Manual",$M39=1),$M39&gt;(ROW(PLE.lastrow)-ROW(PLE.firstrow))),0,IF(OFFSET(PLE!$G$14,$M39,BF$13)="",10^12,OFFSET(PLE!$G$14,$M39,BF$13))))</f>
        <v>1000000000000</v>
      </c>
      <c r="BG39" s="182">
        <f ca="1">IF($D39&lt;&gt;"Serviço",0,IF(OR(AND(AUTOEVENTO="Manual",$M39=1),$M39&gt;(ROW(PLE.lastrow)-ROW(PLE.firstrow))),0,IF(OFFSET(PLE!$G$14,$M39,BG$13)="",10^12,OFFSET(PLE!$G$14,$M39,BG$13))))</f>
        <v>1000000000000</v>
      </c>
    </row>
    <row r="40" spans="1:59" ht="38.25" x14ac:dyDescent="0.2">
      <c r="A40" s="7" t="str">
        <f ca="1">IF(AUTOEVENTO="Manual",IF(K40&lt;&gt;"",MIN(VALUE(LEFT(K40,FIND(".",K40)-1)),COUNTA(EVENTOS.Lista)),0),IF(OR($B40&gt;AUTOEVENTO,$B40="S",$B40=0),SUBSTITUTE(OFFSET($A40,-1,0),IF($D40="Serviço",".",""),""),ROW(A40)-ROW($A$15)&amp;"."))</f>
        <v>18</v>
      </c>
      <c r="B40" s="7" t="str">
        <f ca="1">OFFSET(ORÇAMENTO!C$15,ROW(B40)-ROW(B$15),0)</f>
        <v>S</v>
      </c>
      <c r="C40" s="7" t="str">
        <f ca="1">OFFSET(ORÇAMENTO!L$15,ROW(C40)-ROW(C$15),0)</f>
        <v/>
      </c>
      <c r="D40" s="118" t="str">
        <f ca="1">OFFSET(ORÇAMENTO!N$15,ROW(D40)-ROW(D$15),0)</f>
        <v>Serviço</v>
      </c>
      <c r="E40" s="119" t="str">
        <f ca="1">OFFSET(ORÇAMENTO!O$15,ROW(E40)-ROW(E$15),0)</f>
        <v>-</v>
      </c>
      <c r="F40" s="172" t="str">
        <f ca="1">OFFSET(ORÇAMENTO!R$15,ROW(F40)-ROW(F$15),0)</f>
        <v>(abra o arquivo 'Referência 05-Friday.xlsm)</v>
      </c>
      <c r="G40" s="173" t="str">
        <f ca="1">IF($D40&lt;&gt;"Serviço","",OFFSET(ORÇAMENTO!S$15,ROW(G40)-ROW(G$15),0))</f>
        <v>-</v>
      </c>
      <c r="H40" s="124">
        <f ca="1">IF($D40&lt;&gt;"Serviço",0,IF(ACOMPANHAMENTO="BM",ROUND(OFFSET(ORÇAMENTO!AJ$15,ROW(H40)-ROW(H$15),0),15-13*ORÇAMENTO!$AF$7),SUMPRODUCT(($Q$12:$AA$12&lt;&gt;"")*ROUND($Q40:$AA40,15-13*ORÇAMENTO!$AF$7))))</f>
        <v>107.52</v>
      </c>
      <c r="I40" s="539" t="s">
        <v>527</v>
      </c>
      <c r="K40" s="174"/>
      <c r="L40" s="175" t="s">
        <v>254</v>
      </c>
      <c r="M40" s="176">
        <f ca="1">IF($D40&lt;&gt;"Serviço","",IF(AUTOEVENTO="manual",$A40,IF(ISERROR(MATCH($A40,$A$15:OFFSET($A40,-1,0),0)),MAX($M$15:OFFSET(M40,-1,0))+1,INDEX($M$15:OFFSET(M40,-1,0),MATCH($A40,$A$15:OFFSET($A40,-1,0),0)))))</f>
        <v>4</v>
      </c>
      <c r="N40" s="177" t="str">
        <f ca="1">IF($D40&lt;&gt;"Serviço","",IF(AUTOEVENTO="Manual",IF($A40=0,"&lt;-- defina o número do agrupador",OFFSET(EVENTOS!$D$14,$A40,0)),OFFSET($F$15,$A40,0)))</f>
        <v>PAVIMENTAÇÃO ASFÁLTICA</v>
      </c>
      <c r="O40" s="178"/>
      <c r="Q40" s="178"/>
      <c r="R40" s="179">
        <v>107.52</v>
      </c>
      <c r="S40" s="179"/>
      <c r="T40" s="179"/>
      <c r="U40" s="179"/>
      <c r="V40" s="179"/>
      <c r="W40" s="179"/>
      <c r="X40" s="179"/>
      <c r="Y40" s="179"/>
      <c r="Z40" s="180"/>
      <c r="AB40" s="522">
        <f ca="1">IF(AND($D40="Serviço",AB$12&lt;&gt;0,$H40&gt;0,OR(AUTOEVENTO&lt;&gt;"manual",$M40&lt;&gt;1)),
IF(Import.TipoArredondamento&lt;&gt;"TransfereGOV",
ROUND(OFFSET($P40,0,AB$13),15-13*ORÇAMENTO!$AF$7)/$H40*OFFSET(ORÇAMENTO!$X$15,ROW(AB40)-ROW(AB$15),0),
ROUND(ROUND(OFFSET($P40,0,AB$13),15-13*ORÇAMENTO!$AF$7)*OFFSET(ORÇAMENTO!$W$15,ROW(AB40)-ROW(AB$15),0),15-13*ORÇAMENTO!$AF$11)),0)</f>
        <v>0</v>
      </c>
      <c r="AC40" s="523">
        <f ca="1">IF(AND($D40="Serviço",AC$12&lt;&gt;0,$H40&gt;0,OR(AUTOEVENTO&lt;&gt;"manual",$M40&lt;&gt;1)),
IF(Import.TipoArredondamento&lt;&gt;"TransfereGOV",
ROUND(OFFSET($P40,0,AC$13),15-13*ORÇAMENTO!$AF$7)/$H40*OFFSET(ORÇAMENTO!$X$15,ROW(AC40)-ROW(AC$15),0),
ROUND(ROUND(OFFSET($P40,0,AC$13),15-13*ORÇAMENTO!$AF$7)*OFFSET(ORÇAMENTO!$W$15,ROW(AC40)-ROW(AC$15),0),15-13*ORÇAMENTO!$AF$11)),0)</f>
        <v>0</v>
      </c>
      <c r="AD40" s="523">
        <f ca="1">IF(AND($D40="Serviço",AD$12&lt;&gt;0,$H40&gt;0,OR(AUTOEVENTO&lt;&gt;"manual",$M40&lt;&gt;1)),
IF(Import.TipoArredondamento&lt;&gt;"TransfereGOV",
ROUND(OFFSET($P40,0,AD$13),15-13*ORÇAMENTO!$AF$7)/$H40*OFFSET(ORÇAMENTO!$X$15,ROW(AD40)-ROW(AD$15),0),
ROUND(ROUND(OFFSET($P40,0,AD$13),15-13*ORÇAMENTO!$AF$7)*OFFSET(ORÇAMENTO!$W$15,ROW(AD40)-ROW(AD$15),0),15-13*ORÇAMENTO!$AF$11)),0)</f>
        <v>0</v>
      </c>
      <c r="AE40" s="523">
        <f ca="1">IF(AND($D40="Serviço",AE$12&lt;&gt;0,$H40&gt;0,OR(AUTOEVENTO&lt;&gt;"manual",$M40&lt;&gt;1)),
IF(Import.TipoArredondamento&lt;&gt;"TransfereGOV",
ROUND(OFFSET($P40,0,AE$13),15-13*ORÇAMENTO!$AF$7)/$H40*OFFSET(ORÇAMENTO!$X$15,ROW(AE40)-ROW(AE$15),0),
ROUND(ROUND(OFFSET($P40,0,AE$13),15-13*ORÇAMENTO!$AF$7)*OFFSET(ORÇAMENTO!$W$15,ROW(AE40)-ROW(AE$15),0),15-13*ORÇAMENTO!$AF$11)),0)</f>
        <v>0</v>
      </c>
      <c r="AF40" s="523">
        <f ca="1">IF(AND($D40="Serviço",AF$12&lt;&gt;0,$H40&gt;0,OR(AUTOEVENTO&lt;&gt;"manual",$M40&lt;&gt;1)),
IF(Import.TipoArredondamento&lt;&gt;"TransfereGOV",
ROUND(OFFSET($P40,0,AF$13),15-13*ORÇAMENTO!$AF$7)/$H40*OFFSET(ORÇAMENTO!$X$15,ROW(AF40)-ROW(AF$15),0),
ROUND(ROUND(OFFSET($P40,0,AF$13),15-13*ORÇAMENTO!$AF$7)*OFFSET(ORÇAMENTO!$W$15,ROW(AF40)-ROW(AF$15),0),15-13*ORÇAMENTO!$AF$11)),0)</f>
        <v>0</v>
      </c>
      <c r="AG40" s="523">
        <f ca="1">IF(AND($D40="Serviço",AG$12&lt;&gt;0,$H40&gt;0,OR(AUTOEVENTO&lt;&gt;"manual",$M40&lt;&gt;1)),
IF(Import.TipoArredondamento&lt;&gt;"TransfereGOV",
ROUND(OFFSET($P40,0,AG$13),15-13*ORÇAMENTO!$AF$7)/$H40*OFFSET(ORÇAMENTO!$X$15,ROW(AG40)-ROW(AG$15),0),
ROUND(ROUND(OFFSET($P40,0,AG$13),15-13*ORÇAMENTO!$AF$7)*OFFSET(ORÇAMENTO!$W$15,ROW(AG40)-ROW(AG$15),0),15-13*ORÇAMENTO!$AF$11)),0)</f>
        <v>0</v>
      </c>
      <c r="AH40" s="523">
        <f ca="1">IF(AND($D40="Serviço",AH$12&lt;&gt;0,$H40&gt;0,OR(AUTOEVENTO&lt;&gt;"manual",$M40&lt;&gt;1)),
IF(Import.TipoArredondamento&lt;&gt;"TransfereGOV",
ROUND(OFFSET($P40,0,AH$13),15-13*ORÇAMENTO!$AF$7)/$H40*OFFSET(ORÇAMENTO!$X$15,ROW(AH40)-ROW(AH$15),0),
ROUND(ROUND(OFFSET($P40,0,AH$13),15-13*ORÇAMENTO!$AF$7)*OFFSET(ORÇAMENTO!$W$15,ROW(AH40)-ROW(AH$15),0),15-13*ORÇAMENTO!$AF$11)),0)</f>
        <v>0</v>
      </c>
      <c r="AI40" s="523">
        <f ca="1">IF(AND($D40="Serviço",AI$12&lt;&gt;0,$H40&gt;0,OR(AUTOEVENTO&lt;&gt;"manual",$M40&lt;&gt;1)),
IF(Import.TipoArredondamento&lt;&gt;"TransfereGOV",
ROUND(OFFSET($P40,0,AI$13),15-13*ORÇAMENTO!$AF$7)/$H40*OFFSET(ORÇAMENTO!$X$15,ROW(AI40)-ROW(AI$15),0),
ROUND(ROUND(OFFSET($P40,0,AI$13),15-13*ORÇAMENTO!$AF$7)*OFFSET(ORÇAMENTO!$W$15,ROW(AI40)-ROW(AI$15),0),15-13*ORÇAMENTO!$AF$11)),0)</f>
        <v>0</v>
      </c>
      <c r="AJ40" s="523">
        <f ca="1">IF(AND($D40="Serviço",AJ$12&lt;&gt;0,$H40&gt;0,OR(AUTOEVENTO&lt;&gt;"manual",$M40&lt;&gt;1)),
IF(Import.TipoArredondamento&lt;&gt;"TransfereGOV",
ROUND(OFFSET($P40,0,AJ$13),15-13*ORÇAMENTO!$AF$7)/$H40*OFFSET(ORÇAMENTO!$X$15,ROW(AJ40)-ROW(AJ$15),0),
ROUND(ROUND(OFFSET($P40,0,AJ$13),15-13*ORÇAMENTO!$AF$7)*OFFSET(ORÇAMENTO!$W$15,ROW(AJ40)-ROW(AJ$15),0),15-13*ORÇAMENTO!$AF$11)),0)</f>
        <v>0</v>
      </c>
      <c r="AK40" s="524">
        <f ca="1">IF(AND($D40="Serviço",AK$12&lt;&gt;0,$H40&gt;0,OR(AUTOEVENTO&lt;&gt;"manual",$M40&lt;&gt;1)),
IF(Import.TipoArredondamento&lt;&gt;"TransfereGOV",
ROUND(OFFSET($P40,0,AK$13),15-13*ORÇAMENTO!$AF$7)/$H40*OFFSET(ORÇAMENTO!$X$15,ROW(AK40)-ROW(AK$15),0),
ROUND(ROUND(OFFSET($P40,0,AK$13),15-13*ORÇAMENTO!$AF$7)*OFFSET(ORÇAMENTO!$W$15,ROW(AK40)-ROW(AK$15),0),15-13*ORÇAMENTO!$AF$11)),0)</f>
        <v>0</v>
      </c>
      <c r="AM40" s="181">
        <f ca="1">IF($D40&lt;&gt;"Serviço",0,IF(AND(AUTOEVENTO="Manual",$M40=1),0,IF(OFFSET(CRONOPLE!$F$14,$M40,AM$13)="",10^12,OFFSET(CRONOPLE!$F$14,$M40,AM$13))))</f>
        <v>1</v>
      </c>
      <c r="AN40" s="181">
        <f ca="1">IF($D40&lt;&gt;"Serviço",0,IF(AND(AUTOEVENTO="Manual",$M40=1),0,IF(OFFSET(CRONOPLE!$F$14,$M40,AN$13)="",10^12,OFFSET(CRONOPLE!$F$14,$M40,AN$13))))</f>
        <v>2</v>
      </c>
      <c r="AO40" s="181">
        <f ca="1">IF($D40&lt;&gt;"Serviço",0,IF(AND(AUTOEVENTO="Manual",$M40=1),0,IF(OFFSET(CRONOPLE!$F$14,$M40,AO$13)="",10^12,OFFSET(CRONOPLE!$F$14,$M40,AO$13))))</f>
        <v>1000000000000</v>
      </c>
      <c r="AP40" s="181">
        <f ca="1">IF($D40&lt;&gt;"Serviço",0,IF(AND(AUTOEVENTO="Manual",$M40=1),0,IF(OFFSET(CRONOPLE!$F$14,$M40,AP$13)="",10^12,OFFSET(CRONOPLE!$F$14,$M40,AP$13))))</f>
        <v>1000000000000</v>
      </c>
      <c r="AQ40" s="181">
        <f ca="1">IF($D40&lt;&gt;"Serviço",0,IF(AND(AUTOEVENTO="Manual",$M40=1),0,IF(OFFSET(CRONOPLE!$F$14,$M40,AQ$13)="",10^12,OFFSET(CRONOPLE!$F$14,$M40,AQ$13))))</f>
        <v>1000000000000</v>
      </c>
      <c r="AR40" s="181">
        <f ca="1">IF($D40&lt;&gt;"Serviço",0,IF(AND(AUTOEVENTO="Manual",$M40=1),0,IF(OFFSET(CRONOPLE!$F$14,$M40,AR$13)="",10^12,OFFSET(CRONOPLE!$F$14,$M40,AR$13))))</f>
        <v>1000000000000</v>
      </c>
      <c r="AS40" s="181">
        <f ca="1">IF($D40&lt;&gt;"Serviço",0,IF(AND(AUTOEVENTO="Manual",$M40=1),0,IF(OFFSET(CRONOPLE!$F$14,$M40,AS$13)="",10^12,OFFSET(CRONOPLE!$F$14,$M40,AS$13))))</f>
        <v>1000000000000</v>
      </c>
      <c r="AT40" s="181">
        <f ca="1">IF($D40&lt;&gt;"Serviço",0,IF(AND(AUTOEVENTO="Manual",$M40=1),0,IF(OFFSET(CRONOPLE!$F$14,$M40,AT$13)="",10^12,OFFSET(CRONOPLE!$F$14,$M40,AT$13))))</f>
        <v>1000000000000</v>
      </c>
      <c r="AU40" s="181">
        <f ca="1">IF($D40&lt;&gt;"Serviço",0,IF(AND(AUTOEVENTO="Manual",$M40=1),0,IF(OFFSET(CRONOPLE!$F$14,$M40,AU$13)="",10^12,OFFSET(CRONOPLE!$F$14,$M40,AU$13))))</f>
        <v>1000000000000</v>
      </c>
      <c r="AV40" s="181">
        <f ca="1">IF($D40&lt;&gt;"Serviço",0,IF(AND(AUTOEVENTO="Manual",$M40=1),0,IF(OFFSET(CRONOPLE!$F$14,$M40,AV$13)="",10^12,OFFSET(CRONOPLE!$F$14,$M40,AV$13))))</f>
        <v>1000000000000</v>
      </c>
      <c r="AX40" s="182">
        <f ca="1">IF($D40&lt;&gt;"Serviço",0,IF(OR(AND(AUTOEVENTO="Manual",$M40=1),$M40&gt;(ROW(PLE.lastrow)-ROW(PLE.firstrow))),0,IF(OFFSET(PLE!$G$14,$M40,AX$13)="",10^12,OFFSET(PLE!$G$14,$M40,AX$13))))</f>
        <v>1000000000000</v>
      </c>
      <c r="AY40" s="182">
        <f ca="1">IF($D40&lt;&gt;"Serviço",0,IF(OR(AND(AUTOEVENTO="Manual",$M40=1),$M40&gt;(ROW(PLE.lastrow)-ROW(PLE.firstrow))),0,IF(OFFSET(PLE!$G$14,$M40,AY$13)="",10^12,OFFSET(PLE!$G$14,$M40,AY$13))))</f>
        <v>1000000000000</v>
      </c>
      <c r="AZ40" s="182">
        <f ca="1">IF($D40&lt;&gt;"Serviço",0,IF(OR(AND(AUTOEVENTO="Manual",$M40=1),$M40&gt;(ROW(PLE.lastrow)-ROW(PLE.firstrow))),0,IF(OFFSET(PLE!$G$14,$M40,AZ$13)="",10^12,OFFSET(PLE!$G$14,$M40,AZ$13))))</f>
        <v>1000000000000</v>
      </c>
      <c r="BA40" s="182">
        <f ca="1">IF($D40&lt;&gt;"Serviço",0,IF(OR(AND(AUTOEVENTO="Manual",$M40=1),$M40&gt;(ROW(PLE.lastrow)-ROW(PLE.firstrow))),0,IF(OFFSET(PLE!$G$14,$M40,BA$13)="",10^12,OFFSET(PLE!$G$14,$M40,BA$13))))</f>
        <v>1000000000000</v>
      </c>
      <c r="BB40" s="182">
        <f ca="1">IF($D40&lt;&gt;"Serviço",0,IF(OR(AND(AUTOEVENTO="Manual",$M40=1),$M40&gt;(ROW(PLE.lastrow)-ROW(PLE.firstrow))),0,IF(OFFSET(PLE!$G$14,$M40,BB$13)="",10^12,OFFSET(PLE!$G$14,$M40,BB$13))))</f>
        <v>1000000000000</v>
      </c>
      <c r="BC40" s="182">
        <f ca="1">IF($D40&lt;&gt;"Serviço",0,IF(OR(AND(AUTOEVENTO="Manual",$M40=1),$M40&gt;(ROW(PLE.lastrow)-ROW(PLE.firstrow))),0,IF(OFFSET(PLE!$G$14,$M40,BC$13)="",10^12,OFFSET(PLE!$G$14,$M40,BC$13))))</f>
        <v>1000000000000</v>
      </c>
      <c r="BD40" s="182">
        <f ca="1">IF($D40&lt;&gt;"Serviço",0,IF(OR(AND(AUTOEVENTO="Manual",$M40=1),$M40&gt;(ROW(PLE.lastrow)-ROW(PLE.firstrow))),0,IF(OFFSET(PLE!$G$14,$M40,BD$13)="",10^12,OFFSET(PLE!$G$14,$M40,BD$13))))</f>
        <v>1000000000000</v>
      </c>
      <c r="BE40" s="182">
        <f ca="1">IF($D40&lt;&gt;"Serviço",0,IF(OR(AND(AUTOEVENTO="Manual",$M40=1),$M40&gt;(ROW(PLE.lastrow)-ROW(PLE.firstrow))),0,IF(OFFSET(PLE!$G$14,$M40,BE$13)="",10^12,OFFSET(PLE!$G$14,$M40,BE$13))))</f>
        <v>1000000000000</v>
      </c>
      <c r="BF40" s="182">
        <f ca="1">IF($D40&lt;&gt;"Serviço",0,IF(OR(AND(AUTOEVENTO="Manual",$M40=1),$M40&gt;(ROW(PLE.lastrow)-ROW(PLE.firstrow))),0,IF(OFFSET(PLE!$G$14,$M40,BF$13)="",10^12,OFFSET(PLE!$G$14,$M40,BF$13))))</f>
        <v>1000000000000</v>
      </c>
      <c r="BG40" s="182">
        <f ca="1">IF($D40&lt;&gt;"Serviço",0,IF(OR(AND(AUTOEVENTO="Manual",$M40=1),$M40&gt;(ROW(PLE.lastrow)-ROW(PLE.firstrow))),0,IF(OFFSET(PLE!$G$14,$M40,BG$13)="",10^12,OFFSET(PLE!$G$14,$M40,BG$13))))</f>
        <v>1000000000000</v>
      </c>
    </row>
    <row r="41" spans="1:59" ht="25.5" x14ac:dyDescent="0.2">
      <c r="A41" s="7" t="str">
        <f ca="1">IF(AUTOEVENTO="Manual",IF(K41&lt;&gt;"",MIN(VALUE(LEFT(K41,FIND(".",K41)-1)),COUNTA(EVENTOS.Lista)),0),IF(OR($B41&gt;AUTOEVENTO,$B41="S",$B41=0),SUBSTITUTE(OFFSET($A41,-1,0),IF($D41="Serviço",".",""),""),ROW(A41)-ROW($A$15)&amp;"."))</f>
        <v>18</v>
      </c>
      <c r="B41" s="7" t="str">
        <f ca="1">OFFSET(ORÇAMENTO!C$15,ROW(B41)-ROW(B$15),0)</f>
        <v>S</v>
      </c>
      <c r="C41" s="7" t="str">
        <f ca="1">OFFSET(ORÇAMENTO!L$15,ROW(C41)-ROW(C$15),0)</f>
        <v/>
      </c>
      <c r="D41" s="118" t="str">
        <f ca="1">OFFSET(ORÇAMENTO!N$15,ROW(D41)-ROW(D$15),0)</f>
        <v>Serviço</v>
      </c>
      <c r="E41" s="119" t="str">
        <f ca="1">OFFSET(ORÇAMENTO!O$15,ROW(E41)-ROW(E$15),0)</f>
        <v>-</v>
      </c>
      <c r="F41" s="172" t="str">
        <f ca="1">OFFSET(ORÇAMENTO!R$15,ROW(F41)-ROW(F$15),0)</f>
        <v>(abra o arquivo 'Referência 05-Friday.xlsm)</v>
      </c>
      <c r="G41" s="173" t="str">
        <f ca="1">IF($D41&lt;&gt;"Serviço","",OFFSET(ORÇAMENTO!S$15,ROW(G41)-ROW(G$15),0))</f>
        <v>-</v>
      </c>
      <c r="H41" s="124">
        <f ca="1">IF($D41&lt;&gt;"Serviço",0,IF(ACOMPANHAMENTO="BM",ROUND(OFFSET(ORÇAMENTO!AJ$15,ROW(H41)-ROW(H$15),0),15-13*ORÇAMENTO!$AF$7),SUMPRODUCT(($Q$12:$AA$12&lt;&gt;"")*ROUND($Q41:$AA41,15-13*ORÇAMENTO!$AF$7))))</f>
        <v>3072</v>
      </c>
      <c r="I41" s="539" t="s">
        <v>528</v>
      </c>
      <c r="K41" s="174"/>
      <c r="L41" s="175" t="s">
        <v>254</v>
      </c>
      <c r="M41" s="176">
        <f ca="1">IF($D41&lt;&gt;"Serviço","",IF(AUTOEVENTO="manual",$A41,IF(ISERROR(MATCH($A41,$A$15:OFFSET($A41,-1,0),0)),MAX($M$15:OFFSET(M41,-1,0))+1,INDEX($M$15:OFFSET(M41,-1,0),MATCH($A41,$A$15:OFFSET($A41,-1,0),0)))))</f>
        <v>4</v>
      </c>
      <c r="N41" s="177" t="str">
        <f ca="1">IF($D41&lt;&gt;"Serviço","",IF(AUTOEVENTO="Manual",IF($A41=0,"&lt;-- defina o número do agrupador",OFFSET(EVENTOS!$D$14,$A41,0)),OFFSET($F$15,$A41,0)))</f>
        <v>PAVIMENTAÇÃO ASFÁLTICA</v>
      </c>
      <c r="O41" s="178"/>
      <c r="Q41" s="178"/>
      <c r="R41" s="179">
        <v>3072</v>
      </c>
      <c r="S41" s="179"/>
      <c r="T41" s="179"/>
      <c r="U41" s="179"/>
      <c r="V41" s="179"/>
      <c r="W41" s="179"/>
      <c r="X41" s="179"/>
      <c r="Y41" s="179"/>
      <c r="Z41" s="180"/>
      <c r="AB41" s="522">
        <f ca="1">IF(AND($D41="Serviço",AB$12&lt;&gt;0,$H41&gt;0,OR(AUTOEVENTO&lt;&gt;"manual",$M41&lt;&gt;1)),
IF(Import.TipoArredondamento&lt;&gt;"TransfereGOV",
ROUND(OFFSET($P41,0,AB$13),15-13*ORÇAMENTO!$AF$7)/$H41*OFFSET(ORÇAMENTO!$X$15,ROW(AB41)-ROW(AB$15),0),
ROUND(ROUND(OFFSET($P41,0,AB$13),15-13*ORÇAMENTO!$AF$7)*OFFSET(ORÇAMENTO!$W$15,ROW(AB41)-ROW(AB$15),0),15-13*ORÇAMENTO!$AF$11)),0)</f>
        <v>0</v>
      </c>
      <c r="AC41" s="523">
        <f ca="1">IF(AND($D41="Serviço",AC$12&lt;&gt;0,$H41&gt;0,OR(AUTOEVENTO&lt;&gt;"manual",$M41&lt;&gt;1)),
IF(Import.TipoArredondamento&lt;&gt;"TransfereGOV",
ROUND(OFFSET($P41,0,AC$13),15-13*ORÇAMENTO!$AF$7)/$H41*OFFSET(ORÇAMENTO!$X$15,ROW(AC41)-ROW(AC$15),0),
ROUND(ROUND(OFFSET($P41,0,AC$13),15-13*ORÇAMENTO!$AF$7)*OFFSET(ORÇAMENTO!$W$15,ROW(AC41)-ROW(AC$15),0),15-13*ORÇAMENTO!$AF$11)),0)</f>
        <v>0</v>
      </c>
      <c r="AD41" s="523">
        <f ca="1">IF(AND($D41="Serviço",AD$12&lt;&gt;0,$H41&gt;0,OR(AUTOEVENTO&lt;&gt;"manual",$M41&lt;&gt;1)),
IF(Import.TipoArredondamento&lt;&gt;"TransfereGOV",
ROUND(OFFSET($P41,0,AD$13),15-13*ORÇAMENTO!$AF$7)/$H41*OFFSET(ORÇAMENTO!$X$15,ROW(AD41)-ROW(AD$15),0),
ROUND(ROUND(OFFSET($P41,0,AD$13),15-13*ORÇAMENTO!$AF$7)*OFFSET(ORÇAMENTO!$W$15,ROW(AD41)-ROW(AD$15),0),15-13*ORÇAMENTO!$AF$11)),0)</f>
        <v>0</v>
      </c>
      <c r="AE41" s="523">
        <f ca="1">IF(AND($D41="Serviço",AE$12&lt;&gt;0,$H41&gt;0,OR(AUTOEVENTO&lt;&gt;"manual",$M41&lt;&gt;1)),
IF(Import.TipoArredondamento&lt;&gt;"TransfereGOV",
ROUND(OFFSET($P41,0,AE$13),15-13*ORÇAMENTO!$AF$7)/$H41*OFFSET(ORÇAMENTO!$X$15,ROW(AE41)-ROW(AE$15),0),
ROUND(ROUND(OFFSET($P41,0,AE$13),15-13*ORÇAMENTO!$AF$7)*OFFSET(ORÇAMENTO!$W$15,ROW(AE41)-ROW(AE$15),0),15-13*ORÇAMENTO!$AF$11)),0)</f>
        <v>0</v>
      </c>
      <c r="AF41" s="523">
        <f ca="1">IF(AND($D41="Serviço",AF$12&lt;&gt;0,$H41&gt;0,OR(AUTOEVENTO&lt;&gt;"manual",$M41&lt;&gt;1)),
IF(Import.TipoArredondamento&lt;&gt;"TransfereGOV",
ROUND(OFFSET($P41,0,AF$13),15-13*ORÇAMENTO!$AF$7)/$H41*OFFSET(ORÇAMENTO!$X$15,ROW(AF41)-ROW(AF$15),0),
ROUND(ROUND(OFFSET($P41,0,AF$13),15-13*ORÇAMENTO!$AF$7)*OFFSET(ORÇAMENTO!$W$15,ROW(AF41)-ROW(AF$15),0),15-13*ORÇAMENTO!$AF$11)),0)</f>
        <v>0</v>
      </c>
      <c r="AG41" s="523">
        <f ca="1">IF(AND($D41="Serviço",AG$12&lt;&gt;0,$H41&gt;0,OR(AUTOEVENTO&lt;&gt;"manual",$M41&lt;&gt;1)),
IF(Import.TipoArredondamento&lt;&gt;"TransfereGOV",
ROUND(OFFSET($P41,0,AG$13),15-13*ORÇAMENTO!$AF$7)/$H41*OFFSET(ORÇAMENTO!$X$15,ROW(AG41)-ROW(AG$15),0),
ROUND(ROUND(OFFSET($P41,0,AG$13),15-13*ORÇAMENTO!$AF$7)*OFFSET(ORÇAMENTO!$W$15,ROW(AG41)-ROW(AG$15),0),15-13*ORÇAMENTO!$AF$11)),0)</f>
        <v>0</v>
      </c>
      <c r="AH41" s="523">
        <f ca="1">IF(AND($D41="Serviço",AH$12&lt;&gt;0,$H41&gt;0,OR(AUTOEVENTO&lt;&gt;"manual",$M41&lt;&gt;1)),
IF(Import.TipoArredondamento&lt;&gt;"TransfereGOV",
ROUND(OFFSET($P41,0,AH$13),15-13*ORÇAMENTO!$AF$7)/$H41*OFFSET(ORÇAMENTO!$X$15,ROW(AH41)-ROW(AH$15),0),
ROUND(ROUND(OFFSET($P41,0,AH$13),15-13*ORÇAMENTO!$AF$7)*OFFSET(ORÇAMENTO!$W$15,ROW(AH41)-ROW(AH$15),0),15-13*ORÇAMENTO!$AF$11)),0)</f>
        <v>0</v>
      </c>
      <c r="AI41" s="523">
        <f ca="1">IF(AND($D41="Serviço",AI$12&lt;&gt;0,$H41&gt;0,OR(AUTOEVENTO&lt;&gt;"manual",$M41&lt;&gt;1)),
IF(Import.TipoArredondamento&lt;&gt;"TransfereGOV",
ROUND(OFFSET($P41,0,AI$13),15-13*ORÇAMENTO!$AF$7)/$H41*OFFSET(ORÇAMENTO!$X$15,ROW(AI41)-ROW(AI$15),0),
ROUND(ROUND(OFFSET($P41,0,AI$13),15-13*ORÇAMENTO!$AF$7)*OFFSET(ORÇAMENTO!$W$15,ROW(AI41)-ROW(AI$15),0),15-13*ORÇAMENTO!$AF$11)),0)</f>
        <v>0</v>
      </c>
      <c r="AJ41" s="523">
        <f ca="1">IF(AND($D41="Serviço",AJ$12&lt;&gt;0,$H41&gt;0,OR(AUTOEVENTO&lt;&gt;"manual",$M41&lt;&gt;1)),
IF(Import.TipoArredondamento&lt;&gt;"TransfereGOV",
ROUND(OFFSET($P41,0,AJ$13),15-13*ORÇAMENTO!$AF$7)/$H41*OFFSET(ORÇAMENTO!$X$15,ROW(AJ41)-ROW(AJ$15),0),
ROUND(ROUND(OFFSET($P41,0,AJ$13),15-13*ORÇAMENTO!$AF$7)*OFFSET(ORÇAMENTO!$W$15,ROW(AJ41)-ROW(AJ$15),0),15-13*ORÇAMENTO!$AF$11)),0)</f>
        <v>0</v>
      </c>
      <c r="AK41" s="524">
        <f ca="1">IF(AND($D41="Serviço",AK$12&lt;&gt;0,$H41&gt;0,OR(AUTOEVENTO&lt;&gt;"manual",$M41&lt;&gt;1)),
IF(Import.TipoArredondamento&lt;&gt;"TransfereGOV",
ROUND(OFFSET($P41,0,AK$13),15-13*ORÇAMENTO!$AF$7)/$H41*OFFSET(ORÇAMENTO!$X$15,ROW(AK41)-ROW(AK$15),0),
ROUND(ROUND(OFFSET($P41,0,AK$13),15-13*ORÇAMENTO!$AF$7)*OFFSET(ORÇAMENTO!$W$15,ROW(AK41)-ROW(AK$15),0),15-13*ORÇAMENTO!$AF$11)),0)</f>
        <v>0</v>
      </c>
      <c r="AM41" s="181">
        <f ca="1">IF($D41&lt;&gt;"Serviço",0,IF(AND(AUTOEVENTO="Manual",$M41=1),0,IF(OFFSET(CRONOPLE!$F$14,$M41,AM$13)="",10^12,OFFSET(CRONOPLE!$F$14,$M41,AM$13))))</f>
        <v>1</v>
      </c>
      <c r="AN41" s="181">
        <f ca="1">IF($D41&lt;&gt;"Serviço",0,IF(AND(AUTOEVENTO="Manual",$M41=1),0,IF(OFFSET(CRONOPLE!$F$14,$M41,AN$13)="",10^12,OFFSET(CRONOPLE!$F$14,$M41,AN$13))))</f>
        <v>2</v>
      </c>
      <c r="AO41" s="181">
        <f ca="1">IF($D41&lt;&gt;"Serviço",0,IF(AND(AUTOEVENTO="Manual",$M41=1),0,IF(OFFSET(CRONOPLE!$F$14,$M41,AO$13)="",10^12,OFFSET(CRONOPLE!$F$14,$M41,AO$13))))</f>
        <v>1000000000000</v>
      </c>
      <c r="AP41" s="181">
        <f ca="1">IF($D41&lt;&gt;"Serviço",0,IF(AND(AUTOEVENTO="Manual",$M41=1),0,IF(OFFSET(CRONOPLE!$F$14,$M41,AP$13)="",10^12,OFFSET(CRONOPLE!$F$14,$M41,AP$13))))</f>
        <v>1000000000000</v>
      </c>
      <c r="AQ41" s="181">
        <f ca="1">IF($D41&lt;&gt;"Serviço",0,IF(AND(AUTOEVENTO="Manual",$M41=1),0,IF(OFFSET(CRONOPLE!$F$14,$M41,AQ$13)="",10^12,OFFSET(CRONOPLE!$F$14,$M41,AQ$13))))</f>
        <v>1000000000000</v>
      </c>
      <c r="AR41" s="181">
        <f ca="1">IF($D41&lt;&gt;"Serviço",0,IF(AND(AUTOEVENTO="Manual",$M41=1),0,IF(OFFSET(CRONOPLE!$F$14,$M41,AR$13)="",10^12,OFFSET(CRONOPLE!$F$14,$M41,AR$13))))</f>
        <v>1000000000000</v>
      </c>
      <c r="AS41" s="181">
        <f ca="1">IF($D41&lt;&gt;"Serviço",0,IF(AND(AUTOEVENTO="Manual",$M41=1),0,IF(OFFSET(CRONOPLE!$F$14,$M41,AS$13)="",10^12,OFFSET(CRONOPLE!$F$14,$M41,AS$13))))</f>
        <v>1000000000000</v>
      </c>
      <c r="AT41" s="181">
        <f ca="1">IF($D41&lt;&gt;"Serviço",0,IF(AND(AUTOEVENTO="Manual",$M41=1),0,IF(OFFSET(CRONOPLE!$F$14,$M41,AT$13)="",10^12,OFFSET(CRONOPLE!$F$14,$M41,AT$13))))</f>
        <v>1000000000000</v>
      </c>
      <c r="AU41" s="181">
        <f ca="1">IF($D41&lt;&gt;"Serviço",0,IF(AND(AUTOEVENTO="Manual",$M41=1),0,IF(OFFSET(CRONOPLE!$F$14,$M41,AU$13)="",10^12,OFFSET(CRONOPLE!$F$14,$M41,AU$13))))</f>
        <v>1000000000000</v>
      </c>
      <c r="AV41" s="181">
        <f ca="1">IF($D41&lt;&gt;"Serviço",0,IF(AND(AUTOEVENTO="Manual",$M41=1),0,IF(OFFSET(CRONOPLE!$F$14,$M41,AV$13)="",10^12,OFFSET(CRONOPLE!$F$14,$M41,AV$13))))</f>
        <v>1000000000000</v>
      </c>
      <c r="AX41" s="182">
        <f ca="1">IF($D41&lt;&gt;"Serviço",0,IF(OR(AND(AUTOEVENTO="Manual",$M41=1),$M41&gt;(ROW(PLE.lastrow)-ROW(PLE.firstrow))),0,IF(OFFSET(PLE!$G$14,$M41,AX$13)="",10^12,OFFSET(PLE!$G$14,$M41,AX$13))))</f>
        <v>1000000000000</v>
      </c>
      <c r="AY41" s="182">
        <f ca="1">IF($D41&lt;&gt;"Serviço",0,IF(OR(AND(AUTOEVENTO="Manual",$M41=1),$M41&gt;(ROW(PLE.lastrow)-ROW(PLE.firstrow))),0,IF(OFFSET(PLE!$G$14,$M41,AY$13)="",10^12,OFFSET(PLE!$G$14,$M41,AY$13))))</f>
        <v>1000000000000</v>
      </c>
      <c r="AZ41" s="182">
        <f ca="1">IF($D41&lt;&gt;"Serviço",0,IF(OR(AND(AUTOEVENTO="Manual",$M41=1),$M41&gt;(ROW(PLE.lastrow)-ROW(PLE.firstrow))),0,IF(OFFSET(PLE!$G$14,$M41,AZ$13)="",10^12,OFFSET(PLE!$G$14,$M41,AZ$13))))</f>
        <v>1000000000000</v>
      </c>
      <c r="BA41" s="182">
        <f ca="1">IF($D41&lt;&gt;"Serviço",0,IF(OR(AND(AUTOEVENTO="Manual",$M41=1),$M41&gt;(ROW(PLE.lastrow)-ROW(PLE.firstrow))),0,IF(OFFSET(PLE!$G$14,$M41,BA$13)="",10^12,OFFSET(PLE!$G$14,$M41,BA$13))))</f>
        <v>1000000000000</v>
      </c>
      <c r="BB41" s="182">
        <f ca="1">IF($D41&lt;&gt;"Serviço",0,IF(OR(AND(AUTOEVENTO="Manual",$M41=1),$M41&gt;(ROW(PLE.lastrow)-ROW(PLE.firstrow))),0,IF(OFFSET(PLE!$G$14,$M41,BB$13)="",10^12,OFFSET(PLE!$G$14,$M41,BB$13))))</f>
        <v>1000000000000</v>
      </c>
      <c r="BC41" s="182">
        <f ca="1">IF($D41&lt;&gt;"Serviço",0,IF(OR(AND(AUTOEVENTO="Manual",$M41=1),$M41&gt;(ROW(PLE.lastrow)-ROW(PLE.firstrow))),0,IF(OFFSET(PLE!$G$14,$M41,BC$13)="",10^12,OFFSET(PLE!$G$14,$M41,BC$13))))</f>
        <v>1000000000000</v>
      </c>
      <c r="BD41" s="182">
        <f ca="1">IF($D41&lt;&gt;"Serviço",0,IF(OR(AND(AUTOEVENTO="Manual",$M41=1),$M41&gt;(ROW(PLE.lastrow)-ROW(PLE.firstrow))),0,IF(OFFSET(PLE!$G$14,$M41,BD$13)="",10^12,OFFSET(PLE!$G$14,$M41,BD$13))))</f>
        <v>1000000000000</v>
      </c>
      <c r="BE41" s="182">
        <f ca="1">IF($D41&lt;&gt;"Serviço",0,IF(OR(AND(AUTOEVENTO="Manual",$M41=1),$M41&gt;(ROW(PLE.lastrow)-ROW(PLE.firstrow))),0,IF(OFFSET(PLE!$G$14,$M41,BE$13)="",10^12,OFFSET(PLE!$G$14,$M41,BE$13))))</f>
        <v>1000000000000</v>
      </c>
      <c r="BF41" s="182">
        <f ca="1">IF($D41&lt;&gt;"Serviço",0,IF(OR(AND(AUTOEVENTO="Manual",$M41=1),$M41&gt;(ROW(PLE.lastrow)-ROW(PLE.firstrow))),0,IF(OFFSET(PLE!$G$14,$M41,BF$13)="",10^12,OFFSET(PLE!$G$14,$M41,BF$13))))</f>
        <v>1000000000000</v>
      </c>
      <c r="BG41" s="182">
        <f ca="1">IF($D41&lt;&gt;"Serviço",0,IF(OR(AND(AUTOEVENTO="Manual",$M41=1),$M41&gt;(ROW(PLE.lastrow)-ROW(PLE.firstrow))),0,IF(OFFSET(PLE!$G$14,$M41,BG$13)="",10^12,OFFSET(PLE!$G$14,$M41,BG$13))))</f>
        <v>1000000000000</v>
      </c>
    </row>
    <row r="42" spans="1:59" ht="12.75" x14ac:dyDescent="0.2">
      <c r="A42" s="7" t="str">
        <f ca="1">IF(AUTOEVENTO="Manual",IF(K42&lt;&gt;"",MIN(VALUE(LEFT(K42,FIND(".",K42)-1)),COUNTA(EVENTOS.Lista)),0),IF(OR($B42&gt;AUTOEVENTO,$B42="S",$B42=0),SUBSTITUTE(OFFSET($A42,-1,0),IF($D42="Serviço",".",""),""),ROW(A42)-ROW($A$15)&amp;"."))</f>
        <v>18</v>
      </c>
      <c r="B42" s="7" t="str">
        <f ca="1">OFFSET(ORÇAMENTO!C$15,ROW(B42)-ROW(B$15),0)</f>
        <v>S</v>
      </c>
      <c r="C42" s="7" t="str">
        <f ca="1">OFFSET(ORÇAMENTO!L$15,ROW(C42)-ROW(C$15),0)</f>
        <v/>
      </c>
      <c r="D42" s="118" t="str">
        <f ca="1">OFFSET(ORÇAMENTO!N$15,ROW(D42)-ROW(D$15),0)</f>
        <v>Serviço</v>
      </c>
      <c r="E42" s="119" t="str">
        <f ca="1">OFFSET(ORÇAMENTO!O$15,ROW(E42)-ROW(E$15),0)</f>
        <v>-</v>
      </c>
      <c r="F42" s="172" t="str">
        <f ca="1">OFFSET(ORÇAMENTO!R$15,ROW(F42)-ROW(F$15),0)</f>
        <v>(abra o arquivo 'Referência 05-Friday.xlsm)</v>
      </c>
      <c r="G42" s="173" t="str">
        <f ca="1">IF($D42&lt;&gt;"Serviço","",OFFSET(ORÇAMENTO!S$15,ROW(G42)-ROW(G$15),0))</f>
        <v>-</v>
      </c>
      <c r="H42" s="124">
        <f ca="1">IF($D42&lt;&gt;"Serviço",0,IF(ACOMPANHAMENTO="BM",ROUND(OFFSET(ORÇAMENTO!AJ$15,ROW(H42)-ROW(H$15),0),15-13*ORÇAMENTO!$AF$7),SUMPRODUCT(($Q$12:$AA$12&lt;&gt;"")*ROUND($Q42:$AA42,15-13*ORÇAMENTO!$AF$7))))</f>
        <v>1</v>
      </c>
      <c r="I42" s="539"/>
      <c r="K42" s="174"/>
      <c r="L42" s="175" t="s">
        <v>254</v>
      </c>
      <c r="M42" s="176">
        <f ca="1">IF($D42&lt;&gt;"Serviço","",IF(AUTOEVENTO="manual",$A42,IF(ISERROR(MATCH($A42,$A$15:OFFSET($A42,-1,0),0)),MAX($M$15:OFFSET(M42,-1,0))+1,INDEX($M$15:OFFSET(M42,-1,0),MATCH($A42,$A$15:OFFSET($A42,-1,0),0)))))</f>
        <v>4</v>
      </c>
      <c r="N42" s="177" t="str">
        <f ca="1">IF($D42&lt;&gt;"Serviço","",IF(AUTOEVENTO="Manual",IF($A42=0,"&lt;-- defina o número do agrupador",OFFSET(EVENTOS!$D$14,$A42,0)),OFFSET($F$15,$A42,0)))</f>
        <v>PAVIMENTAÇÃO ASFÁLTICA</v>
      </c>
      <c r="O42" s="178"/>
      <c r="Q42" s="178">
        <v>0.5</v>
      </c>
      <c r="R42" s="179">
        <v>0.5</v>
      </c>
      <c r="S42" s="179"/>
      <c r="T42" s="179"/>
      <c r="U42" s="179"/>
      <c r="V42" s="179"/>
      <c r="W42" s="179"/>
      <c r="X42" s="179"/>
      <c r="Y42" s="179"/>
      <c r="Z42" s="180"/>
      <c r="AB42" s="522">
        <f ca="1">IF(AND($D42="Serviço",AB$12&lt;&gt;0,$H42&gt;0,OR(AUTOEVENTO&lt;&gt;"manual",$M42&lt;&gt;1)),
IF(Import.TipoArredondamento&lt;&gt;"TransfereGOV",
ROUND(OFFSET($P42,0,AB$13),15-13*ORÇAMENTO!$AF$7)/$H42*OFFSET(ORÇAMENTO!$X$15,ROW(AB42)-ROW(AB$15),0),
ROUND(ROUND(OFFSET($P42,0,AB$13),15-13*ORÇAMENTO!$AF$7)*OFFSET(ORÇAMENTO!$W$15,ROW(AB42)-ROW(AB$15),0),15-13*ORÇAMENTO!$AF$11)),0)</f>
        <v>0</v>
      </c>
      <c r="AC42" s="523">
        <f ca="1">IF(AND($D42="Serviço",AC$12&lt;&gt;0,$H42&gt;0,OR(AUTOEVENTO&lt;&gt;"manual",$M42&lt;&gt;1)),
IF(Import.TipoArredondamento&lt;&gt;"TransfereGOV",
ROUND(OFFSET($P42,0,AC$13),15-13*ORÇAMENTO!$AF$7)/$H42*OFFSET(ORÇAMENTO!$X$15,ROW(AC42)-ROW(AC$15),0),
ROUND(ROUND(OFFSET($P42,0,AC$13),15-13*ORÇAMENTO!$AF$7)*OFFSET(ORÇAMENTO!$W$15,ROW(AC42)-ROW(AC$15),0),15-13*ORÇAMENTO!$AF$11)),0)</f>
        <v>0</v>
      </c>
      <c r="AD42" s="523">
        <f ca="1">IF(AND($D42="Serviço",AD$12&lt;&gt;0,$H42&gt;0,OR(AUTOEVENTO&lt;&gt;"manual",$M42&lt;&gt;1)),
IF(Import.TipoArredondamento&lt;&gt;"TransfereGOV",
ROUND(OFFSET($P42,0,AD$13),15-13*ORÇAMENTO!$AF$7)/$H42*OFFSET(ORÇAMENTO!$X$15,ROW(AD42)-ROW(AD$15),0),
ROUND(ROUND(OFFSET($P42,0,AD$13),15-13*ORÇAMENTO!$AF$7)*OFFSET(ORÇAMENTO!$W$15,ROW(AD42)-ROW(AD$15),0),15-13*ORÇAMENTO!$AF$11)),0)</f>
        <v>0</v>
      </c>
      <c r="AE42" s="523">
        <f ca="1">IF(AND($D42="Serviço",AE$12&lt;&gt;0,$H42&gt;0,OR(AUTOEVENTO&lt;&gt;"manual",$M42&lt;&gt;1)),
IF(Import.TipoArredondamento&lt;&gt;"TransfereGOV",
ROUND(OFFSET($P42,0,AE$13),15-13*ORÇAMENTO!$AF$7)/$H42*OFFSET(ORÇAMENTO!$X$15,ROW(AE42)-ROW(AE$15),0),
ROUND(ROUND(OFFSET($P42,0,AE$13),15-13*ORÇAMENTO!$AF$7)*OFFSET(ORÇAMENTO!$W$15,ROW(AE42)-ROW(AE$15),0),15-13*ORÇAMENTO!$AF$11)),0)</f>
        <v>0</v>
      </c>
      <c r="AF42" s="523">
        <f ca="1">IF(AND($D42="Serviço",AF$12&lt;&gt;0,$H42&gt;0,OR(AUTOEVENTO&lt;&gt;"manual",$M42&lt;&gt;1)),
IF(Import.TipoArredondamento&lt;&gt;"TransfereGOV",
ROUND(OFFSET($P42,0,AF$13),15-13*ORÇAMENTO!$AF$7)/$H42*OFFSET(ORÇAMENTO!$X$15,ROW(AF42)-ROW(AF$15),0),
ROUND(ROUND(OFFSET($P42,0,AF$13),15-13*ORÇAMENTO!$AF$7)*OFFSET(ORÇAMENTO!$W$15,ROW(AF42)-ROW(AF$15),0),15-13*ORÇAMENTO!$AF$11)),0)</f>
        <v>0</v>
      </c>
      <c r="AG42" s="523">
        <f ca="1">IF(AND($D42="Serviço",AG$12&lt;&gt;0,$H42&gt;0,OR(AUTOEVENTO&lt;&gt;"manual",$M42&lt;&gt;1)),
IF(Import.TipoArredondamento&lt;&gt;"TransfereGOV",
ROUND(OFFSET($P42,0,AG$13),15-13*ORÇAMENTO!$AF$7)/$H42*OFFSET(ORÇAMENTO!$X$15,ROW(AG42)-ROW(AG$15),0),
ROUND(ROUND(OFFSET($P42,0,AG$13),15-13*ORÇAMENTO!$AF$7)*OFFSET(ORÇAMENTO!$W$15,ROW(AG42)-ROW(AG$15),0),15-13*ORÇAMENTO!$AF$11)),0)</f>
        <v>0</v>
      </c>
      <c r="AH42" s="523">
        <f ca="1">IF(AND($D42="Serviço",AH$12&lt;&gt;0,$H42&gt;0,OR(AUTOEVENTO&lt;&gt;"manual",$M42&lt;&gt;1)),
IF(Import.TipoArredondamento&lt;&gt;"TransfereGOV",
ROUND(OFFSET($P42,0,AH$13),15-13*ORÇAMENTO!$AF$7)/$H42*OFFSET(ORÇAMENTO!$X$15,ROW(AH42)-ROW(AH$15),0),
ROUND(ROUND(OFFSET($P42,0,AH$13),15-13*ORÇAMENTO!$AF$7)*OFFSET(ORÇAMENTO!$W$15,ROW(AH42)-ROW(AH$15),0),15-13*ORÇAMENTO!$AF$11)),0)</f>
        <v>0</v>
      </c>
      <c r="AI42" s="523">
        <f ca="1">IF(AND($D42="Serviço",AI$12&lt;&gt;0,$H42&gt;0,OR(AUTOEVENTO&lt;&gt;"manual",$M42&lt;&gt;1)),
IF(Import.TipoArredondamento&lt;&gt;"TransfereGOV",
ROUND(OFFSET($P42,0,AI$13),15-13*ORÇAMENTO!$AF$7)/$H42*OFFSET(ORÇAMENTO!$X$15,ROW(AI42)-ROW(AI$15),0),
ROUND(ROUND(OFFSET($P42,0,AI$13),15-13*ORÇAMENTO!$AF$7)*OFFSET(ORÇAMENTO!$W$15,ROW(AI42)-ROW(AI$15),0),15-13*ORÇAMENTO!$AF$11)),0)</f>
        <v>0</v>
      </c>
      <c r="AJ42" s="523">
        <f ca="1">IF(AND($D42="Serviço",AJ$12&lt;&gt;0,$H42&gt;0,OR(AUTOEVENTO&lt;&gt;"manual",$M42&lt;&gt;1)),
IF(Import.TipoArredondamento&lt;&gt;"TransfereGOV",
ROUND(OFFSET($P42,0,AJ$13),15-13*ORÇAMENTO!$AF$7)/$H42*OFFSET(ORÇAMENTO!$X$15,ROW(AJ42)-ROW(AJ$15),0),
ROUND(ROUND(OFFSET($P42,0,AJ$13),15-13*ORÇAMENTO!$AF$7)*OFFSET(ORÇAMENTO!$W$15,ROW(AJ42)-ROW(AJ$15),0),15-13*ORÇAMENTO!$AF$11)),0)</f>
        <v>0</v>
      </c>
      <c r="AK42" s="524">
        <f ca="1">IF(AND($D42="Serviço",AK$12&lt;&gt;0,$H42&gt;0,OR(AUTOEVENTO&lt;&gt;"manual",$M42&lt;&gt;1)),
IF(Import.TipoArredondamento&lt;&gt;"TransfereGOV",
ROUND(OFFSET($P42,0,AK$13),15-13*ORÇAMENTO!$AF$7)/$H42*OFFSET(ORÇAMENTO!$X$15,ROW(AK42)-ROW(AK$15),0),
ROUND(ROUND(OFFSET($P42,0,AK$13),15-13*ORÇAMENTO!$AF$7)*OFFSET(ORÇAMENTO!$W$15,ROW(AK42)-ROW(AK$15),0),15-13*ORÇAMENTO!$AF$11)),0)</f>
        <v>0</v>
      </c>
      <c r="AM42" s="181">
        <f ca="1">IF($D42&lt;&gt;"Serviço",0,IF(AND(AUTOEVENTO="Manual",$M42=1),0,IF(OFFSET(CRONOPLE!$F$14,$M42,AM$13)="",10^12,OFFSET(CRONOPLE!$F$14,$M42,AM$13))))</f>
        <v>1</v>
      </c>
      <c r="AN42" s="181">
        <f ca="1">IF($D42&lt;&gt;"Serviço",0,IF(AND(AUTOEVENTO="Manual",$M42=1),0,IF(OFFSET(CRONOPLE!$F$14,$M42,AN$13)="",10^12,OFFSET(CRONOPLE!$F$14,$M42,AN$13))))</f>
        <v>2</v>
      </c>
      <c r="AO42" s="181">
        <f ca="1">IF($D42&lt;&gt;"Serviço",0,IF(AND(AUTOEVENTO="Manual",$M42=1),0,IF(OFFSET(CRONOPLE!$F$14,$M42,AO$13)="",10^12,OFFSET(CRONOPLE!$F$14,$M42,AO$13))))</f>
        <v>1000000000000</v>
      </c>
      <c r="AP42" s="181">
        <f ca="1">IF($D42&lt;&gt;"Serviço",0,IF(AND(AUTOEVENTO="Manual",$M42=1),0,IF(OFFSET(CRONOPLE!$F$14,$M42,AP$13)="",10^12,OFFSET(CRONOPLE!$F$14,$M42,AP$13))))</f>
        <v>1000000000000</v>
      </c>
      <c r="AQ42" s="181">
        <f ca="1">IF($D42&lt;&gt;"Serviço",0,IF(AND(AUTOEVENTO="Manual",$M42=1),0,IF(OFFSET(CRONOPLE!$F$14,$M42,AQ$13)="",10^12,OFFSET(CRONOPLE!$F$14,$M42,AQ$13))))</f>
        <v>1000000000000</v>
      </c>
      <c r="AR42" s="181">
        <f ca="1">IF($D42&lt;&gt;"Serviço",0,IF(AND(AUTOEVENTO="Manual",$M42=1),0,IF(OFFSET(CRONOPLE!$F$14,$M42,AR$13)="",10^12,OFFSET(CRONOPLE!$F$14,$M42,AR$13))))</f>
        <v>1000000000000</v>
      </c>
      <c r="AS42" s="181">
        <f ca="1">IF($D42&lt;&gt;"Serviço",0,IF(AND(AUTOEVENTO="Manual",$M42=1),0,IF(OFFSET(CRONOPLE!$F$14,$M42,AS$13)="",10^12,OFFSET(CRONOPLE!$F$14,$M42,AS$13))))</f>
        <v>1000000000000</v>
      </c>
      <c r="AT42" s="181">
        <f ca="1">IF($D42&lt;&gt;"Serviço",0,IF(AND(AUTOEVENTO="Manual",$M42=1),0,IF(OFFSET(CRONOPLE!$F$14,$M42,AT$13)="",10^12,OFFSET(CRONOPLE!$F$14,$M42,AT$13))))</f>
        <v>1000000000000</v>
      </c>
      <c r="AU42" s="181">
        <f ca="1">IF($D42&lt;&gt;"Serviço",0,IF(AND(AUTOEVENTO="Manual",$M42=1),0,IF(OFFSET(CRONOPLE!$F$14,$M42,AU$13)="",10^12,OFFSET(CRONOPLE!$F$14,$M42,AU$13))))</f>
        <v>1000000000000</v>
      </c>
      <c r="AV42" s="181">
        <f ca="1">IF($D42&lt;&gt;"Serviço",0,IF(AND(AUTOEVENTO="Manual",$M42=1),0,IF(OFFSET(CRONOPLE!$F$14,$M42,AV$13)="",10^12,OFFSET(CRONOPLE!$F$14,$M42,AV$13))))</f>
        <v>1000000000000</v>
      </c>
      <c r="AX42" s="182">
        <f ca="1">IF($D42&lt;&gt;"Serviço",0,IF(OR(AND(AUTOEVENTO="Manual",$M42=1),$M42&gt;(ROW(PLE.lastrow)-ROW(PLE.firstrow))),0,IF(OFFSET(PLE!$G$14,$M42,AX$13)="",10^12,OFFSET(PLE!$G$14,$M42,AX$13))))</f>
        <v>1000000000000</v>
      </c>
      <c r="AY42" s="182">
        <f ca="1">IF($D42&lt;&gt;"Serviço",0,IF(OR(AND(AUTOEVENTO="Manual",$M42=1),$M42&gt;(ROW(PLE.lastrow)-ROW(PLE.firstrow))),0,IF(OFFSET(PLE!$G$14,$M42,AY$13)="",10^12,OFFSET(PLE!$G$14,$M42,AY$13))))</f>
        <v>1000000000000</v>
      </c>
      <c r="AZ42" s="182">
        <f ca="1">IF($D42&lt;&gt;"Serviço",0,IF(OR(AND(AUTOEVENTO="Manual",$M42=1),$M42&gt;(ROW(PLE.lastrow)-ROW(PLE.firstrow))),0,IF(OFFSET(PLE!$G$14,$M42,AZ$13)="",10^12,OFFSET(PLE!$G$14,$M42,AZ$13))))</f>
        <v>1000000000000</v>
      </c>
      <c r="BA42" s="182">
        <f ca="1">IF($D42&lt;&gt;"Serviço",0,IF(OR(AND(AUTOEVENTO="Manual",$M42=1),$M42&gt;(ROW(PLE.lastrow)-ROW(PLE.firstrow))),0,IF(OFFSET(PLE!$G$14,$M42,BA$13)="",10^12,OFFSET(PLE!$G$14,$M42,BA$13))))</f>
        <v>1000000000000</v>
      </c>
      <c r="BB42" s="182">
        <f ca="1">IF($D42&lt;&gt;"Serviço",0,IF(OR(AND(AUTOEVENTO="Manual",$M42=1),$M42&gt;(ROW(PLE.lastrow)-ROW(PLE.firstrow))),0,IF(OFFSET(PLE!$G$14,$M42,BB$13)="",10^12,OFFSET(PLE!$G$14,$M42,BB$13))))</f>
        <v>1000000000000</v>
      </c>
      <c r="BC42" s="182">
        <f ca="1">IF($D42&lt;&gt;"Serviço",0,IF(OR(AND(AUTOEVENTO="Manual",$M42=1),$M42&gt;(ROW(PLE.lastrow)-ROW(PLE.firstrow))),0,IF(OFFSET(PLE!$G$14,$M42,BC$13)="",10^12,OFFSET(PLE!$G$14,$M42,BC$13))))</f>
        <v>1000000000000</v>
      </c>
      <c r="BD42" s="182">
        <f ca="1">IF($D42&lt;&gt;"Serviço",0,IF(OR(AND(AUTOEVENTO="Manual",$M42=1),$M42&gt;(ROW(PLE.lastrow)-ROW(PLE.firstrow))),0,IF(OFFSET(PLE!$G$14,$M42,BD$13)="",10^12,OFFSET(PLE!$G$14,$M42,BD$13))))</f>
        <v>1000000000000</v>
      </c>
      <c r="BE42" s="182">
        <f ca="1">IF($D42&lt;&gt;"Serviço",0,IF(OR(AND(AUTOEVENTO="Manual",$M42=1),$M42&gt;(ROW(PLE.lastrow)-ROW(PLE.firstrow))),0,IF(OFFSET(PLE!$G$14,$M42,BE$13)="",10^12,OFFSET(PLE!$G$14,$M42,BE$13))))</f>
        <v>1000000000000</v>
      </c>
      <c r="BF42" s="182">
        <f ca="1">IF($D42&lt;&gt;"Serviço",0,IF(OR(AND(AUTOEVENTO="Manual",$M42=1),$M42&gt;(ROW(PLE.lastrow)-ROW(PLE.firstrow))),0,IF(OFFSET(PLE!$G$14,$M42,BF$13)="",10^12,OFFSET(PLE!$G$14,$M42,BF$13))))</f>
        <v>1000000000000</v>
      </c>
      <c r="BG42" s="182">
        <f ca="1">IF($D42&lt;&gt;"Serviço",0,IF(OR(AND(AUTOEVENTO="Manual",$M42=1),$M42&gt;(ROW(PLE.lastrow)-ROW(PLE.firstrow))),0,IF(OFFSET(PLE!$G$14,$M42,BG$13)="",10^12,OFFSET(PLE!$G$14,$M42,BG$13))))</f>
        <v>1000000000000</v>
      </c>
    </row>
    <row r="43" spans="1:59" ht="12.75" x14ac:dyDescent="0.2">
      <c r="A43" s="7" t="str">
        <f t="shared" ref="A43:A49" ca="1" si="10">IF(AUTOEVENTO="Manual",IF(K43&lt;&gt;"",MIN(VALUE(LEFT(K43,FIND(".",K43)-1)),COUNTA(EVENTOS.Lista)),0),IF(OR($B43&gt;AUTOEVENTO,$B43="S",$B43=0),SUBSTITUTE(OFFSET($A43,-1,0),IF($D43="Serviço",".",""),""),ROW(A43)-ROW($A$15)&amp;"."))</f>
        <v>28.</v>
      </c>
      <c r="B43" s="7">
        <f ca="1">OFFSET(ORÇAMENTO!C$15,ROW(B43)-ROW(B$15),0)</f>
        <v>2</v>
      </c>
      <c r="C43" s="7" t="str">
        <f ca="1">OFFSET(ORÇAMENTO!L$15,ROW(C43)-ROW(C$15),0)</f>
        <v>F</v>
      </c>
      <c r="D43" s="118" t="str">
        <f ca="1">OFFSET(ORÇAMENTO!N$15,ROW(D43)-ROW(D$15),0)</f>
        <v>Nível 2</v>
      </c>
      <c r="E43" s="119" t="str">
        <f ca="1">OFFSET(ORÇAMENTO!O$15,ROW(E43)-ROW(E$15),0)</f>
        <v>1.4.</v>
      </c>
      <c r="F43" s="172" t="str">
        <f ca="1">OFFSET(ORÇAMENTO!R$15,ROW(F43)-ROW(F$15),0)</f>
        <v>PASSEIO E ACESSIBILIDADE</v>
      </c>
      <c r="G43" s="173" t="str">
        <f ca="1">IF($D43&lt;&gt;"Serviço","",OFFSET(ORÇAMENTO!S$15,ROW(G43)-ROW(G$15),0))</f>
        <v/>
      </c>
      <c r="H43" s="124">
        <f ca="1">IF($D43&lt;&gt;"Serviço",0,IF(ACOMPANHAMENTO="BM",ROUND(OFFSET(ORÇAMENTO!AJ$15,ROW(H43)-ROW(H$15),0),15-13*ORÇAMENTO!$AF$7),SUMPRODUCT(($Q$12:$AA$12&lt;&gt;"")*ROUND($Q43:$AA43,15-13*ORÇAMENTO!$AF$7))))</f>
        <v>0</v>
      </c>
      <c r="I43" s="539"/>
      <c r="K43" s="174"/>
      <c r="L43" s="175" t="s">
        <v>254</v>
      </c>
      <c r="M43" s="176" t="str">
        <f ca="1">IF($D43&lt;&gt;"Serviço","",IF(AUTOEVENTO="manual",$A43,IF(ISERROR(MATCH($A43,$A$15:OFFSET($A43,-1,0),0)),MAX($M$15:OFFSET(M43,-1,0))+1,INDEX($M$15:OFFSET(M43,-1,0),MATCH($A43,$A$15:OFFSET($A43,-1,0),0)))))</f>
        <v/>
      </c>
      <c r="N43" s="177" t="str">
        <f ca="1">IF($D43&lt;&gt;"Serviço","",IF(AUTOEVENTO="Manual",IF($A43=0,"&lt;-- defina o número do agrupador",OFFSET(EVENTOS!$D$14,$A43,0)),OFFSET($F$15,$A43,0)))</f>
        <v/>
      </c>
      <c r="O43" s="178"/>
      <c r="Q43" s="178"/>
      <c r="R43" s="179"/>
      <c r="S43" s="179"/>
      <c r="T43" s="179"/>
      <c r="U43" s="179"/>
      <c r="V43" s="179"/>
      <c r="W43" s="179"/>
      <c r="X43" s="179"/>
      <c r="Y43" s="179"/>
      <c r="Z43" s="180"/>
      <c r="AB43" s="522">
        <f ca="1">IF(AND($D43="Serviço",AB$12&lt;&gt;0,$H43&gt;0,OR(AUTOEVENTO&lt;&gt;"manual",$M43&lt;&gt;1)),
IF(Import.TipoArredondamento&lt;&gt;"TransfereGOV",
ROUND(OFFSET($P43,0,AB$13),15-13*ORÇAMENTO!$AF$7)/$H43*OFFSET(ORÇAMENTO!$X$15,ROW(AB43)-ROW(AB$15),0),
ROUND(ROUND(OFFSET($P43,0,AB$13),15-13*ORÇAMENTO!$AF$7)*OFFSET(ORÇAMENTO!$W$15,ROW(AB43)-ROW(AB$15),0),15-13*ORÇAMENTO!$AF$11)),0)</f>
        <v>0</v>
      </c>
      <c r="AC43" s="523">
        <f ca="1">IF(AND($D43="Serviço",AC$12&lt;&gt;0,$H43&gt;0,OR(AUTOEVENTO&lt;&gt;"manual",$M43&lt;&gt;1)),
IF(Import.TipoArredondamento&lt;&gt;"TransfereGOV",
ROUND(OFFSET($P43,0,AC$13),15-13*ORÇAMENTO!$AF$7)/$H43*OFFSET(ORÇAMENTO!$X$15,ROW(AC43)-ROW(AC$15),0),
ROUND(ROUND(OFFSET($P43,0,AC$13),15-13*ORÇAMENTO!$AF$7)*OFFSET(ORÇAMENTO!$W$15,ROW(AC43)-ROW(AC$15),0),15-13*ORÇAMENTO!$AF$11)),0)</f>
        <v>0</v>
      </c>
      <c r="AD43" s="523">
        <f ca="1">IF(AND($D43="Serviço",AD$12&lt;&gt;0,$H43&gt;0,OR(AUTOEVENTO&lt;&gt;"manual",$M43&lt;&gt;1)),
IF(Import.TipoArredondamento&lt;&gt;"TransfereGOV",
ROUND(OFFSET($P43,0,AD$13),15-13*ORÇAMENTO!$AF$7)/$H43*OFFSET(ORÇAMENTO!$X$15,ROW(AD43)-ROW(AD$15),0),
ROUND(ROUND(OFFSET($P43,0,AD$13),15-13*ORÇAMENTO!$AF$7)*OFFSET(ORÇAMENTO!$W$15,ROW(AD43)-ROW(AD$15),0),15-13*ORÇAMENTO!$AF$11)),0)</f>
        <v>0</v>
      </c>
      <c r="AE43" s="523">
        <f ca="1">IF(AND($D43="Serviço",AE$12&lt;&gt;0,$H43&gt;0,OR(AUTOEVENTO&lt;&gt;"manual",$M43&lt;&gt;1)),
IF(Import.TipoArredondamento&lt;&gt;"TransfereGOV",
ROUND(OFFSET($P43,0,AE$13),15-13*ORÇAMENTO!$AF$7)/$H43*OFFSET(ORÇAMENTO!$X$15,ROW(AE43)-ROW(AE$15),0),
ROUND(ROUND(OFFSET($P43,0,AE$13),15-13*ORÇAMENTO!$AF$7)*OFFSET(ORÇAMENTO!$W$15,ROW(AE43)-ROW(AE$15),0),15-13*ORÇAMENTO!$AF$11)),0)</f>
        <v>0</v>
      </c>
      <c r="AF43" s="523">
        <f ca="1">IF(AND($D43="Serviço",AF$12&lt;&gt;0,$H43&gt;0,OR(AUTOEVENTO&lt;&gt;"manual",$M43&lt;&gt;1)),
IF(Import.TipoArredondamento&lt;&gt;"TransfereGOV",
ROUND(OFFSET($P43,0,AF$13),15-13*ORÇAMENTO!$AF$7)/$H43*OFFSET(ORÇAMENTO!$X$15,ROW(AF43)-ROW(AF$15),0),
ROUND(ROUND(OFFSET($P43,0,AF$13),15-13*ORÇAMENTO!$AF$7)*OFFSET(ORÇAMENTO!$W$15,ROW(AF43)-ROW(AF$15),0),15-13*ORÇAMENTO!$AF$11)),0)</f>
        <v>0</v>
      </c>
      <c r="AG43" s="523">
        <f ca="1">IF(AND($D43="Serviço",AG$12&lt;&gt;0,$H43&gt;0,OR(AUTOEVENTO&lt;&gt;"manual",$M43&lt;&gt;1)),
IF(Import.TipoArredondamento&lt;&gt;"TransfereGOV",
ROUND(OFFSET($P43,0,AG$13),15-13*ORÇAMENTO!$AF$7)/$H43*OFFSET(ORÇAMENTO!$X$15,ROW(AG43)-ROW(AG$15),0),
ROUND(ROUND(OFFSET($P43,0,AG$13),15-13*ORÇAMENTO!$AF$7)*OFFSET(ORÇAMENTO!$W$15,ROW(AG43)-ROW(AG$15),0),15-13*ORÇAMENTO!$AF$11)),0)</f>
        <v>0</v>
      </c>
      <c r="AH43" s="523">
        <f ca="1">IF(AND($D43="Serviço",AH$12&lt;&gt;0,$H43&gt;0,OR(AUTOEVENTO&lt;&gt;"manual",$M43&lt;&gt;1)),
IF(Import.TipoArredondamento&lt;&gt;"TransfereGOV",
ROUND(OFFSET($P43,0,AH$13),15-13*ORÇAMENTO!$AF$7)/$H43*OFFSET(ORÇAMENTO!$X$15,ROW(AH43)-ROW(AH$15),0),
ROUND(ROUND(OFFSET($P43,0,AH$13),15-13*ORÇAMENTO!$AF$7)*OFFSET(ORÇAMENTO!$W$15,ROW(AH43)-ROW(AH$15),0),15-13*ORÇAMENTO!$AF$11)),0)</f>
        <v>0</v>
      </c>
      <c r="AI43" s="523">
        <f ca="1">IF(AND($D43="Serviço",AI$12&lt;&gt;0,$H43&gt;0,OR(AUTOEVENTO&lt;&gt;"manual",$M43&lt;&gt;1)),
IF(Import.TipoArredondamento&lt;&gt;"TransfereGOV",
ROUND(OFFSET($P43,0,AI$13),15-13*ORÇAMENTO!$AF$7)/$H43*OFFSET(ORÇAMENTO!$X$15,ROW(AI43)-ROW(AI$15),0),
ROUND(ROUND(OFFSET($P43,0,AI$13),15-13*ORÇAMENTO!$AF$7)*OFFSET(ORÇAMENTO!$W$15,ROW(AI43)-ROW(AI$15),0),15-13*ORÇAMENTO!$AF$11)),0)</f>
        <v>0</v>
      </c>
      <c r="AJ43" s="523">
        <f ca="1">IF(AND($D43="Serviço",AJ$12&lt;&gt;0,$H43&gt;0,OR(AUTOEVENTO&lt;&gt;"manual",$M43&lt;&gt;1)),
IF(Import.TipoArredondamento&lt;&gt;"TransfereGOV",
ROUND(OFFSET($P43,0,AJ$13),15-13*ORÇAMENTO!$AF$7)/$H43*OFFSET(ORÇAMENTO!$X$15,ROW(AJ43)-ROW(AJ$15),0),
ROUND(ROUND(OFFSET($P43,0,AJ$13),15-13*ORÇAMENTO!$AF$7)*OFFSET(ORÇAMENTO!$W$15,ROW(AJ43)-ROW(AJ$15),0),15-13*ORÇAMENTO!$AF$11)),0)</f>
        <v>0</v>
      </c>
      <c r="AK43" s="524">
        <f ca="1">IF(AND($D43="Serviço",AK$12&lt;&gt;0,$H43&gt;0,OR(AUTOEVENTO&lt;&gt;"manual",$M43&lt;&gt;1)),
IF(Import.TipoArredondamento&lt;&gt;"TransfereGOV",
ROUND(OFFSET($P43,0,AK$13),15-13*ORÇAMENTO!$AF$7)/$H43*OFFSET(ORÇAMENTO!$X$15,ROW(AK43)-ROW(AK$15),0),
ROUND(ROUND(OFFSET($P43,0,AK$13),15-13*ORÇAMENTO!$AF$7)*OFFSET(ORÇAMENTO!$W$15,ROW(AK43)-ROW(AK$15),0),15-13*ORÇAMENTO!$AF$11)),0)</f>
        <v>0</v>
      </c>
      <c r="AM43" s="181">
        <f ca="1">IF($D43&lt;&gt;"Serviço",0,IF(AND(AUTOEVENTO="Manual",$M43=1),0,IF(OFFSET(CRONOPLE!$F$14,$M43,AM$13)="",10^12,OFFSET(CRONOPLE!$F$14,$M43,AM$13))))</f>
        <v>0</v>
      </c>
      <c r="AN43" s="181">
        <f ca="1">IF($D43&lt;&gt;"Serviço",0,IF(AND(AUTOEVENTO="Manual",$M43=1),0,IF(OFFSET(CRONOPLE!$F$14,$M43,AN$13)="",10^12,OFFSET(CRONOPLE!$F$14,$M43,AN$13))))</f>
        <v>0</v>
      </c>
      <c r="AO43" s="181">
        <f ca="1">IF($D43&lt;&gt;"Serviço",0,IF(AND(AUTOEVENTO="Manual",$M43=1),0,IF(OFFSET(CRONOPLE!$F$14,$M43,AO$13)="",10^12,OFFSET(CRONOPLE!$F$14,$M43,AO$13))))</f>
        <v>0</v>
      </c>
      <c r="AP43" s="181">
        <f ca="1">IF($D43&lt;&gt;"Serviço",0,IF(AND(AUTOEVENTO="Manual",$M43=1),0,IF(OFFSET(CRONOPLE!$F$14,$M43,AP$13)="",10^12,OFFSET(CRONOPLE!$F$14,$M43,AP$13))))</f>
        <v>0</v>
      </c>
      <c r="AQ43" s="181">
        <f ca="1">IF($D43&lt;&gt;"Serviço",0,IF(AND(AUTOEVENTO="Manual",$M43=1),0,IF(OFFSET(CRONOPLE!$F$14,$M43,AQ$13)="",10^12,OFFSET(CRONOPLE!$F$14,$M43,AQ$13))))</f>
        <v>0</v>
      </c>
      <c r="AR43" s="181">
        <f ca="1">IF($D43&lt;&gt;"Serviço",0,IF(AND(AUTOEVENTO="Manual",$M43=1),0,IF(OFFSET(CRONOPLE!$F$14,$M43,AR$13)="",10^12,OFFSET(CRONOPLE!$F$14,$M43,AR$13))))</f>
        <v>0</v>
      </c>
      <c r="AS43" s="181">
        <f ca="1">IF($D43&lt;&gt;"Serviço",0,IF(AND(AUTOEVENTO="Manual",$M43=1),0,IF(OFFSET(CRONOPLE!$F$14,$M43,AS$13)="",10^12,OFFSET(CRONOPLE!$F$14,$M43,AS$13))))</f>
        <v>0</v>
      </c>
      <c r="AT43" s="181">
        <f ca="1">IF($D43&lt;&gt;"Serviço",0,IF(AND(AUTOEVENTO="Manual",$M43=1),0,IF(OFFSET(CRONOPLE!$F$14,$M43,AT$13)="",10^12,OFFSET(CRONOPLE!$F$14,$M43,AT$13))))</f>
        <v>0</v>
      </c>
      <c r="AU43" s="181">
        <f ca="1">IF($D43&lt;&gt;"Serviço",0,IF(AND(AUTOEVENTO="Manual",$M43=1),0,IF(OFFSET(CRONOPLE!$F$14,$M43,AU$13)="",10^12,OFFSET(CRONOPLE!$F$14,$M43,AU$13))))</f>
        <v>0</v>
      </c>
      <c r="AV43" s="181">
        <f ca="1">IF($D43&lt;&gt;"Serviço",0,IF(AND(AUTOEVENTO="Manual",$M43=1),0,IF(OFFSET(CRONOPLE!$F$14,$M43,AV$13)="",10^12,OFFSET(CRONOPLE!$F$14,$M43,AV$13))))</f>
        <v>0</v>
      </c>
      <c r="AX43" s="182">
        <f ca="1">IF($D43&lt;&gt;"Serviço",0,IF(OR(AND(AUTOEVENTO="Manual",$M43=1),$M43&gt;(ROW(PLE.lastrow)-ROW(PLE.firstrow))),0,IF(OFFSET(PLE!$G$14,$M43,AX$13)="",10^12,OFFSET(PLE!$G$14,$M43,AX$13))))</f>
        <v>0</v>
      </c>
      <c r="AY43" s="182">
        <f ca="1">IF($D43&lt;&gt;"Serviço",0,IF(OR(AND(AUTOEVENTO="Manual",$M43=1),$M43&gt;(ROW(PLE.lastrow)-ROW(PLE.firstrow))),0,IF(OFFSET(PLE!$G$14,$M43,AY$13)="",10^12,OFFSET(PLE!$G$14,$M43,AY$13))))</f>
        <v>0</v>
      </c>
      <c r="AZ43" s="182">
        <f ca="1">IF($D43&lt;&gt;"Serviço",0,IF(OR(AND(AUTOEVENTO="Manual",$M43=1),$M43&gt;(ROW(PLE.lastrow)-ROW(PLE.firstrow))),0,IF(OFFSET(PLE!$G$14,$M43,AZ$13)="",10^12,OFFSET(PLE!$G$14,$M43,AZ$13))))</f>
        <v>0</v>
      </c>
      <c r="BA43" s="182">
        <f ca="1">IF($D43&lt;&gt;"Serviço",0,IF(OR(AND(AUTOEVENTO="Manual",$M43=1),$M43&gt;(ROW(PLE.lastrow)-ROW(PLE.firstrow))),0,IF(OFFSET(PLE!$G$14,$M43,BA$13)="",10^12,OFFSET(PLE!$G$14,$M43,BA$13))))</f>
        <v>0</v>
      </c>
      <c r="BB43" s="182">
        <f ca="1">IF($D43&lt;&gt;"Serviço",0,IF(OR(AND(AUTOEVENTO="Manual",$M43=1),$M43&gt;(ROW(PLE.lastrow)-ROW(PLE.firstrow))),0,IF(OFFSET(PLE!$G$14,$M43,BB$13)="",10^12,OFFSET(PLE!$G$14,$M43,BB$13))))</f>
        <v>0</v>
      </c>
      <c r="BC43" s="182">
        <f ca="1">IF($D43&lt;&gt;"Serviço",0,IF(OR(AND(AUTOEVENTO="Manual",$M43=1),$M43&gt;(ROW(PLE.lastrow)-ROW(PLE.firstrow))),0,IF(OFFSET(PLE!$G$14,$M43,BC$13)="",10^12,OFFSET(PLE!$G$14,$M43,BC$13))))</f>
        <v>0</v>
      </c>
      <c r="BD43" s="182">
        <f ca="1">IF($D43&lt;&gt;"Serviço",0,IF(OR(AND(AUTOEVENTO="Manual",$M43=1),$M43&gt;(ROW(PLE.lastrow)-ROW(PLE.firstrow))),0,IF(OFFSET(PLE!$G$14,$M43,BD$13)="",10^12,OFFSET(PLE!$G$14,$M43,BD$13))))</f>
        <v>0</v>
      </c>
      <c r="BE43" s="182">
        <f ca="1">IF($D43&lt;&gt;"Serviço",0,IF(OR(AND(AUTOEVENTO="Manual",$M43=1),$M43&gt;(ROW(PLE.lastrow)-ROW(PLE.firstrow))),0,IF(OFFSET(PLE!$G$14,$M43,BE$13)="",10^12,OFFSET(PLE!$G$14,$M43,BE$13))))</f>
        <v>0</v>
      </c>
      <c r="BF43" s="182">
        <f ca="1">IF($D43&lt;&gt;"Serviço",0,IF(OR(AND(AUTOEVENTO="Manual",$M43=1),$M43&gt;(ROW(PLE.lastrow)-ROW(PLE.firstrow))),0,IF(OFFSET(PLE!$G$14,$M43,BF$13)="",10^12,OFFSET(PLE!$G$14,$M43,BF$13))))</f>
        <v>0</v>
      </c>
      <c r="BG43" s="182">
        <f ca="1">IF($D43&lt;&gt;"Serviço",0,IF(OR(AND(AUTOEVENTO="Manual",$M43=1),$M43&gt;(ROW(PLE.lastrow)-ROW(PLE.firstrow))),0,IF(OFFSET(PLE!$G$14,$M43,BG$13)="",10^12,OFFSET(PLE!$G$14,$M43,BG$13))))</f>
        <v>0</v>
      </c>
    </row>
    <row r="44" spans="1:59" ht="38.25" x14ac:dyDescent="0.2">
      <c r="A44" s="7" t="str">
        <f t="shared" ca="1" si="10"/>
        <v>28</v>
      </c>
      <c r="B44" s="7" t="str">
        <f ca="1">OFFSET(ORÇAMENTO!C$15,ROW(B44)-ROW(B$15),0)</f>
        <v>S</v>
      </c>
      <c r="C44" s="7" t="str">
        <f ca="1">OFFSET(ORÇAMENTO!L$15,ROW(C44)-ROW(C$15),0)</f>
        <v/>
      </c>
      <c r="D44" s="118" t="str">
        <f ca="1">OFFSET(ORÇAMENTO!N$15,ROW(D44)-ROW(D$15),0)</f>
        <v>Serviço</v>
      </c>
      <c r="E44" s="119" t="str">
        <f ca="1">OFFSET(ORÇAMENTO!O$15,ROW(E44)-ROW(E$15),0)</f>
        <v>-</v>
      </c>
      <c r="F44" s="172" t="str">
        <f ca="1">OFFSET(ORÇAMENTO!R$15,ROW(F44)-ROW(F$15),0)</f>
        <v>(abra o arquivo 'Referência 05-Friday.xlsm)</v>
      </c>
      <c r="G44" s="173" t="str">
        <f ca="1">IF($D44&lt;&gt;"Serviço","",OFFSET(ORÇAMENTO!S$15,ROW(G44)-ROW(G$15),0))</f>
        <v>-</v>
      </c>
      <c r="H44" s="124">
        <f ca="1">IF($D44&lt;&gt;"Serviço",0,IF(ACOMPANHAMENTO="BM",ROUND(OFFSET(ORÇAMENTO!AJ$15,ROW(H44)-ROW(H$15),0),15-13*ORÇAMENTO!$AF$7),SUMPRODUCT(($Q$12:$AA$12&lt;&gt;"")*ROUND($Q44:$AA44,15-13*ORÇAMENTO!$AF$7))))</f>
        <v>151.5</v>
      </c>
      <c r="I44" s="539"/>
      <c r="K44" s="174"/>
      <c r="L44" s="175" t="s">
        <v>254</v>
      </c>
      <c r="M44" s="176">
        <f ca="1">IF($D44&lt;&gt;"Serviço","",IF(AUTOEVENTO="manual",$A44,IF(ISERROR(MATCH($A44,$A$15:OFFSET($A44,-1,0),0)),MAX($M$15:OFFSET(M44,-1,0))+1,INDEX($M$15:OFFSET(M44,-1,0),MATCH($A44,$A$15:OFFSET($A44,-1,0),0)))))</f>
        <v>5</v>
      </c>
      <c r="N44" s="177" t="str">
        <f ca="1">IF($D44&lt;&gt;"Serviço","",IF(AUTOEVENTO="Manual",IF($A44=0,"&lt;-- defina o número do agrupador",OFFSET(EVENTOS!$D$14,$A44,0)),OFFSET($F$15,$A44,0)))</f>
        <v>PASSEIO E ACESSIBILIDADE</v>
      </c>
      <c r="O44" s="178"/>
      <c r="Q44" s="178">
        <v>151.5</v>
      </c>
      <c r="R44" s="179"/>
      <c r="S44" s="179"/>
      <c r="T44" s="179"/>
      <c r="U44" s="179"/>
      <c r="V44" s="179"/>
      <c r="W44" s="179"/>
      <c r="X44" s="179"/>
      <c r="Y44" s="179"/>
      <c r="Z44" s="180"/>
      <c r="AB44" s="522">
        <f ca="1">IF(AND($D44="Serviço",AB$12&lt;&gt;0,$H44&gt;0,OR(AUTOEVENTO&lt;&gt;"manual",$M44&lt;&gt;1)),
IF(Import.TipoArredondamento&lt;&gt;"TransfereGOV",
ROUND(OFFSET($P44,0,AB$13),15-13*ORÇAMENTO!$AF$7)/$H44*OFFSET(ORÇAMENTO!$X$15,ROW(AB44)-ROW(AB$15),0),
ROUND(ROUND(OFFSET($P44,0,AB$13),15-13*ORÇAMENTO!$AF$7)*OFFSET(ORÇAMENTO!$W$15,ROW(AB44)-ROW(AB$15),0),15-13*ORÇAMENTO!$AF$11)),0)</f>
        <v>0</v>
      </c>
      <c r="AC44" s="523">
        <f ca="1">IF(AND($D44="Serviço",AC$12&lt;&gt;0,$H44&gt;0,OR(AUTOEVENTO&lt;&gt;"manual",$M44&lt;&gt;1)),
IF(Import.TipoArredondamento&lt;&gt;"TransfereGOV",
ROUND(OFFSET($P44,0,AC$13),15-13*ORÇAMENTO!$AF$7)/$H44*OFFSET(ORÇAMENTO!$X$15,ROW(AC44)-ROW(AC$15),0),
ROUND(ROUND(OFFSET($P44,0,AC$13),15-13*ORÇAMENTO!$AF$7)*OFFSET(ORÇAMENTO!$W$15,ROW(AC44)-ROW(AC$15),0),15-13*ORÇAMENTO!$AF$11)),0)</f>
        <v>0</v>
      </c>
      <c r="AD44" s="523">
        <f ca="1">IF(AND($D44="Serviço",AD$12&lt;&gt;0,$H44&gt;0,OR(AUTOEVENTO&lt;&gt;"manual",$M44&lt;&gt;1)),
IF(Import.TipoArredondamento&lt;&gt;"TransfereGOV",
ROUND(OFFSET($P44,0,AD$13),15-13*ORÇAMENTO!$AF$7)/$H44*OFFSET(ORÇAMENTO!$X$15,ROW(AD44)-ROW(AD$15),0),
ROUND(ROUND(OFFSET($P44,0,AD$13),15-13*ORÇAMENTO!$AF$7)*OFFSET(ORÇAMENTO!$W$15,ROW(AD44)-ROW(AD$15),0),15-13*ORÇAMENTO!$AF$11)),0)</f>
        <v>0</v>
      </c>
      <c r="AE44" s="523">
        <f ca="1">IF(AND($D44="Serviço",AE$12&lt;&gt;0,$H44&gt;0,OR(AUTOEVENTO&lt;&gt;"manual",$M44&lt;&gt;1)),
IF(Import.TipoArredondamento&lt;&gt;"TransfereGOV",
ROUND(OFFSET($P44,0,AE$13),15-13*ORÇAMENTO!$AF$7)/$H44*OFFSET(ORÇAMENTO!$X$15,ROW(AE44)-ROW(AE$15),0),
ROUND(ROUND(OFFSET($P44,0,AE$13),15-13*ORÇAMENTO!$AF$7)*OFFSET(ORÇAMENTO!$W$15,ROW(AE44)-ROW(AE$15),0),15-13*ORÇAMENTO!$AF$11)),0)</f>
        <v>0</v>
      </c>
      <c r="AF44" s="523">
        <f ca="1">IF(AND($D44="Serviço",AF$12&lt;&gt;0,$H44&gt;0,OR(AUTOEVENTO&lt;&gt;"manual",$M44&lt;&gt;1)),
IF(Import.TipoArredondamento&lt;&gt;"TransfereGOV",
ROUND(OFFSET($P44,0,AF$13),15-13*ORÇAMENTO!$AF$7)/$H44*OFFSET(ORÇAMENTO!$X$15,ROW(AF44)-ROW(AF$15),0),
ROUND(ROUND(OFFSET($P44,0,AF$13),15-13*ORÇAMENTO!$AF$7)*OFFSET(ORÇAMENTO!$W$15,ROW(AF44)-ROW(AF$15),0),15-13*ORÇAMENTO!$AF$11)),0)</f>
        <v>0</v>
      </c>
      <c r="AG44" s="523">
        <f ca="1">IF(AND($D44="Serviço",AG$12&lt;&gt;0,$H44&gt;0,OR(AUTOEVENTO&lt;&gt;"manual",$M44&lt;&gt;1)),
IF(Import.TipoArredondamento&lt;&gt;"TransfereGOV",
ROUND(OFFSET($P44,0,AG$13),15-13*ORÇAMENTO!$AF$7)/$H44*OFFSET(ORÇAMENTO!$X$15,ROW(AG44)-ROW(AG$15),0),
ROUND(ROUND(OFFSET($P44,0,AG$13),15-13*ORÇAMENTO!$AF$7)*OFFSET(ORÇAMENTO!$W$15,ROW(AG44)-ROW(AG$15),0),15-13*ORÇAMENTO!$AF$11)),0)</f>
        <v>0</v>
      </c>
      <c r="AH44" s="523">
        <f ca="1">IF(AND($D44="Serviço",AH$12&lt;&gt;0,$H44&gt;0,OR(AUTOEVENTO&lt;&gt;"manual",$M44&lt;&gt;1)),
IF(Import.TipoArredondamento&lt;&gt;"TransfereGOV",
ROUND(OFFSET($P44,0,AH$13),15-13*ORÇAMENTO!$AF$7)/$H44*OFFSET(ORÇAMENTO!$X$15,ROW(AH44)-ROW(AH$15),0),
ROUND(ROUND(OFFSET($P44,0,AH$13),15-13*ORÇAMENTO!$AF$7)*OFFSET(ORÇAMENTO!$W$15,ROW(AH44)-ROW(AH$15),0),15-13*ORÇAMENTO!$AF$11)),0)</f>
        <v>0</v>
      </c>
      <c r="AI44" s="523">
        <f ca="1">IF(AND($D44="Serviço",AI$12&lt;&gt;0,$H44&gt;0,OR(AUTOEVENTO&lt;&gt;"manual",$M44&lt;&gt;1)),
IF(Import.TipoArredondamento&lt;&gt;"TransfereGOV",
ROUND(OFFSET($P44,0,AI$13),15-13*ORÇAMENTO!$AF$7)/$H44*OFFSET(ORÇAMENTO!$X$15,ROW(AI44)-ROW(AI$15),0),
ROUND(ROUND(OFFSET($P44,0,AI$13),15-13*ORÇAMENTO!$AF$7)*OFFSET(ORÇAMENTO!$W$15,ROW(AI44)-ROW(AI$15),0),15-13*ORÇAMENTO!$AF$11)),0)</f>
        <v>0</v>
      </c>
      <c r="AJ44" s="523">
        <f ca="1">IF(AND($D44="Serviço",AJ$12&lt;&gt;0,$H44&gt;0,OR(AUTOEVENTO&lt;&gt;"manual",$M44&lt;&gt;1)),
IF(Import.TipoArredondamento&lt;&gt;"TransfereGOV",
ROUND(OFFSET($P44,0,AJ$13),15-13*ORÇAMENTO!$AF$7)/$H44*OFFSET(ORÇAMENTO!$X$15,ROW(AJ44)-ROW(AJ$15),0),
ROUND(ROUND(OFFSET($P44,0,AJ$13),15-13*ORÇAMENTO!$AF$7)*OFFSET(ORÇAMENTO!$W$15,ROW(AJ44)-ROW(AJ$15),0),15-13*ORÇAMENTO!$AF$11)),0)</f>
        <v>0</v>
      </c>
      <c r="AK44" s="524">
        <f ca="1">IF(AND($D44="Serviço",AK$12&lt;&gt;0,$H44&gt;0,OR(AUTOEVENTO&lt;&gt;"manual",$M44&lt;&gt;1)),
IF(Import.TipoArredondamento&lt;&gt;"TransfereGOV",
ROUND(OFFSET($P44,0,AK$13),15-13*ORÇAMENTO!$AF$7)/$H44*OFFSET(ORÇAMENTO!$X$15,ROW(AK44)-ROW(AK$15),0),
ROUND(ROUND(OFFSET($P44,0,AK$13),15-13*ORÇAMENTO!$AF$7)*OFFSET(ORÇAMENTO!$W$15,ROW(AK44)-ROW(AK$15),0),15-13*ORÇAMENTO!$AF$11)),0)</f>
        <v>0</v>
      </c>
      <c r="AM44" s="181">
        <f ca="1">IF($D44&lt;&gt;"Serviço",0,IF(AND(AUTOEVENTO="Manual",$M44=1),0,IF(OFFSET(CRONOPLE!$F$14,$M44,AM$13)="",10^12,OFFSET(CRONOPLE!$F$14,$M44,AM$13))))</f>
        <v>1</v>
      </c>
      <c r="AN44" s="181">
        <f ca="1">IF($D44&lt;&gt;"Serviço",0,IF(AND(AUTOEVENTO="Manual",$M44=1),0,IF(OFFSET(CRONOPLE!$F$14,$M44,AN$13)="",10^12,OFFSET(CRONOPLE!$F$14,$M44,AN$13))))</f>
        <v>2</v>
      </c>
      <c r="AO44" s="181">
        <f ca="1">IF($D44&lt;&gt;"Serviço",0,IF(AND(AUTOEVENTO="Manual",$M44=1),0,IF(OFFSET(CRONOPLE!$F$14,$M44,AO$13)="",10^12,OFFSET(CRONOPLE!$F$14,$M44,AO$13))))</f>
        <v>1000000000000</v>
      </c>
      <c r="AP44" s="181">
        <f ca="1">IF($D44&lt;&gt;"Serviço",0,IF(AND(AUTOEVENTO="Manual",$M44=1),0,IF(OFFSET(CRONOPLE!$F$14,$M44,AP$13)="",10^12,OFFSET(CRONOPLE!$F$14,$M44,AP$13))))</f>
        <v>1000000000000</v>
      </c>
      <c r="AQ44" s="181">
        <f ca="1">IF($D44&lt;&gt;"Serviço",0,IF(AND(AUTOEVENTO="Manual",$M44=1),0,IF(OFFSET(CRONOPLE!$F$14,$M44,AQ$13)="",10^12,OFFSET(CRONOPLE!$F$14,$M44,AQ$13))))</f>
        <v>1000000000000</v>
      </c>
      <c r="AR44" s="181">
        <f ca="1">IF($D44&lt;&gt;"Serviço",0,IF(AND(AUTOEVENTO="Manual",$M44=1),0,IF(OFFSET(CRONOPLE!$F$14,$M44,AR$13)="",10^12,OFFSET(CRONOPLE!$F$14,$M44,AR$13))))</f>
        <v>1000000000000</v>
      </c>
      <c r="AS44" s="181">
        <f ca="1">IF($D44&lt;&gt;"Serviço",0,IF(AND(AUTOEVENTO="Manual",$M44=1),0,IF(OFFSET(CRONOPLE!$F$14,$M44,AS$13)="",10^12,OFFSET(CRONOPLE!$F$14,$M44,AS$13))))</f>
        <v>1000000000000</v>
      </c>
      <c r="AT44" s="181">
        <f ca="1">IF($D44&lt;&gt;"Serviço",0,IF(AND(AUTOEVENTO="Manual",$M44=1),0,IF(OFFSET(CRONOPLE!$F$14,$M44,AT$13)="",10^12,OFFSET(CRONOPLE!$F$14,$M44,AT$13))))</f>
        <v>1000000000000</v>
      </c>
      <c r="AU44" s="181">
        <f ca="1">IF($D44&lt;&gt;"Serviço",0,IF(AND(AUTOEVENTO="Manual",$M44=1),0,IF(OFFSET(CRONOPLE!$F$14,$M44,AU$13)="",10^12,OFFSET(CRONOPLE!$F$14,$M44,AU$13))))</f>
        <v>1000000000000</v>
      </c>
      <c r="AV44" s="181">
        <f ca="1">IF($D44&lt;&gt;"Serviço",0,IF(AND(AUTOEVENTO="Manual",$M44=1),0,IF(OFFSET(CRONOPLE!$F$14,$M44,AV$13)="",10^12,OFFSET(CRONOPLE!$F$14,$M44,AV$13))))</f>
        <v>1000000000000</v>
      </c>
      <c r="AX44" s="182">
        <f ca="1">IF($D44&lt;&gt;"Serviço",0,IF(OR(AND(AUTOEVENTO="Manual",$M44=1),$M44&gt;(ROW(PLE.lastrow)-ROW(PLE.firstrow))),0,IF(OFFSET(PLE!$G$14,$M44,AX$13)="",10^12,OFFSET(PLE!$G$14,$M44,AX$13))))</f>
        <v>1000000000000</v>
      </c>
      <c r="AY44" s="182">
        <f ca="1">IF($D44&lt;&gt;"Serviço",0,IF(OR(AND(AUTOEVENTO="Manual",$M44=1),$M44&gt;(ROW(PLE.lastrow)-ROW(PLE.firstrow))),0,IF(OFFSET(PLE!$G$14,$M44,AY$13)="",10^12,OFFSET(PLE!$G$14,$M44,AY$13))))</f>
        <v>1000000000000</v>
      </c>
      <c r="AZ44" s="182">
        <f ca="1">IF($D44&lt;&gt;"Serviço",0,IF(OR(AND(AUTOEVENTO="Manual",$M44=1),$M44&gt;(ROW(PLE.lastrow)-ROW(PLE.firstrow))),0,IF(OFFSET(PLE!$G$14,$M44,AZ$13)="",10^12,OFFSET(PLE!$G$14,$M44,AZ$13))))</f>
        <v>1000000000000</v>
      </c>
      <c r="BA44" s="182">
        <f ca="1">IF($D44&lt;&gt;"Serviço",0,IF(OR(AND(AUTOEVENTO="Manual",$M44=1),$M44&gt;(ROW(PLE.lastrow)-ROW(PLE.firstrow))),0,IF(OFFSET(PLE!$G$14,$M44,BA$13)="",10^12,OFFSET(PLE!$G$14,$M44,BA$13))))</f>
        <v>1000000000000</v>
      </c>
      <c r="BB44" s="182">
        <f ca="1">IF($D44&lt;&gt;"Serviço",0,IF(OR(AND(AUTOEVENTO="Manual",$M44=1),$M44&gt;(ROW(PLE.lastrow)-ROW(PLE.firstrow))),0,IF(OFFSET(PLE!$G$14,$M44,BB$13)="",10^12,OFFSET(PLE!$G$14,$M44,BB$13))))</f>
        <v>1000000000000</v>
      </c>
      <c r="BC44" s="182">
        <f ca="1">IF($D44&lt;&gt;"Serviço",0,IF(OR(AND(AUTOEVENTO="Manual",$M44=1),$M44&gt;(ROW(PLE.lastrow)-ROW(PLE.firstrow))),0,IF(OFFSET(PLE!$G$14,$M44,BC$13)="",10^12,OFFSET(PLE!$G$14,$M44,BC$13))))</f>
        <v>1000000000000</v>
      </c>
      <c r="BD44" s="182">
        <f ca="1">IF($D44&lt;&gt;"Serviço",0,IF(OR(AND(AUTOEVENTO="Manual",$M44=1),$M44&gt;(ROW(PLE.lastrow)-ROW(PLE.firstrow))),0,IF(OFFSET(PLE!$G$14,$M44,BD$13)="",10^12,OFFSET(PLE!$G$14,$M44,BD$13))))</f>
        <v>1000000000000</v>
      </c>
      <c r="BE44" s="182">
        <f ca="1">IF($D44&lt;&gt;"Serviço",0,IF(OR(AND(AUTOEVENTO="Manual",$M44=1),$M44&gt;(ROW(PLE.lastrow)-ROW(PLE.firstrow))),0,IF(OFFSET(PLE!$G$14,$M44,BE$13)="",10^12,OFFSET(PLE!$G$14,$M44,BE$13))))</f>
        <v>1000000000000</v>
      </c>
      <c r="BF44" s="182">
        <f ca="1">IF($D44&lt;&gt;"Serviço",0,IF(OR(AND(AUTOEVENTO="Manual",$M44=1),$M44&gt;(ROW(PLE.lastrow)-ROW(PLE.firstrow))),0,IF(OFFSET(PLE!$G$14,$M44,BF$13)="",10^12,OFFSET(PLE!$G$14,$M44,BF$13))))</f>
        <v>1000000000000</v>
      </c>
      <c r="BG44" s="182">
        <f ca="1">IF($D44&lt;&gt;"Serviço",0,IF(OR(AND(AUTOEVENTO="Manual",$M44=1),$M44&gt;(ROW(PLE.lastrow)-ROW(PLE.firstrow))),0,IF(OFFSET(PLE!$G$14,$M44,BG$13)="",10^12,OFFSET(PLE!$G$14,$M44,BG$13))))</f>
        <v>1000000000000</v>
      </c>
    </row>
    <row r="45" spans="1:59" ht="25.5" x14ac:dyDescent="0.2">
      <c r="A45" s="7" t="str">
        <f ca="1">IF(AUTOEVENTO="Manual",IF(K45&lt;&gt;"",MIN(VALUE(LEFT(K45,FIND(".",K45)-1)),COUNTA(EVENTOS.Lista)),0),IF(OR($B45&gt;AUTOEVENTO,$B45="S",$B45=0),SUBSTITUTE(OFFSET($A45,-1,0),IF($D45="Serviço",".",""),""),ROW(A45)-ROW($A$15)&amp;"."))</f>
        <v>28</v>
      </c>
      <c r="B45" s="7" t="str">
        <f ca="1">OFFSET(ORÇAMENTO!C$15,ROW(B45)-ROW(B$15),0)</f>
        <v>S</v>
      </c>
      <c r="C45" s="7" t="str">
        <f ca="1">OFFSET(ORÇAMENTO!L$15,ROW(C45)-ROW(C$15),0)</f>
        <v/>
      </c>
      <c r="D45" s="118" t="str">
        <f ca="1">OFFSET(ORÇAMENTO!N$15,ROW(D45)-ROW(D$15),0)</f>
        <v>Serviço</v>
      </c>
      <c r="E45" s="119" t="str">
        <f ca="1">OFFSET(ORÇAMENTO!O$15,ROW(E45)-ROW(E$15),0)</f>
        <v>-</v>
      </c>
      <c r="F45" s="172" t="str">
        <f ca="1">OFFSET(ORÇAMENTO!R$15,ROW(F45)-ROW(F$15),0)</f>
        <v>(abra o arquivo 'Referência 05-Friday.xlsm)</v>
      </c>
      <c r="G45" s="173" t="str">
        <f ca="1">IF($D45&lt;&gt;"Serviço","",OFFSET(ORÇAMENTO!S$15,ROW(G45)-ROW(G$15),0))</f>
        <v>-</v>
      </c>
      <c r="H45" s="124">
        <f ca="1">IF($D45&lt;&gt;"Serviço",0,IF(ACOMPANHAMENTO="BM",ROUND(OFFSET(ORÇAMENTO!AJ$15,ROW(H45)-ROW(H$15),0),15-13*ORÇAMENTO!$AF$7),SUMPRODUCT(($Q$12:$AA$12&lt;&gt;"")*ROUND($Q45:$AA45,15-13*ORÇAMENTO!$AF$7))))</f>
        <v>43</v>
      </c>
      <c r="I45" s="539" t="s">
        <v>531</v>
      </c>
      <c r="K45" s="174"/>
      <c r="L45" s="175" t="s">
        <v>254</v>
      </c>
      <c r="M45" s="176">
        <f ca="1">IF($D45&lt;&gt;"Serviço","",IF(AUTOEVENTO="manual",$A45,IF(ISERROR(MATCH($A45,$A$15:OFFSET($A45,-1,0),0)),MAX($M$15:OFFSET(M45,-1,0))+1,INDEX($M$15:OFFSET(M45,-1,0),MATCH($A45,$A$15:OFFSET($A45,-1,0),0)))))</f>
        <v>5</v>
      </c>
      <c r="N45" s="177" t="str">
        <f ca="1">IF($D45&lt;&gt;"Serviço","",IF(AUTOEVENTO="Manual",IF($A45=0,"&lt;-- defina o número do agrupador",OFFSET(EVENTOS!$D$14,$A45,0)),OFFSET($F$15,$A45,0)))</f>
        <v>PASSEIO E ACESSIBILIDADE</v>
      </c>
      <c r="O45" s="178"/>
      <c r="Q45" s="178">
        <v>43</v>
      </c>
      <c r="R45" s="179"/>
      <c r="S45" s="179"/>
      <c r="T45" s="179"/>
      <c r="U45" s="179"/>
      <c r="V45" s="179"/>
      <c r="W45" s="179"/>
      <c r="X45" s="179"/>
      <c r="Y45" s="179"/>
      <c r="Z45" s="180"/>
      <c r="AB45" s="522">
        <f ca="1">IF(AND($D45="Serviço",AB$12&lt;&gt;0,$H45&gt;0,OR(AUTOEVENTO&lt;&gt;"manual",$M45&lt;&gt;1)),
IF(Import.TipoArredondamento&lt;&gt;"TransfereGOV",
ROUND(OFFSET($P45,0,AB$13),15-13*ORÇAMENTO!$AF$7)/$H45*OFFSET(ORÇAMENTO!$X$15,ROW(AB45)-ROW(AB$15),0),
ROUND(ROUND(OFFSET($P45,0,AB$13),15-13*ORÇAMENTO!$AF$7)*OFFSET(ORÇAMENTO!$W$15,ROW(AB45)-ROW(AB$15),0),15-13*ORÇAMENTO!$AF$11)),0)</f>
        <v>0</v>
      </c>
      <c r="AC45" s="523">
        <f ca="1">IF(AND($D45="Serviço",AC$12&lt;&gt;0,$H45&gt;0,OR(AUTOEVENTO&lt;&gt;"manual",$M45&lt;&gt;1)),
IF(Import.TipoArredondamento&lt;&gt;"TransfereGOV",
ROUND(OFFSET($P45,0,AC$13),15-13*ORÇAMENTO!$AF$7)/$H45*OFFSET(ORÇAMENTO!$X$15,ROW(AC45)-ROW(AC$15),0),
ROUND(ROUND(OFFSET($P45,0,AC$13),15-13*ORÇAMENTO!$AF$7)*OFFSET(ORÇAMENTO!$W$15,ROW(AC45)-ROW(AC$15),0),15-13*ORÇAMENTO!$AF$11)),0)</f>
        <v>0</v>
      </c>
      <c r="AD45" s="523">
        <f ca="1">IF(AND($D45="Serviço",AD$12&lt;&gt;0,$H45&gt;0,OR(AUTOEVENTO&lt;&gt;"manual",$M45&lt;&gt;1)),
IF(Import.TipoArredondamento&lt;&gt;"TransfereGOV",
ROUND(OFFSET($P45,0,AD$13),15-13*ORÇAMENTO!$AF$7)/$H45*OFFSET(ORÇAMENTO!$X$15,ROW(AD45)-ROW(AD$15),0),
ROUND(ROUND(OFFSET($P45,0,AD$13),15-13*ORÇAMENTO!$AF$7)*OFFSET(ORÇAMENTO!$W$15,ROW(AD45)-ROW(AD$15),0),15-13*ORÇAMENTO!$AF$11)),0)</f>
        <v>0</v>
      </c>
      <c r="AE45" s="523">
        <f ca="1">IF(AND($D45="Serviço",AE$12&lt;&gt;0,$H45&gt;0,OR(AUTOEVENTO&lt;&gt;"manual",$M45&lt;&gt;1)),
IF(Import.TipoArredondamento&lt;&gt;"TransfereGOV",
ROUND(OFFSET($P45,0,AE$13),15-13*ORÇAMENTO!$AF$7)/$H45*OFFSET(ORÇAMENTO!$X$15,ROW(AE45)-ROW(AE$15),0),
ROUND(ROUND(OFFSET($P45,0,AE$13),15-13*ORÇAMENTO!$AF$7)*OFFSET(ORÇAMENTO!$W$15,ROW(AE45)-ROW(AE$15),0),15-13*ORÇAMENTO!$AF$11)),0)</f>
        <v>0</v>
      </c>
      <c r="AF45" s="523">
        <f ca="1">IF(AND($D45="Serviço",AF$12&lt;&gt;0,$H45&gt;0,OR(AUTOEVENTO&lt;&gt;"manual",$M45&lt;&gt;1)),
IF(Import.TipoArredondamento&lt;&gt;"TransfereGOV",
ROUND(OFFSET($P45,0,AF$13),15-13*ORÇAMENTO!$AF$7)/$H45*OFFSET(ORÇAMENTO!$X$15,ROW(AF45)-ROW(AF$15),0),
ROUND(ROUND(OFFSET($P45,0,AF$13),15-13*ORÇAMENTO!$AF$7)*OFFSET(ORÇAMENTO!$W$15,ROW(AF45)-ROW(AF$15),0),15-13*ORÇAMENTO!$AF$11)),0)</f>
        <v>0</v>
      </c>
      <c r="AG45" s="523">
        <f ca="1">IF(AND($D45="Serviço",AG$12&lt;&gt;0,$H45&gt;0,OR(AUTOEVENTO&lt;&gt;"manual",$M45&lt;&gt;1)),
IF(Import.TipoArredondamento&lt;&gt;"TransfereGOV",
ROUND(OFFSET($P45,0,AG$13),15-13*ORÇAMENTO!$AF$7)/$H45*OFFSET(ORÇAMENTO!$X$15,ROW(AG45)-ROW(AG$15),0),
ROUND(ROUND(OFFSET($P45,0,AG$13),15-13*ORÇAMENTO!$AF$7)*OFFSET(ORÇAMENTO!$W$15,ROW(AG45)-ROW(AG$15),0),15-13*ORÇAMENTO!$AF$11)),0)</f>
        <v>0</v>
      </c>
      <c r="AH45" s="523">
        <f ca="1">IF(AND($D45="Serviço",AH$12&lt;&gt;0,$H45&gt;0,OR(AUTOEVENTO&lt;&gt;"manual",$M45&lt;&gt;1)),
IF(Import.TipoArredondamento&lt;&gt;"TransfereGOV",
ROUND(OFFSET($P45,0,AH$13),15-13*ORÇAMENTO!$AF$7)/$H45*OFFSET(ORÇAMENTO!$X$15,ROW(AH45)-ROW(AH$15),0),
ROUND(ROUND(OFFSET($P45,0,AH$13),15-13*ORÇAMENTO!$AF$7)*OFFSET(ORÇAMENTO!$W$15,ROW(AH45)-ROW(AH$15),0),15-13*ORÇAMENTO!$AF$11)),0)</f>
        <v>0</v>
      </c>
      <c r="AI45" s="523">
        <f ca="1">IF(AND($D45="Serviço",AI$12&lt;&gt;0,$H45&gt;0,OR(AUTOEVENTO&lt;&gt;"manual",$M45&lt;&gt;1)),
IF(Import.TipoArredondamento&lt;&gt;"TransfereGOV",
ROUND(OFFSET($P45,0,AI$13),15-13*ORÇAMENTO!$AF$7)/$H45*OFFSET(ORÇAMENTO!$X$15,ROW(AI45)-ROW(AI$15),0),
ROUND(ROUND(OFFSET($P45,0,AI$13),15-13*ORÇAMENTO!$AF$7)*OFFSET(ORÇAMENTO!$W$15,ROW(AI45)-ROW(AI$15),0),15-13*ORÇAMENTO!$AF$11)),0)</f>
        <v>0</v>
      </c>
      <c r="AJ45" s="523">
        <f ca="1">IF(AND($D45="Serviço",AJ$12&lt;&gt;0,$H45&gt;0,OR(AUTOEVENTO&lt;&gt;"manual",$M45&lt;&gt;1)),
IF(Import.TipoArredondamento&lt;&gt;"TransfereGOV",
ROUND(OFFSET($P45,0,AJ$13),15-13*ORÇAMENTO!$AF$7)/$H45*OFFSET(ORÇAMENTO!$X$15,ROW(AJ45)-ROW(AJ$15),0),
ROUND(ROUND(OFFSET($P45,0,AJ$13),15-13*ORÇAMENTO!$AF$7)*OFFSET(ORÇAMENTO!$W$15,ROW(AJ45)-ROW(AJ$15),0),15-13*ORÇAMENTO!$AF$11)),0)</f>
        <v>0</v>
      </c>
      <c r="AK45" s="524">
        <f ca="1">IF(AND($D45="Serviço",AK$12&lt;&gt;0,$H45&gt;0,OR(AUTOEVENTO&lt;&gt;"manual",$M45&lt;&gt;1)),
IF(Import.TipoArredondamento&lt;&gt;"TransfereGOV",
ROUND(OFFSET($P45,0,AK$13),15-13*ORÇAMENTO!$AF$7)/$H45*OFFSET(ORÇAMENTO!$X$15,ROW(AK45)-ROW(AK$15),0),
ROUND(ROUND(OFFSET($P45,0,AK$13),15-13*ORÇAMENTO!$AF$7)*OFFSET(ORÇAMENTO!$W$15,ROW(AK45)-ROW(AK$15),0),15-13*ORÇAMENTO!$AF$11)),0)</f>
        <v>0</v>
      </c>
      <c r="AM45" s="181">
        <f ca="1">IF($D45&lt;&gt;"Serviço",0,IF(AND(AUTOEVENTO="Manual",$M45=1),0,IF(OFFSET(CRONOPLE!$F$14,$M45,AM$13)="",10^12,OFFSET(CRONOPLE!$F$14,$M45,AM$13))))</f>
        <v>1</v>
      </c>
      <c r="AN45" s="181">
        <f ca="1">IF($D45&lt;&gt;"Serviço",0,IF(AND(AUTOEVENTO="Manual",$M45=1),0,IF(OFFSET(CRONOPLE!$F$14,$M45,AN$13)="",10^12,OFFSET(CRONOPLE!$F$14,$M45,AN$13))))</f>
        <v>2</v>
      </c>
      <c r="AO45" s="181">
        <f ca="1">IF($D45&lt;&gt;"Serviço",0,IF(AND(AUTOEVENTO="Manual",$M45=1),0,IF(OFFSET(CRONOPLE!$F$14,$M45,AO$13)="",10^12,OFFSET(CRONOPLE!$F$14,$M45,AO$13))))</f>
        <v>1000000000000</v>
      </c>
      <c r="AP45" s="181">
        <f ca="1">IF($D45&lt;&gt;"Serviço",0,IF(AND(AUTOEVENTO="Manual",$M45=1),0,IF(OFFSET(CRONOPLE!$F$14,$M45,AP$13)="",10^12,OFFSET(CRONOPLE!$F$14,$M45,AP$13))))</f>
        <v>1000000000000</v>
      </c>
      <c r="AQ45" s="181">
        <f ca="1">IF($D45&lt;&gt;"Serviço",0,IF(AND(AUTOEVENTO="Manual",$M45=1),0,IF(OFFSET(CRONOPLE!$F$14,$M45,AQ$13)="",10^12,OFFSET(CRONOPLE!$F$14,$M45,AQ$13))))</f>
        <v>1000000000000</v>
      </c>
      <c r="AR45" s="181">
        <f ca="1">IF($D45&lt;&gt;"Serviço",0,IF(AND(AUTOEVENTO="Manual",$M45=1),0,IF(OFFSET(CRONOPLE!$F$14,$M45,AR$13)="",10^12,OFFSET(CRONOPLE!$F$14,$M45,AR$13))))</f>
        <v>1000000000000</v>
      </c>
      <c r="AS45" s="181">
        <f ca="1">IF($D45&lt;&gt;"Serviço",0,IF(AND(AUTOEVENTO="Manual",$M45=1),0,IF(OFFSET(CRONOPLE!$F$14,$M45,AS$13)="",10^12,OFFSET(CRONOPLE!$F$14,$M45,AS$13))))</f>
        <v>1000000000000</v>
      </c>
      <c r="AT45" s="181">
        <f ca="1">IF($D45&lt;&gt;"Serviço",0,IF(AND(AUTOEVENTO="Manual",$M45=1),0,IF(OFFSET(CRONOPLE!$F$14,$M45,AT$13)="",10^12,OFFSET(CRONOPLE!$F$14,$M45,AT$13))))</f>
        <v>1000000000000</v>
      </c>
      <c r="AU45" s="181">
        <f ca="1">IF($D45&lt;&gt;"Serviço",0,IF(AND(AUTOEVENTO="Manual",$M45=1),0,IF(OFFSET(CRONOPLE!$F$14,$M45,AU$13)="",10^12,OFFSET(CRONOPLE!$F$14,$M45,AU$13))))</f>
        <v>1000000000000</v>
      </c>
      <c r="AV45" s="181">
        <f ca="1">IF($D45&lt;&gt;"Serviço",0,IF(AND(AUTOEVENTO="Manual",$M45=1),0,IF(OFFSET(CRONOPLE!$F$14,$M45,AV$13)="",10^12,OFFSET(CRONOPLE!$F$14,$M45,AV$13))))</f>
        <v>1000000000000</v>
      </c>
      <c r="AX45" s="182">
        <f ca="1">IF($D45&lt;&gt;"Serviço",0,IF(OR(AND(AUTOEVENTO="Manual",$M45=1),$M45&gt;(ROW(PLE.lastrow)-ROW(PLE.firstrow))),0,IF(OFFSET(PLE!$G$14,$M45,AX$13)="",10^12,OFFSET(PLE!$G$14,$M45,AX$13))))</f>
        <v>1000000000000</v>
      </c>
      <c r="AY45" s="182">
        <f ca="1">IF($D45&lt;&gt;"Serviço",0,IF(OR(AND(AUTOEVENTO="Manual",$M45=1),$M45&gt;(ROW(PLE.lastrow)-ROW(PLE.firstrow))),0,IF(OFFSET(PLE!$G$14,$M45,AY$13)="",10^12,OFFSET(PLE!$G$14,$M45,AY$13))))</f>
        <v>1000000000000</v>
      </c>
      <c r="AZ45" s="182">
        <f ca="1">IF($D45&lt;&gt;"Serviço",0,IF(OR(AND(AUTOEVENTO="Manual",$M45=1),$M45&gt;(ROW(PLE.lastrow)-ROW(PLE.firstrow))),0,IF(OFFSET(PLE!$G$14,$M45,AZ$13)="",10^12,OFFSET(PLE!$G$14,$M45,AZ$13))))</f>
        <v>1000000000000</v>
      </c>
      <c r="BA45" s="182">
        <f ca="1">IF($D45&lt;&gt;"Serviço",0,IF(OR(AND(AUTOEVENTO="Manual",$M45=1),$M45&gt;(ROW(PLE.lastrow)-ROW(PLE.firstrow))),0,IF(OFFSET(PLE!$G$14,$M45,BA$13)="",10^12,OFFSET(PLE!$G$14,$M45,BA$13))))</f>
        <v>1000000000000</v>
      </c>
      <c r="BB45" s="182">
        <f ca="1">IF($D45&lt;&gt;"Serviço",0,IF(OR(AND(AUTOEVENTO="Manual",$M45=1),$M45&gt;(ROW(PLE.lastrow)-ROW(PLE.firstrow))),0,IF(OFFSET(PLE!$G$14,$M45,BB$13)="",10^12,OFFSET(PLE!$G$14,$M45,BB$13))))</f>
        <v>1000000000000</v>
      </c>
      <c r="BC45" s="182">
        <f ca="1">IF($D45&lt;&gt;"Serviço",0,IF(OR(AND(AUTOEVENTO="Manual",$M45=1),$M45&gt;(ROW(PLE.lastrow)-ROW(PLE.firstrow))),0,IF(OFFSET(PLE!$G$14,$M45,BC$13)="",10^12,OFFSET(PLE!$G$14,$M45,BC$13))))</f>
        <v>1000000000000</v>
      </c>
      <c r="BD45" s="182">
        <f ca="1">IF($D45&lt;&gt;"Serviço",0,IF(OR(AND(AUTOEVENTO="Manual",$M45=1),$M45&gt;(ROW(PLE.lastrow)-ROW(PLE.firstrow))),0,IF(OFFSET(PLE!$G$14,$M45,BD$13)="",10^12,OFFSET(PLE!$G$14,$M45,BD$13))))</f>
        <v>1000000000000</v>
      </c>
      <c r="BE45" s="182">
        <f ca="1">IF($D45&lt;&gt;"Serviço",0,IF(OR(AND(AUTOEVENTO="Manual",$M45=1),$M45&gt;(ROW(PLE.lastrow)-ROW(PLE.firstrow))),0,IF(OFFSET(PLE!$G$14,$M45,BE$13)="",10^12,OFFSET(PLE!$G$14,$M45,BE$13))))</f>
        <v>1000000000000</v>
      </c>
      <c r="BF45" s="182">
        <f ca="1">IF($D45&lt;&gt;"Serviço",0,IF(OR(AND(AUTOEVENTO="Manual",$M45=1),$M45&gt;(ROW(PLE.lastrow)-ROW(PLE.firstrow))),0,IF(OFFSET(PLE!$G$14,$M45,BF$13)="",10^12,OFFSET(PLE!$G$14,$M45,BF$13))))</f>
        <v>1000000000000</v>
      </c>
      <c r="BG45" s="182">
        <f ca="1">IF($D45&lt;&gt;"Serviço",0,IF(OR(AND(AUTOEVENTO="Manual",$M45=1),$M45&gt;(ROW(PLE.lastrow)-ROW(PLE.firstrow))),0,IF(OFFSET(PLE!$G$14,$M45,BG$13)="",10^12,OFFSET(PLE!$G$14,$M45,BG$13))))</f>
        <v>1000000000000</v>
      </c>
    </row>
    <row r="46" spans="1:59" ht="12.75" x14ac:dyDescent="0.2">
      <c r="A46" s="7" t="str">
        <f ca="1">IF(AUTOEVENTO="Manual",IF(K46&lt;&gt;"",MIN(VALUE(LEFT(K46,FIND(".",K46)-1)),COUNTA(EVENTOS.Lista)),0),IF(OR($B46&gt;AUTOEVENTO,$B46="S",$B46=0),SUBSTITUTE(OFFSET($A46,-1,0),IF($D46="Serviço",".",""),""),ROW(A46)-ROW($A$15)&amp;"."))</f>
        <v>28</v>
      </c>
      <c r="B46" s="7" t="str">
        <f ca="1">OFFSET(ORÇAMENTO!C$15,ROW(B46)-ROW(B$15),0)</f>
        <v>S</v>
      </c>
      <c r="C46" s="7" t="str">
        <f ca="1">OFFSET(ORÇAMENTO!L$15,ROW(C46)-ROW(C$15),0)</f>
        <v/>
      </c>
      <c r="D46" s="118" t="str">
        <f ca="1">OFFSET(ORÇAMENTO!N$15,ROW(D46)-ROW(D$15),0)</f>
        <v>Serviço</v>
      </c>
      <c r="E46" s="119" t="str">
        <f ca="1">OFFSET(ORÇAMENTO!O$15,ROW(E46)-ROW(E$15),0)</f>
        <v>-</v>
      </c>
      <c r="F46" s="172" t="str">
        <f ca="1">OFFSET(ORÇAMENTO!R$15,ROW(F46)-ROW(F$15),0)</f>
        <v>(abra o arquivo 'Referência 05-Friday.xlsm)</v>
      </c>
      <c r="G46" s="173" t="str">
        <f ca="1">IF($D46&lt;&gt;"Serviço","",OFFSET(ORÇAMENTO!S$15,ROW(G46)-ROW(G$15),0))</f>
        <v>-</v>
      </c>
      <c r="H46" s="124">
        <f ca="1">IF($D46&lt;&gt;"Serviço",0,IF(ACOMPANHAMENTO="BM",ROUND(OFFSET(ORÇAMENTO!AJ$15,ROW(H46)-ROW(H$15),0),15-13*ORÇAMENTO!$AF$7),SUMPRODUCT(($Q$12:$AA$12&lt;&gt;"")*ROUND($Q46:$AA46,15-13*ORÇAMENTO!$AF$7))))</f>
        <v>4</v>
      </c>
      <c r="I46" s="539"/>
      <c r="K46" s="174"/>
      <c r="L46" s="175" t="s">
        <v>254</v>
      </c>
      <c r="M46" s="176">
        <f ca="1">IF($D46&lt;&gt;"Serviço","",IF(AUTOEVENTO="manual",$A46,IF(ISERROR(MATCH($A46,$A$15:OFFSET($A46,-1,0),0)),MAX($M$15:OFFSET(M46,-1,0))+1,INDEX($M$15:OFFSET(M46,-1,0),MATCH($A46,$A$15:OFFSET($A46,-1,0),0)))))</f>
        <v>5</v>
      </c>
      <c r="N46" s="177" t="str">
        <f ca="1">IF($D46&lt;&gt;"Serviço","",IF(AUTOEVENTO="Manual",IF($A46=0,"&lt;-- defina o número do agrupador",OFFSET(EVENTOS!$D$14,$A46,0)),OFFSET($F$15,$A46,0)))</f>
        <v>PASSEIO E ACESSIBILIDADE</v>
      </c>
      <c r="O46" s="178"/>
      <c r="Q46" s="178"/>
      <c r="R46" s="179">
        <v>4</v>
      </c>
      <c r="S46" s="179"/>
      <c r="T46" s="179"/>
      <c r="U46" s="179"/>
      <c r="V46" s="179"/>
      <c r="W46" s="179"/>
      <c r="X46" s="179"/>
      <c r="Y46" s="179"/>
      <c r="Z46" s="180"/>
      <c r="AB46" s="522">
        <f ca="1">IF(AND($D46="Serviço",AB$12&lt;&gt;0,$H46&gt;0,OR(AUTOEVENTO&lt;&gt;"manual",$M46&lt;&gt;1)),
IF(Import.TipoArredondamento&lt;&gt;"TransfereGOV",
ROUND(OFFSET($P46,0,AB$13),15-13*ORÇAMENTO!$AF$7)/$H46*OFFSET(ORÇAMENTO!$X$15,ROW(AB46)-ROW(AB$15),0),
ROUND(ROUND(OFFSET($P46,0,AB$13),15-13*ORÇAMENTO!$AF$7)*OFFSET(ORÇAMENTO!$W$15,ROW(AB46)-ROW(AB$15),0),15-13*ORÇAMENTO!$AF$11)),0)</f>
        <v>0</v>
      </c>
      <c r="AC46" s="523">
        <f ca="1">IF(AND($D46="Serviço",AC$12&lt;&gt;0,$H46&gt;0,OR(AUTOEVENTO&lt;&gt;"manual",$M46&lt;&gt;1)),
IF(Import.TipoArredondamento&lt;&gt;"TransfereGOV",
ROUND(OFFSET($P46,0,AC$13),15-13*ORÇAMENTO!$AF$7)/$H46*OFFSET(ORÇAMENTO!$X$15,ROW(AC46)-ROW(AC$15),0),
ROUND(ROUND(OFFSET($P46,0,AC$13),15-13*ORÇAMENTO!$AF$7)*OFFSET(ORÇAMENTO!$W$15,ROW(AC46)-ROW(AC$15),0),15-13*ORÇAMENTO!$AF$11)),0)</f>
        <v>0</v>
      </c>
      <c r="AD46" s="523">
        <f ca="1">IF(AND($D46="Serviço",AD$12&lt;&gt;0,$H46&gt;0,OR(AUTOEVENTO&lt;&gt;"manual",$M46&lt;&gt;1)),
IF(Import.TipoArredondamento&lt;&gt;"TransfereGOV",
ROUND(OFFSET($P46,0,AD$13),15-13*ORÇAMENTO!$AF$7)/$H46*OFFSET(ORÇAMENTO!$X$15,ROW(AD46)-ROW(AD$15),0),
ROUND(ROUND(OFFSET($P46,0,AD$13),15-13*ORÇAMENTO!$AF$7)*OFFSET(ORÇAMENTO!$W$15,ROW(AD46)-ROW(AD$15),0),15-13*ORÇAMENTO!$AF$11)),0)</f>
        <v>0</v>
      </c>
      <c r="AE46" s="523">
        <f ca="1">IF(AND($D46="Serviço",AE$12&lt;&gt;0,$H46&gt;0,OR(AUTOEVENTO&lt;&gt;"manual",$M46&lt;&gt;1)),
IF(Import.TipoArredondamento&lt;&gt;"TransfereGOV",
ROUND(OFFSET($P46,0,AE$13),15-13*ORÇAMENTO!$AF$7)/$H46*OFFSET(ORÇAMENTO!$X$15,ROW(AE46)-ROW(AE$15),0),
ROUND(ROUND(OFFSET($P46,0,AE$13),15-13*ORÇAMENTO!$AF$7)*OFFSET(ORÇAMENTO!$W$15,ROW(AE46)-ROW(AE$15),0),15-13*ORÇAMENTO!$AF$11)),0)</f>
        <v>0</v>
      </c>
      <c r="AF46" s="523">
        <f ca="1">IF(AND($D46="Serviço",AF$12&lt;&gt;0,$H46&gt;0,OR(AUTOEVENTO&lt;&gt;"manual",$M46&lt;&gt;1)),
IF(Import.TipoArredondamento&lt;&gt;"TransfereGOV",
ROUND(OFFSET($P46,0,AF$13),15-13*ORÇAMENTO!$AF$7)/$H46*OFFSET(ORÇAMENTO!$X$15,ROW(AF46)-ROW(AF$15),0),
ROUND(ROUND(OFFSET($P46,0,AF$13),15-13*ORÇAMENTO!$AF$7)*OFFSET(ORÇAMENTO!$W$15,ROW(AF46)-ROW(AF$15),0),15-13*ORÇAMENTO!$AF$11)),0)</f>
        <v>0</v>
      </c>
      <c r="AG46" s="523">
        <f ca="1">IF(AND($D46="Serviço",AG$12&lt;&gt;0,$H46&gt;0,OR(AUTOEVENTO&lt;&gt;"manual",$M46&lt;&gt;1)),
IF(Import.TipoArredondamento&lt;&gt;"TransfereGOV",
ROUND(OFFSET($P46,0,AG$13),15-13*ORÇAMENTO!$AF$7)/$H46*OFFSET(ORÇAMENTO!$X$15,ROW(AG46)-ROW(AG$15),0),
ROUND(ROUND(OFFSET($P46,0,AG$13),15-13*ORÇAMENTO!$AF$7)*OFFSET(ORÇAMENTO!$W$15,ROW(AG46)-ROW(AG$15),0),15-13*ORÇAMENTO!$AF$11)),0)</f>
        <v>0</v>
      </c>
      <c r="AH46" s="523">
        <f ca="1">IF(AND($D46="Serviço",AH$12&lt;&gt;0,$H46&gt;0,OR(AUTOEVENTO&lt;&gt;"manual",$M46&lt;&gt;1)),
IF(Import.TipoArredondamento&lt;&gt;"TransfereGOV",
ROUND(OFFSET($P46,0,AH$13),15-13*ORÇAMENTO!$AF$7)/$H46*OFFSET(ORÇAMENTO!$X$15,ROW(AH46)-ROW(AH$15),0),
ROUND(ROUND(OFFSET($P46,0,AH$13),15-13*ORÇAMENTO!$AF$7)*OFFSET(ORÇAMENTO!$W$15,ROW(AH46)-ROW(AH$15),0),15-13*ORÇAMENTO!$AF$11)),0)</f>
        <v>0</v>
      </c>
      <c r="AI46" s="523">
        <f ca="1">IF(AND($D46="Serviço",AI$12&lt;&gt;0,$H46&gt;0,OR(AUTOEVENTO&lt;&gt;"manual",$M46&lt;&gt;1)),
IF(Import.TipoArredondamento&lt;&gt;"TransfereGOV",
ROUND(OFFSET($P46,0,AI$13),15-13*ORÇAMENTO!$AF$7)/$H46*OFFSET(ORÇAMENTO!$X$15,ROW(AI46)-ROW(AI$15),0),
ROUND(ROUND(OFFSET($P46,0,AI$13),15-13*ORÇAMENTO!$AF$7)*OFFSET(ORÇAMENTO!$W$15,ROW(AI46)-ROW(AI$15),0),15-13*ORÇAMENTO!$AF$11)),0)</f>
        <v>0</v>
      </c>
      <c r="AJ46" s="523">
        <f ca="1">IF(AND($D46="Serviço",AJ$12&lt;&gt;0,$H46&gt;0,OR(AUTOEVENTO&lt;&gt;"manual",$M46&lt;&gt;1)),
IF(Import.TipoArredondamento&lt;&gt;"TransfereGOV",
ROUND(OFFSET($P46,0,AJ$13),15-13*ORÇAMENTO!$AF$7)/$H46*OFFSET(ORÇAMENTO!$X$15,ROW(AJ46)-ROW(AJ$15),0),
ROUND(ROUND(OFFSET($P46,0,AJ$13),15-13*ORÇAMENTO!$AF$7)*OFFSET(ORÇAMENTO!$W$15,ROW(AJ46)-ROW(AJ$15),0),15-13*ORÇAMENTO!$AF$11)),0)</f>
        <v>0</v>
      </c>
      <c r="AK46" s="524">
        <f ca="1">IF(AND($D46="Serviço",AK$12&lt;&gt;0,$H46&gt;0,OR(AUTOEVENTO&lt;&gt;"manual",$M46&lt;&gt;1)),
IF(Import.TipoArredondamento&lt;&gt;"TransfereGOV",
ROUND(OFFSET($P46,0,AK$13),15-13*ORÇAMENTO!$AF$7)/$H46*OFFSET(ORÇAMENTO!$X$15,ROW(AK46)-ROW(AK$15),0),
ROUND(ROUND(OFFSET($P46,0,AK$13),15-13*ORÇAMENTO!$AF$7)*OFFSET(ORÇAMENTO!$W$15,ROW(AK46)-ROW(AK$15),0),15-13*ORÇAMENTO!$AF$11)),0)</f>
        <v>0</v>
      </c>
      <c r="AM46" s="181">
        <f ca="1">IF($D46&lt;&gt;"Serviço",0,IF(AND(AUTOEVENTO="Manual",$M46=1),0,IF(OFFSET(CRONOPLE!$F$14,$M46,AM$13)="",10^12,OFFSET(CRONOPLE!$F$14,$M46,AM$13))))</f>
        <v>1</v>
      </c>
      <c r="AN46" s="181">
        <f ca="1">IF($D46&lt;&gt;"Serviço",0,IF(AND(AUTOEVENTO="Manual",$M46=1),0,IF(OFFSET(CRONOPLE!$F$14,$M46,AN$13)="",10^12,OFFSET(CRONOPLE!$F$14,$M46,AN$13))))</f>
        <v>2</v>
      </c>
      <c r="AO46" s="181">
        <f ca="1">IF($D46&lt;&gt;"Serviço",0,IF(AND(AUTOEVENTO="Manual",$M46=1),0,IF(OFFSET(CRONOPLE!$F$14,$M46,AO$13)="",10^12,OFFSET(CRONOPLE!$F$14,$M46,AO$13))))</f>
        <v>1000000000000</v>
      </c>
      <c r="AP46" s="181">
        <f ca="1">IF($D46&lt;&gt;"Serviço",0,IF(AND(AUTOEVENTO="Manual",$M46=1),0,IF(OFFSET(CRONOPLE!$F$14,$M46,AP$13)="",10^12,OFFSET(CRONOPLE!$F$14,$M46,AP$13))))</f>
        <v>1000000000000</v>
      </c>
      <c r="AQ46" s="181">
        <f ca="1">IF($D46&lt;&gt;"Serviço",0,IF(AND(AUTOEVENTO="Manual",$M46=1),0,IF(OFFSET(CRONOPLE!$F$14,$M46,AQ$13)="",10^12,OFFSET(CRONOPLE!$F$14,$M46,AQ$13))))</f>
        <v>1000000000000</v>
      </c>
      <c r="AR46" s="181">
        <f ca="1">IF($D46&lt;&gt;"Serviço",0,IF(AND(AUTOEVENTO="Manual",$M46=1),0,IF(OFFSET(CRONOPLE!$F$14,$M46,AR$13)="",10^12,OFFSET(CRONOPLE!$F$14,$M46,AR$13))))</f>
        <v>1000000000000</v>
      </c>
      <c r="AS46" s="181">
        <f ca="1">IF($D46&lt;&gt;"Serviço",0,IF(AND(AUTOEVENTO="Manual",$M46=1),0,IF(OFFSET(CRONOPLE!$F$14,$M46,AS$13)="",10^12,OFFSET(CRONOPLE!$F$14,$M46,AS$13))))</f>
        <v>1000000000000</v>
      </c>
      <c r="AT46" s="181">
        <f ca="1">IF($D46&lt;&gt;"Serviço",0,IF(AND(AUTOEVENTO="Manual",$M46=1),0,IF(OFFSET(CRONOPLE!$F$14,$M46,AT$13)="",10^12,OFFSET(CRONOPLE!$F$14,$M46,AT$13))))</f>
        <v>1000000000000</v>
      </c>
      <c r="AU46" s="181">
        <f ca="1">IF($D46&lt;&gt;"Serviço",0,IF(AND(AUTOEVENTO="Manual",$M46=1),0,IF(OFFSET(CRONOPLE!$F$14,$M46,AU$13)="",10^12,OFFSET(CRONOPLE!$F$14,$M46,AU$13))))</f>
        <v>1000000000000</v>
      </c>
      <c r="AV46" s="181">
        <f ca="1">IF($D46&lt;&gt;"Serviço",0,IF(AND(AUTOEVENTO="Manual",$M46=1),0,IF(OFFSET(CRONOPLE!$F$14,$M46,AV$13)="",10^12,OFFSET(CRONOPLE!$F$14,$M46,AV$13))))</f>
        <v>1000000000000</v>
      </c>
      <c r="AX46" s="182">
        <f ca="1">IF($D46&lt;&gt;"Serviço",0,IF(OR(AND(AUTOEVENTO="Manual",$M46=1),$M46&gt;(ROW(PLE.lastrow)-ROW(PLE.firstrow))),0,IF(OFFSET(PLE!$G$14,$M46,AX$13)="",10^12,OFFSET(PLE!$G$14,$M46,AX$13))))</f>
        <v>1000000000000</v>
      </c>
      <c r="AY46" s="182">
        <f ca="1">IF($D46&lt;&gt;"Serviço",0,IF(OR(AND(AUTOEVENTO="Manual",$M46=1),$M46&gt;(ROW(PLE.lastrow)-ROW(PLE.firstrow))),0,IF(OFFSET(PLE!$G$14,$M46,AY$13)="",10^12,OFFSET(PLE!$G$14,$M46,AY$13))))</f>
        <v>1000000000000</v>
      </c>
      <c r="AZ46" s="182">
        <f ca="1">IF($D46&lt;&gt;"Serviço",0,IF(OR(AND(AUTOEVENTO="Manual",$M46=1),$M46&gt;(ROW(PLE.lastrow)-ROW(PLE.firstrow))),0,IF(OFFSET(PLE!$G$14,$M46,AZ$13)="",10^12,OFFSET(PLE!$G$14,$M46,AZ$13))))</f>
        <v>1000000000000</v>
      </c>
      <c r="BA46" s="182">
        <f ca="1">IF($D46&lt;&gt;"Serviço",0,IF(OR(AND(AUTOEVENTO="Manual",$M46=1),$M46&gt;(ROW(PLE.lastrow)-ROW(PLE.firstrow))),0,IF(OFFSET(PLE!$G$14,$M46,BA$13)="",10^12,OFFSET(PLE!$G$14,$M46,BA$13))))</f>
        <v>1000000000000</v>
      </c>
      <c r="BB46" s="182">
        <f ca="1">IF($D46&lt;&gt;"Serviço",0,IF(OR(AND(AUTOEVENTO="Manual",$M46=1),$M46&gt;(ROW(PLE.lastrow)-ROW(PLE.firstrow))),0,IF(OFFSET(PLE!$G$14,$M46,BB$13)="",10^12,OFFSET(PLE!$G$14,$M46,BB$13))))</f>
        <v>1000000000000</v>
      </c>
      <c r="BC46" s="182">
        <f ca="1">IF($D46&lt;&gt;"Serviço",0,IF(OR(AND(AUTOEVENTO="Manual",$M46=1),$M46&gt;(ROW(PLE.lastrow)-ROW(PLE.firstrow))),0,IF(OFFSET(PLE!$G$14,$M46,BC$13)="",10^12,OFFSET(PLE!$G$14,$M46,BC$13))))</f>
        <v>1000000000000</v>
      </c>
      <c r="BD46" s="182">
        <f ca="1">IF($D46&lt;&gt;"Serviço",0,IF(OR(AND(AUTOEVENTO="Manual",$M46=1),$M46&gt;(ROW(PLE.lastrow)-ROW(PLE.firstrow))),0,IF(OFFSET(PLE!$G$14,$M46,BD$13)="",10^12,OFFSET(PLE!$G$14,$M46,BD$13))))</f>
        <v>1000000000000</v>
      </c>
      <c r="BE46" s="182">
        <f ca="1">IF($D46&lt;&gt;"Serviço",0,IF(OR(AND(AUTOEVENTO="Manual",$M46=1),$M46&gt;(ROW(PLE.lastrow)-ROW(PLE.firstrow))),0,IF(OFFSET(PLE!$G$14,$M46,BE$13)="",10^12,OFFSET(PLE!$G$14,$M46,BE$13))))</f>
        <v>1000000000000</v>
      </c>
      <c r="BF46" s="182">
        <f ca="1">IF($D46&lt;&gt;"Serviço",0,IF(OR(AND(AUTOEVENTO="Manual",$M46=1),$M46&gt;(ROW(PLE.lastrow)-ROW(PLE.firstrow))),0,IF(OFFSET(PLE!$G$14,$M46,BF$13)="",10^12,OFFSET(PLE!$G$14,$M46,BF$13))))</f>
        <v>1000000000000</v>
      </c>
      <c r="BG46" s="182">
        <f ca="1">IF($D46&lt;&gt;"Serviço",0,IF(OR(AND(AUTOEVENTO="Manual",$M46=1),$M46&gt;(ROW(PLE.lastrow)-ROW(PLE.firstrow))),0,IF(OFFSET(PLE!$G$14,$M46,BG$13)="",10^12,OFFSET(PLE!$G$14,$M46,BG$13))))</f>
        <v>1000000000000</v>
      </c>
    </row>
    <row r="47" spans="1:59" ht="12.75" x14ac:dyDescent="0.2">
      <c r="A47" s="7" t="str">
        <f t="shared" ca="1" si="10"/>
        <v>32.</v>
      </c>
      <c r="B47" s="7">
        <f ca="1">OFFSET(ORÇAMENTO!C$15,ROW(B47)-ROW(B$15),0)</f>
        <v>2</v>
      </c>
      <c r="C47" s="7" t="str">
        <f ca="1">OFFSET(ORÇAMENTO!L$15,ROW(C47)-ROW(C$15),0)</f>
        <v>F</v>
      </c>
      <c r="D47" s="118" t="str">
        <f ca="1">OFFSET(ORÇAMENTO!N$15,ROW(D47)-ROW(D$15),0)</f>
        <v>Nível 2</v>
      </c>
      <c r="E47" s="119" t="str">
        <f ca="1">OFFSET(ORÇAMENTO!O$15,ROW(E47)-ROW(E$15),0)</f>
        <v>1.5.</v>
      </c>
      <c r="F47" s="172" t="str">
        <f ca="1">OFFSET(ORÇAMENTO!R$15,ROW(F47)-ROW(F$15),0)</f>
        <v>SINALIZAÇÃO</v>
      </c>
      <c r="G47" s="173" t="str">
        <f ca="1">IF($D47&lt;&gt;"Serviço","",OFFSET(ORÇAMENTO!S$15,ROW(G47)-ROW(G$15),0))</f>
        <v/>
      </c>
      <c r="H47" s="124">
        <f ca="1">IF($D47&lt;&gt;"Serviço",0,IF(ACOMPANHAMENTO="BM",ROUND(OFFSET(ORÇAMENTO!AJ$15,ROW(H47)-ROW(H$15),0),15-13*ORÇAMENTO!$AF$7),SUMPRODUCT(($Q$12:$AA$12&lt;&gt;"")*ROUND($Q47:$AA47,15-13*ORÇAMENTO!$AF$7))))</f>
        <v>0</v>
      </c>
      <c r="I47" s="539"/>
      <c r="K47" s="174"/>
      <c r="L47" s="175" t="s">
        <v>254</v>
      </c>
      <c r="M47" s="176" t="str">
        <f ca="1">IF($D47&lt;&gt;"Serviço","",IF(AUTOEVENTO="manual",$A47,IF(ISERROR(MATCH($A47,$A$15:OFFSET($A47,-1,0),0)),MAX($M$15:OFFSET(M47,-1,0))+1,INDEX($M$15:OFFSET(M47,-1,0),MATCH($A47,$A$15:OFFSET($A47,-1,0),0)))))</f>
        <v/>
      </c>
      <c r="N47" s="177" t="str">
        <f ca="1">IF($D47&lt;&gt;"Serviço","",IF(AUTOEVENTO="Manual",IF($A47=0,"&lt;-- defina o número do agrupador",OFFSET(EVENTOS!$D$14,$A47,0)),OFFSET($F$15,$A47,0)))</f>
        <v/>
      </c>
      <c r="O47" s="178"/>
      <c r="Q47" s="178"/>
      <c r="R47" s="179"/>
      <c r="S47" s="179"/>
      <c r="T47" s="179"/>
      <c r="U47" s="179"/>
      <c r="V47" s="179"/>
      <c r="W47" s="179"/>
      <c r="X47" s="179"/>
      <c r="Y47" s="179"/>
      <c r="Z47" s="180"/>
      <c r="AB47" s="522">
        <f ca="1">IF(AND($D47="Serviço",AB$12&lt;&gt;0,$H47&gt;0,OR(AUTOEVENTO&lt;&gt;"manual",$M47&lt;&gt;1)),
IF(Import.TipoArredondamento&lt;&gt;"TransfereGOV",
ROUND(OFFSET($P47,0,AB$13),15-13*ORÇAMENTO!$AF$7)/$H47*OFFSET(ORÇAMENTO!$X$15,ROW(AB47)-ROW(AB$15),0),
ROUND(ROUND(OFFSET($P47,0,AB$13),15-13*ORÇAMENTO!$AF$7)*OFFSET(ORÇAMENTO!$W$15,ROW(AB47)-ROW(AB$15),0),15-13*ORÇAMENTO!$AF$11)),0)</f>
        <v>0</v>
      </c>
      <c r="AC47" s="523">
        <f ca="1">IF(AND($D47="Serviço",AC$12&lt;&gt;0,$H47&gt;0,OR(AUTOEVENTO&lt;&gt;"manual",$M47&lt;&gt;1)),
IF(Import.TipoArredondamento&lt;&gt;"TransfereGOV",
ROUND(OFFSET($P47,0,AC$13),15-13*ORÇAMENTO!$AF$7)/$H47*OFFSET(ORÇAMENTO!$X$15,ROW(AC47)-ROW(AC$15),0),
ROUND(ROUND(OFFSET($P47,0,AC$13),15-13*ORÇAMENTO!$AF$7)*OFFSET(ORÇAMENTO!$W$15,ROW(AC47)-ROW(AC$15),0),15-13*ORÇAMENTO!$AF$11)),0)</f>
        <v>0</v>
      </c>
      <c r="AD47" s="523">
        <f ca="1">IF(AND($D47="Serviço",AD$12&lt;&gt;0,$H47&gt;0,OR(AUTOEVENTO&lt;&gt;"manual",$M47&lt;&gt;1)),
IF(Import.TipoArredondamento&lt;&gt;"TransfereGOV",
ROUND(OFFSET($P47,0,AD$13),15-13*ORÇAMENTO!$AF$7)/$H47*OFFSET(ORÇAMENTO!$X$15,ROW(AD47)-ROW(AD$15),0),
ROUND(ROUND(OFFSET($P47,0,AD$13),15-13*ORÇAMENTO!$AF$7)*OFFSET(ORÇAMENTO!$W$15,ROW(AD47)-ROW(AD$15),0),15-13*ORÇAMENTO!$AF$11)),0)</f>
        <v>0</v>
      </c>
      <c r="AE47" s="523">
        <f ca="1">IF(AND($D47="Serviço",AE$12&lt;&gt;0,$H47&gt;0,OR(AUTOEVENTO&lt;&gt;"manual",$M47&lt;&gt;1)),
IF(Import.TipoArredondamento&lt;&gt;"TransfereGOV",
ROUND(OFFSET($P47,0,AE$13),15-13*ORÇAMENTO!$AF$7)/$H47*OFFSET(ORÇAMENTO!$X$15,ROW(AE47)-ROW(AE$15),0),
ROUND(ROUND(OFFSET($P47,0,AE$13),15-13*ORÇAMENTO!$AF$7)*OFFSET(ORÇAMENTO!$W$15,ROW(AE47)-ROW(AE$15),0),15-13*ORÇAMENTO!$AF$11)),0)</f>
        <v>0</v>
      </c>
      <c r="AF47" s="523">
        <f ca="1">IF(AND($D47="Serviço",AF$12&lt;&gt;0,$H47&gt;0,OR(AUTOEVENTO&lt;&gt;"manual",$M47&lt;&gt;1)),
IF(Import.TipoArredondamento&lt;&gt;"TransfereGOV",
ROUND(OFFSET($P47,0,AF$13),15-13*ORÇAMENTO!$AF$7)/$H47*OFFSET(ORÇAMENTO!$X$15,ROW(AF47)-ROW(AF$15),0),
ROUND(ROUND(OFFSET($P47,0,AF$13),15-13*ORÇAMENTO!$AF$7)*OFFSET(ORÇAMENTO!$W$15,ROW(AF47)-ROW(AF$15),0),15-13*ORÇAMENTO!$AF$11)),0)</f>
        <v>0</v>
      </c>
      <c r="AG47" s="523">
        <f ca="1">IF(AND($D47="Serviço",AG$12&lt;&gt;0,$H47&gt;0,OR(AUTOEVENTO&lt;&gt;"manual",$M47&lt;&gt;1)),
IF(Import.TipoArredondamento&lt;&gt;"TransfereGOV",
ROUND(OFFSET($P47,0,AG$13),15-13*ORÇAMENTO!$AF$7)/$H47*OFFSET(ORÇAMENTO!$X$15,ROW(AG47)-ROW(AG$15),0),
ROUND(ROUND(OFFSET($P47,0,AG$13),15-13*ORÇAMENTO!$AF$7)*OFFSET(ORÇAMENTO!$W$15,ROW(AG47)-ROW(AG$15),0),15-13*ORÇAMENTO!$AF$11)),0)</f>
        <v>0</v>
      </c>
      <c r="AH47" s="523">
        <f ca="1">IF(AND($D47="Serviço",AH$12&lt;&gt;0,$H47&gt;0,OR(AUTOEVENTO&lt;&gt;"manual",$M47&lt;&gt;1)),
IF(Import.TipoArredondamento&lt;&gt;"TransfereGOV",
ROUND(OFFSET($P47,0,AH$13),15-13*ORÇAMENTO!$AF$7)/$H47*OFFSET(ORÇAMENTO!$X$15,ROW(AH47)-ROW(AH$15),0),
ROUND(ROUND(OFFSET($P47,0,AH$13),15-13*ORÇAMENTO!$AF$7)*OFFSET(ORÇAMENTO!$W$15,ROW(AH47)-ROW(AH$15),0),15-13*ORÇAMENTO!$AF$11)),0)</f>
        <v>0</v>
      </c>
      <c r="AI47" s="523">
        <f ca="1">IF(AND($D47="Serviço",AI$12&lt;&gt;0,$H47&gt;0,OR(AUTOEVENTO&lt;&gt;"manual",$M47&lt;&gt;1)),
IF(Import.TipoArredondamento&lt;&gt;"TransfereGOV",
ROUND(OFFSET($P47,0,AI$13),15-13*ORÇAMENTO!$AF$7)/$H47*OFFSET(ORÇAMENTO!$X$15,ROW(AI47)-ROW(AI$15),0),
ROUND(ROUND(OFFSET($P47,0,AI$13),15-13*ORÇAMENTO!$AF$7)*OFFSET(ORÇAMENTO!$W$15,ROW(AI47)-ROW(AI$15),0),15-13*ORÇAMENTO!$AF$11)),0)</f>
        <v>0</v>
      </c>
      <c r="AJ47" s="523">
        <f ca="1">IF(AND($D47="Serviço",AJ$12&lt;&gt;0,$H47&gt;0,OR(AUTOEVENTO&lt;&gt;"manual",$M47&lt;&gt;1)),
IF(Import.TipoArredondamento&lt;&gt;"TransfereGOV",
ROUND(OFFSET($P47,0,AJ$13),15-13*ORÇAMENTO!$AF$7)/$H47*OFFSET(ORÇAMENTO!$X$15,ROW(AJ47)-ROW(AJ$15),0),
ROUND(ROUND(OFFSET($P47,0,AJ$13),15-13*ORÇAMENTO!$AF$7)*OFFSET(ORÇAMENTO!$W$15,ROW(AJ47)-ROW(AJ$15),0),15-13*ORÇAMENTO!$AF$11)),0)</f>
        <v>0</v>
      </c>
      <c r="AK47" s="524">
        <f ca="1">IF(AND($D47="Serviço",AK$12&lt;&gt;0,$H47&gt;0,OR(AUTOEVENTO&lt;&gt;"manual",$M47&lt;&gt;1)),
IF(Import.TipoArredondamento&lt;&gt;"TransfereGOV",
ROUND(OFFSET($P47,0,AK$13),15-13*ORÇAMENTO!$AF$7)/$H47*OFFSET(ORÇAMENTO!$X$15,ROW(AK47)-ROW(AK$15),0),
ROUND(ROUND(OFFSET($P47,0,AK$13),15-13*ORÇAMENTO!$AF$7)*OFFSET(ORÇAMENTO!$W$15,ROW(AK47)-ROW(AK$15),0),15-13*ORÇAMENTO!$AF$11)),0)</f>
        <v>0</v>
      </c>
      <c r="AM47" s="181">
        <f ca="1">IF($D47&lt;&gt;"Serviço",0,IF(AND(AUTOEVENTO="Manual",$M47=1),0,IF(OFFSET(CRONOPLE!$F$14,$M47,AM$13)="",10^12,OFFSET(CRONOPLE!$F$14,$M47,AM$13))))</f>
        <v>0</v>
      </c>
      <c r="AN47" s="181">
        <f ca="1">IF($D47&lt;&gt;"Serviço",0,IF(AND(AUTOEVENTO="Manual",$M47=1),0,IF(OFFSET(CRONOPLE!$F$14,$M47,AN$13)="",10^12,OFFSET(CRONOPLE!$F$14,$M47,AN$13))))</f>
        <v>0</v>
      </c>
      <c r="AO47" s="181">
        <f ca="1">IF($D47&lt;&gt;"Serviço",0,IF(AND(AUTOEVENTO="Manual",$M47=1),0,IF(OFFSET(CRONOPLE!$F$14,$M47,AO$13)="",10^12,OFFSET(CRONOPLE!$F$14,$M47,AO$13))))</f>
        <v>0</v>
      </c>
      <c r="AP47" s="181">
        <f ca="1">IF($D47&lt;&gt;"Serviço",0,IF(AND(AUTOEVENTO="Manual",$M47=1),0,IF(OFFSET(CRONOPLE!$F$14,$M47,AP$13)="",10^12,OFFSET(CRONOPLE!$F$14,$M47,AP$13))))</f>
        <v>0</v>
      </c>
      <c r="AQ47" s="181">
        <f ca="1">IF($D47&lt;&gt;"Serviço",0,IF(AND(AUTOEVENTO="Manual",$M47=1),0,IF(OFFSET(CRONOPLE!$F$14,$M47,AQ$13)="",10^12,OFFSET(CRONOPLE!$F$14,$M47,AQ$13))))</f>
        <v>0</v>
      </c>
      <c r="AR47" s="181">
        <f ca="1">IF($D47&lt;&gt;"Serviço",0,IF(AND(AUTOEVENTO="Manual",$M47=1),0,IF(OFFSET(CRONOPLE!$F$14,$M47,AR$13)="",10^12,OFFSET(CRONOPLE!$F$14,$M47,AR$13))))</f>
        <v>0</v>
      </c>
      <c r="AS47" s="181">
        <f ca="1">IF($D47&lt;&gt;"Serviço",0,IF(AND(AUTOEVENTO="Manual",$M47=1),0,IF(OFFSET(CRONOPLE!$F$14,$M47,AS$13)="",10^12,OFFSET(CRONOPLE!$F$14,$M47,AS$13))))</f>
        <v>0</v>
      </c>
      <c r="AT47" s="181">
        <f ca="1">IF($D47&lt;&gt;"Serviço",0,IF(AND(AUTOEVENTO="Manual",$M47=1),0,IF(OFFSET(CRONOPLE!$F$14,$M47,AT$13)="",10^12,OFFSET(CRONOPLE!$F$14,$M47,AT$13))))</f>
        <v>0</v>
      </c>
      <c r="AU47" s="181">
        <f ca="1">IF($D47&lt;&gt;"Serviço",0,IF(AND(AUTOEVENTO="Manual",$M47=1),0,IF(OFFSET(CRONOPLE!$F$14,$M47,AU$13)="",10^12,OFFSET(CRONOPLE!$F$14,$M47,AU$13))))</f>
        <v>0</v>
      </c>
      <c r="AV47" s="181">
        <f ca="1">IF($D47&lt;&gt;"Serviço",0,IF(AND(AUTOEVENTO="Manual",$M47=1),0,IF(OFFSET(CRONOPLE!$F$14,$M47,AV$13)="",10^12,OFFSET(CRONOPLE!$F$14,$M47,AV$13))))</f>
        <v>0</v>
      </c>
      <c r="AX47" s="182">
        <f ca="1">IF($D47&lt;&gt;"Serviço",0,IF(OR(AND(AUTOEVENTO="Manual",$M47=1),$M47&gt;(ROW(PLE.lastrow)-ROW(PLE.firstrow))),0,IF(OFFSET(PLE!$G$14,$M47,AX$13)="",10^12,OFFSET(PLE!$G$14,$M47,AX$13))))</f>
        <v>0</v>
      </c>
      <c r="AY47" s="182">
        <f ca="1">IF($D47&lt;&gt;"Serviço",0,IF(OR(AND(AUTOEVENTO="Manual",$M47=1),$M47&gt;(ROW(PLE.lastrow)-ROW(PLE.firstrow))),0,IF(OFFSET(PLE!$G$14,$M47,AY$13)="",10^12,OFFSET(PLE!$G$14,$M47,AY$13))))</f>
        <v>0</v>
      </c>
      <c r="AZ47" s="182">
        <f ca="1">IF($D47&lt;&gt;"Serviço",0,IF(OR(AND(AUTOEVENTO="Manual",$M47=1),$M47&gt;(ROW(PLE.lastrow)-ROW(PLE.firstrow))),0,IF(OFFSET(PLE!$G$14,$M47,AZ$13)="",10^12,OFFSET(PLE!$G$14,$M47,AZ$13))))</f>
        <v>0</v>
      </c>
      <c r="BA47" s="182">
        <f ca="1">IF($D47&lt;&gt;"Serviço",0,IF(OR(AND(AUTOEVENTO="Manual",$M47=1),$M47&gt;(ROW(PLE.lastrow)-ROW(PLE.firstrow))),0,IF(OFFSET(PLE!$G$14,$M47,BA$13)="",10^12,OFFSET(PLE!$G$14,$M47,BA$13))))</f>
        <v>0</v>
      </c>
      <c r="BB47" s="182">
        <f ca="1">IF($D47&lt;&gt;"Serviço",0,IF(OR(AND(AUTOEVENTO="Manual",$M47=1),$M47&gt;(ROW(PLE.lastrow)-ROW(PLE.firstrow))),0,IF(OFFSET(PLE!$G$14,$M47,BB$13)="",10^12,OFFSET(PLE!$G$14,$M47,BB$13))))</f>
        <v>0</v>
      </c>
      <c r="BC47" s="182">
        <f ca="1">IF($D47&lt;&gt;"Serviço",0,IF(OR(AND(AUTOEVENTO="Manual",$M47=1),$M47&gt;(ROW(PLE.lastrow)-ROW(PLE.firstrow))),0,IF(OFFSET(PLE!$G$14,$M47,BC$13)="",10^12,OFFSET(PLE!$G$14,$M47,BC$13))))</f>
        <v>0</v>
      </c>
      <c r="BD47" s="182">
        <f ca="1">IF($D47&lt;&gt;"Serviço",0,IF(OR(AND(AUTOEVENTO="Manual",$M47=1),$M47&gt;(ROW(PLE.lastrow)-ROW(PLE.firstrow))),0,IF(OFFSET(PLE!$G$14,$M47,BD$13)="",10^12,OFFSET(PLE!$G$14,$M47,BD$13))))</f>
        <v>0</v>
      </c>
      <c r="BE47" s="182">
        <f ca="1">IF($D47&lt;&gt;"Serviço",0,IF(OR(AND(AUTOEVENTO="Manual",$M47=1),$M47&gt;(ROW(PLE.lastrow)-ROW(PLE.firstrow))),0,IF(OFFSET(PLE!$G$14,$M47,BE$13)="",10^12,OFFSET(PLE!$G$14,$M47,BE$13))))</f>
        <v>0</v>
      </c>
      <c r="BF47" s="182">
        <f ca="1">IF($D47&lt;&gt;"Serviço",0,IF(OR(AND(AUTOEVENTO="Manual",$M47=1),$M47&gt;(ROW(PLE.lastrow)-ROW(PLE.firstrow))),0,IF(OFFSET(PLE!$G$14,$M47,BF$13)="",10^12,OFFSET(PLE!$G$14,$M47,BF$13))))</f>
        <v>0</v>
      </c>
      <c r="BG47" s="182">
        <f ca="1">IF($D47&lt;&gt;"Serviço",0,IF(OR(AND(AUTOEVENTO="Manual",$M47=1),$M47&gt;(ROW(PLE.lastrow)-ROW(PLE.firstrow))),0,IF(OFFSET(PLE!$G$14,$M47,BG$13)="",10^12,OFFSET(PLE!$G$14,$M47,BG$13))))</f>
        <v>0</v>
      </c>
    </row>
    <row r="48" spans="1:59" ht="38.25" x14ac:dyDescent="0.2">
      <c r="A48" s="7" t="str">
        <f t="shared" ca="1" si="10"/>
        <v>32</v>
      </c>
      <c r="B48" s="7" t="str">
        <f ca="1">OFFSET(ORÇAMENTO!C$15,ROW(B48)-ROW(B$15),0)</f>
        <v>S</v>
      </c>
      <c r="C48" s="7" t="str">
        <f ca="1">OFFSET(ORÇAMENTO!L$15,ROW(C48)-ROW(C$15),0)</f>
        <v/>
      </c>
      <c r="D48" s="118" t="str">
        <f ca="1">OFFSET(ORÇAMENTO!N$15,ROW(D48)-ROW(D$15),0)</f>
        <v>Serviço</v>
      </c>
      <c r="E48" s="119" t="str">
        <f ca="1">OFFSET(ORÇAMENTO!O$15,ROW(E48)-ROW(E$15),0)</f>
        <v>-</v>
      </c>
      <c r="F48" s="172" t="str">
        <f ca="1">OFFSET(ORÇAMENTO!R$15,ROW(F48)-ROW(F$15),0)</f>
        <v>(abra o arquivo 'Referência 05-Friday.xlsm)</v>
      </c>
      <c r="G48" s="173" t="str">
        <f ca="1">IF($D48&lt;&gt;"Serviço","",OFFSET(ORÇAMENTO!S$15,ROW(G48)-ROW(G$15),0))</f>
        <v>-</v>
      </c>
      <c r="H48" s="124">
        <f ca="1">IF($D48&lt;&gt;"Serviço",0,IF(ACOMPANHAMENTO="BM",ROUND(OFFSET(ORÇAMENTO!AJ$15,ROW(H48)-ROW(H$15),0),15-13*ORÇAMENTO!$AF$7),SUMPRODUCT(($Q$12:$AA$12&lt;&gt;"")*ROUND($Q48:$AA48,15-13*ORÇAMENTO!$AF$7))))</f>
        <v>44.4</v>
      </c>
      <c r="I48" s="539"/>
      <c r="K48" s="174"/>
      <c r="L48" s="175" t="s">
        <v>254</v>
      </c>
      <c r="M48" s="176">
        <f ca="1">IF($D48&lt;&gt;"Serviço","",IF(AUTOEVENTO="manual",$A48,IF(ISERROR(MATCH($A48,$A$15:OFFSET($A48,-1,0),0)),MAX($M$15:OFFSET(M48,-1,0))+1,INDEX($M$15:OFFSET(M48,-1,0),MATCH($A48,$A$15:OFFSET($A48,-1,0),0)))))</f>
        <v>6</v>
      </c>
      <c r="N48" s="177" t="str">
        <f ca="1">IF($D48&lt;&gt;"Serviço","",IF(AUTOEVENTO="Manual",IF($A48=0,"&lt;-- defina o número do agrupador",OFFSET(EVENTOS!$D$14,$A48,0)),OFFSET($F$15,$A48,0)))</f>
        <v>SINALIZAÇÃO</v>
      </c>
      <c r="O48" s="178"/>
      <c r="Q48" s="178"/>
      <c r="R48" s="179">
        <v>44.4</v>
      </c>
      <c r="S48" s="179"/>
      <c r="T48" s="179"/>
      <c r="U48" s="179"/>
      <c r="V48" s="179"/>
      <c r="W48" s="179"/>
      <c r="X48" s="179"/>
      <c r="Y48" s="179"/>
      <c r="Z48" s="180"/>
      <c r="AB48" s="522">
        <f ca="1">IF(AND($D48="Serviço",AB$12&lt;&gt;0,$H48&gt;0,OR(AUTOEVENTO&lt;&gt;"manual",$M48&lt;&gt;1)),
IF(Import.TipoArredondamento&lt;&gt;"TransfereGOV",
ROUND(OFFSET($P48,0,AB$13),15-13*ORÇAMENTO!$AF$7)/$H48*OFFSET(ORÇAMENTO!$X$15,ROW(AB48)-ROW(AB$15),0),
ROUND(ROUND(OFFSET($P48,0,AB$13),15-13*ORÇAMENTO!$AF$7)*OFFSET(ORÇAMENTO!$W$15,ROW(AB48)-ROW(AB$15),0),15-13*ORÇAMENTO!$AF$11)),0)</f>
        <v>0</v>
      </c>
      <c r="AC48" s="523">
        <f ca="1">IF(AND($D48="Serviço",AC$12&lt;&gt;0,$H48&gt;0,OR(AUTOEVENTO&lt;&gt;"manual",$M48&lt;&gt;1)),
IF(Import.TipoArredondamento&lt;&gt;"TransfereGOV",
ROUND(OFFSET($P48,0,AC$13),15-13*ORÇAMENTO!$AF$7)/$H48*OFFSET(ORÇAMENTO!$X$15,ROW(AC48)-ROW(AC$15),0),
ROUND(ROUND(OFFSET($P48,0,AC$13),15-13*ORÇAMENTO!$AF$7)*OFFSET(ORÇAMENTO!$W$15,ROW(AC48)-ROW(AC$15),0),15-13*ORÇAMENTO!$AF$11)),0)</f>
        <v>0</v>
      </c>
      <c r="AD48" s="523">
        <f ca="1">IF(AND($D48="Serviço",AD$12&lt;&gt;0,$H48&gt;0,OR(AUTOEVENTO&lt;&gt;"manual",$M48&lt;&gt;1)),
IF(Import.TipoArredondamento&lt;&gt;"TransfereGOV",
ROUND(OFFSET($P48,0,AD$13),15-13*ORÇAMENTO!$AF$7)/$H48*OFFSET(ORÇAMENTO!$X$15,ROW(AD48)-ROW(AD$15),0),
ROUND(ROUND(OFFSET($P48,0,AD$13),15-13*ORÇAMENTO!$AF$7)*OFFSET(ORÇAMENTO!$W$15,ROW(AD48)-ROW(AD$15),0),15-13*ORÇAMENTO!$AF$11)),0)</f>
        <v>0</v>
      </c>
      <c r="AE48" s="523">
        <f ca="1">IF(AND($D48="Serviço",AE$12&lt;&gt;0,$H48&gt;0,OR(AUTOEVENTO&lt;&gt;"manual",$M48&lt;&gt;1)),
IF(Import.TipoArredondamento&lt;&gt;"TransfereGOV",
ROUND(OFFSET($P48,0,AE$13),15-13*ORÇAMENTO!$AF$7)/$H48*OFFSET(ORÇAMENTO!$X$15,ROW(AE48)-ROW(AE$15),0),
ROUND(ROUND(OFFSET($P48,0,AE$13),15-13*ORÇAMENTO!$AF$7)*OFFSET(ORÇAMENTO!$W$15,ROW(AE48)-ROW(AE$15),0),15-13*ORÇAMENTO!$AF$11)),0)</f>
        <v>0</v>
      </c>
      <c r="AF48" s="523">
        <f ca="1">IF(AND($D48="Serviço",AF$12&lt;&gt;0,$H48&gt;0,OR(AUTOEVENTO&lt;&gt;"manual",$M48&lt;&gt;1)),
IF(Import.TipoArredondamento&lt;&gt;"TransfereGOV",
ROUND(OFFSET($P48,0,AF$13),15-13*ORÇAMENTO!$AF$7)/$H48*OFFSET(ORÇAMENTO!$X$15,ROW(AF48)-ROW(AF$15),0),
ROUND(ROUND(OFFSET($P48,0,AF$13),15-13*ORÇAMENTO!$AF$7)*OFFSET(ORÇAMENTO!$W$15,ROW(AF48)-ROW(AF$15),0),15-13*ORÇAMENTO!$AF$11)),0)</f>
        <v>0</v>
      </c>
      <c r="AG48" s="523">
        <f ca="1">IF(AND($D48="Serviço",AG$12&lt;&gt;0,$H48&gt;0,OR(AUTOEVENTO&lt;&gt;"manual",$M48&lt;&gt;1)),
IF(Import.TipoArredondamento&lt;&gt;"TransfereGOV",
ROUND(OFFSET($P48,0,AG$13),15-13*ORÇAMENTO!$AF$7)/$H48*OFFSET(ORÇAMENTO!$X$15,ROW(AG48)-ROW(AG$15),0),
ROUND(ROUND(OFFSET($P48,0,AG$13),15-13*ORÇAMENTO!$AF$7)*OFFSET(ORÇAMENTO!$W$15,ROW(AG48)-ROW(AG$15),0),15-13*ORÇAMENTO!$AF$11)),0)</f>
        <v>0</v>
      </c>
      <c r="AH48" s="523">
        <f ca="1">IF(AND($D48="Serviço",AH$12&lt;&gt;0,$H48&gt;0,OR(AUTOEVENTO&lt;&gt;"manual",$M48&lt;&gt;1)),
IF(Import.TipoArredondamento&lt;&gt;"TransfereGOV",
ROUND(OFFSET($P48,0,AH$13),15-13*ORÇAMENTO!$AF$7)/$H48*OFFSET(ORÇAMENTO!$X$15,ROW(AH48)-ROW(AH$15),0),
ROUND(ROUND(OFFSET($P48,0,AH$13),15-13*ORÇAMENTO!$AF$7)*OFFSET(ORÇAMENTO!$W$15,ROW(AH48)-ROW(AH$15),0),15-13*ORÇAMENTO!$AF$11)),0)</f>
        <v>0</v>
      </c>
      <c r="AI48" s="523">
        <f ca="1">IF(AND($D48="Serviço",AI$12&lt;&gt;0,$H48&gt;0,OR(AUTOEVENTO&lt;&gt;"manual",$M48&lt;&gt;1)),
IF(Import.TipoArredondamento&lt;&gt;"TransfereGOV",
ROUND(OFFSET($P48,0,AI$13),15-13*ORÇAMENTO!$AF$7)/$H48*OFFSET(ORÇAMENTO!$X$15,ROW(AI48)-ROW(AI$15),0),
ROUND(ROUND(OFFSET($P48,0,AI$13),15-13*ORÇAMENTO!$AF$7)*OFFSET(ORÇAMENTO!$W$15,ROW(AI48)-ROW(AI$15),0),15-13*ORÇAMENTO!$AF$11)),0)</f>
        <v>0</v>
      </c>
      <c r="AJ48" s="523">
        <f ca="1">IF(AND($D48="Serviço",AJ$12&lt;&gt;0,$H48&gt;0,OR(AUTOEVENTO&lt;&gt;"manual",$M48&lt;&gt;1)),
IF(Import.TipoArredondamento&lt;&gt;"TransfereGOV",
ROUND(OFFSET($P48,0,AJ$13),15-13*ORÇAMENTO!$AF$7)/$H48*OFFSET(ORÇAMENTO!$X$15,ROW(AJ48)-ROW(AJ$15),0),
ROUND(ROUND(OFFSET($P48,0,AJ$13),15-13*ORÇAMENTO!$AF$7)*OFFSET(ORÇAMENTO!$W$15,ROW(AJ48)-ROW(AJ$15),0),15-13*ORÇAMENTO!$AF$11)),0)</f>
        <v>0</v>
      </c>
      <c r="AK48" s="524">
        <f ca="1">IF(AND($D48="Serviço",AK$12&lt;&gt;0,$H48&gt;0,OR(AUTOEVENTO&lt;&gt;"manual",$M48&lt;&gt;1)),
IF(Import.TipoArredondamento&lt;&gt;"TransfereGOV",
ROUND(OFFSET($P48,0,AK$13),15-13*ORÇAMENTO!$AF$7)/$H48*OFFSET(ORÇAMENTO!$X$15,ROW(AK48)-ROW(AK$15),0),
ROUND(ROUND(OFFSET($P48,0,AK$13),15-13*ORÇAMENTO!$AF$7)*OFFSET(ORÇAMENTO!$W$15,ROW(AK48)-ROW(AK$15),0),15-13*ORÇAMENTO!$AF$11)),0)</f>
        <v>0</v>
      </c>
      <c r="AM48" s="181">
        <f ca="1">IF($D48&lt;&gt;"Serviço",0,IF(AND(AUTOEVENTO="Manual",$M48=1),0,IF(OFFSET(CRONOPLE!$F$14,$M48,AM$13)="",10^12,OFFSET(CRONOPLE!$F$14,$M48,AM$13))))</f>
        <v>1</v>
      </c>
      <c r="AN48" s="181">
        <f ca="1">IF($D48&lt;&gt;"Serviço",0,IF(AND(AUTOEVENTO="Manual",$M48=1),0,IF(OFFSET(CRONOPLE!$F$14,$M48,AN$13)="",10^12,OFFSET(CRONOPLE!$F$14,$M48,AN$13))))</f>
        <v>2</v>
      </c>
      <c r="AO48" s="181">
        <f ca="1">IF($D48&lt;&gt;"Serviço",0,IF(AND(AUTOEVENTO="Manual",$M48=1),0,IF(OFFSET(CRONOPLE!$F$14,$M48,AO$13)="",10^12,OFFSET(CRONOPLE!$F$14,$M48,AO$13))))</f>
        <v>1000000000000</v>
      </c>
      <c r="AP48" s="181">
        <f ca="1">IF($D48&lt;&gt;"Serviço",0,IF(AND(AUTOEVENTO="Manual",$M48=1),0,IF(OFFSET(CRONOPLE!$F$14,$M48,AP$13)="",10^12,OFFSET(CRONOPLE!$F$14,$M48,AP$13))))</f>
        <v>1000000000000</v>
      </c>
      <c r="AQ48" s="181">
        <f ca="1">IF($D48&lt;&gt;"Serviço",0,IF(AND(AUTOEVENTO="Manual",$M48=1),0,IF(OFFSET(CRONOPLE!$F$14,$M48,AQ$13)="",10^12,OFFSET(CRONOPLE!$F$14,$M48,AQ$13))))</f>
        <v>1000000000000</v>
      </c>
      <c r="AR48" s="181">
        <f ca="1">IF($D48&lt;&gt;"Serviço",0,IF(AND(AUTOEVENTO="Manual",$M48=1),0,IF(OFFSET(CRONOPLE!$F$14,$M48,AR$13)="",10^12,OFFSET(CRONOPLE!$F$14,$M48,AR$13))))</f>
        <v>1000000000000</v>
      </c>
      <c r="AS48" s="181">
        <f ca="1">IF($D48&lt;&gt;"Serviço",0,IF(AND(AUTOEVENTO="Manual",$M48=1),0,IF(OFFSET(CRONOPLE!$F$14,$M48,AS$13)="",10^12,OFFSET(CRONOPLE!$F$14,$M48,AS$13))))</f>
        <v>1000000000000</v>
      </c>
      <c r="AT48" s="181">
        <f ca="1">IF($D48&lt;&gt;"Serviço",0,IF(AND(AUTOEVENTO="Manual",$M48=1),0,IF(OFFSET(CRONOPLE!$F$14,$M48,AT$13)="",10^12,OFFSET(CRONOPLE!$F$14,$M48,AT$13))))</f>
        <v>1000000000000</v>
      </c>
      <c r="AU48" s="181">
        <f ca="1">IF($D48&lt;&gt;"Serviço",0,IF(AND(AUTOEVENTO="Manual",$M48=1),0,IF(OFFSET(CRONOPLE!$F$14,$M48,AU$13)="",10^12,OFFSET(CRONOPLE!$F$14,$M48,AU$13))))</f>
        <v>1000000000000</v>
      </c>
      <c r="AV48" s="181">
        <f ca="1">IF($D48&lt;&gt;"Serviço",0,IF(AND(AUTOEVENTO="Manual",$M48=1),0,IF(OFFSET(CRONOPLE!$F$14,$M48,AV$13)="",10^12,OFFSET(CRONOPLE!$F$14,$M48,AV$13))))</f>
        <v>1000000000000</v>
      </c>
      <c r="AX48" s="182">
        <f ca="1">IF($D48&lt;&gt;"Serviço",0,IF(OR(AND(AUTOEVENTO="Manual",$M48=1),$M48&gt;(ROW(PLE.lastrow)-ROW(PLE.firstrow))),0,IF(OFFSET(PLE!$G$14,$M48,AX$13)="",10^12,OFFSET(PLE!$G$14,$M48,AX$13))))</f>
        <v>1000000000000</v>
      </c>
      <c r="AY48" s="182">
        <f ca="1">IF($D48&lt;&gt;"Serviço",0,IF(OR(AND(AUTOEVENTO="Manual",$M48=1),$M48&gt;(ROW(PLE.lastrow)-ROW(PLE.firstrow))),0,IF(OFFSET(PLE!$G$14,$M48,AY$13)="",10^12,OFFSET(PLE!$G$14,$M48,AY$13))))</f>
        <v>1000000000000</v>
      </c>
      <c r="AZ48" s="182">
        <f ca="1">IF($D48&lt;&gt;"Serviço",0,IF(OR(AND(AUTOEVENTO="Manual",$M48=1),$M48&gt;(ROW(PLE.lastrow)-ROW(PLE.firstrow))),0,IF(OFFSET(PLE!$G$14,$M48,AZ$13)="",10^12,OFFSET(PLE!$G$14,$M48,AZ$13))))</f>
        <v>1000000000000</v>
      </c>
      <c r="BA48" s="182">
        <f ca="1">IF($D48&lt;&gt;"Serviço",0,IF(OR(AND(AUTOEVENTO="Manual",$M48=1),$M48&gt;(ROW(PLE.lastrow)-ROW(PLE.firstrow))),0,IF(OFFSET(PLE!$G$14,$M48,BA$13)="",10^12,OFFSET(PLE!$G$14,$M48,BA$13))))</f>
        <v>1000000000000</v>
      </c>
      <c r="BB48" s="182">
        <f ca="1">IF($D48&lt;&gt;"Serviço",0,IF(OR(AND(AUTOEVENTO="Manual",$M48=1),$M48&gt;(ROW(PLE.lastrow)-ROW(PLE.firstrow))),0,IF(OFFSET(PLE!$G$14,$M48,BB$13)="",10^12,OFFSET(PLE!$G$14,$M48,BB$13))))</f>
        <v>1000000000000</v>
      </c>
      <c r="BC48" s="182">
        <f ca="1">IF($D48&lt;&gt;"Serviço",0,IF(OR(AND(AUTOEVENTO="Manual",$M48=1),$M48&gt;(ROW(PLE.lastrow)-ROW(PLE.firstrow))),0,IF(OFFSET(PLE!$G$14,$M48,BC$13)="",10^12,OFFSET(PLE!$G$14,$M48,BC$13))))</f>
        <v>1000000000000</v>
      </c>
      <c r="BD48" s="182">
        <f ca="1">IF($D48&lt;&gt;"Serviço",0,IF(OR(AND(AUTOEVENTO="Manual",$M48=1),$M48&gt;(ROW(PLE.lastrow)-ROW(PLE.firstrow))),0,IF(OFFSET(PLE!$G$14,$M48,BD$13)="",10^12,OFFSET(PLE!$G$14,$M48,BD$13))))</f>
        <v>1000000000000</v>
      </c>
      <c r="BE48" s="182">
        <f ca="1">IF($D48&lt;&gt;"Serviço",0,IF(OR(AND(AUTOEVENTO="Manual",$M48=1),$M48&gt;(ROW(PLE.lastrow)-ROW(PLE.firstrow))),0,IF(OFFSET(PLE!$G$14,$M48,BE$13)="",10^12,OFFSET(PLE!$G$14,$M48,BE$13))))</f>
        <v>1000000000000</v>
      </c>
      <c r="BF48" s="182">
        <f ca="1">IF($D48&lt;&gt;"Serviço",0,IF(OR(AND(AUTOEVENTO="Manual",$M48=1),$M48&gt;(ROW(PLE.lastrow)-ROW(PLE.firstrow))),0,IF(OFFSET(PLE!$G$14,$M48,BF$13)="",10^12,OFFSET(PLE!$G$14,$M48,BF$13))))</f>
        <v>1000000000000</v>
      </c>
      <c r="BG48" s="182">
        <f ca="1">IF($D48&lt;&gt;"Serviço",0,IF(OR(AND(AUTOEVENTO="Manual",$M48=1),$M48&gt;(ROW(PLE.lastrow)-ROW(PLE.firstrow))),0,IF(OFFSET(PLE!$G$14,$M48,BG$13)="",10^12,OFFSET(PLE!$G$14,$M48,BG$13))))</f>
        <v>1000000000000</v>
      </c>
    </row>
    <row r="49" spans="1:59" ht="25.5" x14ac:dyDescent="0.2">
      <c r="A49" s="7" t="str">
        <f t="shared" ca="1" si="10"/>
        <v>32</v>
      </c>
      <c r="B49" s="7" t="str">
        <f ca="1">OFFSET(ORÇAMENTO!C$15,ROW(B49)-ROW(B$15),0)</f>
        <v>S</v>
      </c>
      <c r="C49" s="7" t="str">
        <f ca="1">OFFSET(ORÇAMENTO!L$15,ROW(C49)-ROW(C$15),0)</f>
        <v/>
      </c>
      <c r="D49" s="118" t="str">
        <f ca="1">OFFSET(ORÇAMENTO!N$15,ROW(D49)-ROW(D$15),0)</f>
        <v>Serviço</v>
      </c>
      <c r="E49" s="119" t="str">
        <f ca="1">OFFSET(ORÇAMENTO!O$15,ROW(E49)-ROW(E$15),0)</f>
        <v>-</v>
      </c>
      <c r="F49" s="172" t="str">
        <f ca="1">OFFSET(ORÇAMENTO!R$15,ROW(F49)-ROW(F$15),0)</f>
        <v>(abra o arquivo 'Referência 05-Friday.xlsm)</v>
      </c>
      <c r="G49" s="173" t="str">
        <f ca="1">IF($D49&lt;&gt;"Serviço","",OFFSET(ORÇAMENTO!S$15,ROW(G49)-ROW(G$15),0))</f>
        <v>-</v>
      </c>
      <c r="H49" s="124">
        <f ca="1">IF($D49&lt;&gt;"Serviço",0,IF(ACOMPANHAMENTO="BM",ROUND(OFFSET(ORÇAMENTO!AJ$15,ROW(H49)-ROW(H$15),0),15-13*ORÇAMENTO!$AF$7),SUMPRODUCT(($Q$12:$AA$12&lt;&gt;"")*ROUND($Q49:$AA49,15-13*ORÇAMENTO!$AF$7))))</f>
        <v>284</v>
      </c>
      <c r="I49" s="539"/>
      <c r="K49" s="174"/>
      <c r="L49" s="175" t="s">
        <v>254</v>
      </c>
      <c r="M49" s="176">
        <f ca="1">IF($D49&lt;&gt;"Serviço","",IF(AUTOEVENTO="manual",$A49,IF(ISERROR(MATCH($A49,$A$15:OFFSET($A49,-1,0),0)),MAX($M$15:OFFSET(M49,-1,0))+1,INDEX($M$15:OFFSET(M49,-1,0),MATCH($A49,$A$15:OFFSET($A49,-1,0),0)))))</f>
        <v>6</v>
      </c>
      <c r="N49" s="177" t="str">
        <f ca="1">IF($D49&lt;&gt;"Serviço","",IF(AUTOEVENTO="Manual",IF($A49=0,"&lt;-- defina o número do agrupador",OFFSET(EVENTOS!$D$14,$A49,0)),OFFSET($F$15,$A49,0)))</f>
        <v>SINALIZAÇÃO</v>
      </c>
      <c r="O49" s="178"/>
      <c r="Q49" s="178"/>
      <c r="R49" s="179">
        <v>284</v>
      </c>
      <c r="S49" s="179"/>
      <c r="T49" s="179"/>
      <c r="U49" s="179"/>
      <c r="V49" s="179"/>
      <c r="W49" s="179"/>
      <c r="X49" s="179"/>
      <c r="Y49" s="179"/>
      <c r="Z49" s="180"/>
      <c r="AB49" s="522">
        <f ca="1">IF(AND($D49="Serviço",AB$12&lt;&gt;0,$H49&gt;0,OR(AUTOEVENTO&lt;&gt;"manual",$M49&lt;&gt;1)),
IF(Import.TipoArredondamento&lt;&gt;"TransfereGOV",
ROUND(OFFSET($P49,0,AB$13),15-13*ORÇAMENTO!$AF$7)/$H49*OFFSET(ORÇAMENTO!$X$15,ROW(AB49)-ROW(AB$15),0),
ROUND(ROUND(OFFSET($P49,0,AB$13),15-13*ORÇAMENTO!$AF$7)*OFFSET(ORÇAMENTO!$W$15,ROW(AB49)-ROW(AB$15),0),15-13*ORÇAMENTO!$AF$11)),0)</f>
        <v>0</v>
      </c>
      <c r="AC49" s="523">
        <f ca="1">IF(AND($D49="Serviço",AC$12&lt;&gt;0,$H49&gt;0,OR(AUTOEVENTO&lt;&gt;"manual",$M49&lt;&gt;1)),
IF(Import.TipoArredondamento&lt;&gt;"TransfereGOV",
ROUND(OFFSET($P49,0,AC$13),15-13*ORÇAMENTO!$AF$7)/$H49*OFFSET(ORÇAMENTO!$X$15,ROW(AC49)-ROW(AC$15),0),
ROUND(ROUND(OFFSET($P49,0,AC$13),15-13*ORÇAMENTO!$AF$7)*OFFSET(ORÇAMENTO!$W$15,ROW(AC49)-ROW(AC$15),0),15-13*ORÇAMENTO!$AF$11)),0)</f>
        <v>0</v>
      </c>
      <c r="AD49" s="523">
        <f ca="1">IF(AND($D49="Serviço",AD$12&lt;&gt;0,$H49&gt;0,OR(AUTOEVENTO&lt;&gt;"manual",$M49&lt;&gt;1)),
IF(Import.TipoArredondamento&lt;&gt;"TransfereGOV",
ROUND(OFFSET($P49,0,AD$13),15-13*ORÇAMENTO!$AF$7)/$H49*OFFSET(ORÇAMENTO!$X$15,ROW(AD49)-ROW(AD$15),0),
ROUND(ROUND(OFFSET($P49,0,AD$13),15-13*ORÇAMENTO!$AF$7)*OFFSET(ORÇAMENTO!$W$15,ROW(AD49)-ROW(AD$15),0),15-13*ORÇAMENTO!$AF$11)),0)</f>
        <v>0</v>
      </c>
      <c r="AE49" s="523">
        <f ca="1">IF(AND($D49="Serviço",AE$12&lt;&gt;0,$H49&gt;0,OR(AUTOEVENTO&lt;&gt;"manual",$M49&lt;&gt;1)),
IF(Import.TipoArredondamento&lt;&gt;"TransfereGOV",
ROUND(OFFSET($P49,0,AE$13),15-13*ORÇAMENTO!$AF$7)/$H49*OFFSET(ORÇAMENTO!$X$15,ROW(AE49)-ROW(AE$15),0),
ROUND(ROUND(OFFSET($P49,0,AE$13),15-13*ORÇAMENTO!$AF$7)*OFFSET(ORÇAMENTO!$W$15,ROW(AE49)-ROW(AE$15),0),15-13*ORÇAMENTO!$AF$11)),0)</f>
        <v>0</v>
      </c>
      <c r="AF49" s="523">
        <f ca="1">IF(AND($D49="Serviço",AF$12&lt;&gt;0,$H49&gt;0,OR(AUTOEVENTO&lt;&gt;"manual",$M49&lt;&gt;1)),
IF(Import.TipoArredondamento&lt;&gt;"TransfereGOV",
ROUND(OFFSET($P49,0,AF$13),15-13*ORÇAMENTO!$AF$7)/$H49*OFFSET(ORÇAMENTO!$X$15,ROW(AF49)-ROW(AF$15),0),
ROUND(ROUND(OFFSET($P49,0,AF$13),15-13*ORÇAMENTO!$AF$7)*OFFSET(ORÇAMENTO!$W$15,ROW(AF49)-ROW(AF$15),0),15-13*ORÇAMENTO!$AF$11)),0)</f>
        <v>0</v>
      </c>
      <c r="AG49" s="523">
        <f ca="1">IF(AND($D49="Serviço",AG$12&lt;&gt;0,$H49&gt;0,OR(AUTOEVENTO&lt;&gt;"manual",$M49&lt;&gt;1)),
IF(Import.TipoArredondamento&lt;&gt;"TransfereGOV",
ROUND(OFFSET($P49,0,AG$13),15-13*ORÇAMENTO!$AF$7)/$H49*OFFSET(ORÇAMENTO!$X$15,ROW(AG49)-ROW(AG$15),0),
ROUND(ROUND(OFFSET($P49,0,AG$13),15-13*ORÇAMENTO!$AF$7)*OFFSET(ORÇAMENTO!$W$15,ROW(AG49)-ROW(AG$15),0),15-13*ORÇAMENTO!$AF$11)),0)</f>
        <v>0</v>
      </c>
      <c r="AH49" s="523">
        <f ca="1">IF(AND($D49="Serviço",AH$12&lt;&gt;0,$H49&gt;0,OR(AUTOEVENTO&lt;&gt;"manual",$M49&lt;&gt;1)),
IF(Import.TipoArredondamento&lt;&gt;"TransfereGOV",
ROUND(OFFSET($P49,0,AH$13),15-13*ORÇAMENTO!$AF$7)/$H49*OFFSET(ORÇAMENTO!$X$15,ROW(AH49)-ROW(AH$15),0),
ROUND(ROUND(OFFSET($P49,0,AH$13),15-13*ORÇAMENTO!$AF$7)*OFFSET(ORÇAMENTO!$W$15,ROW(AH49)-ROW(AH$15),0),15-13*ORÇAMENTO!$AF$11)),0)</f>
        <v>0</v>
      </c>
      <c r="AI49" s="523">
        <f ca="1">IF(AND($D49="Serviço",AI$12&lt;&gt;0,$H49&gt;0,OR(AUTOEVENTO&lt;&gt;"manual",$M49&lt;&gt;1)),
IF(Import.TipoArredondamento&lt;&gt;"TransfereGOV",
ROUND(OFFSET($P49,0,AI$13),15-13*ORÇAMENTO!$AF$7)/$H49*OFFSET(ORÇAMENTO!$X$15,ROW(AI49)-ROW(AI$15),0),
ROUND(ROUND(OFFSET($P49,0,AI$13),15-13*ORÇAMENTO!$AF$7)*OFFSET(ORÇAMENTO!$W$15,ROW(AI49)-ROW(AI$15),0),15-13*ORÇAMENTO!$AF$11)),0)</f>
        <v>0</v>
      </c>
      <c r="AJ49" s="523">
        <f ca="1">IF(AND($D49="Serviço",AJ$12&lt;&gt;0,$H49&gt;0,OR(AUTOEVENTO&lt;&gt;"manual",$M49&lt;&gt;1)),
IF(Import.TipoArredondamento&lt;&gt;"TransfereGOV",
ROUND(OFFSET($P49,0,AJ$13),15-13*ORÇAMENTO!$AF$7)/$H49*OFFSET(ORÇAMENTO!$X$15,ROW(AJ49)-ROW(AJ$15),0),
ROUND(ROUND(OFFSET($P49,0,AJ$13),15-13*ORÇAMENTO!$AF$7)*OFFSET(ORÇAMENTO!$W$15,ROW(AJ49)-ROW(AJ$15),0),15-13*ORÇAMENTO!$AF$11)),0)</f>
        <v>0</v>
      </c>
      <c r="AK49" s="524">
        <f ca="1">IF(AND($D49="Serviço",AK$12&lt;&gt;0,$H49&gt;0,OR(AUTOEVENTO&lt;&gt;"manual",$M49&lt;&gt;1)),
IF(Import.TipoArredondamento&lt;&gt;"TransfereGOV",
ROUND(OFFSET($P49,0,AK$13),15-13*ORÇAMENTO!$AF$7)/$H49*OFFSET(ORÇAMENTO!$X$15,ROW(AK49)-ROW(AK$15),0),
ROUND(ROUND(OFFSET($P49,0,AK$13),15-13*ORÇAMENTO!$AF$7)*OFFSET(ORÇAMENTO!$W$15,ROW(AK49)-ROW(AK$15),0),15-13*ORÇAMENTO!$AF$11)),0)</f>
        <v>0</v>
      </c>
      <c r="AM49" s="181">
        <f ca="1">IF($D49&lt;&gt;"Serviço",0,IF(AND(AUTOEVENTO="Manual",$M49=1),0,IF(OFFSET(CRONOPLE!$F$14,$M49,AM$13)="",10^12,OFFSET(CRONOPLE!$F$14,$M49,AM$13))))</f>
        <v>1</v>
      </c>
      <c r="AN49" s="181">
        <f ca="1">IF($D49&lt;&gt;"Serviço",0,IF(AND(AUTOEVENTO="Manual",$M49=1),0,IF(OFFSET(CRONOPLE!$F$14,$M49,AN$13)="",10^12,OFFSET(CRONOPLE!$F$14,$M49,AN$13))))</f>
        <v>2</v>
      </c>
      <c r="AO49" s="181">
        <f ca="1">IF($D49&lt;&gt;"Serviço",0,IF(AND(AUTOEVENTO="Manual",$M49=1),0,IF(OFFSET(CRONOPLE!$F$14,$M49,AO$13)="",10^12,OFFSET(CRONOPLE!$F$14,$M49,AO$13))))</f>
        <v>1000000000000</v>
      </c>
      <c r="AP49" s="181">
        <f ca="1">IF($D49&lt;&gt;"Serviço",0,IF(AND(AUTOEVENTO="Manual",$M49=1),0,IF(OFFSET(CRONOPLE!$F$14,$M49,AP$13)="",10^12,OFFSET(CRONOPLE!$F$14,$M49,AP$13))))</f>
        <v>1000000000000</v>
      </c>
      <c r="AQ49" s="181">
        <f ca="1">IF($D49&lt;&gt;"Serviço",0,IF(AND(AUTOEVENTO="Manual",$M49=1),0,IF(OFFSET(CRONOPLE!$F$14,$M49,AQ$13)="",10^12,OFFSET(CRONOPLE!$F$14,$M49,AQ$13))))</f>
        <v>1000000000000</v>
      </c>
      <c r="AR49" s="181">
        <f ca="1">IF($D49&lt;&gt;"Serviço",0,IF(AND(AUTOEVENTO="Manual",$M49=1),0,IF(OFFSET(CRONOPLE!$F$14,$M49,AR$13)="",10^12,OFFSET(CRONOPLE!$F$14,$M49,AR$13))))</f>
        <v>1000000000000</v>
      </c>
      <c r="AS49" s="181">
        <f ca="1">IF($D49&lt;&gt;"Serviço",0,IF(AND(AUTOEVENTO="Manual",$M49=1),0,IF(OFFSET(CRONOPLE!$F$14,$M49,AS$13)="",10^12,OFFSET(CRONOPLE!$F$14,$M49,AS$13))))</f>
        <v>1000000000000</v>
      </c>
      <c r="AT49" s="181">
        <f ca="1">IF($D49&lt;&gt;"Serviço",0,IF(AND(AUTOEVENTO="Manual",$M49=1),0,IF(OFFSET(CRONOPLE!$F$14,$M49,AT$13)="",10^12,OFFSET(CRONOPLE!$F$14,$M49,AT$13))))</f>
        <v>1000000000000</v>
      </c>
      <c r="AU49" s="181">
        <f ca="1">IF($D49&lt;&gt;"Serviço",0,IF(AND(AUTOEVENTO="Manual",$M49=1),0,IF(OFFSET(CRONOPLE!$F$14,$M49,AU$13)="",10^12,OFFSET(CRONOPLE!$F$14,$M49,AU$13))))</f>
        <v>1000000000000</v>
      </c>
      <c r="AV49" s="181">
        <f ca="1">IF($D49&lt;&gt;"Serviço",0,IF(AND(AUTOEVENTO="Manual",$M49=1),0,IF(OFFSET(CRONOPLE!$F$14,$M49,AV$13)="",10^12,OFFSET(CRONOPLE!$F$14,$M49,AV$13))))</f>
        <v>1000000000000</v>
      </c>
      <c r="AX49" s="182">
        <f ca="1">IF($D49&lt;&gt;"Serviço",0,IF(OR(AND(AUTOEVENTO="Manual",$M49=1),$M49&gt;(ROW(PLE.lastrow)-ROW(PLE.firstrow))),0,IF(OFFSET(PLE!$G$14,$M49,AX$13)="",10^12,OFFSET(PLE!$G$14,$M49,AX$13))))</f>
        <v>1000000000000</v>
      </c>
      <c r="AY49" s="182">
        <f ca="1">IF($D49&lt;&gt;"Serviço",0,IF(OR(AND(AUTOEVENTO="Manual",$M49=1),$M49&gt;(ROW(PLE.lastrow)-ROW(PLE.firstrow))),0,IF(OFFSET(PLE!$G$14,$M49,AY$13)="",10^12,OFFSET(PLE!$G$14,$M49,AY$13))))</f>
        <v>1000000000000</v>
      </c>
      <c r="AZ49" s="182">
        <f ca="1">IF($D49&lt;&gt;"Serviço",0,IF(OR(AND(AUTOEVENTO="Manual",$M49=1),$M49&gt;(ROW(PLE.lastrow)-ROW(PLE.firstrow))),0,IF(OFFSET(PLE!$G$14,$M49,AZ$13)="",10^12,OFFSET(PLE!$G$14,$M49,AZ$13))))</f>
        <v>1000000000000</v>
      </c>
      <c r="BA49" s="182">
        <f ca="1">IF($D49&lt;&gt;"Serviço",0,IF(OR(AND(AUTOEVENTO="Manual",$M49=1),$M49&gt;(ROW(PLE.lastrow)-ROW(PLE.firstrow))),0,IF(OFFSET(PLE!$G$14,$M49,BA$13)="",10^12,OFFSET(PLE!$G$14,$M49,BA$13))))</f>
        <v>1000000000000</v>
      </c>
      <c r="BB49" s="182">
        <f ca="1">IF($D49&lt;&gt;"Serviço",0,IF(OR(AND(AUTOEVENTO="Manual",$M49=1),$M49&gt;(ROW(PLE.lastrow)-ROW(PLE.firstrow))),0,IF(OFFSET(PLE!$G$14,$M49,BB$13)="",10^12,OFFSET(PLE!$G$14,$M49,BB$13))))</f>
        <v>1000000000000</v>
      </c>
      <c r="BC49" s="182">
        <f ca="1">IF($D49&lt;&gt;"Serviço",0,IF(OR(AND(AUTOEVENTO="Manual",$M49=1),$M49&gt;(ROW(PLE.lastrow)-ROW(PLE.firstrow))),0,IF(OFFSET(PLE!$G$14,$M49,BC$13)="",10^12,OFFSET(PLE!$G$14,$M49,BC$13))))</f>
        <v>1000000000000</v>
      </c>
      <c r="BD49" s="182">
        <f ca="1">IF($D49&lt;&gt;"Serviço",0,IF(OR(AND(AUTOEVENTO="Manual",$M49=1),$M49&gt;(ROW(PLE.lastrow)-ROW(PLE.firstrow))),0,IF(OFFSET(PLE!$G$14,$M49,BD$13)="",10^12,OFFSET(PLE!$G$14,$M49,BD$13))))</f>
        <v>1000000000000</v>
      </c>
      <c r="BE49" s="182">
        <f ca="1">IF($D49&lt;&gt;"Serviço",0,IF(OR(AND(AUTOEVENTO="Manual",$M49=1),$M49&gt;(ROW(PLE.lastrow)-ROW(PLE.firstrow))),0,IF(OFFSET(PLE!$G$14,$M49,BE$13)="",10^12,OFFSET(PLE!$G$14,$M49,BE$13))))</f>
        <v>1000000000000</v>
      </c>
      <c r="BF49" s="182">
        <f ca="1">IF($D49&lt;&gt;"Serviço",0,IF(OR(AND(AUTOEVENTO="Manual",$M49=1),$M49&gt;(ROW(PLE.lastrow)-ROW(PLE.firstrow))),0,IF(OFFSET(PLE!$G$14,$M49,BF$13)="",10^12,OFFSET(PLE!$G$14,$M49,BF$13))))</f>
        <v>1000000000000</v>
      </c>
      <c r="BG49" s="182">
        <f ca="1">IF($D49&lt;&gt;"Serviço",0,IF(OR(AND(AUTOEVENTO="Manual",$M49=1),$M49&gt;(ROW(PLE.lastrow)-ROW(PLE.firstrow))),0,IF(OFFSET(PLE!$G$14,$M49,BG$13)="",10^12,OFFSET(PLE!$G$14,$M49,BG$13))))</f>
        <v>1000000000000</v>
      </c>
    </row>
    <row r="50" spans="1:59" ht="25.5" x14ac:dyDescent="0.2">
      <c r="A50" s="7" t="str">
        <f ca="1">IF(AUTOEVENTO="Manual",IF(K50&lt;&gt;"",MIN(VALUE(LEFT(K50,FIND(".",K50)-1)),COUNTA(EVENTOS.Lista)),0),IF(OR($B50&gt;AUTOEVENTO,$B50="S",$B50=0),SUBSTITUTE(OFFSET($A50,-1,0),IF($D50="Serviço",".",""),""),ROW(A50)-ROW($A$15)&amp;"."))</f>
        <v>32</v>
      </c>
      <c r="B50" s="7" t="str">
        <f ca="1">OFFSET(ORÇAMENTO!C$15,ROW(B50)-ROW(B$15),0)</f>
        <v>S</v>
      </c>
      <c r="C50" s="7" t="str">
        <f ca="1">OFFSET(ORÇAMENTO!L$15,ROW(C50)-ROW(C$15),0)</f>
        <v/>
      </c>
      <c r="D50" s="118" t="str">
        <f ca="1">OFFSET(ORÇAMENTO!N$15,ROW(D50)-ROW(D$15),0)</f>
        <v>Serviço</v>
      </c>
      <c r="E50" s="119" t="str">
        <f ca="1">OFFSET(ORÇAMENTO!O$15,ROW(E50)-ROW(E$15),0)</f>
        <v>-</v>
      </c>
      <c r="F50" s="172" t="str">
        <f ca="1">OFFSET(ORÇAMENTO!R$15,ROW(F50)-ROW(F$15),0)</f>
        <v>(abra o arquivo 'Referência 05-Friday.xlsm)</v>
      </c>
      <c r="G50" s="173" t="str">
        <f ca="1">IF($D50&lt;&gt;"Serviço","",OFFSET(ORÇAMENTO!S$15,ROW(G50)-ROW(G$15),0))</f>
        <v>-</v>
      </c>
      <c r="H50" s="124">
        <f ca="1">IF($D50&lt;&gt;"Serviço",0,IF(ACOMPANHAMENTO="BM",ROUND(OFFSET(ORÇAMENTO!AJ$15,ROW(H50)-ROW(H$15),0),15-13*ORÇAMENTO!$AF$7),SUMPRODUCT(($Q$12:$AA$12&lt;&gt;"")*ROUND($Q50:$AA50,15-13*ORÇAMENTO!$AF$7))))</f>
        <v>4</v>
      </c>
      <c r="I50" s="539"/>
      <c r="K50" s="174"/>
      <c r="L50" s="175" t="s">
        <v>254</v>
      </c>
      <c r="M50" s="176">
        <f ca="1">IF($D50&lt;&gt;"Serviço","",IF(AUTOEVENTO="manual",$A50,IF(ISERROR(MATCH($A50,$A$15:OFFSET($A50,-1,0),0)),MAX($M$15:OFFSET(M50,-1,0))+1,INDEX($M$15:OFFSET(M50,-1,0),MATCH($A50,$A$15:OFFSET($A50,-1,0),0)))))</f>
        <v>6</v>
      </c>
      <c r="N50" s="177" t="str">
        <f ca="1">IF($D50&lt;&gt;"Serviço","",IF(AUTOEVENTO="Manual",IF($A50=0,"&lt;-- defina o número do agrupador",OFFSET(EVENTOS!$D$14,$A50,0)),OFFSET($F$15,$A50,0)))</f>
        <v>SINALIZAÇÃO</v>
      </c>
      <c r="O50" s="178"/>
      <c r="Q50" s="178"/>
      <c r="R50" s="179">
        <v>4</v>
      </c>
      <c r="S50" s="179"/>
      <c r="T50" s="179"/>
      <c r="U50" s="179"/>
      <c r="V50" s="179"/>
      <c r="W50" s="179"/>
      <c r="X50" s="179"/>
      <c r="Y50" s="179"/>
      <c r="Z50" s="180"/>
      <c r="AB50" s="522">
        <f ca="1">IF(AND($D50="Serviço",AB$12&lt;&gt;0,$H50&gt;0,OR(AUTOEVENTO&lt;&gt;"manual",$M50&lt;&gt;1)),
IF(Import.TipoArredondamento&lt;&gt;"TransfereGOV",
ROUND(OFFSET($P50,0,AB$13),15-13*ORÇAMENTO!$AF$7)/$H50*OFFSET(ORÇAMENTO!$X$15,ROW(AB50)-ROW(AB$15),0),
ROUND(ROUND(OFFSET($P50,0,AB$13),15-13*ORÇAMENTO!$AF$7)*OFFSET(ORÇAMENTO!$W$15,ROW(AB50)-ROW(AB$15),0),15-13*ORÇAMENTO!$AF$11)),0)</f>
        <v>0</v>
      </c>
      <c r="AC50" s="523">
        <f ca="1">IF(AND($D50="Serviço",AC$12&lt;&gt;0,$H50&gt;0,OR(AUTOEVENTO&lt;&gt;"manual",$M50&lt;&gt;1)),
IF(Import.TipoArredondamento&lt;&gt;"TransfereGOV",
ROUND(OFFSET($P50,0,AC$13),15-13*ORÇAMENTO!$AF$7)/$H50*OFFSET(ORÇAMENTO!$X$15,ROW(AC50)-ROW(AC$15),0),
ROUND(ROUND(OFFSET($P50,0,AC$13),15-13*ORÇAMENTO!$AF$7)*OFFSET(ORÇAMENTO!$W$15,ROW(AC50)-ROW(AC$15),0),15-13*ORÇAMENTO!$AF$11)),0)</f>
        <v>0</v>
      </c>
      <c r="AD50" s="523">
        <f ca="1">IF(AND($D50="Serviço",AD$12&lt;&gt;0,$H50&gt;0,OR(AUTOEVENTO&lt;&gt;"manual",$M50&lt;&gt;1)),
IF(Import.TipoArredondamento&lt;&gt;"TransfereGOV",
ROUND(OFFSET($P50,0,AD$13),15-13*ORÇAMENTO!$AF$7)/$H50*OFFSET(ORÇAMENTO!$X$15,ROW(AD50)-ROW(AD$15),0),
ROUND(ROUND(OFFSET($P50,0,AD$13),15-13*ORÇAMENTO!$AF$7)*OFFSET(ORÇAMENTO!$W$15,ROW(AD50)-ROW(AD$15),0),15-13*ORÇAMENTO!$AF$11)),0)</f>
        <v>0</v>
      </c>
      <c r="AE50" s="523">
        <f ca="1">IF(AND($D50="Serviço",AE$12&lt;&gt;0,$H50&gt;0,OR(AUTOEVENTO&lt;&gt;"manual",$M50&lt;&gt;1)),
IF(Import.TipoArredondamento&lt;&gt;"TransfereGOV",
ROUND(OFFSET($P50,0,AE$13),15-13*ORÇAMENTO!$AF$7)/$H50*OFFSET(ORÇAMENTO!$X$15,ROW(AE50)-ROW(AE$15),0),
ROUND(ROUND(OFFSET($P50,0,AE$13),15-13*ORÇAMENTO!$AF$7)*OFFSET(ORÇAMENTO!$W$15,ROW(AE50)-ROW(AE$15),0),15-13*ORÇAMENTO!$AF$11)),0)</f>
        <v>0</v>
      </c>
      <c r="AF50" s="523">
        <f ca="1">IF(AND($D50="Serviço",AF$12&lt;&gt;0,$H50&gt;0,OR(AUTOEVENTO&lt;&gt;"manual",$M50&lt;&gt;1)),
IF(Import.TipoArredondamento&lt;&gt;"TransfereGOV",
ROUND(OFFSET($P50,0,AF$13),15-13*ORÇAMENTO!$AF$7)/$H50*OFFSET(ORÇAMENTO!$X$15,ROW(AF50)-ROW(AF$15),0),
ROUND(ROUND(OFFSET($P50,0,AF$13),15-13*ORÇAMENTO!$AF$7)*OFFSET(ORÇAMENTO!$W$15,ROW(AF50)-ROW(AF$15),0),15-13*ORÇAMENTO!$AF$11)),0)</f>
        <v>0</v>
      </c>
      <c r="AG50" s="523">
        <f ca="1">IF(AND($D50="Serviço",AG$12&lt;&gt;0,$H50&gt;0,OR(AUTOEVENTO&lt;&gt;"manual",$M50&lt;&gt;1)),
IF(Import.TipoArredondamento&lt;&gt;"TransfereGOV",
ROUND(OFFSET($P50,0,AG$13),15-13*ORÇAMENTO!$AF$7)/$H50*OFFSET(ORÇAMENTO!$X$15,ROW(AG50)-ROW(AG$15),0),
ROUND(ROUND(OFFSET($P50,0,AG$13),15-13*ORÇAMENTO!$AF$7)*OFFSET(ORÇAMENTO!$W$15,ROW(AG50)-ROW(AG$15),0),15-13*ORÇAMENTO!$AF$11)),0)</f>
        <v>0</v>
      </c>
      <c r="AH50" s="523">
        <f ca="1">IF(AND($D50="Serviço",AH$12&lt;&gt;0,$H50&gt;0,OR(AUTOEVENTO&lt;&gt;"manual",$M50&lt;&gt;1)),
IF(Import.TipoArredondamento&lt;&gt;"TransfereGOV",
ROUND(OFFSET($P50,0,AH$13),15-13*ORÇAMENTO!$AF$7)/$H50*OFFSET(ORÇAMENTO!$X$15,ROW(AH50)-ROW(AH$15),0),
ROUND(ROUND(OFFSET($P50,0,AH$13),15-13*ORÇAMENTO!$AF$7)*OFFSET(ORÇAMENTO!$W$15,ROW(AH50)-ROW(AH$15),0),15-13*ORÇAMENTO!$AF$11)),0)</f>
        <v>0</v>
      </c>
      <c r="AI50" s="523">
        <f ca="1">IF(AND($D50="Serviço",AI$12&lt;&gt;0,$H50&gt;0,OR(AUTOEVENTO&lt;&gt;"manual",$M50&lt;&gt;1)),
IF(Import.TipoArredondamento&lt;&gt;"TransfereGOV",
ROUND(OFFSET($P50,0,AI$13),15-13*ORÇAMENTO!$AF$7)/$H50*OFFSET(ORÇAMENTO!$X$15,ROW(AI50)-ROW(AI$15),0),
ROUND(ROUND(OFFSET($P50,0,AI$13),15-13*ORÇAMENTO!$AF$7)*OFFSET(ORÇAMENTO!$W$15,ROW(AI50)-ROW(AI$15),0),15-13*ORÇAMENTO!$AF$11)),0)</f>
        <v>0</v>
      </c>
      <c r="AJ50" s="523">
        <f ca="1">IF(AND($D50="Serviço",AJ$12&lt;&gt;0,$H50&gt;0,OR(AUTOEVENTO&lt;&gt;"manual",$M50&lt;&gt;1)),
IF(Import.TipoArredondamento&lt;&gt;"TransfereGOV",
ROUND(OFFSET($P50,0,AJ$13),15-13*ORÇAMENTO!$AF$7)/$H50*OFFSET(ORÇAMENTO!$X$15,ROW(AJ50)-ROW(AJ$15),0),
ROUND(ROUND(OFFSET($P50,0,AJ$13),15-13*ORÇAMENTO!$AF$7)*OFFSET(ORÇAMENTO!$W$15,ROW(AJ50)-ROW(AJ$15),0),15-13*ORÇAMENTO!$AF$11)),0)</f>
        <v>0</v>
      </c>
      <c r="AK50" s="524">
        <f ca="1">IF(AND($D50="Serviço",AK$12&lt;&gt;0,$H50&gt;0,OR(AUTOEVENTO&lt;&gt;"manual",$M50&lt;&gt;1)),
IF(Import.TipoArredondamento&lt;&gt;"TransfereGOV",
ROUND(OFFSET($P50,0,AK$13),15-13*ORÇAMENTO!$AF$7)/$H50*OFFSET(ORÇAMENTO!$X$15,ROW(AK50)-ROW(AK$15),0),
ROUND(ROUND(OFFSET($P50,0,AK$13),15-13*ORÇAMENTO!$AF$7)*OFFSET(ORÇAMENTO!$W$15,ROW(AK50)-ROW(AK$15),0),15-13*ORÇAMENTO!$AF$11)),0)</f>
        <v>0</v>
      </c>
      <c r="AM50" s="181">
        <f ca="1">IF($D50&lt;&gt;"Serviço",0,IF(AND(AUTOEVENTO="Manual",$M50=1),0,IF(OFFSET(CRONOPLE!$F$14,$M50,AM$13)="",10^12,OFFSET(CRONOPLE!$F$14,$M50,AM$13))))</f>
        <v>1</v>
      </c>
      <c r="AN50" s="181">
        <f ca="1">IF($D50&lt;&gt;"Serviço",0,IF(AND(AUTOEVENTO="Manual",$M50=1),0,IF(OFFSET(CRONOPLE!$F$14,$M50,AN$13)="",10^12,OFFSET(CRONOPLE!$F$14,$M50,AN$13))))</f>
        <v>2</v>
      </c>
      <c r="AO50" s="181">
        <f ca="1">IF($D50&lt;&gt;"Serviço",0,IF(AND(AUTOEVENTO="Manual",$M50=1),0,IF(OFFSET(CRONOPLE!$F$14,$M50,AO$13)="",10^12,OFFSET(CRONOPLE!$F$14,$M50,AO$13))))</f>
        <v>1000000000000</v>
      </c>
      <c r="AP50" s="181">
        <f ca="1">IF($D50&lt;&gt;"Serviço",0,IF(AND(AUTOEVENTO="Manual",$M50=1),0,IF(OFFSET(CRONOPLE!$F$14,$M50,AP$13)="",10^12,OFFSET(CRONOPLE!$F$14,$M50,AP$13))))</f>
        <v>1000000000000</v>
      </c>
      <c r="AQ50" s="181">
        <f ca="1">IF($D50&lt;&gt;"Serviço",0,IF(AND(AUTOEVENTO="Manual",$M50=1),0,IF(OFFSET(CRONOPLE!$F$14,$M50,AQ$13)="",10^12,OFFSET(CRONOPLE!$F$14,$M50,AQ$13))))</f>
        <v>1000000000000</v>
      </c>
      <c r="AR50" s="181">
        <f ca="1">IF($D50&lt;&gt;"Serviço",0,IF(AND(AUTOEVENTO="Manual",$M50=1),0,IF(OFFSET(CRONOPLE!$F$14,$M50,AR$13)="",10^12,OFFSET(CRONOPLE!$F$14,$M50,AR$13))))</f>
        <v>1000000000000</v>
      </c>
      <c r="AS50" s="181">
        <f ca="1">IF($D50&lt;&gt;"Serviço",0,IF(AND(AUTOEVENTO="Manual",$M50=1),0,IF(OFFSET(CRONOPLE!$F$14,$M50,AS$13)="",10^12,OFFSET(CRONOPLE!$F$14,$M50,AS$13))))</f>
        <v>1000000000000</v>
      </c>
      <c r="AT50" s="181">
        <f ca="1">IF($D50&lt;&gt;"Serviço",0,IF(AND(AUTOEVENTO="Manual",$M50=1),0,IF(OFFSET(CRONOPLE!$F$14,$M50,AT$13)="",10^12,OFFSET(CRONOPLE!$F$14,$M50,AT$13))))</f>
        <v>1000000000000</v>
      </c>
      <c r="AU50" s="181">
        <f ca="1">IF($D50&lt;&gt;"Serviço",0,IF(AND(AUTOEVENTO="Manual",$M50=1),0,IF(OFFSET(CRONOPLE!$F$14,$M50,AU$13)="",10^12,OFFSET(CRONOPLE!$F$14,$M50,AU$13))))</f>
        <v>1000000000000</v>
      </c>
      <c r="AV50" s="181">
        <f ca="1">IF($D50&lt;&gt;"Serviço",0,IF(AND(AUTOEVENTO="Manual",$M50=1),0,IF(OFFSET(CRONOPLE!$F$14,$M50,AV$13)="",10^12,OFFSET(CRONOPLE!$F$14,$M50,AV$13))))</f>
        <v>1000000000000</v>
      </c>
      <c r="AX50" s="182">
        <f ca="1">IF($D50&lt;&gt;"Serviço",0,IF(OR(AND(AUTOEVENTO="Manual",$M50=1),$M50&gt;(ROW(PLE.lastrow)-ROW(PLE.firstrow))),0,IF(OFFSET(PLE!$G$14,$M50,AX$13)="",10^12,OFFSET(PLE!$G$14,$M50,AX$13))))</f>
        <v>1000000000000</v>
      </c>
      <c r="AY50" s="182">
        <f ca="1">IF($D50&lt;&gt;"Serviço",0,IF(OR(AND(AUTOEVENTO="Manual",$M50=1),$M50&gt;(ROW(PLE.lastrow)-ROW(PLE.firstrow))),0,IF(OFFSET(PLE!$G$14,$M50,AY$13)="",10^12,OFFSET(PLE!$G$14,$M50,AY$13))))</f>
        <v>1000000000000</v>
      </c>
      <c r="AZ50" s="182">
        <f ca="1">IF($D50&lt;&gt;"Serviço",0,IF(OR(AND(AUTOEVENTO="Manual",$M50=1),$M50&gt;(ROW(PLE.lastrow)-ROW(PLE.firstrow))),0,IF(OFFSET(PLE!$G$14,$M50,AZ$13)="",10^12,OFFSET(PLE!$G$14,$M50,AZ$13))))</f>
        <v>1000000000000</v>
      </c>
      <c r="BA50" s="182">
        <f ca="1">IF($D50&lt;&gt;"Serviço",0,IF(OR(AND(AUTOEVENTO="Manual",$M50=1),$M50&gt;(ROW(PLE.lastrow)-ROW(PLE.firstrow))),0,IF(OFFSET(PLE!$G$14,$M50,BA$13)="",10^12,OFFSET(PLE!$G$14,$M50,BA$13))))</f>
        <v>1000000000000</v>
      </c>
      <c r="BB50" s="182">
        <f ca="1">IF($D50&lt;&gt;"Serviço",0,IF(OR(AND(AUTOEVENTO="Manual",$M50=1),$M50&gt;(ROW(PLE.lastrow)-ROW(PLE.firstrow))),0,IF(OFFSET(PLE!$G$14,$M50,BB$13)="",10^12,OFFSET(PLE!$G$14,$M50,BB$13))))</f>
        <v>1000000000000</v>
      </c>
      <c r="BC50" s="182">
        <f ca="1">IF($D50&lt;&gt;"Serviço",0,IF(OR(AND(AUTOEVENTO="Manual",$M50=1),$M50&gt;(ROW(PLE.lastrow)-ROW(PLE.firstrow))),0,IF(OFFSET(PLE!$G$14,$M50,BC$13)="",10^12,OFFSET(PLE!$G$14,$M50,BC$13))))</f>
        <v>1000000000000</v>
      </c>
      <c r="BD50" s="182">
        <f ca="1">IF($D50&lt;&gt;"Serviço",0,IF(OR(AND(AUTOEVENTO="Manual",$M50=1),$M50&gt;(ROW(PLE.lastrow)-ROW(PLE.firstrow))),0,IF(OFFSET(PLE!$G$14,$M50,BD$13)="",10^12,OFFSET(PLE!$G$14,$M50,BD$13))))</f>
        <v>1000000000000</v>
      </c>
      <c r="BE50" s="182">
        <f ca="1">IF($D50&lt;&gt;"Serviço",0,IF(OR(AND(AUTOEVENTO="Manual",$M50=1),$M50&gt;(ROW(PLE.lastrow)-ROW(PLE.firstrow))),0,IF(OFFSET(PLE!$G$14,$M50,BE$13)="",10^12,OFFSET(PLE!$G$14,$M50,BE$13))))</f>
        <v>1000000000000</v>
      </c>
      <c r="BF50" s="182">
        <f ca="1">IF($D50&lt;&gt;"Serviço",0,IF(OR(AND(AUTOEVENTO="Manual",$M50=1),$M50&gt;(ROW(PLE.lastrow)-ROW(PLE.firstrow))),0,IF(OFFSET(PLE!$G$14,$M50,BF$13)="",10^12,OFFSET(PLE!$G$14,$M50,BF$13))))</f>
        <v>1000000000000</v>
      </c>
      <c r="BG50" s="182">
        <f ca="1">IF($D50&lt;&gt;"Serviço",0,IF(OR(AND(AUTOEVENTO="Manual",$M50=1),$M50&gt;(ROW(PLE.lastrow)-ROW(PLE.firstrow))),0,IF(OFFSET(PLE!$G$14,$M50,BG$13)="",10^12,OFFSET(PLE!$G$14,$M50,BG$13))))</f>
        <v>1000000000000</v>
      </c>
    </row>
    <row r="51" spans="1:59" ht="5.0999999999999996" customHeight="1" x14ac:dyDescent="0.2">
      <c r="B51" s="7">
        <f ca="1">OFFSET(ORÇAMENTO!C$15,ROW(B51)-ROW(B$15),0)</f>
        <v>-1</v>
      </c>
      <c r="C51" s="7" t="str">
        <f ca="1">OFFSET(ORÇAMENTO!L$15,ROW(C51)-ROW(C$15),0)</f>
        <v>F</v>
      </c>
      <c r="D51" s="470" t="s">
        <v>193</v>
      </c>
      <c r="E51" s="471"/>
      <c r="F51" s="472"/>
      <c r="G51" s="472"/>
      <c r="H51" s="472"/>
      <c r="I51" s="473"/>
      <c r="K51" s="475"/>
      <c r="L51" s="175" t="s">
        <v>254</v>
      </c>
      <c r="M51" s="476"/>
      <c r="N51" s="474"/>
      <c r="O51" s="469"/>
      <c r="Q51" s="471"/>
      <c r="R51" s="472"/>
      <c r="S51" s="472"/>
      <c r="T51" s="472"/>
      <c r="U51" s="472"/>
      <c r="V51" s="472"/>
      <c r="W51" s="472"/>
      <c r="X51" s="472"/>
      <c r="Y51" s="472"/>
      <c r="Z51" s="473"/>
      <c r="AB51" s="138"/>
      <c r="AC51" s="192"/>
      <c r="AD51" s="192"/>
      <c r="AE51" s="192"/>
      <c r="AF51" s="192"/>
      <c r="AG51" s="192"/>
      <c r="AH51" s="192"/>
      <c r="AI51" s="192"/>
      <c r="AJ51" s="192"/>
      <c r="AK51" s="139"/>
      <c r="AM51" s="138"/>
      <c r="AN51" s="192"/>
      <c r="AO51" s="192"/>
      <c r="AP51" s="192"/>
      <c r="AQ51" s="192"/>
      <c r="AR51" s="192"/>
      <c r="AS51" s="192"/>
      <c r="AT51" s="192"/>
      <c r="AU51" s="192"/>
      <c r="AV51" s="139"/>
      <c r="AX51" s="138"/>
      <c r="AY51" s="192"/>
      <c r="AZ51" s="192"/>
      <c r="BA51" s="192"/>
      <c r="BB51" s="192"/>
      <c r="BC51" s="192"/>
      <c r="BD51" s="192"/>
      <c r="BE51" s="192"/>
      <c r="BF51" s="192"/>
      <c r="BG51" s="139"/>
    </row>
    <row r="52" spans="1:59" ht="12.75" customHeight="1" x14ac:dyDescent="0.2"/>
    <row r="53" spans="1:59" ht="12.75" customHeight="1" x14ac:dyDescent="0.2"/>
    <row r="54" spans="1:59" ht="12.75" customHeight="1" x14ac:dyDescent="0.2"/>
    <row r="55" spans="1:59" ht="15" customHeight="1" x14ac:dyDescent="0.2">
      <c r="F55" s="193" t="str">
        <f>Import.Município</f>
        <v>BENTO GONÇALVES/RS</v>
      </c>
      <c r="I55" s="531"/>
      <c r="J55" s="531"/>
      <c r="K55" s="531"/>
      <c r="L55" s="531"/>
      <c r="M55" s="532"/>
      <c r="N55" s="466"/>
      <c r="T55" s="145"/>
      <c r="U55" s="145"/>
      <c r="V55" s="194"/>
      <c r="W55" s="194"/>
      <c r="X55" s="194"/>
      <c r="Y55" s="194"/>
    </row>
    <row r="56" spans="1:59" ht="12.75" customHeight="1" x14ac:dyDescent="0.2">
      <c r="F56" s="10" t="s">
        <v>187</v>
      </c>
      <c r="I56" s="195" t="s">
        <v>189</v>
      </c>
      <c r="J56" s="195"/>
      <c r="K56" s="195"/>
      <c r="L56" s="195"/>
      <c r="T56" s="195" t="s">
        <v>189</v>
      </c>
      <c r="U56" s="195"/>
    </row>
    <row r="57" spans="1:59" ht="12.75" customHeight="1" x14ac:dyDescent="0.2">
      <c r="I57" s="444" t="str">
        <f t="array" aca="1" ref="I57:I59" ca="1">OFFSET(Import.RespOrçamento,0,-1) &amp; " " &amp; Import.RespOrçamento</f>
        <v>Nome: Eng. Bruna de Oliveira Pelizza</v>
      </c>
      <c r="K57" s="80"/>
      <c r="L57" s="80"/>
      <c r="T57" s="444" t="str">
        <f t="array" aca="1" ref="T57:T59" ca="1">OFFSET(Import.RespOrçamento,0,-1) &amp; " " &amp; Import.RespOrçamento</f>
        <v>Nome: Eng. Bruna de Oliveira Pelizza</v>
      </c>
      <c r="U57" s="79"/>
    </row>
    <row r="58" spans="1:59" ht="12.75" customHeight="1" x14ac:dyDescent="0.2">
      <c r="F58" s="530">
        <f>DADOS!$F$25</f>
        <v>46199</v>
      </c>
      <c r="I58" s="444" t="str">
        <f ca="1"/>
        <v>CREA/CAU: RS230174</v>
      </c>
      <c r="K58" s="80"/>
      <c r="L58" s="80"/>
      <c r="T58" s="444" t="str">
        <f ca="1"/>
        <v>CREA/CAU: RS230174</v>
      </c>
      <c r="U58" s="79"/>
    </row>
    <row r="59" spans="1:59" ht="12.75" customHeight="1" x14ac:dyDescent="0.2">
      <c r="F59" s="146" t="s">
        <v>188</v>
      </c>
      <c r="I59" s="444" t="str">
        <f ca="1"/>
        <v xml:space="preserve">ART/RRT: </v>
      </c>
      <c r="K59" s="80"/>
      <c r="L59" s="80"/>
      <c r="T59" s="444" t="str">
        <f ca="1"/>
        <v xml:space="preserve">ART/RRT: </v>
      </c>
      <c r="U59" s="79"/>
    </row>
    <row r="60" spans="1:59" ht="12.75" customHeight="1" x14ac:dyDescent="0.2">
      <c r="C60"/>
      <c r="M60"/>
    </row>
    <row r="61" spans="1:59" ht="12.75" customHeight="1" x14ac:dyDescent="0.2">
      <c r="C61"/>
      <c r="M61"/>
    </row>
    <row r="62" spans="1:59" ht="12.75" customHeight="1" x14ac:dyDescent="0.2">
      <c r="C62"/>
      <c r="M62"/>
    </row>
    <row r="63" spans="1:59" ht="12.75" customHeight="1" x14ac:dyDescent="0.2">
      <c r="C63"/>
      <c r="M63"/>
    </row>
    <row r="64" spans="1:59" ht="12.75" customHeight="1" x14ac:dyDescent="0.2">
      <c r="C64"/>
      <c r="M64"/>
    </row>
    <row r="65" spans="3:13" ht="12.75" customHeight="1" x14ac:dyDescent="0.2">
      <c r="C65"/>
      <c r="M65"/>
    </row>
    <row r="66" spans="3:13" ht="12.75" customHeight="1" x14ac:dyDescent="0.2">
      <c r="C66"/>
      <c r="M66"/>
    </row>
    <row r="67" spans="3:13" ht="12.75" customHeight="1" x14ac:dyDescent="0.2">
      <c r="C67"/>
      <c r="M67"/>
    </row>
    <row r="68" spans="3:13" ht="12.75" customHeight="1" x14ac:dyDescent="0.2">
      <c r="C68"/>
      <c r="M68"/>
    </row>
    <row r="69" spans="3:13" ht="12.75" customHeight="1" x14ac:dyDescent="0.2">
      <c r="C69"/>
      <c r="M69"/>
    </row>
    <row r="70" spans="3:13" ht="12.75" customHeight="1" x14ac:dyDescent="0.2">
      <c r="C70"/>
      <c r="M70"/>
    </row>
    <row r="71" spans="3:13" ht="12.75" customHeight="1" x14ac:dyDescent="0.2">
      <c r="C71"/>
      <c r="M71"/>
    </row>
    <row r="72" spans="3:13" ht="12.75" customHeight="1" x14ac:dyDescent="0.2">
      <c r="C72"/>
      <c r="M72"/>
    </row>
    <row r="73" spans="3:13" ht="12.75" customHeight="1" x14ac:dyDescent="0.2">
      <c r="C73"/>
      <c r="M73"/>
    </row>
    <row r="74" spans="3:13" ht="12.75" customHeight="1" x14ac:dyDescent="0.2">
      <c r="C74"/>
      <c r="M74"/>
    </row>
    <row r="75" spans="3:13" ht="12.75" customHeight="1" x14ac:dyDescent="0.2">
      <c r="C75"/>
      <c r="M75"/>
    </row>
    <row r="76" spans="3:13" ht="12.75" customHeight="1" x14ac:dyDescent="0.2">
      <c r="C76"/>
      <c r="M76"/>
    </row>
    <row r="77" spans="3:13" ht="12.75" customHeight="1" x14ac:dyDescent="0.2">
      <c r="C77"/>
      <c r="M77"/>
    </row>
    <row r="78" spans="3:13" ht="12.75" customHeight="1" x14ac:dyDescent="0.2">
      <c r="C78"/>
      <c r="M78"/>
    </row>
    <row r="79" spans="3:13" ht="12.75" customHeight="1" x14ac:dyDescent="0.2">
      <c r="C79"/>
      <c r="M79"/>
    </row>
    <row r="80" spans="3:13"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60963" spans="3:13" ht="12.75" customHeight="1" x14ac:dyDescent="0.2">
      <c r="C60963"/>
      <c r="M60963"/>
    </row>
    <row r="60979" spans="3:13" ht="12.75" customHeight="1" x14ac:dyDescent="0.2">
      <c r="C60979"/>
      <c r="M60979"/>
    </row>
    <row r="60995" spans="3:13" ht="12.75" customHeight="1" x14ac:dyDescent="0.2">
      <c r="C60995"/>
      <c r="M60995"/>
    </row>
    <row r="61011" spans="3:13" ht="12.75" customHeight="1" x14ac:dyDescent="0.2">
      <c r="C61011"/>
      <c r="M61011"/>
    </row>
    <row r="61024" spans="3:13" ht="12.75" customHeight="1" x14ac:dyDescent="0.2">
      <c r="C61024"/>
      <c r="M61024"/>
    </row>
    <row r="61025" spans="3:13" ht="12.75" customHeight="1" x14ac:dyDescent="0.2">
      <c r="C61025"/>
      <c r="M61025"/>
    </row>
    <row r="61027" spans="3:13" ht="12.75" customHeight="1" x14ac:dyDescent="0.2">
      <c r="C61027"/>
      <c r="M61027"/>
    </row>
    <row r="61038" spans="3:13" ht="12.75" customHeight="1" x14ac:dyDescent="0.2">
      <c r="C61038"/>
      <c r="M61038"/>
    </row>
    <row r="61039" spans="3:13" ht="12.75" customHeight="1" x14ac:dyDescent="0.2">
      <c r="C61039"/>
      <c r="M61039"/>
    </row>
    <row r="61040" spans="3:13" ht="12.75" customHeight="1" x14ac:dyDescent="0.2">
      <c r="C61040"/>
      <c r="M61040"/>
    </row>
    <row r="61041" spans="3:13" ht="12.75" customHeight="1" x14ac:dyDescent="0.2">
      <c r="C61041"/>
      <c r="M61041"/>
    </row>
    <row r="61043" spans="3:13" ht="12.75" customHeight="1" x14ac:dyDescent="0.2">
      <c r="C61043"/>
      <c r="M61043"/>
    </row>
    <row r="61054" spans="3:13" ht="12.75" customHeight="1" x14ac:dyDescent="0.2">
      <c r="C61054"/>
      <c r="M61054"/>
    </row>
    <row r="61055" spans="3:13" ht="12.75" customHeight="1" x14ac:dyDescent="0.2">
      <c r="C61055"/>
      <c r="M61055"/>
    </row>
    <row r="61056" spans="3:13" ht="12.75" customHeight="1" x14ac:dyDescent="0.2">
      <c r="C61056"/>
      <c r="M61056"/>
    </row>
    <row r="61057" spans="3:13" ht="12.75" customHeight="1" x14ac:dyDescent="0.2">
      <c r="C61057"/>
      <c r="M61057"/>
    </row>
    <row r="61059" spans="3:13" ht="12.75" customHeight="1" x14ac:dyDescent="0.2">
      <c r="C61059"/>
      <c r="M61059"/>
    </row>
    <row r="61070" spans="3:13" ht="12.75" customHeight="1" x14ac:dyDescent="0.2">
      <c r="C61070"/>
      <c r="M61070"/>
    </row>
    <row r="61071" spans="3:13" ht="12.75" customHeight="1" x14ac:dyDescent="0.2">
      <c r="C61071"/>
      <c r="M61071"/>
    </row>
    <row r="61072" spans="3:13" ht="12.75" customHeight="1" x14ac:dyDescent="0.2">
      <c r="C61072"/>
      <c r="M61072"/>
    </row>
    <row r="61073" spans="3:13" ht="12.75" customHeight="1" x14ac:dyDescent="0.2">
      <c r="C61073"/>
      <c r="M61073"/>
    </row>
    <row r="61075" spans="3:13" ht="12.75" customHeight="1" x14ac:dyDescent="0.2">
      <c r="C61075"/>
      <c r="M61075"/>
    </row>
    <row r="61086" spans="3:13" ht="12.75" customHeight="1" x14ac:dyDescent="0.2">
      <c r="C61086"/>
      <c r="M61086"/>
    </row>
    <row r="61087" spans="3:13" ht="12.75" customHeight="1" x14ac:dyDescent="0.2">
      <c r="C61087"/>
      <c r="M61087"/>
    </row>
    <row r="61088" spans="3:13" ht="12.75" customHeight="1" x14ac:dyDescent="0.2">
      <c r="C61088"/>
      <c r="M61088"/>
    </row>
    <row r="61089" spans="3:13" ht="12.75" customHeight="1" x14ac:dyDescent="0.2">
      <c r="C61089"/>
      <c r="M61089"/>
    </row>
    <row r="61091" spans="3:13" ht="12.75" customHeight="1" x14ac:dyDescent="0.2">
      <c r="C61091"/>
      <c r="M61091"/>
    </row>
    <row r="61102" spans="3:13" ht="12.75" customHeight="1" x14ac:dyDescent="0.2">
      <c r="C61102"/>
      <c r="M61102"/>
    </row>
    <row r="61103" spans="3:13" ht="12.75" customHeight="1" x14ac:dyDescent="0.2">
      <c r="C61103"/>
      <c r="M61103"/>
    </row>
    <row r="61104" spans="3:13" ht="12.75" customHeight="1" x14ac:dyDescent="0.2">
      <c r="C61104"/>
      <c r="M61104"/>
    </row>
    <row r="61105" spans="3:13" ht="12.75" customHeight="1" x14ac:dyDescent="0.2">
      <c r="C61105"/>
      <c r="M61105"/>
    </row>
    <row r="61107" spans="3:13" ht="12.75" customHeight="1" x14ac:dyDescent="0.2">
      <c r="C61107"/>
      <c r="M61107"/>
    </row>
    <row r="61118" spans="3:13" ht="12.75" customHeight="1" x14ac:dyDescent="0.2">
      <c r="C61118"/>
      <c r="M61118"/>
    </row>
    <row r="61119" spans="3:13" ht="12.75" customHeight="1" x14ac:dyDescent="0.2">
      <c r="C61119"/>
      <c r="M61119"/>
    </row>
    <row r="61120" spans="3:13" ht="12.75" customHeight="1" x14ac:dyDescent="0.2">
      <c r="C61120"/>
      <c r="M61120"/>
    </row>
    <row r="61121" spans="3:13" ht="12.75" customHeight="1" x14ac:dyDescent="0.2">
      <c r="C61121"/>
      <c r="M61121"/>
    </row>
    <row r="61123" spans="3:13" ht="12.75" customHeight="1" x14ac:dyDescent="0.2">
      <c r="C61123"/>
      <c r="M61123"/>
    </row>
    <row r="61134" spans="3:13" ht="12.75" customHeight="1" x14ac:dyDescent="0.2">
      <c r="C61134"/>
      <c r="M61134"/>
    </row>
    <row r="61135" spans="3:13" ht="12.75" customHeight="1" x14ac:dyDescent="0.2">
      <c r="C61135"/>
      <c r="M61135"/>
    </row>
    <row r="61136" spans="3:13" ht="12.75" customHeight="1" x14ac:dyDescent="0.2">
      <c r="C61136"/>
      <c r="M61136"/>
    </row>
    <row r="61137" spans="3:13" ht="12.75" customHeight="1" x14ac:dyDescent="0.2">
      <c r="C61137"/>
      <c r="M61137"/>
    </row>
    <row r="61139" spans="3:13" ht="12.75" customHeight="1" x14ac:dyDescent="0.2">
      <c r="C61139"/>
      <c r="M61139"/>
    </row>
    <row r="61150" spans="3:13" ht="12.75" customHeight="1" x14ac:dyDescent="0.2">
      <c r="C61150"/>
      <c r="M61150"/>
    </row>
    <row r="61151" spans="3:13" ht="12.75" customHeight="1" x14ac:dyDescent="0.2">
      <c r="C61151"/>
      <c r="M61151"/>
    </row>
    <row r="61152" spans="3:13" ht="12.75" customHeight="1" x14ac:dyDescent="0.2">
      <c r="C61152"/>
      <c r="M61152"/>
    </row>
    <row r="61153" spans="3:13" ht="12.75" customHeight="1" x14ac:dyDescent="0.2">
      <c r="C61153"/>
      <c r="M61153"/>
    </row>
    <row r="61155" spans="3:13" ht="12.75" customHeight="1" x14ac:dyDescent="0.2">
      <c r="C61155"/>
      <c r="M61155"/>
    </row>
    <row r="61163" spans="3:13" ht="12.75" customHeight="1" x14ac:dyDescent="0.2">
      <c r="C61163"/>
      <c r="M61163"/>
    </row>
    <row r="61166" spans="3:13" ht="12.75" customHeight="1" x14ac:dyDescent="0.2">
      <c r="C61166"/>
      <c r="M61166"/>
    </row>
    <row r="61167" spans="3:13" ht="12.75" customHeight="1" x14ac:dyDescent="0.2">
      <c r="C61167"/>
      <c r="M61167"/>
    </row>
    <row r="61168" spans="3:13" ht="12.75" customHeight="1" x14ac:dyDescent="0.2">
      <c r="C61168"/>
      <c r="M61168"/>
    </row>
    <row r="61169" spans="3:13" ht="12.75" customHeight="1" x14ac:dyDescent="0.2">
      <c r="C61169"/>
      <c r="M61169"/>
    </row>
    <row r="61171" spans="3:13" ht="12.75" customHeight="1" x14ac:dyDescent="0.2">
      <c r="C61171"/>
      <c r="M61171"/>
    </row>
    <row r="61179" spans="3:13" ht="12.75" customHeight="1" x14ac:dyDescent="0.2">
      <c r="C61179"/>
      <c r="M61179"/>
    </row>
    <row r="61182" spans="3:13" ht="12.75" customHeight="1" x14ac:dyDescent="0.2">
      <c r="C61182"/>
      <c r="M61182"/>
    </row>
    <row r="61183" spans="3:13" ht="12.75" customHeight="1" x14ac:dyDescent="0.2">
      <c r="C61183"/>
      <c r="M61183"/>
    </row>
    <row r="61184" spans="3:13" ht="12.75" customHeight="1" x14ac:dyDescent="0.2">
      <c r="C61184"/>
      <c r="M61184"/>
    </row>
    <row r="61185" spans="3:13" ht="12.75" customHeight="1" x14ac:dyDescent="0.2">
      <c r="C61185"/>
      <c r="M61185"/>
    </row>
    <row r="61187" spans="3:13" ht="12.75" customHeight="1" x14ac:dyDescent="0.2">
      <c r="C61187"/>
      <c r="M61187"/>
    </row>
    <row r="61195" spans="3:13" ht="12.75" customHeight="1" x14ac:dyDescent="0.2">
      <c r="C61195"/>
      <c r="M61195"/>
    </row>
    <row r="61196" spans="3:13" ht="12.75" customHeight="1" x14ac:dyDescent="0.2">
      <c r="C61196"/>
      <c r="M61196"/>
    </row>
    <row r="61198" spans="3:13" ht="12.75" customHeight="1" x14ac:dyDescent="0.2">
      <c r="C61198"/>
      <c r="M61198"/>
    </row>
    <row r="61199" spans="3:13" ht="12.75" customHeight="1" x14ac:dyDescent="0.2">
      <c r="C61199"/>
      <c r="M61199"/>
    </row>
    <row r="61200" spans="3:13" ht="12.75" customHeight="1" x14ac:dyDescent="0.2">
      <c r="C61200"/>
      <c r="M61200"/>
    </row>
    <row r="61201" spans="3:13" ht="12.75" customHeight="1" x14ac:dyDescent="0.2">
      <c r="C61201"/>
      <c r="M61201"/>
    </row>
    <row r="61203" spans="3:13" ht="12.75" customHeight="1" x14ac:dyDescent="0.2">
      <c r="C61203"/>
      <c r="M61203"/>
    </row>
    <row r="61211" spans="3:13" ht="12.75" customHeight="1" x14ac:dyDescent="0.2">
      <c r="C61211"/>
      <c r="M61211"/>
    </row>
    <row r="61212" spans="3:13" ht="12.75" customHeight="1" x14ac:dyDescent="0.2">
      <c r="C61212"/>
      <c r="M61212"/>
    </row>
    <row r="61213" spans="3:13" ht="12.75" customHeight="1" x14ac:dyDescent="0.2">
      <c r="C61213"/>
      <c r="M61213"/>
    </row>
    <row r="61214" spans="3:13" ht="12.75" customHeight="1" x14ac:dyDescent="0.2">
      <c r="C61214"/>
      <c r="M61214"/>
    </row>
    <row r="61215" spans="3:13" ht="12.75" customHeight="1" x14ac:dyDescent="0.2">
      <c r="C61215"/>
      <c r="M61215"/>
    </row>
    <row r="61216" spans="3:13" ht="12.75" customHeight="1" x14ac:dyDescent="0.2">
      <c r="C61216"/>
      <c r="M61216"/>
    </row>
    <row r="61217" spans="3:13" ht="12.75" customHeight="1" x14ac:dyDescent="0.2">
      <c r="C61217"/>
      <c r="M61217"/>
    </row>
    <row r="61219" spans="3:13" ht="12.75" customHeight="1" x14ac:dyDescent="0.2">
      <c r="C61219"/>
      <c r="M61219"/>
    </row>
    <row r="61227" spans="3:13" ht="12.75" customHeight="1" x14ac:dyDescent="0.2">
      <c r="C61227"/>
      <c r="M61227"/>
    </row>
    <row r="61228" spans="3:13" ht="12.75" customHeight="1" x14ac:dyDescent="0.2">
      <c r="C61228"/>
      <c r="M61228"/>
    </row>
    <row r="61229" spans="3:13" ht="12.75" customHeight="1" x14ac:dyDescent="0.2">
      <c r="C61229"/>
      <c r="M61229"/>
    </row>
    <row r="61230" spans="3:13" ht="12.75" customHeight="1" x14ac:dyDescent="0.2">
      <c r="C61230"/>
      <c r="M61230"/>
    </row>
    <row r="61231" spans="3:13" ht="12.75" customHeight="1" x14ac:dyDescent="0.2">
      <c r="C61231"/>
      <c r="M61231"/>
    </row>
    <row r="61232" spans="3:13" ht="12.75" customHeight="1" x14ac:dyDescent="0.2">
      <c r="C61232"/>
      <c r="M61232"/>
    </row>
    <row r="61233" spans="3:13" ht="12.75" customHeight="1" x14ac:dyDescent="0.2">
      <c r="C61233"/>
      <c r="M61233"/>
    </row>
    <row r="61235" spans="3:13" ht="12.75" customHeight="1" x14ac:dyDescent="0.2">
      <c r="C61235"/>
      <c r="M61235"/>
    </row>
    <row r="61241" spans="3:13" ht="12.75" customHeight="1" x14ac:dyDescent="0.2">
      <c r="C61241"/>
      <c r="M61241"/>
    </row>
    <row r="61242" spans="3:13" ht="12.75" customHeight="1" x14ac:dyDescent="0.2">
      <c r="C61242"/>
      <c r="M61242"/>
    </row>
    <row r="61243" spans="3:13" ht="12.75" customHeight="1" x14ac:dyDescent="0.2">
      <c r="C61243"/>
      <c r="M61243"/>
    </row>
    <row r="61244" spans="3:13" ht="12.75" customHeight="1" x14ac:dyDescent="0.2">
      <c r="C61244"/>
      <c r="M61244"/>
    </row>
    <row r="61245" spans="3:13" ht="12.75" customHeight="1" x14ac:dyDescent="0.2">
      <c r="C61245"/>
      <c r="M61245"/>
    </row>
    <row r="61246" spans="3:13" ht="12.75" customHeight="1" x14ac:dyDescent="0.2">
      <c r="C61246"/>
      <c r="M61246"/>
    </row>
    <row r="61247" spans="3:13" ht="12.75" customHeight="1" x14ac:dyDescent="0.2">
      <c r="C61247"/>
      <c r="M61247"/>
    </row>
    <row r="61248" spans="3:13" ht="12.75" customHeight="1" x14ac:dyDescent="0.2">
      <c r="C61248"/>
      <c r="M61248"/>
    </row>
    <row r="61249" spans="3:13" ht="12.75" customHeight="1" x14ac:dyDescent="0.2">
      <c r="C61249"/>
      <c r="M61249"/>
    </row>
    <row r="61250" spans="3:13" ht="12.75" customHeight="1" x14ac:dyDescent="0.2">
      <c r="C61250"/>
      <c r="M61250"/>
    </row>
    <row r="61251" spans="3:13" ht="12.75" customHeight="1" x14ac:dyDescent="0.2">
      <c r="C61251"/>
      <c r="M61251"/>
    </row>
    <row r="61252" spans="3:13" ht="12.75" customHeight="1" x14ac:dyDescent="0.2">
      <c r="C61252"/>
      <c r="M61252"/>
    </row>
    <row r="61257" spans="3:13" ht="12.75" customHeight="1" x14ac:dyDescent="0.2">
      <c r="C61257"/>
      <c r="M61257"/>
    </row>
    <row r="61258" spans="3:13" ht="12.75" customHeight="1" x14ac:dyDescent="0.2">
      <c r="C61258"/>
      <c r="M61258"/>
    </row>
    <row r="61259" spans="3:13" ht="12.75" customHeight="1" x14ac:dyDescent="0.2">
      <c r="C61259"/>
      <c r="M61259"/>
    </row>
    <row r="61260" spans="3:13" ht="12.75" customHeight="1" x14ac:dyDescent="0.2">
      <c r="C61260"/>
      <c r="M61260"/>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73" spans="3:13" ht="12.75" customHeight="1" x14ac:dyDescent="0.2">
      <c r="C61273"/>
      <c r="M61273"/>
    </row>
    <row r="61274" spans="3:13" ht="12.75" customHeight="1" x14ac:dyDescent="0.2">
      <c r="C61274"/>
      <c r="M61274"/>
    </row>
    <row r="61275" spans="3:13" ht="12.75" customHeight="1" x14ac:dyDescent="0.2">
      <c r="C61275"/>
      <c r="M61275"/>
    </row>
    <row r="61276" spans="3:13" ht="12.75" customHeight="1" x14ac:dyDescent="0.2">
      <c r="C61276"/>
      <c r="M61276"/>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sheetData>
  <sheetProtection algorithmName="SHA-512" hashValue="9VG4P7LWNUsmXH30OUv14mUG6eJKqV6Y4rGlYypSpMsYkOm5FFJCscW8n9HogNotdn1ox0vWYl03+9KTOnAhvw==" saltValue="+3ewLyNqSobr4YTz2SWOUQ==" spinCount="100000" sheet="1" objects="1" scenarios="1" autoFilter="0"/>
  <autoFilter ref="C15:C51" xr:uid="{00000000-0009-0000-0000-000006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I14 D16:I16 D36:I37 D43:I44 D22:I23 D26:I34">
    <cfRule type="expression" dxfId="282" priority="6938" stopIfTrue="1">
      <formula>$B14=1</formula>
    </cfRule>
    <cfRule type="expression" dxfId="281" priority="6939" stopIfTrue="1">
      <formula>OR($B14=0,$B14=2,$B14=3,$B14=4)</formula>
    </cfRule>
  </conditionalFormatting>
  <conditionalFormatting sqref="M12:N16 M36:N37 M51:N51 M43:N44 M22:N23 M26:N34">
    <cfRule type="expression" dxfId="280" priority="6940" stopIfTrue="1">
      <formula>ACOMPANHAMENTO="BM"</formula>
    </cfRule>
    <cfRule type="expression" dxfId="279" priority="6941" stopIfTrue="1">
      <formula>OR($B12=0,$B12=2,$B12=3,$B12=4)</formula>
    </cfRule>
    <cfRule type="expression" dxfId="278" priority="6942" stopIfTrue="1">
      <formula>$B12=1</formula>
    </cfRule>
  </conditionalFormatting>
  <conditionalFormatting sqref="K12:K17 K20:K51">
    <cfRule type="expression" dxfId="277" priority="6943" stopIfTrue="1">
      <formula>OR(ACOMPANHAMENTO="BM",$A$12&lt;&gt;"Manual")</formula>
    </cfRule>
    <cfRule type="expression" dxfId="276" priority="6944" stopIfTrue="1">
      <formula>$B12=1</formula>
    </cfRule>
    <cfRule type="expression" dxfId="275" priority="6945" stopIfTrue="1">
      <formula>OR($B12=2,$B12=3,$B12=4,$B12=0)</formula>
    </cfRule>
  </conditionalFormatting>
  <conditionalFormatting sqref="O12:AA17 O20:AA51">
    <cfRule type="expression" dxfId="274" priority="6946" stopIfTrue="1">
      <formula>ACOMPANHAMENTO="BM"</formula>
    </cfRule>
    <cfRule type="expression" dxfId="273" priority="6947" stopIfTrue="1">
      <formula>AND(O$12&lt;&gt;".",OR($B12=0,$B12=2,$B12=3,$B12=4,AND(O$12="",$B12&lt;&gt;"Empty"),OFFSET(O$12,0,-1)=""))</formula>
    </cfRule>
    <cfRule type="expression" dxfId="272" priority="6948" stopIfTrue="1">
      <formula>AND($B12=1,O$12&lt;&gt;".")</formula>
    </cfRule>
  </conditionalFormatting>
  <conditionalFormatting sqref="D17:I17">
    <cfRule type="expression" dxfId="271" priority="737" stopIfTrue="1">
      <formula>$B17=1</formula>
    </cfRule>
    <cfRule type="expression" dxfId="270" priority="738" stopIfTrue="1">
      <formula>OR($B17=0,$B17=2,$B17=3,$B17=4)</formula>
    </cfRule>
  </conditionalFormatting>
  <conditionalFormatting sqref="M17:N17">
    <cfRule type="expression" dxfId="269" priority="739" stopIfTrue="1">
      <formula>ACOMPANHAMENTO="BM"</formula>
    </cfRule>
    <cfRule type="expression" dxfId="268" priority="740" stopIfTrue="1">
      <formula>OR($B17=0,$B17=2,$B17=3,$B17=4)</formula>
    </cfRule>
    <cfRule type="expression" dxfId="267" priority="741" stopIfTrue="1">
      <formula>$B17=1</formula>
    </cfRule>
  </conditionalFormatting>
  <conditionalFormatting sqref="D19:I19">
    <cfRule type="expression" dxfId="266" priority="704" stopIfTrue="1">
      <formula>$B19=1</formula>
    </cfRule>
    <cfRule type="expression" dxfId="265" priority="705" stopIfTrue="1">
      <formula>OR($B19=0,$B19=2,$B19=3,$B19=4)</formula>
    </cfRule>
  </conditionalFormatting>
  <conditionalFormatting sqref="M19:N19">
    <cfRule type="expression" dxfId="264" priority="706" stopIfTrue="1">
      <formula>ACOMPANHAMENTO="BM"</formula>
    </cfRule>
    <cfRule type="expression" dxfId="263" priority="707" stopIfTrue="1">
      <formula>OR($B19=0,$B19=2,$B19=3,$B19=4)</formula>
    </cfRule>
    <cfRule type="expression" dxfId="262" priority="708" stopIfTrue="1">
      <formula>$B19=1</formula>
    </cfRule>
  </conditionalFormatting>
  <conditionalFormatting sqref="K19">
    <cfRule type="expression" dxfId="261" priority="709" stopIfTrue="1">
      <formula>OR(ACOMPANHAMENTO="BM",$A$12&lt;&gt;"Manual")</formula>
    </cfRule>
    <cfRule type="expression" dxfId="260" priority="710" stopIfTrue="1">
      <formula>$B19=1</formula>
    </cfRule>
    <cfRule type="expression" dxfId="259" priority="711" stopIfTrue="1">
      <formula>OR($B19=2,$B19=3,$B19=4,$B19=0)</formula>
    </cfRule>
  </conditionalFormatting>
  <conditionalFormatting sqref="O19:AA19">
    <cfRule type="expression" dxfId="258" priority="712" stopIfTrue="1">
      <formula>ACOMPANHAMENTO="BM"</formula>
    </cfRule>
    <cfRule type="expression" dxfId="257" priority="713" stopIfTrue="1">
      <formula>AND(O$12&lt;&gt;".",OR($B19=0,$B19=2,$B19=3,$B19=4,AND(O$12="",$B19&lt;&gt;"Empty"),OFFSET(O$12,0,-1)=""))</formula>
    </cfRule>
    <cfRule type="expression" dxfId="256" priority="714" stopIfTrue="1">
      <formula>AND($B19=1,O$12&lt;&gt;".")</formula>
    </cfRule>
  </conditionalFormatting>
  <conditionalFormatting sqref="D18:I18">
    <cfRule type="expression" dxfId="255" priority="473" stopIfTrue="1">
      <formula>$B18=1</formula>
    </cfRule>
    <cfRule type="expression" dxfId="254" priority="474" stopIfTrue="1">
      <formula>OR($B18=0,$B18=2,$B18=3,$B18=4)</formula>
    </cfRule>
  </conditionalFormatting>
  <conditionalFormatting sqref="M18:N18">
    <cfRule type="expression" dxfId="253" priority="475" stopIfTrue="1">
      <formula>ACOMPANHAMENTO="BM"</formula>
    </cfRule>
    <cfRule type="expression" dxfId="252" priority="476" stopIfTrue="1">
      <formula>OR($B18=0,$B18=2,$B18=3,$B18=4)</formula>
    </cfRule>
    <cfRule type="expression" dxfId="251" priority="477" stopIfTrue="1">
      <formula>$B18=1</formula>
    </cfRule>
  </conditionalFormatting>
  <conditionalFormatting sqref="K18">
    <cfRule type="expression" dxfId="250" priority="478" stopIfTrue="1">
      <formula>OR(ACOMPANHAMENTO="BM",$A$12&lt;&gt;"Manual")</formula>
    </cfRule>
    <cfRule type="expression" dxfId="249" priority="479" stopIfTrue="1">
      <formula>$B18=1</formula>
    </cfRule>
    <cfRule type="expression" dxfId="248" priority="480" stopIfTrue="1">
      <formula>OR($B18=2,$B18=3,$B18=4,$B18=0)</formula>
    </cfRule>
  </conditionalFormatting>
  <conditionalFormatting sqref="O18:AA18">
    <cfRule type="expression" dxfId="247" priority="481" stopIfTrue="1">
      <formula>ACOMPANHAMENTO="BM"</formula>
    </cfRule>
    <cfRule type="expression" dxfId="246" priority="482" stopIfTrue="1">
      <formula>AND(O$12&lt;&gt;".",OR($B18=0,$B18=2,$B18=3,$B18=4,AND(O$12="",$B18&lt;&gt;"Empty"),OFFSET(O$12,0,-1)=""))</formula>
    </cfRule>
    <cfRule type="expression" dxfId="245" priority="483" stopIfTrue="1">
      <formula>AND($B18=1,O$12&lt;&gt;".")</formula>
    </cfRule>
  </conditionalFormatting>
  <conditionalFormatting sqref="D35:I35">
    <cfRule type="expression" dxfId="244" priority="440" stopIfTrue="1">
      <formula>$B35=1</formula>
    </cfRule>
    <cfRule type="expression" dxfId="243" priority="441" stopIfTrue="1">
      <formula>OR($B35=0,$B35=2,$B35=3,$B35=4)</formula>
    </cfRule>
  </conditionalFormatting>
  <conditionalFormatting sqref="M35:N35">
    <cfRule type="expression" dxfId="242" priority="442" stopIfTrue="1">
      <formula>ACOMPANHAMENTO="BM"</formula>
    </cfRule>
    <cfRule type="expression" dxfId="241" priority="443" stopIfTrue="1">
      <formula>OR($B35=0,$B35=2,$B35=3,$B35=4)</formula>
    </cfRule>
    <cfRule type="expression" dxfId="240" priority="444" stopIfTrue="1">
      <formula>$B35=1</formula>
    </cfRule>
  </conditionalFormatting>
  <conditionalFormatting sqref="D21:I21">
    <cfRule type="expression" dxfId="239" priority="323" stopIfTrue="1">
      <formula>$B21=1</formula>
    </cfRule>
    <cfRule type="expression" dxfId="238" priority="324" stopIfTrue="1">
      <formula>OR($B21=0,$B21=2,$B21=3,$B21=4)</formula>
    </cfRule>
  </conditionalFormatting>
  <conditionalFormatting sqref="M21:N21">
    <cfRule type="expression" dxfId="237" priority="325" stopIfTrue="1">
      <formula>ACOMPANHAMENTO="BM"</formula>
    </cfRule>
    <cfRule type="expression" dxfId="236" priority="326" stopIfTrue="1">
      <formula>OR($B21=0,$B21=2,$B21=3,$B21=4)</formula>
    </cfRule>
    <cfRule type="expression" dxfId="235" priority="327" stopIfTrue="1">
      <formula>$B21=1</formula>
    </cfRule>
  </conditionalFormatting>
  <conditionalFormatting sqref="D40:I40">
    <cfRule type="expression" dxfId="234" priority="299" stopIfTrue="1">
      <formula>$B40=1</formula>
    </cfRule>
    <cfRule type="expression" dxfId="233" priority="300" stopIfTrue="1">
      <formula>OR($B40=0,$B40=2,$B40=3,$B40=4)</formula>
    </cfRule>
  </conditionalFormatting>
  <conditionalFormatting sqref="M40:N40">
    <cfRule type="expression" dxfId="232" priority="301" stopIfTrue="1">
      <formula>ACOMPANHAMENTO="BM"</formula>
    </cfRule>
    <cfRule type="expression" dxfId="231" priority="302" stopIfTrue="1">
      <formula>OR($B40=0,$B40=2,$B40=3,$B40=4)</formula>
    </cfRule>
    <cfRule type="expression" dxfId="230" priority="303" stopIfTrue="1">
      <formula>$B40=1</formula>
    </cfRule>
  </conditionalFormatting>
  <conditionalFormatting sqref="D47:I49">
    <cfRule type="expression" dxfId="229" priority="245" stopIfTrue="1">
      <formula>$B47=1</formula>
    </cfRule>
    <cfRule type="expression" dxfId="228" priority="246" stopIfTrue="1">
      <formula>OR($B47=0,$B47=2,$B47=3,$B47=4)</formula>
    </cfRule>
  </conditionalFormatting>
  <conditionalFormatting sqref="M47:N49">
    <cfRule type="expression" dxfId="227" priority="247" stopIfTrue="1">
      <formula>ACOMPANHAMENTO="BM"</formula>
    </cfRule>
    <cfRule type="expression" dxfId="226" priority="248" stopIfTrue="1">
      <formula>OR($B47=0,$B47=2,$B47=3,$B47=4)</formula>
    </cfRule>
    <cfRule type="expression" dxfId="225" priority="249" stopIfTrue="1">
      <formula>$B47=1</formula>
    </cfRule>
  </conditionalFormatting>
  <conditionalFormatting sqref="D20:I20">
    <cfRule type="expression" dxfId="224" priority="168" stopIfTrue="1">
      <formula>$B20=1</formula>
    </cfRule>
    <cfRule type="expression" dxfId="223" priority="169" stopIfTrue="1">
      <formula>OR($B20=0,$B20=2,$B20=3,$B20=4)</formula>
    </cfRule>
  </conditionalFormatting>
  <conditionalFormatting sqref="M20:N20">
    <cfRule type="expression" dxfId="222" priority="170" stopIfTrue="1">
      <formula>ACOMPANHAMENTO="BM"</formula>
    </cfRule>
    <cfRule type="expression" dxfId="221" priority="171" stopIfTrue="1">
      <formula>OR($B20=0,$B20=2,$B20=3,$B20=4)</formula>
    </cfRule>
    <cfRule type="expression" dxfId="220" priority="172" stopIfTrue="1">
      <formula>$B20=1</formula>
    </cfRule>
  </conditionalFormatting>
  <conditionalFormatting sqref="D24:I24">
    <cfRule type="expression" dxfId="219" priority="124" stopIfTrue="1">
      <formula>$B24=1</formula>
    </cfRule>
    <cfRule type="expression" dxfId="218" priority="125" stopIfTrue="1">
      <formula>OR($B24=0,$B24=2,$B24=3,$B24=4)</formula>
    </cfRule>
  </conditionalFormatting>
  <conditionalFormatting sqref="M24:N24">
    <cfRule type="expression" dxfId="217" priority="126" stopIfTrue="1">
      <formula>ACOMPANHAMENTO="BM"</formula>
    </cfRule>
    <cfRule type="expression" dxfId="216" priority="127" stopIfTrue="1">
      <formula>OR($B24=0,$B24=2,$B24=3,$B24=4)</formula>
    </cfRule>
    <cfRule type="expression" dxfId="215" priority="128" stopIfTrue="1">
      <formula>$B24=1</formula>
    </cfRule>
  </conditionalFormatting>
  <conditionalFormatting sqref="D25:I25">
    <cfRule type="expression" dxfId="214" priority="113" stopIfTrue="1">
      <formula>$B25=1</formula>
    </cfRule>
    <cfRule type="expression" dxfId="213" priority="114" stopIfTrue="1">
      <formula>OR($B25=0,$B25=2,$B25=3,$B25=4)</formula>
    </cfRule>
  </conditionalFormatting>
  <conditionalFormatting sqref="M25:N25">
    <cfRule type="expression" dxfId="212" priority="115" stopIfTrue="1">
      <formula>ACOMPANHAMENTO="BM"</formula>
    </cfRule>
    <cfRule type="expression" dxfId="211" priority="116" stopIfTrue="1">
      <formula>OR($B25=0,$B25=2,$B25=3,$B25=4)</formula>
    </cfRule>
    <cfRule type="expression" dxfId="210" priority="117" stopIfTrue="1">
      <formula>$B25=1</formula>
    </cfRule>
  </conditionalFormatting>
  <conditionalFormatting sqref="D46:I46">
    <cfRule type="expression" dxfId="209" priority="102" stopIfTrue="1">
      <formula>$B46=1</formula>
    </cfRule>
    <cfRule type="expression" dxfId="208" priority="103" stopIfTrue="1">
      <formula>OR($B46=0,$B46=2,$B46=3,$B46=4)</formula>
    </cfRule>
  </conditionalFormatting>
  <conditionalFormatting sqref="M46:N46">
    <cfRule type="expression" dxfId="207" priority="104" stopIfTrue="1">
      <formula>ACOMPANHAMENTO="BM"</formula>
    </cfRule>
    <cfRule type="expression" dxfId="206" priority="105" stopIfTrue="1">
      <formula>OR($B46=0,$B46=2,$B46=3,$B46=4)</formula>
    </cfRule>
    <cfRule type="expression" dxfId="205" priority="106" stopIfTrue="1">
      <formula>$B46=1</formula>
    </cfRule>
  </conditionalFormatting>
  <conditionalFormatting sqref="D41:I41">
    <cfRule type="expression" dxfId="204" priority="69" stopIfTrue="1">
      <formula>$B41=1</formula>
    </cfRule>
    <cfRule type="expression" dxfId="203" priority="70" stopIfTrue="1">
      <formula>OR($B41=0,$B41=2,$B41=3,$B41=4)</formula>
    </cfRule>
  </conditionalFormatting>
  <conditionalFormatting sqref="M41:N41">
    <cfRule type="expression" dxfId="202" priority="71" stopIfTrue="1">
      <formula>ACOMPANHAMENTO="BM"</formula>
    </cfRule>
    <cfRule type="expression" dxfId="201" priority="72" stopIfTrue="1">
      <formula>OR($B41=0,$B41=2,$B41=3,$B41=4)</formula>
    </cfRule>
    <cfRule type="expression" dxfId="200" priority="73" stopIfTrue="1">
      <formula>$B41=1</formula>
    </cfRule>
  </conditionalFormatting>
  <conditionalFormatting sqref="D50:I50">
    <cfRule type="expression" dxfId="199" priority="58" stopIfTrue="1">
      <formula>$B50=1</formula>
    </cfRule>
    <cfRule type="expression" dxfId="198" priority="59" stopIfTrue="1">
      <formula>OR($B50=0,$B50=2,$B50=3,$B50=4)</formula>
    </cfRule>
  </conditionalFormatting>
  <conditionalFormatting sqref="M50:N50">
    <cfRule type="expression" dxfId="197" priority="60" stopIfTrue="1">
      <formula>ACOMPANHAMENTO="BM"</formula>
    </cfRule>
    <cfRule type="expression" dxfId="196" priority="61" stopIfTrue="1">
      <formula>OR($B50=0,$B50=2,$B50=3,$B50=4)</formula>
    </cfRule>
    <cfRule type="expression" dxfId="195" priority="62" stopIfTrue="1">
      <formula>$B50=1</formula>
    </cfRule>
  </conditionalFormatting>
  <conditionalFormatting sqref="D38:I38">
    <cfRule type="expression" dxfId="194" priority="45" stopIfTrue="1">
      <formula>$B38=1</formula>
    </cfRule>
    <cfRule type="expression" dxfId="193" priority="46" stopIfTrue="1">
      <formula>OR($B38=0,$B38=2,$B38=3,$B38=4)</formula>
    </cfRule>
  </conditionalFormatting>
  <conditionalFormatting sqref="M38:N38">
    <cfRule type="expression" dxfId="192" priority="47" stopIfTrue="1">
      <formula>ACOMPANHAMENTO="BM"</formula>
    </cfRule>
    <cfRule type="expression" dxfId="191" priority="48" stopIfTrue="1">
      <formula>OR($B38=0,$B38=2,$B38=3,$B38=4)</formula>
    </cfRule>
    <cfRule type="expression" dxfId="190" priority="49" stopIfTrue="1">
      <formula>$B38=1</formula>
    </cfRule>
  </conditionalFormatting>
  <conditionalFormatting sqref="D45:I45">
    <cfRule type="expression" dxfId="189" priority="34" stopIfTrue="1">
      <formula>$B45=1</formula>
    </cfRule>
    <cfRule type="expression" dxfId="188" priority="35" stopIfTrue="1">
      <formula>OR($B45=0,$B45=2,$B45=3,$B45=4)</formula>
    </cfRule>
  </conditionalFormatting>
  <conditionalFormatting sqref="M45:N45">
    <cfRule type="expression" dxfId="187" priority="36" stopIfTrue="1">
      <formula>ACOMPANHAMENTO="BM"</formula>
    </cfRule>
    <cfRule type="expression" dxfId="186" priority="37" stopIfTrue="1">
      <formula>OR($B45=0,$B45=2,$B45=3,$B45=4)</formula>
    </cfRule>
    <cfRule type="expression" dxfId="185" priority="38" stopIfTrue="1">
      <formula>$B45=1</formula>
    </cfRule>
  </conditionalFormatting>
  <conditionalFormatting sqref="D39:I39">
    <cfRule type="expression" dxfId="184" priority="23" stopIfTrue="1">
      <formula>$B39=1</formula>
    </cfRule>
    <cfRule type="expression" dxfId="183" priority="24" stopIfTrue="1">
      <formula>OR($B39=0,$B39=2,$B39=3,$B39=4)</formula>
    </cfRule>
  </conditionalFormatting>
  <conditionalFormatting sqref="M39:N39">
    <cfRule type="expression" dxfId="182" priority="25" stopIfTrue="1">
      <formula>ACOMPANHAMENTO="BM"</formula>
    </cfRule>
    <cfRule type="expression" dxfId="181" priority="26" stopIfTrue="1">
      <formula>OR($B39=0,$B39=2,$B39=3,$B39=4)</formula>
    </cfRule>
    <cfRule type="expression" dxfId="180" priority="27" stopIfTrue="1">
      <formula>$B39=1</formula>
    </cfRule>
  </conditionalFormatting>
  <conditionalFormatting sqref="D42:I42">
    <cfRule type="expression" dxfId="179" priority="1" stopIfTrue="1">
      <formula>$B42=1</formula>
    </cfRule>
    <cfRule type="expression" dxfId="178" priority="2" stopIfTrue="1">
      <formula>OR($B42=0,$B42=2,$B42=3,$B42=4)</formula>
    </cfRule>
  </conditionalFormatting>
  <conditionalFormatting sqref="M42:N42">
    <cfRule type="expression" dxfId="177" priority="3" stopIfTrue="1">
      <formula>ACOMPANHAMENTO="BM"</formula>
    </cfRule>
    <cfRule type="expression" dxfId="176" priority="4" stopIfTrue="1">
      <formula>OR($B42=0,$B42=2,$B42=3,$B42=4)</formula>
    </cfRule>
    <cfRule type="expression" dxfId="175" priority="5" stopIfTrue="1">
      <formula>$B42=1</formula>
    </cfRule>
  </conditionalFormatting>
  <dataValidations count="4">
    <dataValidation type="decimal" operator="greaterThan" allowBlank="1" showErrorMessage="1" error="Apenas números decimais maiores que zero." sqref="O14 Q14:Z14 Q16:Z50 O16:O50" xr:uid="{00000000-0002-0000-0600-000000000000}">
      <formula1>0</formula1>
      <formula2>0</formula2>
    </dataValidation>
    <dataValidation type="list" allowBlank="1" showErrorMessage="1" sqref="K14 K16:K50" xr:uid="{00000000-0002-0000-0600-000001000000}">
      <formula1>EVENTOS.ListaValidacao</formula1>
      <formula2>0</formula2>
    </dataValidation>
    <dataValidation allowBlank="1" showInputMessage="1" showErrorMessage="1" prompt="A quantidade é digitada nas colunas Q em diante, após preencher o nome das frentes de obra na célula Q12 em diante" sqref="H14 H16:H50" xr:uid="{00000000-0002-0000-0600-000002000000}"/>
    <dataValidation allowBlank="1" showInputMessage="1" showErrorMessage="1" prompt="A frente de obra é uma porção física da obra. Exemplos: Única; Rua A; Rua B; Trecho 01; Trecho 02; 1º Andar; 2º Andar; Copa; Banheiro" sqref="Q12" xr:uid="{00000000-0002-0000-0600-000003000000}"/>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&amp;LPMv3.07&amp;R&amp;P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10">
    <pageSetUpPr fitToPage="1"/>
  </sheetPr>
  <dimension ref="A1:AF34"/>
  <sheetViews>
    <sheetView showGridLines="0" zoomScaleNormal="100" zoomScaleSheetLayoutView="100" workbookViewId="0">
      <pane xSplit="3" ySplit="13" topLeftCell="D14" activePane="bottomRight" state="frozen"/>
      <selection activeCell="A3" sqref="A3"/>
      <selection pane="topRight" activeCell="D3" sqref="D3"/>
      <selection pane="bottomLeft" activeCell="A13" sqref="A13"/>
      <selection pane="bottomRight" activeCell="G16" sqref="G16"/>
    </sheetView>
  </sheetViews>
  <sheetFormatPr defaultRowHeight="12.75" x14ac:dyDescent="0.2"/>
  <cols>
    <col min="1" max="1" width="3.7109375" customWidth="1"/>
    <col min="2" max="2" width="8.140625" customWidth="1"/>
    <col min="3" max="3" width="36.85546875" customWidth="1"/>
    <col min="4" max="4" width="0.85546875" customWidth="1"/>
    <col min="5" max="6" width="9.140625" hidden="1" customWidth="1"/>
    <col min="7" max="31" width="5.7109375" customWidth="1"/>
    <col min="32" max="32" width="5.7109375" hidden="1" customWidth="1"/>
  </cols>
  <sheetData>
    <row r="1" spans="1:31" hidden="1" x14ac:dyDescent="0.2">
      <c r="A1" s="7" t="e">
        <f ca="1">IF(AUTOEVENTO="Manual",IF(OFFSET(EVENTOS!$F$14,CRONOPLE!$B1,0)&gt;0,"F",""),IF(CRONOPLE!B1&lt;=MAX(CÁLCULO!$M$15:$M$51),"F",""))</f>
        <v>#REF!</v>
      </c>
      <c r="B1" s="286" t="e">
        <f ca="1">OFFSET(B1,-1,0)+1</f>
        <v>#REF!</v>
      </c>
      <c r="C1" s="287" t="e">
        <f ca="1">IF(AUTOEVENTO="Manual",IF($B1&lt;&gt;1,OFFSET(EVENTOS!$D$14,$B1,0),0),IF(B1&lt;=MAX(CÁLCULO!$M$15:$M$51),VLOOKUP($B1,CÁLCULO!$M$15:$N$51,2,FALSE),0))</f>
        <v>#REF!</v>
      </c>
      <c r="E1" s="288"/>
      <c r="G1" s="288"/>
      <c r="H1" s="288"/>
      <c r="I1" s="288"/>
      <c r="J1" s="288"/>
      <c r="K1" s="288"/>
      <c r="L1" s="288"/>
      <c r="M1" s="288"/>
      <c r="N1" s="288"/>
      <c r="O1" s="288"/>
      <c r="P1" s="288"/>
      <c r="Q1" s="288"/>
      <c r="R1" s="288"/>
      <c r="S1" s="288"/>
      <c r="T1" s="288"/>
      <c r="U1" s="288"/>
      <c r="V1" s="288"/>
      <c r="W1" s="288"/>
      <c r="X1" s="288"/>
      <c r="Y1" s="288"/>
      <c r="Z1" s="288"/>
      <c r="AA1" s="288"/>
      <c r="AB1" s="288"/>
      <c r="AC1" s="288"/>
      <c r="AD1" s="288"/>
      <c r="AE1" s="288"/>
    </row>
    <row r="2" spans="1:31" hidden="1" x14ac:dyDescent="0.2"/>
    <row r="3" spans="1:31" ht="15" hidden="1" x14ac:dyDescent="0.25">
      <c r="B3" s="289" t="str">
        <f ca="1">IF(ACOMPANHAMENTO="BM","NO ACOMPANHAMENTO POR BM, UTILIZE A ABA CRONO",IF(MAX($B$14:$B$21)&lt;MAX(CÁLCULO!$M$15:$M$51),"ERRO: NÚMERO DE EVENTOS INSUFICIENTE, CLIQUE EM ATUALIZAR LINHAS",IF(ROUND(OFFSET(CRONO!$AF$42,0,-1),2)&lt;&gt;CRONO!$Q$33,"ERRO: CRONOGRAMA NÃO FECHA 100%","")))</f>
        <v/>
      </c>
    </row>
    <row r="4" spans="1:31" ht="30" customHeight="1" x14ac:dyDescent="0.2">
      <c r="G4" s="83" t="s">
        <v>286</v>
      </c>
      <c r="AC4" s="670" t="s">
        <v>452</v>
      </c>
      <c r="AD4" s="671"/>
      <c r="AE4" s="672"/>
    </row>
    <row r="5" spans="1:31" ht="12.75" customHeight="1" x14ac:dyDescent="0.2">
      <c r="G5" s="83"/>
      <c r="AD5" s="560"/>
      <c r="AE5" s="560"/>
    </row>
    <row r="6" spans="1:31" ht="12.75" customHeight="1" x14ac:dyDescent="0.2">
      <c r="B6" s="622" t="s">
        <v>147</v>
      </c>
      <c r="C6" s="622"/>
      <c r="D6" s="622"/>
      <c r="G6" s="633" t="s">
        <v>146</v>
      </c>
      <c r="H6" s="633"/>
      <c r="I6" s="633"/>
      <c r="J6" s="633" t="s">
        <v>432</v>
      </c>
      <c r="K6" s="633"/>
      <c r="L6" s="633"/>
      <c r="M6" s="230" t="s">
        <v>271</v>
      </c>
      <c r="N6" s="234"/>
      <c r="P6" s="204"/>
      <c r="Q6" s="204"/>
      <c r="R6" s="204"/>
      <c r="U6" s="561"/>
      <c r="V6" s="204"/>
      <c r="W6" s="204"/>
      <c r="X6" s="204"/>
      <c r="Y6" s="204"/>
      <c r="AD6" s="560"/>
      <c r="AE6" s="562"/>
    </row>
    <row r="7" spans="1:31" ht="12.75" customHeight="1" x14ac:dyDescent="0.2">
      <c r="B7" s="625" t="str">
        <f>Import.Proponente</f>
        <v>MUNICIPIO DE BENTO GONÇALVES</v>
      </c>
      <c r="C7" s="625"/>
      <c r="D7" s="625"/>
      <c r="G7" s="638">
        <f>Import.CR</f>
        <v>0</v>
      </c>
      <c r="H7" s="638"/>
      <c r="I7" s="638"/>
      <c r="J7" s="638">
        <f>Import.SICONV</f>
        <v>0</v>
      </c>
      <c r="K7" s="638"/>
      <c r="L7" s="638"/>
      <c r="M7" s="646" t="str">
        <f>Import.Apelido</f>
        <v>RUA MIGUEL A DA ROLT</v>
      </c>
      <c r="N7" s="647"/>
      <c r="O7" s="647"/>
      <c r="P7" s="647"/>
      <c r="Q7" s="647"/>
      <c r="R7" s="647"/>
      <c r="S7" s="647"/>
      <c r="T7" s="647"/>
      <c r="U7" s="647"/>
      <c r="V7" s="647"/>
      <c r="W7" s="647"/>
      <c r="X7" s="647"/>
      <c r="Y7" s="647"/>
      <c r="Z7" s="647"/>
      <c r="AA7" s="647"/>
      <c r="AB7" s="647"/>
      <c r="AC7" s="647"/>
      <c r="AD7" s="647"/>
      <c r="AE7" s="673"/>
    </row>
    <row r="9" spans="1:31" x14ac:dyDescent="0.2">
      <c r="B9" t="s">
        <v>287</v>
      </c>
    </row>
    <row r="11" spans="1:31" ht="65.25" customHeight="1" x14ac:dyDescent="0.2">
      <c r="A11" s="567" t="s">
        <v>208</v>
      </c>
      <c r="C11" s="291"/>
      <c r="E11" s="292" t="str">
        <f ca="1">IF(E$12&gt;CÁLCULO.NúmeroDeFrentes,"",OFFSET(CÁLCULO!$P$12,0,E$12))</f>
        <v>FRENTE 1</v>
      </c>
      <c r="G11" s="292" t="str">
        <f ca="1">IF(G$12&gt;CÁLCULO.NúmeroDeFrentes,"",OFFSET(CÁLCULO!$P$12,0,G$12))</f>
        <v>FRENTE 1</v>
      </c>
      <c r="H11" s="292" t="str">
        <f ca="1">IF(H$12&gt;CÁLCULO.NúmeroDeFrentes,"",OFFSET(CÁLCULO!$P$12,0,H$12))</f>
        <v>FRENTE 2</v>
      </c>
      <c r="I11" s="292">
        <f ca="1">IF(I$12&gt;CÁLCULO.NúmeroDeFrentes,"",OFFSET(CÁLCULO!$P$12,0,I$12))</f>
        <v>0</v>
      </c>
      <c r="J11" s="292">
        <f ca="1">IF(J$12&gt;CÁLCULO.NúmeroDeFrentes,"",OFFSET(CÁLCULO!$P$12,0,J$12))</f>
        <v>0</v>
      </c>
      <c r="K11" s="292">
        <f ca="1">IF(K$12&gt;CÁLCULO.NúmeroDeFrentes,"",OFFSET(CÁLCULO!$P$12,0,K$12))</f>
        <v>0</v>
      </c>
      <c r="L11" s="292">
        <f ca="1">IF(L$12&gt;CÁLCULO.NúmeroDeFrentes,"",OFFSET(CÁLCULO!$P$12,0,L$12))</f>
        <v>0</v>
      </c>
      <c r="M11" s="292">
        <f ca="1">IF(M$12&gt;CÁLCULO.NúmeroDeFrentes,"",OFFSET(CÁLCULO!$P$12,0,M$12))</f>
        <v>0</v>
      </c>
      <c r="N11" s="292">
        <f ca="1">IF(N$12&gt;CÁLCULO.NúmeroDeFrentes,"",OFFSET(CÁLCULO!$P$12,0,N$12))</f>
        <v>0</v>
      </c>
      <c r="O11" s="292">
        <f ca="1">IF(O$12&gt;CÁLCULO.NúmeroDeFrentes,"",OFFSET(CÁLCULO!$P$12,0,O$12))</f>
        <v>0</v>
      </c>
      <c r="P11" s="292">
        <f ca="1">IF(P$12&gt;CÁLCULO.NúmeroDeFrentes,"",OFFSET(CÁLCULO!$P$12,0,P$12))</f>
        <v>0</v>
      </c>
      <c r="Q11" s="292" t="str">
        <f ca="1">IF(Q$12&gt;CÁLCULO.NúmeroDeFrentes,"",OFFSET(CÁLCULO!$P$12,0,Q$12))</f>
        <v/>
      </c>
      <c r="R11" s="292" t="str">
        <f ca="1">IF(R$12&gt;CÁLCULO.NúmeroDeFrentes,"",OFFSET(CÁLCULO!$P$12,0,R$12))</f>
        <v/>
      </c>
      <c r="S11" s="292" t="str">
        <f ca="1">IF(S$12&gt;CÁLCULO.NúmeroDeFrentes,"",OFFSET(CÁLCULO!$P$12,0,S$12))</f>
        <v/>
      </c>
      <c r="T11" s="292" t="str">
        <f ca="1">IF(T$12&gt;CÁLCULO.NúmeroDeFrentes,"",OFFSET(CÁLCULO!$P$12,0,T$12))</f>
        <v/>
      </c>
      <c r="U11" s="292" t="str">
        <f ca="1">IF(U$12&gt;CÁLCULO.NúmeroDeFrentes,"",OFFSET(CÁLCULO!$P$12,0,U$12))</f>
        <v/>
      </c>
      <c r="V11" s="292" t="str">
        <f ca="1">IF(V$12&gt;CÁLCULO.NúmeroDeFrentes,"",OFFSET(CÁLCULO!$P$12,0,V$12))</f>
        <v/>
      </c>
      <c r="W11" s="292" t="str">
        <f ca="1">IF(W$12&gt;CÁLCULO.NúmeroDeFrentes,"",OFFSET(CÁLCULO!$P$12,0,W$12))</f>
        <v/>
      </c>
      <c r="X11" s="292" t="str">
        <f ca="1">IF(X$12&gt;CÁLCULO.NúmeroDeFrentes,"",OFFSET(CÁLCULO!$P$12,0,X$12))</f>
        <v/>
      </c>
      <c r="Y11" s="292" t="str">
        <f ca="1">IF(Y$12&gt;CÁLCULO.NúmeroDeFrentes,"",OFFSET(CÁLCULO!$P$12,0,Y$12))</f>
        <v/>
      </c>
      <c r="Z11" s="292" t="str">
        <f ca="1">IF(Z$12&gt;CÁLCULO.NúmeroDeFrentes,"",OFFSET(CÁLCULO!$P$12,0,Z$12))</f>
        <v/>
      </c>
      <c r="AA11" s="292" t="str">
        <f ca="1">IF(AA$12&gt;CÁLCULO.NúmeroDeFrentes,"",OFFSET(CÁLCULO!$P$12,0,AA$12))</f>
        <v/>
      </c>
      <c r="AB11" s="292" t="str">
        <f ca="1">IF(AB$12&gt;CÁLCULO.NúmeroDeFrentes,"",OFFSET(CÁLCULO!$P$12,0,AB$12))</f>
        <v/>
      </c>
      <c r="AC11" s="292" t="str">
        <f ca="1">IF(AC$12&gt;CÁLCULO.NúmeroDeFrentes,"",OFFSET(CÁLCULO!$P$12,0,AC$12))</f>
        <v/>
      </c>
      <c r="AD11" s="292" t="str">
        <f ca="1">IF(AD$12&gt;CÁLCULO.NúmeroDeFrentes,"",OFFSET(CÁLCULO!$P$12,0,AD$12))</f>
        <v/>
      </c>
      <c r="AE11" s="292" t="str">
        <f ca="1">IF(AE$12&gt;CÁLCULO.NúmeroDeFrentes,"",OFFSET(CÁLCULO!$P$12,0,AE$12))</f>
        <v/>
      </c>
    </row>
    <row r="12" spans="1:31" ht="12.75" customHeight="1" x14ac:dyDescent="0.2">
      <c r="A12" s="568" t="s">
        <v>216</v>
      </c>
      <c r="B12" s="669" t="s">
        <v>264</v>
      </c>
      <c r="C12" s="669" t="s">
        <v>289</v>
      </c>
      <c r="E12" s="293">
        <f ca="1">OFFSET(E12,0,-1)+1</f>
        <v>1</v>
      </c>
      <c r="G12" s="293">
        <f ca="1">OFFSET(G12,0,-1)+1</f>
        <v>1</v>
      </c>
      <c r="H12" s="293">
        <f ca="1">OFFSET(H12,0,-1)+1</f>
        <v>2</v>
      </c>
      <c r="I12" s="293">
        <f t="shared" ref="I12:AE12" ca="1" si="0">OFFSET(I12,0,-1)+1</f>
        <v>3</v>
      </c>
      <c r="J12" s="293">
        <f t="shared" ca="1" si="0"/>
        <v>4</v>
      </c>
      <c r="K12" s="293">
        <f t="shared" ca="1" si="0"/>
        <v>5</v>
      </c>
      <c r="L12" s="293">
        <f t="shared" ca="1" si="0"/>
        <v>6</v>
      </c>
      <c r="M12" s="293">
        <f t="shared" ca="1" si="0"/>
        <v>7</v>
      </c>
      <c r="N12" s="293">
        <f t="shared" ca="1" si="0"/>
        <v>8</v>
      </c>
      <c r="O12" s="293">
        <f t="shared" ca="1" si="0"/>
        <v>9</v>
      </c>
      <c r="P12" s="293">
        <f t="shared" ca="1" si="0"/>
        <v>10</v>
      </c>
      <c r="Q12" s="293">
        <f t="shared" ca="1" si="0"/>
        <v>11</v>
      </c>
      <c r="R12" s="293">
        <f t="shared" ca="1" si="0"/>
        <v>12</v>
      </c>
      <c r="S12" s="293">
        <f t="shared" ca="1" si="0"/>
        <v>13</v>
      </c>
      <c r="T12" s="293">
        <f t="shared" ca="1" si="0"/>
        <v>14</v>
      </c>
      <c r="U12" s="293">
        <f t="shared" ca="1" si="0"/>
        <v>15</v>
      </c>
      <c r="V12" s="293">
        <f t="shared" ca="1" si="0"/>
        <v>16</v>
      </c>
      <c r="W12" s="293">
        <f t="shared" ca="1" si="0"/>
        <v>17</v>
      </c>
      <c r="X12" s="293">
        <f t="shared" ca="1" si="0"/>
        <v>18</v>
      </c>
      <c r="Y12" s="293">
        <f t="shared" ca="1" si="0"/>
        <v>19</v>
      </c>
      <c r="Z12" s="293">
        <f t="shared" ca="1" si="0"/>
        <v>20</v>
      </c>
      <c r="AA12" s="293">
        <f t="shared" ca="1" si="0"/>
        <v>21</v>
      </c>
      <c r="AB12" s="293">
        <f t="shared" ca="1" si="0"/>
        <v>22</v>
      </c>
      <c r="AC12" s="293">
        <f t="shared" ca="1" si="0"/>
        <v>23</v>
      </c>
      <c r="AD12" s="293">
        <f t="shared" ca="1" si="0"/>
        <v>24</v>
      </c>
      <c r="AE12" s="293">
        <f t="shared" ca="1" si="0"/>
        <v>25</v>
      </c>
    </row>
    <row r="13" spans="1:31" x14ac:dyDescent="0.2">
      <c r="A13" t="s">
        <v>208</v>
      </c>
      <c r="B13" s="669"/>
      <c r="C13" s="669"/>
      <c r="E13" s="294"/>
      <c r="G13" s="295"/>
      <c r="H13" s="294"/>
      <c r="I13" s="294"/>
      <c r="J13" s="294"/>
      <c r="K13" s="294"/>
      <c r="L13" s="294"/>
      <c r="M13" s="294" t="s">
        <v>290</v>
      </c>
      <c r="N13" s="294"/>
      <c r="O13" s="294"/>
      <c r="P13" s="294"/>
      <c r="Q13" s="294"/>
      <c r="R13" s="294"/>
      <c r="S13" s="294"/>
      <c r="T13" s="294"/>
      <c r="U13" s="294"/>
      <c r="V13" s="294"/>
      <c r="W13" s="294"/>
      <c r="X13" s="294"/>
      <c r="Y13" s="294"/>
      <c r="Z13" s="294"/>
      <c r="AA13" s="294"/>
      <c r="AB13" s="294"/>
      <c r="AC13" s="294"/>
      <c r="AD13" s="294"/>
      <c r="AE13" s="296"/>
    </row>
    <row r="14" spans="1:31" ht="3.95" customHeight="1" x14ac:dyDescent="0.2">
      <c r="A14" s="7" t="s">
        <v>245</v>
      </c>
    </row>
    <row r="15" spans="1:31" x14ac:dyDescent="0.2">
      <c r="A15" s="7"/>
      <c r="B15" s="297">
        <v>1</v>
      </c>
      <c r="C15" s="298" t="s">
        <v>267</v>
      </c>
      <c r="E15" s="299"/>
      <c r="G15" s="300"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99"/>
      <c r="I15" s="299"/>
      <c r="J15" s="299"/>
      <c r="K15" s="299"/>
      <c r="L15" s="299"/>
      <c r="M15" s="299"/>
      <c r="N15" s="299"/>
      <c r="O15" s="299"/>
      <c r="P15" s="299"/>
      <c r="Q15" s="299"/>
      <c r="R15" s="299"/>
      <c r="S15" s="299"/>
      <c r="T15" s="299"/>
      <c r="U15" s="299"/>
      <c r="V15" s="299"/>
      <c r="W15" s="299"/>
      <c r="X15" s="299"/>
      <c r="Y15" s="299"/>
      <c r="Z15" s="299"/>
      <c r="AA15" s="299"/>
      <c r="AB15" s="299"/>
      <c r="AC15" s="299"/>
      <c r="AD15" s="299"/>
      <c r="AE15" s="301"/>
    </row>
    <row r="16" spans="1:31" x14ac:dyDescent="0.2">
      <c r="A16" s="7" t="str">
        <f ca="1">IF(AUTOEVENTO="Manual",IF(OFFSET(EVENTOS!$F$14,CRONOPLE!$B16,0)&gt;0,"F",""),IF(CRONOPLE!B16&lt;=MAX(CÁLCULO!$M$15:$M$51),"F",""))</f>
        <v>F</v>
      </c>
      <c r="B16" s="286">
        <f t="shared" ref="B16:B20" ca="1" si="1">OFFSET(B16,-1,0)+1</f>
        <v>2</v>
      </c>
      <c r="C16" s="287" t="str">
        <f ca="1">IF(AUTOEVENTO="Manual",IF($B16&lt;&gt;1,OFFSET(EVENTOS!$D$14,$B16,0),0),IF(B16&lt;=MAX(CÁLCULO!$M$15:$M$51),VLOOKUP($B16,CÁLCULO!$M$15:$N$51,2,FALSE),0))</f>
        <v>SERVIÇOS INICIAIS</v>
      </c>
      <c r="E16" s="288"/>
      <c r="G16" s="288">
        <v>1</v>
      </c>
      <c r="H16" s="288">
        <v>2</v>
      </c>
      <c r="I16" s="288"/>
      <c r="J16" s="288"/>
      <c r="K16" s="288"/>
      <c r="L16" s="288"/>
      <c r="M16" s="288"/>
      <c r="N16" s="288"/>
      <c r="O16" s="288"/>
      <c r="P16" s="288"/>
      <c r="Q16" s="288"/>
      <c r="R16" s="288"/>
      <c r="S16" s="288"/>
      <c r="T16" s="288"/>
      <c r="U16" s="288"/>
      <c r="V16" s="288"/>
      <c r="W16" s="288"/>
      <c r="X16" s="288"/>
      <c r="Y16" s="288"/>
      <c r="Z16" s="288"/>
      <c r="AA16" s="288"/>
      <c r="AB16" s="288"/>
      <c r="AC16" s="288"/>
      <c r="AD16" s="288"/>
      <c r="AE16" s="288"/>
    </row>
    <row r="17" spans="1:31" x14ac:dyDescent="0.2">
      <c r="A17" s="7" t="str">
        <f ca="1">IF(AUTOEVENTO="Manual",IF(OFFSET(EVENTOS!$F$14,CRONOPLE!$B17,0)&gt;0,"F",""),IF(CRONOPLE!B17&lt;=MAX(CÁLCULO!$M$15:$M$51),"F",""))</f>
        <v>F</v>
      </c>
      <c r="B17" s="286">
        <f t="shared" ca="1" si="1"/>
        <v>3</v>
      </c>
      <c r="C17" s="287" t="str">
        <f ca="1">IF(AUTOEVENTO="Manual",IF($B17&lt;&gt;1,OFFSET(EVENTOS!$D$14,$B17,0),0),IF(B17&lt;=MAX(CÁLCULO!$M$15:$M$51),VLOOKUP($B17,CÁLCULO!$M$15:$N$51,2,FALSE),0))</f>
        <v>DRENAGEM</v>
      </c>
      <c r="E17" s="288"/>
      <c r="G17" s="288">
        <v>1</v>
      </c>
      <c r="H17" s="288"/>
      <c r="I17" s="288"/>
      <c r="J17" s="288"/>
      <c r="K17" s="288"/>
      <c r="L17" s="288"/>
      <c r="M17" s="288"/>
      <c r="N17" s="288"/>
      <c r="O17" s="288"/>
      <c r="P17" s="288"/>
      <c r="Q17" s="288"/>
      <c r="R17" s="288"/>
      <c r="S17" s="288"/>
      <c r="T17" s="288"/>
      <c r="U17" s="288"/>
      <c r="V17" s="288"/>
      <c r="W17" s="288"/>
      <c r="X17" s="288"/>
      <c r="Y17" s="288"/>
      <c r="Z17" s="288"/>
      <c r="AA17" s="288"/>
      <c r="AB17" s="288"/>
      <c r="AC17" s="288"/>
      <c r="AD17" s="288"/>
      <c r="AE17" s="288"/>
    </row>
    <row r="18" spans="1:31" x14ac:dyDescent="0.2">
      <c r="A18" s="7" t="str">
        <f ca="1">IF(AUTOEVENTO="Manual",IF(OFFSET(EVENTOS!$F$14,CRONOPLE!$B18,0)&gt;0,"F",""),IF(CRONOPLE!B18&lt;=MAX(CÁLCULO!$M$15:$M$51),"F",""))</f>
        <v>F</v>
      </c>
      <c r="B18" s="286">
        <f t="shared" ca="1" si="1"/>
        <v>4</v>
      </c>
      <c r="C18" s="287" t="str">
        <f ca="1">IF(AUTOEVENTO="Manual",IF($B18&lt;&gt;1,OFFSET(EVENTOS!$D$14,$B18,0),0),IF(B18&lt;=MAX(CÁLCULO!$M$15:$M$51),VLOOKUP($B18,CÁLCULO!$M$15:$N$51,2,FALSE),0))</f>
        <v>PAVIMENTAÇÃO ASFÁLTICA</v>
      </c>
      <c r="E18" s="288"/>
      <c r="G18" s="288">
        <v>1</v>
      </c>
      <c r="H18" s="288">
        <v>2</v>
      </c>
      <c r="I18" s="288"/>
      <c r="J18" s="288"/>
      <c r="K18" s="288"/>
      <c r="L18" s="288"/>
      <c r="M18" s="288"/>
      <c r="N18" s="288"/>
      <c r="O18" s="288"/>
      <c r="P18" s="288"/>
      <c r="Q18" s="288"/>
      <c r="R18" s="288"/>
      <c r="S18" s="288"/>
      <c r="T18" s="288"/>
      <c r="U18" s="288"/>
      <c r="V18" s="288"/>
      <c r="W18" s="288"/>
      <c r="X18" s="288"/>
      <c r="Y18" s="288"/>
      <c r="Z18" s="288"/>
      <c r="AA18" s="288"/>
      <c r="AB18" s="288"/>
      <c r="AC18" s="288"/>
      <c r="AD18" s="288"/>
      <c r="AE18" s="288"/>
    </row>
    <row r="19" spans="1:31" x14ac:dyDescent="0.2">
      <c r="A19" s="7" t="str">
        <f ca="1">IF(AUTOEVENTO="Manual",IF(OFFSET(EVENTOS!$F$14,CRONOPLE!$B19,0)&gt;0,"F",""),IF(CRONOPLE!B19&lt;=MAX(CÁLCULO!$M$15:$M$51),"F",""))</f>
        <v>F</v>
      </c>
      <c r="B19" s="286">
        <f t="shared" ca="1" si="1"/>
        <v>5</v>
      </c>
      <c r="C19" s="287" t="str">
        <f ca="1">IF(AUTOEVENTO="Manual",IF($B19&lt;&gt;1,OFFSET(EVENTOS!$D$14,$B19,0),0),IF(B19&lt;=MAX(CÁLCULO!$M$15:$M$51),VLOOKUP($B19,CÁLCULO!$M$15:$N$51,2,FALSE),0))</f>
        <v>PASSEIO E ACESSIBILIDADE</v>
      </c>
      <c r="E19" s="288"/>
      <c r="G19" s="288">
        <v>1</v>
      </c>
      <c r="H19" s="288">
        <v>2</v>
      </c>
      <c r="I19" s="288"/>
      <c r="J19" s="288"/>
      <c r="K19" s="288"/>
      <c r="L19" s="288"/>
      <c r="M19" s="288"/>
      <c r="N19" s="288"/>
      <c r="O19" s="288"/>
      <c r="P19" s="288"/>
      <c r="Q19" s="288"/>
      <c r="R19" s="288"/>
      <c r="S19" s="288"/>
      <c r="T19" s="288"/>
      <c r="U19" s="288"/>
      <c r="V19" s="288"/>
      <c r="W19" s="288"/>
      <c r="X19" s="288"/>
      <c r="Y19" s="288"/>
      <c r="Z19" s="288"/>
      <c r="AA19" s="288"/>
      <c r="AB19" s="288"/>
      <c r="AC19" s="288"/>
      <c r="AD19" s="288"/>
      <c r="AE19" s="288"/>
    </row>
    <row r="20" spans="1:31" x14ac:dyDescent="0.2">
      <c r="A20" s="7" t="str">
        <f ca="1">IF(AUTOEVENTO="Manual",IF(OFFSET(EVENTOS!$F$14,CRONOPLE!$B20,0)&gt;0,"F",""),IF(CRONOPLE!B20&lt;=MAX(CÁLCULO!$M$15:$M$51),"F",""))</f>
        <v>F</v>
      </c>
      <c r="B20" s="286">
        <f t="shared" ca="1" si="1"/>
        <v>6</v>
      </c>
      <c r="C20" s="287" t="str">
        <f ca="1">IF(AUTOEVENTO="Manual",IF($B20&lt;&gt;1,OFFSET(EVENTOS!$D$14,$B20,0),0),IF(B20&lt;=MAX(CÁLCULO!$M$15:$M$51),VLOOKUP($B20,CÁLCULO!$M$15:$N$51,2,FALSE),0))</f>
        <v>SINALIZAÇÃO</v>
      </c>
      <c r="E20" s="288"/>
      <c r="G20" s="288">
        <v>1</v>
      </c>
      <c r="H20" s="288">
        <v>2</v>
      </c>
      <c r="I20" s="288"/>
      <c r="J20" s="288"/>
      <c r="K20" s="288"/>
      <c r="L20" s="288"/>
      <c r="M20" s="288"/>
      <c r="N20" s="288"/>
      <c r="O20" s="288"/>
      <c r="P20" s="288"/>
      <c r="Q20" s="288"/>
      <c r="R20" s="288"/>
      <c r="S20" s="288"/>
      <c r="T20" s="288"/>
      <c r="U20" s="288"/>
      <c r="V20" s="288"/>
      <c r="W20" s="288"/>
      <c r="X20" s="288"/>
      <c r="Y20" s="288"/>
      <c r="Z20" s="288"/>
      <c r="AA20" s="288"/>
      <c r="AB20" s="288"/>
      <c r="AC20" s="288"/>
      <c r="AD20" s="288"/>
      <c r="AE20" s="288"/>
    </row>
    <row r="21" spans="1:31" ht="5.0999999999999996" customHeight="1" x14ac:dyDescent="0.2">
      <c r="B21" s="497"/>
      <c r="C21" s="498"/>
      <c r="E21" s="302"/>
      <c r="F21" s="302"/>
      <c r="G21" s="497"/>
      <c r="H21" s="499"/>
      <c r="I21" s="499"/>
      <c r="J21" s="499"/>
      <c r="K21" s="499"/>
      <c r="L21" s="499"/>
      <c r="M21" s="499"/>
      <c r="N21" s="499"/>
      <c r="O21" s="499"/>
      <c r="P21" s="499"/>
      <c r="Q21" s="499"/>
      <c r="R21" s="499"/>
      <c r="S21" s="499"/>
      <c r="T21" s="499"/>
      <c r="U21" s="499"/>
      <c r="V21" s="499"/>
      <c r="W21" s="499"/>
      <c r="X21" s="499"/>
      <c r="Y21" s="499"/>
      <c r="Z21" s="499"/>
      <c r="AA21" s="499"/>
      <c r="AB21" s="499"/>
      <c r="AC21" s="499"/>
      <c r="AD21" s="499"/>
      <c r="AE21" s="498"/>
    </row>
    <row r="22" spans="1:31" ht="6" customHeight="1" x14ac:dyDescent="0.2">
      <c r="A22" s="7" t="s">
        <v>245</v>
      </c>
    </row>
    <row r="23" spans="1:31" ht="15" x14ac:dyDescent="0.2">
      <c r="A23" s="7" t="s">
        <v>245</v>
      </c>
      <c r="C23" s="563" t="s">
        <v>453</v>
      </c>
      <c r="H23" s="668">
        <f>(ROW($G23)-ROW($G$23))/6*12+1</f>
        <v>1</v>
      </c>
      <c r="I23" s="668"/>
      <c r="J23" s="668">
        <f>H23+1</f>
        <v>2</v>
      </c>
      <c r="K23" s="668"/>
      <c r="L23" s="668">
        <f>J23+1</f>
        <v>3</v>
      </c>
      <c r="M23" s="668"/>
      <c r="N23" s="668">
        <f>L23+1</f>
        <v>4</v>
      </c>
      <c r="O23" s="668"/>
      <c r="P23" s="668">
        <f>N23+1</f>
        <v>5</v>
      </c>
      <c r="Q23" s="668"/>
      <c r="R23" s="668">
        <f>P23+1</f>
        <v>6</v>
      </c>
      <c r="S23" s="668"/>
      <c r="T23" s="668">
        <f>R23+1</f>
        <v>7</v>
      </c>
      <c r="U23" s="668"/>
      <c r="V23" s="668">
        <f>T23+1</f>
        <v>8</v>
      </c>
      <c r="W23" s="668"/>
      <c r="X23" s="668">
        <f>V23+1</f>
        <v>9</v>
      </c>
      <c r="Y23" s="668"/>
      <c r="Z23" s="668">
        <f>X23+1</f>
        <v>10</v>
      </c>
      <c r="AA23" s="668"/>
      <c r="AB23" s="668">
        <f>Z23+1</f>
        <v>11</v>
      </c>
      <c r="AC23" s="668"/>
      <c r="AD23" s="668">
        <f>AB23+1</f>
        <v>12</v>
      </c>
      <c r="AE23" s="668"/>
    </row>
    <row r="24" spans="1:31" ht="12.75" customHeight="1" x14ac:dyDescent="0.2">
      <c r="A24" s="7" t="s">
        <v>245</v>
      </c>
      <c r="C24" s="662" t="s">
        <v>454</v>
      </c>
      <c r="G24" s="564" t="s">
        <v>298</v>
      </c>
      <c r="H24" s="664" t="e">
        <f ca="1">OFFSET(CRONO!$S$33,0,CRONOPLE!H23)</f>
        <v>#DIV/0!</v>
      </c>
      <c r="I24" s="664"/>
      <c r="J24" s="664" t="e">
        <f ca="1">OFFSET(CRONO!$S$33,0,CRONOPLE!J23)</f>
        <v>#DIV/0!</v>
      </c>
      <c r="K24" s="664"/>
      <c r="L24" s="664" t="e">
        <f ca="1">OFFSET(CRONO!$S$33,0,CRONOPLE!L23)</f>
        <v>#DIV/0!</v>
      </c>
      <c r="M24" s="664"/>
      <c r="N24" s="664" t="e">
        <f ca="1">OFFSET(CRONO!$S$33,0,CRONOPLE!N23)</f>
        <v>#DIV/0!</v>
      </c>
      <c r="O24" s="664"/>
      <c r="P24" s="664" t="e">
        <f ca="1">OFFSET(CRONO!$S$33,0,CRONOPLE!P23)</f>
        <v>#DIV/0!</v>
      </c>
      <c r="Q24" s="664"/>
      <c r="R24" s="664" t="e">
        <f ca="1">OFFSET(CRONO!$S$33,0,CRONOPLE!R23)</f>
        <v>#DIV/0!</v>
      </c>
      <c r="S24" s="664"/>
      <c r="T24" s="664" t="e">
        <f ca="1">OFFSET(CRONO!$S$33,0,CRONOPLE!T23)</f>
        <v>#DIV/0!</v>
      </c>
      <c r="U24" s="664"/>
      <c r="V24" s="664" t="e">
        <f ca="1">OFFSET(CRONO!$S$33,0,CRONOPLE!V23)</f>
        <v>#DIV/0!</v>
      </c>
      <c r="W24" s="664"/>
      <c r="X24" s="664" t="e">
        <f ca="1">OFFSET(CRONO!$S$33,0,CRONOPLE!X23)</f>
        <v>#DIV/0!</v>
      </c>
      <c r="Y24" s="664"/>
      <c r="Z24" s="664" t="e">
        <f ca="1">OFFSET(CRONO!$S$33,0,CRONOPLE!Z23)</f>
        <v>#DIV/0!</v>
      </c>
      <c r="AA24" s="664"/>
      <c r="AB24" s="664" t="e">
        <f ca="1">OFFSET(CRONO!$S$33,0,CRONOPLE!AB23)</f>
        <v>#DIV/0!</v>
      </c>
      <c r="AC24" s="664"/>
      <c r="AD24" s="664" t="e">
        <f ca="1">OFFSET(CRONO!$S$33,0,CRONOPLE!AD23)</f>
        <v>#DIV/0!</v>
      </c>
      <c r="AE24" s="664"/>
    </row>
    <row r="25" spans="1:31" ht="12.75" customHeight="1" x14ac:dyDescent="0.2">
      <c r="A25" s="7" t="s">
        <v>245</v>
      </c>
      <c r="C25" s="663"/>
      <c r="G25" s="564" t="s">
        <v>299</v>
      </c>
      <c r="H25" s="667">
        <f ca="1">OFFSET(CRONO!$S$37,0,CRONOPLE!H23)</f>
        <v>0</v>
      </c>
      <c r="I25" s="667"/>
      <c r="J25" s="660">
        <f ca="1">OFFSET(CRONO!$S$37,0,CRONOPLE!J23)</f>
        <v>0</v>
      </c>
      <c r="K25" s="661"/>
      <c r="L25" s="660">
        <f ca="1">OFFSET(CRONO!$S$37,0,CRONOPLE!L23)</f>
        <v>0</v>
      </c>
      <c r="M25" s="661"/>
      <c r="N25" s="660">
        <f ca="1">OFFSET(CRONO!$S$37,0,CRONOPLE!N23)</f>
        <v>0</v>
      </c>
      <c r="O25" s="661"/>
      <c r="P25" s="660">
        <f ca="1">OFFSET(CRONO!$S$37,0,CRONOPLE!P23)</f>
        <v>0</v>
      </c>
      <c r="Q25" s="661"/>
      <c r="R25" s="660">
        <f ca="1">OFFSET(CRONO!$S$37,0,CRONOPLE!R23)</f>
        <v>0</v>
      </c>
      <c r="S25" s="661"/>
      <c r="T25" s="660">
        <f ca="1">OFFSET(CRONO!$S$37,0,CRONOPLE!T23)</f>
        <v>0</v>
      </c>
      <c r="U25" s="661"/>
      <c r="V25" s="660">
        <f ca="1">OFFSET(CRONO!$S$37,0,CRONOPLE!V23)</f>
        <v>0</v>
      </c>
      <c r="W25" s="661"/>
      <c r="X25" s="660">
        <f ca="1">OFFSET(CRONO!$S$37,0,CRONOPLE!X23)</f>
        <v>0</v>
      </c>
      <c r="Y25" s="661"/>
      <c r="Z25" s="660">
        <f ca="1">OFFSET(CRONO!$S$37,0,CRONOPLE!Z23)</f>
        <v>0</v>
      </c>
      <c r="AA25" s="661"/>
      <c r="AB25" s="660">
        <f ca="1">OFFSET(CRONO!$S$37,0,CRONOPLE!AB23)</f>
        <v>0</v>
      </c>
      <c r="AC25" s="661"/>
      <c r="AD25" s="660">
        <f ca="1">OFFSET(CRONO!$S$37,0,CRONOPLE!AD23)</f>
        <v>0</v>
      </c>
      <c r="AE25" s="661"/>
    </row>
    <row r="26" spans="1:31" ht="12.75" customHeight="1" x14ac:dyDescent="0.2">
      <c r="A26" s="7" t="s">
        <v>245</v>
      </c>
      <c r="C26" s="662" t="s">
        <v>455</v>
      </c>
      <c r="G26" s="564" t="s">
        <v>298</v>
      </c>
      <c r="H26" s="664" t="e">
        <f ca="1">OFFSET(CRONO!$S$38,0,CRONOPLE!H23)</f>
        <v>#DIV/0!</v>
      </c>
      <c r="I26" s="664"/>
      <c r="J26" s="665" t="e">
        <f ca="1">OFFSET(CRONO!$S$38,0,CRONOPLE!J23)</f>
        <v>#DIV/0!</v>
      </c>
      <c r="K26" s="666"/>
      <c r="L26" s="665" t="e">
        <f ca="1">OFFSET(CRONO!$S$38,0,CRONOPLE!L23)</f>
        <v>#DIV/0!</v>
      </c>
      <c r="M26" s="666"/>
      <c r="N26" s="665" t="e">
        <f ca="1">OFFSET(CRONO!$S$38,0,CRONOPLE!N23)</f>
        <v>#DIV/0!</v>
      </c>
      <c r="O26" s="666"/>
      <c r="P26" s="665" t="e">
        <f ca="1">OFFSET(CRONO!$S$38,0,CRONOPLE!P23)</f>
        <v>#DIV/0!</v>
      </c>
      <c r="Q26" s="666"/>
      <c r="R26" s="665" t="e">
        <f ca="1">OFFSET(CRONO!$S$38,0,CRONOPLE!R23)</f>
        <v>#DIV/0!</v>
      </c>
      <c r="S26" s="666"/>
      <c r="T26" s="665" t="e">
        <f ca="1">OFFSET(CRONO!$S$38,0,CRONOPLE!T23)</f>
        <v>#DIV/0!</v>
      </c>
      <c r="U26" s="666"/>
      <c r="V26" s="665" t="e">
        <f ca="1">OFFSET(CRONO!$S$38,0,CRONOPLE!V23)</f>
        <v>#DIV/0!</v>
      </c>
      <c r="W26" s="666"/>
      <c r="X26" s="665" t="e">
        <f ca="1">OFFSET(CRONO!$S$38,0,CRONOPLE!X23)</f>
        <v>#DIV/0!</v>
      </c>
      <c r="Y26" s="666"/>
      <c r="Z26" s="665" t="e">
        <f ca="1">OFFSET(CRONO!$S$38,0,CRONOPLE!Z23)</f>
        <v>#DIV/0!</v>
      </c>
      <c r="AA26" s="666"/>
      <c r="AB26" s="665" t="e">
        <f ca="1">OFFSET(CRONO!$S$38,0,CRONOPLE!AB23)</f>
        <v>#DIV/0!</v>
      </c>
      <c r="AC26" s="666"/>
      <c r="AD26" s="665" t="e">
        <f ca="1">OFFSET(CRONO!$S$38,0,CRONOPLE!AD23)</f>
        <v>#DIV/0!</v>
      </c>
      <c r="AE26" s="666"/>
    </row>
    <row r="27" spans="1:31" ht="12.75" customHeight="1" x14ac:dyDescent="0.2">
      <c r="A27" s="7" t="s">
        <v>245</v>
      </c>
      <c r="C27" s="663"/>
      <c r="G27" s="564" t="s">
        <v>299</v>
      </c>
      <c r="H27" s="667">
        <f ca="1">OFFSET(CRONO!$S$42,0,CRONOPLE!H23)</f>
        <v>0</v>
      </c>
      <c r="I27" s="667"/>
      <c r="J27" s="660">
        <f ca="1">OFFSET(CRONO!$S$42,0,CRONOPLE!J23)</f>
        <v>0</v>
      </c>
      <c r="K27" s="661"/>
      <c r="L27" s="660">
        <f ca="1">OFFSET(CRONO!$S$42,0,CRONOPLE!L23)</f>
        <v>0</v>
      </c>
      <c r="M27" s="661"/>
      <c r="N27" s="660">
        <f ca="1">OFFSET(CRONO!$S$42,0,CRONOPLE!N23)</f>
        <v>0</v>
      </c>
      <c r="O27" s="661"/>
      <c r="P27" s="660">
        <f ca="1">OFFSET(CRONO!$S$42,0,CRONOPLE!P23)</f>
        <v>0</v>
      </c>
      <c r="Q27" s="661"/>
      <c r="R27" s="660">
        <f ca="1">OFFSET(CRONO!$S$42,0,CRONOPLE!R23)</f>
        <v>0</v>
      </c>
      <c r="S27" s="661"/>
      <c r="T27" s="660">
        <f ca="1">OFFSET(CRONO!$S$42,0,CRONOPLE!T23)</f>
        <v>0</v>
      </c>
      <c r="U27" s="661"/>
      <c r="V27" s="660">
        <f ca="1">OFFSET(CRONO!$S$42,0,CRONOPLE!V23)</f>
        <v>0</v>
      </c>
      <c r="W27" s="661"/>
      <c r="X27" s="660">
        <f ca="1">OFFSET(CRONO!$S$42,0,CRONOPLE!X23)</f>
        <v>0</v>
      </c>
      <c r="Y27" s="661"/>
      <c r="Z27" s="660">
        <f ca="1">OFFSET(CRONO!$S$42,0,CRONOPLE!Z23)</f>
        <v>0</v>
      </c>
      <c r="AA27" s="661"/>
      <c r="AB27" s="660">
        <f ca="1">OFFSET(CRONO!$S$42,0,CRONOPLE!AB23)</f>
        <v>0</v>
      </c>
      <c r="AC27" s="661"/>
      <c r="AD27" s="660">
        <f ca="1">OFFSET(CRONO!$S$42,0,CRONOPLE!AD23)</f>
        <v>0</v>
      </c>
      <c r="AE27" s="661"/>
    </row>
    <row r="28" spans="1:31" ht="6" customHeight="1" x14ac:dyDescent="0.2">
      <c r="A28" s="7" t="s">
        <v>245</v>
      </c>
    </row>
    <row r="29" spans="1:31" x14ac:dyDescent="0.2">
      <c r="A29" s="7" t="s">
        <v>245</v>
      </c>
    </row>
    <row r="30" spans="1:31" ht="15" x14ac:dyDescent="0.2">
      <c r="A30" s="7" t="s">
        <v>245</v>
      </c>
      <c r="B30" s="144" t="str">
        <f>Import.Município</f>
        <v>BENTO GONÇALVES/RS</v>
      </c>
      <c r="C30" s="144"/>
      <c r="D30" s="565"/>
      <c r="E30" s="565"/>
      <c r="F30" s="565"/>
      <c r="G30" s="565"/>
      <c r="H30" s="565"/>
      <c r="I30" s="565"/>
      <c r="J30" s="565"/>
      <c r="K30" s="565"/>
      <c r="L30" s="565"/>
      <c r="V30" s="531"/>
      <c r="W30" s="466"/>
      <c r="X30" s="466"/>
      <c r="Y30" s="466"/>
      <c r="Z30" s="466"/>
      <c r="AA30" s="466"/>
      <c r="AB30" s="466"/>
      <c r="AC30" s="466"/>
      <c r="AD30" s="466"/>
      <c r="AE30" s="466"/>
    </row>
    <row r="31" spans="1:31" x14ac:dyDescent="0.2">
      <c r="A31" s="7" t="s">
        <v>245</v>
      </c>
      <c r="B31" s="10" t="s">
        <v>187</v>
      </c>
      <c r="F31" s="203"/>
      <c r="G31" s="203"/>
      <c r="H31" s="203"/>
      <c r="I31" s="203"/>
      <c r="J31" s="203"/>
      <c r="K31" s="203"/>
      <c r="L31" s="205"/>
      <c r="V31" s="195" t="s">
        <v>189</v>
      </c>
    </row>
    <row r="32" spans="1:31" x14ac:dyDescent="0.2">
      <c r="A32" s="7" t="s">
        <v>245</v>
      </c>
      <c r="F32" s="203"/>
      <c r="G32" s="203"/>
      <c r="H32" s="203"/>
      <c r="I32" s="203"/>
      <c r="J32" s="203"/>
      <c r="K32" s="203"/>
      <c r="L32" s="205"/>
      <c r="V32" s="444" t="str">
        <f t="array" aca="1" ref="V32:V34" ca="1">OFFSET(Import.RespOrçamento,0,-1) &amp; " " &amp; Import.RespOrçamento</f>
        <v>Nome: Eng. Bruna de Oliveira Pelizza</v>
      </c>
    </row>
    <row r="33" spans="1:22" ht="16.5" x14ac:dyDescent="0.3">
      <c r="A33" s="7" t="s">
        <v>245</v>
      </c>
      <c r="B33" s="659">
        <f>DADOS!$F$25</f>
        <v>46199</v>
      </c>
      <c r="C33" s="659"/>
      <c r="D33" s="566"/>
      <c r="F33" s="203"/>
      <c r="G33" s="203"/>
      <c r="H33" s="203"/>
      <c r="I33" s="203"/>
      <c r="J33" s="203"/>
      <c r="K33" s="203"/>
      <c r="L33" s="205"/>
      <c r="V33" s="444" t="str">
        <f ca="1"/>
        <v>CREA/CAU: RS230174</v>
      </c>
    </row>
    <row r="34" spans="1:22" x14ac:dyDescent="0.2">
      <c r="A34" s="7" t="s">
        <v>245</v>
      </c>
      <c r="B34" s="10" t="s">
        <v>188</v>
      </c>
      <c r="F34" s="203"/>
      <c r="G34" s="203"/>
      <c r="H34" s="203"/>
      <c r="I34" s="203"/>
      <c r="J34" s="203"/>
      <c r="K34" s="203"/>
      <c r="L34" s="205"/>
      <c r="V34" s="444" t="str">
        <f ca="1"/>
        <v xml:space="preserve">ART/RRT: </v>
      </c>
    </row>
  </sheetData>
  <sheetProtection algorithmName="SHA-512" hashValue="e3EvDg6xtWmKiguz/2SmQDcK8gZumSiiJOBuTC3BFe1h3LLOKSxjUwmXJGM4Y5tkS/JdvSI3Wblna9Tgo5fTDQ==" saltValue="y5/Bfql2tufbgu01sazjBg==" spinCount="100000" sheet="1" objects="1" scenarios="1" autoFilter="0"/>
  <autoFilter ref="A13:A34" xr:uid="{00000000-0009-0000-0000-000007000000}"/>
  <mergeCells count="73">
    <mergeCell ref="B12:B13"/>
    <mergeCell ref="C12:C13"/>
    <mergeCell ref="AC4:AE4"/>
    <mergeCell ref="B6:D6"/>
    <mergeCell ref="G6:I6"/>
    <mergeCell ref="J6:L6"/>
    <mergeCell ref="B7:D7"/>
    <mergeCell ref="G7:I7"/>
    <mergeCell ref="J7:L7"/>
    <mergeCell ref="M7:AE7"/>
    <mergeCell ref="H23:I23"/>
    <mergeCell ref="J23:K23"/>
    <mergeCell ref="L23:M23"/>
    <mergeCell ref="N23:O23"/>
    <mergeCell ref="P23:Q23"/>
    <mergeCell ref="R23:S23"/>
    <mergeCell ref="T23:U23"/>
    <mergeCell ref="V23:W23"/>
    <mergeCell ref="X23:Y23"/>
    <mergeCell ref="Z23:AA23"/>
    <mergeCell ref="AB23:AC23"/>
    <mergeCell ref="AD23:AE23"/>
    <mergeCell ref="C24:C25"/>
    <mergeCell ref="H24:I24"/>
    <mergeCell ref="J24:K24"/>
    <mergeCell ref="L24:M24"/>
    <mergeCell ref="N24:O24"/>
    <mergeCell ref="P24:Q24"/>
    <mergeCell ref="R24:S24"/>
    <mergeCell ref="T24:U24"/>
    <mergeCell ref="V24:W24"/>
    <mergeCell ref="X24:Y24"/>
    <mergeCell ref="Z24:AA24"/>
    <mergeCell ref="AB24:AC24"/>
    <mergeCell ref="AD24:AE24"/>
    <mergeCell ref="H25:I25"/>
    <mergeCell ref="J25:K25"/>
    <mergeCell ref="L25:M25"/>
    <mergeCell ref="N25:O25"/>
    <mergeCell ref="P25:Q25"/>
    <mergeCell ref="R25:S25"/>
    <mergeCell ref="T25:U25"/>
    <mergeCell ref="V25:W25"/>
    <mergeCell ref="X25:Y25"/>
    <mergeCell ref="Z25:AA25"/>
    <mergeCell ref="AB25:AC25"/>
    <mergeCell ref="AD25:AE25"/>
    <mergeCell ref="C26:C27"/>
    <mergeCell ref="H26:I26"/>
    <mergeCell ref="J26:K26"/>
    <mergeCell ref="L26:M26"/>
    <mergeCell ref="N26:O26"/>
    <mergeCell ref="P26:Q26"/>
    <mergeCell ref="R26:S26"/>
    <mergeCell ref="T26:U26"/>
    <mergeCell ref="V26:W26"/>
    <mergeCell ref="X26:Y26"/>
    <mergeCell ref="Z26:AA26"/>
    <mergeCell ref="AB26:AC26"/>
    <mergeCell ref="AD26:AE26"/>
    <mergeCell ref="H27:I27"/>
    <mergeCell ref="J27:K27"/>
    <mergeCell ref="AD27:AE27"/>
    <mergeCell ref="L27:M27"/>
    <mergeCell ref="N27:O27"/>
    <mergeCell ref="P27:Q27"/>
    <mergeCell ref="R27:S27"/>
    <mergeCell ref="T27:U27"/>
    <mergeCell ref="B33:C33"/>
    <mergeCell ref="V27:W27"/>
    <mergeCell ref="X27:Y27"/>
    <mergeCell ref="Z27:AA27"/>
    <mergeCell ref="AB27:AC27"/>
  </mergeCells>
  <phoneticPr fontId="38" type="noConversion"/>
  <conditionalFormatting sqref="E1 G1:AE1">
    <cfRule type="expression" dxfId="174" priority="240" stopIfTrue="1">
      <formula>IF(OR(E$12&gt;CÁLCULO.NúmeroDeFrentes,ACOMPANHAMENTO="BM"),TRUE,CRONOPLE.ValorDoEvento=0)</formula>
    </cfRule>
  </conditionalFormatting>
  <conditionalFormatting sqref="U6:Y6">
    <cfRule type="expression" dxfId="173" priority="130" stopIfTrue="1">
      <formula>QCI.ExisteManual</formula>
    </cfRule>
  </conditionalFormatting>
  <conditionalFormatting sqref="J23:AE23">
    <cfRule type="expression" dxfId="172" priority="129" stopIfTrue="1">
      <formula>OFFSET(J23,3,-2)=1</formula>
    </cfRule>
  </conditionalFormatting>
  <conditionalFormatting sqref="J24:AE24">
    <cfRule type="expression" dxfId="171" priority="124" stopIfTrue="1">
      <formula>OFFSET(J24,2,-2)=1</formula>
    </cfRule>
  </conditionalFormatting>
  <conditionalFormatting sqref="J25:AE25">
    <cfRule type="expression" dxfId="170" priority="123" stopIfTrue="1">
      <formula>OFFSET(J25,1,-2)=1</formula>
    </cfRule>
  </conditionalFormatting>
  <conditionalFormatting sqref="J26:AE26">
    <cfRule type="expression" dxfId="169" priority="122" stopIfTrue="1">
      <formula>OFFSET(J26,0,-2)=1</formula>
    </cfRule>
  </conditionalFormatting>
  <conditionalFormatting sqref="J27:AE27">
    <cfRule type="expression" dxfId="168" priority="121" stopIfTrue="1">
      <formula>OFFSET(J27,-1,-2)=1</formula>
    </cfRule>
  </conditionalFormatting>
  <conditionalFormatting sqref="E16:E19 G16:AE19">
    <cfRule type="expression" dxfId="167" priority="8" stopIfTrue="1">
      <formula>IF(OR(E$12&gt;CÁLCULO.NúmeroDeFrentes,ACOMPANHAMENTO="BM"),TRUE,CRONOPLE.ValorDoEvento=0)</formula>
    </cfRule>
  </conditionalFormatting>
  <conditionalFormatting sqref="E20 G20:AE20">
    <cfRule type="expression" dxfId="166" priority="2" stopIfTrue="1">
      <formula>IF(OR(E$12&gt;CÁLCULO.NúmeroDeFrentes,ACOMPANHAMENTO="BM"),TRUE,CRONOPLE.ValorDoEvento=0)</formula>
    </cfRule>
  </conditionalFormatting>
  <dataValidations count="1">
    <dataValidation type="whole" operator="greaterThan" allowBlank="1" showErrorMessage="1" sqref="G8:AE8 U4:AA5 E1:E8 AC5:AC6 JY5:JY6 TU5:TU6 ADQ5:ADQ6 ANM5:ANM6 AXI5:AXI6 BHE5:BHE6 BRA5:BRA6 CAW5:CAW6 CKS5:CKS6 CUO5:CUO6 DEK5:DEK6 DOG5:DOG6 DYC5:DYC6 EHY5:EHY6 ERU5:ERU6 FBQ5:FBQ6 FLM5:FLM6 FVI5:FVI6 GFE5:GFE6 GPA5:GPA6 GYW5:GYW6 HIS5:HIS6 HSO5:HSO6 ICK5:ICK6 IMG5:IMG6 IWC5:IWC6 JFY5:JFY6 JPU5:JPU6 JZQ5:JZQ6 KJM5:KJM6 KTI5:KTI6 LDE5:LDE6 LNA5:LNA6 LWW5:LWW6 MGS5:MGS6 MQO5:MQO6 NAK5:NAK6 NKG5:NKG6 NUC5:NUC6 ODY5:ODY6 ONU5:ONU6 OXQ5:OXQ6 PHM5:PHM6 PRI5:PRI6 QBE5:QBE6 QLA5:QLA6 QUW5:QUW6 RES5:RES6 ROO5:ROO6 RYK5:RYK6 SIG5:SIG6 SSC5:SSC6 TBY5:TBY6 TLU5:TLU6 TVQ5:TVQ6 UFM5:UFM6 UPI5:UPI6 UZE5:UZE6 VJA5:VJA6 VSW5:VSW6 WCS5:WCS6 WMO5:WMO6 WWK5:WWK6 G5 JC5 SY5 ACU5 AMQ5 AWM5 BGI5 BQE5 CAA5 CJW5 CTS5 DDO5 DNK5 DXG5 EHC5 EQY5 FAU5 FKQ5 FUM5 GEI5 GOE5 GYA5 HHW5 HRS5 IBO5 ILK5 IVG5 JFC5 JOY5 JYU5 KIQ5 KSM5 LCI5 LME5 LWA5 MFW5 MPS5 MZO5 NJK5 NTG5 ODC5 OMY5 OWU5 PGQ5 PQM5 QAI5 QKE5 QUA5 RDW5 RNS5 RXO5 SHK5 SRG5 TBC5 TKY5 TUU5 UEQ5 UOM5 UYI5 VIE5 VSA5 WBW5 WLS5 WVO5 Z6:AA6 WVP4:WVZ5 WLT4:WMD5 WBX4:WCH5 VSB4:VSL5 VIF4:VIP5 UYJ4:UYT5 UON4:UOX5 UER4:UFB5 TUV4:TVF5 TKZ4:TLJ5 TBD4:TBN5 SRH4:SRR5 SHL4:SHV5 RXP4:RXZ5 RNT4:ROD5 RDX4:REH5 QUB4:QUL5 QKF4:QKP5 QAJ4:QAT5 PQN4:PQX5 PGR4:PHB5 OWV4:OXF5 OMZ4:ONJ5 ODD4:ODN5 NTH4:NTR5 NJL4:NJV5 MZP4:MZZ5 MPT4:MQD5 MFX4:MGH5 LWB4:LWL5 LMF4:LMP5 LCJ4:LCT5 KSN4:KSX5 KIR4:KJB5 JYV4:JZF5 JOZ4:JPJ5 JFD4:JFN5 IVH4:IVR5 ILL4:ILV5 IBP4:IBZ5 HRT4:HSD5 HHX4:HIH5 GYB4:GYL5 GOF4:GOP5 GEJ4:GET5 FUN4:FUX5 FKR4:FLB5 FAV4:FBF5 EQZ4:ERJ5 EHD4:EHN5 DXH4:DXR5 DNL4:DNV5 DDP4:DDZ5 CTT4:CUD5 CJX4:CKH5 CAB4:CAL5 BQF4:BQP5 BGJ4:BGT5 AWN4:AWX5 AMR4:ANB5 ACV4:ADF5 SZ4:TJ5 JD4:JN5 H4:R5 WWJ4:WWJ6 WMN4:WMN6 WCR4:WCR6 VSV4:VSV6 VIZ4:VIZ6 UZD4:UZD6 UPH4:UPH6 UFL4:UFL6 TVP4:TVP6 TLT4:TLT6 TBX4:TBX6 SSB4:SSB6 SIF4:SIF6 RYJ4:RYJ6 RON4:RON6 RER4:RER6 QUV4:QUV6 QKZ4:QKZ6 QBD4:QBD6 PRH4:PRH6 PHL4:PHL6 OXP4:OXP6 ONT4:ONT6 ODX4:ODX6 NUB4:NUB6 NKF4:NKF6 NAJ4:NAJ6 MQN4:MQN6 MGR4:MGR6 LWV4:LWV6 LMZ4:LMZ6 LDD4:LDD6 KTH4:KTH6 KJL4:KJL6 JZP4:JZP6 JPT4:JPT6 JFX4:JFX6 IWB4:IWB6 IMF4:IMF6 ICJ4:ICJ6 HSN4:HSN6 HIR4:HIR6 GYV4:GYV6 GOZ4:GOZ6 GFD4:GFD6 FVH4:FVH6 FLL4:FLL6 FBP4:FBP6 ERT4:ERT6 EHX4:EHX6 DYB4:DYB6 DOF4:DOF6 DEJ4:DEJ6 CUN4:CUN6 CKR4:CKR6 CAV4:CAV6 BQZ4:BQZ6 BHD4:BHD6 AXH4:AXH6 ANL4:ANL6 ADP4:ADP6 TT4:TT6 JX4:JX6 AB4:AB6 WVM4:WVM7 WLQ4:WLQ7 WBU4:WBU7 VRY4:VRY7 VIC4:VIC7 UYG4:UYG7 UOK4:UOK7 UEO4:UEO7 TUS4:TUS7 TKW4:TKW7 TBA4:TBA7 SRE4:SRE7 SHI4:SHI7 RXM4:RXM7 RNQ4:RNQ7 RDU4:RDU7 QTY4:QTY7 QKC4:QKC7 QAG4:QAG7 PQK4:PQK7 PGO4:PGO7 OWS4:OWS7 OMW4:OMW7 ODA4:ODA7 NTE4:NTE7 NJI4:NJI7 MZM4:MZM7 MPQ4:MPQ7 MFU4:MFU7 LVY4:LVY7 LMC4:LMC7 LCG4:LCG7 KSK4:KSK7 KIO4:KIO7 JYS4:JYS7 JOW4:JOW7 JFA4:JFA7 IVE4:IVE7 ILI4:ILI7 IBM4:IBM7 HRQ4:HRQ7 HHU4:HHU7 GXY4:GXY7 GOC4:GOC7 GEG4:GEG7 FUK4:FUK7 FKO4:FKO7 FAS4:FAS7 EQW4:EQW7 EHA4:EHA7 DXE4:DXE7 DNI4:DNI7 DDM4:DDM7 CTQ4:CTQ7 CJU4:CJU7 BZY4:BZY7 BQC4:BQC7 BGG4:BGG7 AWK4:AWK7 AMO4:AMO7 ACS4:ACS7 SW4:SW7 JA4:JA7 WWA4:WWB6 WME4:WMF6 WCI4:WCJ6 VSM4:VSN6 VIQ4:VIR6 UYU4:UYV6 UOY4:UOZ6 UFC4:UFD6 TVG4:TVH6 TLK4:TLL6 TBO4:TBP6 SRS4:SRT6 SHW4:SHX6 RYA4:RYB6 ROE4:ROF6 REI4:REJ6 QUM4:QUN6 QKQ4:QKR6 QAU4:QAV6 PQY4:PQZ6 PHC4:PHD6 OXG4:OXH6 ONK4:ONL6 ODO4:ODP6 NTS4:NTT6 NJW4:NJX6 NAA4:NAB6 MQE4:MQF6 MGI4:MGJ6 LWM4:LWN6 LMQ4:LMR6 LCU4:LCV6 KSY4:KSZ6 KJC4:KJD6 JZG4:JZH6 JPK4:JPL6 JFO4:JFP6 IVS4:IVT6 ILW4:ILX6 ICA4:ICB6 HSE4:HSF6 HII4:HIJ6 GYM4:GYN6 GOQ4:GOR6 GEU4:GEV6 FUY4:FUZ6 FLC4:FLD6 FBG4:FBH6 ERK4:ERL6 EHO4:EHP6 DXS4:DXT6 DNW4:DNX6 DEA4:DEB6 CUE4:CUF6 CKI4:CKJ6 CAM4:CAN6 BQQ4:BQR6 BGU4:BGV6 AWY4:AWZ6 ANC4:AND6 ADG4:ADH6 TK4:TL6 JO4:JP6 S4:T6 WWC4:WWI5 WMG4:WMM5 WCK4:WCQ5 VSO4:VSU5 VIS4:VIY5 UYW4:UZC5 UPA4:UPG5 UFE4:UFK5 TVI4:TVO5 TLM4:TLS5 TBQ4:TBW5 SRU4:SSA5 SHY4:SIE5 RYC4:RYI5 ROG4:ROM5 REK4:REQ5 QUO4:QUU5 QKS4:QKY5 QAW4:QBC5 PRA4:PRG5 PHE4:PHK5 OXI4:OXO5 ONM4:ONS5 ODQ4:ODW5 NTU4:NUA5 NJY4:NKE5 NAC4:NAI5 MQG4:MQM5 MGK4:MGQ5 LWO4:LWU5 LMS4:LMY5 LCW4:LDC5 KTA4:KTG5 KJE4:KJK5 JZI4:JZO5 JPM4:JPS5 JFQ4:JFW5 IVU4:IWA5 ILY4:IME5 ICC4:ICI5 HSG4:HSM5 HIK4:HIQ5 GYO4:GYU5 GOS4:GOY5 GEW4:GFC5 FVA4:FVG5 FLE4:FLK5 FBI4:FBO5 ERM4:ERS5 EHQ4:EHW5 DXU4:DYA5 DNY4:DOE5 DEC4:DEI5 CUG4:CUM5 CKK4:CKQ5 CAO4:CAU5 BQS4:BQY5 BGW4:BHC5 AXA4:AXG5 ANE4:ANK5 ADI4:ADO5 TM4:TS5 JQ4:JW5 G1:AE3 G16:AE20 E16:E20" xr:uid="{00000000-0002-0000-0700-000000000000}">
      <formula1>0</formula1>
      <formula2>0</formula2>
    </dataValidation>
  </dataValidations>
  <pageMargins left="0.78740157480314998" right="0.78740157480314998" top="0.78740157480314998" bottom="0.78740157480314998" header="0.59055118110236204" footer="0.59055118110236204"/>
  <pageSetup paperSize="9" scale="68" firstPageNumber="0" orientation="landscape" horizontalDpi="300" verticalDpi="300" r:id="rId1"/>
  <headerFooter alignWithMargins="0">
    <oddHeader>&amp;L_&amp;C&amp;14I</oddHeader>
    <oddFooter>&amp;LPMv3.07&amp;R&amp;P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9" filterMode="1"/>
  <dimension ref="A1:AF48"/>
  <sheetViews>
    <sheetView showGridLines="0" zoomScaleNormal="100" zoomScaleSheetLayoutView="90" workbookViewId="0">
      <pane xSplit="19" ySplit="13" topLeftCell="T14" activePane="bottomRight" state="frozen"/>
      <selection activeCell="F4" sqref="F4"/>
      <selection pane="topRight" activeCell="T4" sqref="T4"/>
      <selection pane="bottomLeft" activeCell="F14" sqref="F14"/>
      <selection pane="bottomRight" activeCell="AA20" sqref="AA20"/>
    </sheetView>
  </sheetViews>
  <sheetFormatPr defaultColWidth="9.140625" defaultRowHeight="12.75" x14ac:dyDescent="0.2"/>
  <cols>
    <col min="1" max="3" width="9.140625" style="203" hidden="1" customWidth="1"/>
    <col min="4" max="4" width="11" style="204" hidden="1" customWidth="1"/>
    <col min="5" max="5" width="19" style="203" hidden="1" customWidth="1"/>
    <col min="6" max="6" width="3.7109375" style="204" customWidth="1"/>
    <col min="7" max="7" width="12.7109375" style="203" customWidth="1"/>
    <col min="8" max="8" width="7.140625" style="204" customWidth="1"/>
    <col min="9" max="9" width="11.7109375" style="204" customWidth="1"/>
    <col min="10" max="10" width="12" style="204" customWidth="1"/>
    <col min="11" max="11" width="11" style="204" customWidth="1"/>
    <col min="12" max="17" width="9.140625" style="203" hidden="1" customWidth="1"/>
    <col min="18" max="18" width="11.42578125" style="205" customWidth="1"/>
    <col min="19" max="19" width="9.7109375" style="205" customWidth="1"/>
    <col min="20" max="31" width="11" style="204" customWidth="1"/>
    <col min="32" max="32" width="0.140625" style="204" hidden="1" customWidth="1"/>
    <col min="33" max="16384" width="9.140625" style="204"/>
  </cols>
  <sheetData>
    <row r="1" spans="1:32" hidden="1" x14ac:dyDescent="0.2">
      <c r="A1" s="203" t="e">
        <f ca="1">OFFSET(A1,-3,0)+1</f>
        <v>#REF!</v>
      </c>
      <c r="B1" s="203" t="e">
        <f ca="1">IF($Q1&lt;&gt;2,0,IF($R1=0,1,IF(E2&gt;0,OFFSET(QCI!$M$13,SUBSTITUTE(E2,".",""),0),OFFSET(ORÇAMENTO!$AA$15,CRONO!$E1,0))/$R1))</f>
        <v>#REF!</v>
      </c>
      <c r="C1" s="203" t="e">
        <f ca="1">IF($Q1&lt;&gt;2,0,IF($R1=0,1,IF(E2&gt;0,OFFSET(QCI!$N$13,SUBSTITUTE(E2,".",""),0),OFFSET(ORÇAMENTO!$AB$15,CRONO!$E1,0))/$R1))</f>
        <v>#REF!</v>
      </c>
      <c r="D1" s="206" t="e">
        <f ca="1">IF(AND($Q1=2,ACOMPANHAMENTO="BM"),D2,D3/$R1)</f>
        <v>#REF!</v>
      </c>
      <c r="E1" s="203" t="e">
        <f ca="1">IF(A1&lt;=ORÇAMENTO.MáximoListaCrono,MATCH(A1,ORÇAMENTO.ListaCrono,0),NA())</f>
        <v>#REF!</v>
      </c>
      <c r="F1" s="203" t="e">
        <f ca="1">IF(AND($E2&lt;&gt;-1,$R1&gt;0),"F","")</f>
        <v>#REF!</v>
      </c>
      <c r="G1" s="207" t="e">
        <f ca="1">IF(OR(R1=0,R1=""),"Linha",IF(AND(OR(ACOMPANHAMENTO="PLE",$Q1&lt;&gt;2),$E2=0),"Linha",1-SUM(T1:AF1)))</f>
        <v>#REF!</v>
      </c>
      <c r="H1" s="208" t="e">
        <f ca="1">IF($E2=0,OFFSET(ORÇAMENTO!O$15,$E1,0),IF($E2&lt;&gt;-1,OFFSET(QCI!$D$13,$E2,0),""))</f>
        <v>#REF!</v>
      </c>
      <c r="I1" s="209" t="e">
        <f ca="1">IF($E2=0,OFFSET(ORÇAMENTO!R$15,$E1,0),IF($E2&lt;&gt;-1,OFFSET(QCI!$G$13,$E2,0),""))</f>
        <v>#REF!</v>
      </c>
      <c r="J1" s="209"/>
      <c r="K1" s="209"/>
      <c r="L1" s="210" t="e">
        <f ca="1">IF($E2=0,OFFSET(ORÇAMENTO!C$15,$E1,0),1)</f>
        <v>#REF!</v>
      </c>
      <c r="M1" s="211" t="e">
        <f ca="1">IF($E2=-1,0,IF(M$13&lt;=$L1,IF(ISERROR(MATCH(M$13,OFFSET($L1,1,0,ROW($L$32)-ROW($L1)-1),0)),ROW($L$32)-ROW($L1)-1,MATCH(M$13,OFFSET($L1,1,0,ROW($L$32)-ROW($L1)-1),0)-1),0))</f>
        <v>#REF!</v>
      </c>
      <c r="N1" s="211" t="e">
        <f ca="1">IF($E2=-1,0,IF(N$13&lt;=$L1,IF(ISERROR(MATCH(N$13,OFFSET($L1,1,0,ROW($L$32)-ROW($L1)-1),0)),ROW($L$32)-ROW($L1)-1,MATCH(N$13,OFFSET($L1,1,0,ROW($L$32)-ROW($L1)-1),0)-1),0))</f>
        <v>#REF!</v>
      </c>
      <c r="O1" s="211" t="e">
        <f ca="1">IF($E2=-1,0,IF(O$13&lt;=$L1,IF(ISERROR(MATCH(O$13,OFFSET($L1,1,0,ROW($L$32)-ROW($L1)-1),0)),ROW($L$32)-ROW($L1)-1,MATCH(O$13,OFFSET($L1,1,0,ROW($L$32)-ROW($L1)-1),0)-1),0))</f>
        <v>#REF!</v>
      </c>
      <c r="P1" s="211" t="e">
        <f ca="1">IF($E2=-1,0,IF(P$13&lt;=$L1,IF(ISERROR(MATCH(P$13,OFFSET($L1,1,0,ROW($L$32)-ROW($L1)-1),0)),ROW($L$32)-ROW($L1)-1,MATCH(P$13,OFFSET($L1,1,0,ROW($L$32)-ROW($L1)-1),0)-1),0))</f>
        <v>#REF!</v>
      </c>
      <c r="Q1" s="211" t="e">
        <f ca="1">MIN(OFFSET(L1,0,1,,L1))</f>
        <v>#REF!</v>
      </c>
      <c r="R1" s="212" t="e">
        <f ca="1">IF($E2=0,OFFSET(ORÇAMENTO!X$15,$E1,0),IF($E2&lt;&gt;-1,OFFSET(QCI!$O$13,$E2,0),""))</f>
        <v>#REF!</v>
      </c>
      <c r="S1" s="213" t="s">
        <v>268</v>
      </c>
      <c r="T1" s="214" t="e">
        <f t="shared" ref="T1:AE1" ca="1" si="0">IF(AND($Q1=2,ACOMPANHAMENTO="BM"),T2,T3/$R1)</f>
        <v>#REF!</v>
      </c>
      <c r="U1" s="206" t="e">
        <f t="shared" ca="1" si="0"/>
        <v>#REF!</v>
      </c>
      <c r="V1" s="206" t="e">
        <f t="shared" ca="1" si="0"/>
        <v>#REF!</v>
      </c>
      <c r="W1" s="206" t="e">
        <f t="shared" ca="1" si="0"/>
        <v>#REF!</v>
      </c>
      <c r="X1" s="206" t="e">
        <f t="shared" ca="1" si="0"/>
        <v>#REF!</v>
      </c>
      <c r="Y1" s="206" t="e">
        <f t="shared" ca="1" si="0"/>
        <v>#REF!</v>
      </c>
      <c r="Z1" s="206" t="e">
        <f t="shared" ca="1" si="0"/>
        <v>#REF!</v>
      </c>
      <c r="AA1" s="206" t="e">
        <f t="shared" ca="1" si="0"/>
        <v>#REF!</v>
      </c>
      <c r="AB1" s="206" t="e">
        <f t="shared" ca="1" si="0"/>
        <v>#REF!</v>
      </c>
      <c r="AC1" s="206" t="e">
        <f t="shared" ca="1" si="0"/>
        <v>#REF!</v>
      </c>
      <c r="AD1" s="206" t="e">
        <f t="shared" ca="1" si="0"/>
        <v>#REF!</v>
      </c>
      <c r="AE1" s="215" t="e">
        <f t="shared" ca="1" si="0"/>
        <v>#REF!</v>
      </c>
    </row>
    <row r="2" spans="1:32" ht="12.75" hidden="1" customHeight="1" x14ac:dyDescent="0.2">
      <c r="D2" s="546"/>
      <c r="E2" s="203" t="e">
        <f ca="1">IF(ISERROR(E1),IF(1+COUNTIF($L$13:OFFSET(L1,-1,0),1)&lt;=MAX(QCI!$D$13:$D$24),1+COUNTIF($L$13:OFFSET(L1,-1,0),1),-1),0)</f>
        <v>#REF!</v>
      </c>
      <c r="F2" s="203" t="e">
        <f ca="1">IF(AND($E2&lt;&gt;-1,$R1&gt;0),"F","")</f>
        <v>#REF!</v>
      </c>
      <c r="G2" s="216" t="e">
        <f ca="1">IF(OR(R1=0,R1=""),"vazia",IF(AND(OR(ACOMPANHAMENTO="PLE",$Q1&lt;&gt;2),$E2=0),"calculada","--&gt;"))</f>
        <v>#REF!</v>
      </c>
      <c r="H2" s="217"/>
      <c r="I2" s="218" t="e">
        <f ca="1">IF(AND(G1&lt;&gt;0,ISNUMBER(G1)),"PREENCHA ESTA LINHA --&gt;","")</f>
        <v>#REF!</v>
      </c>
      <c r="J2" s="218"/>
      <c r="K2" s="218"/>
      <c r="L2" s="219"/>
      <c r="M2" s="219"/>
      <c r="N2" s="219"/>
      <c r="O2" s="219"/>
      <c r="P2" s="219"/>
      <c r="Q2" s="219"/>
      <c r="R2" s="220"/>
      <c r="S2" s="221"/>
      <c r="T2" s="547"/>
      <c r="U2" s="546"/>
      <c r="V2" s="546"/>
      <c r="W2" s="546"/>
      <c r="X2" s="546"/>
      <c r="Y2" s="546"/>
      <c r="Z2" s="546"/>
      <c r="AA2" s="546"/>
      <c r="AB2" s="546"/>
      <c r="AC2" s="546"/>
      <c r="AD2" s="546"/>
      <c r="AE2" s="548"/>
      <c r="AF2" s="511"/>
    </row>
    <row r="3" spans="1:32" ht="14.25" hidden="1" customHeight="1" x14ac:dyDescent="0.2">
      <c r="D3" s="222" t="e">
        <f ca="1">IF($Q1=2,IF(AND(ACOMPANHAMENTO="PLE",ISNUMBER($E1)),SUMIF((OFFSET(CÁLCULO!$AM$15:$AW$15,$E1,0,OFFSET(ORÇAMENTO!$D$15,CRONO!$E1,0))),"="&amp;CRONO!D$12,OFFSET(CÁLCULO!$AB$15:$AL$15,$E1,0,OFFSET(ORÇAMENTO!$D$15,CRONO!$E1,0)))+IF(AND($E3&lt;&gt;"",$E3&lt;&gt;0),SUMIF(CÁLCULO!$AM$15:$AW$51,"="&amp;CRONO!D$12,CÁLCULO!$AB$15:$AL$51)/(ORÇAMENTO!$X$15-CÁLCULO.TotalAdmLocal)*CRONO!$E3,0),D2*$R1),SUMIF(OFFSET($R3,1,0,$Q1-2),($L1+1)&amp;"$",OFFSET(D3,1,0,$Q1-2)))</f>
        <v>#REF!</v>
      </c>
      <c r="E3" s="203" t="e">
        <f ca="1">IF(OR($Q1&lt;&gt;2,AUTOEVENTO&lt;&gt;"manual",$E2&gt;0),"",SUMIF(OFFSET(CÁLCULO!$M$15,CRONO!$E1,0,OFFSET(ORÇAMENTO!$D$15,CRONO!$E1,0)),1,OFFSET(ORÇAMENTO!$X$15,CRONO!$E1,0,OFFSET(ORÇAMENTO!$D$15,CRONO!$E1,0))))</f>
        <v>#REF!</v>
      </c>
      <c r="G3" s="223"/>
      <c r="R3" s="224" t="e">
        <f ca="1">L1&amp;"$"</f>
        <v>#REF!</v>
      </c>
      <c r="S3" s="225"/>
      <c r="T3" s="226" t="e">
        <f ca="1">IF($Q1=2,IF(AND(ACOMPANHAMENTO="PLE",ISNUMBER($E1)),SUMIF((OFFSET(CÁLCULO!$AM$15:$AW$15,$E1,0,OFFSET(ORÇAMENTO!$D$15,CRONO!$E1,0))),"&lt;="&amp;CRONO!T$12,OFFSET(CÁLCULO!$AB$15:$AL$15,$E1,0,OFFSET(ORÇAMENTO!$D$15,CRONO!$E1,0)))+IF(AND($E3&lt;&gt;"",$E3&lt;&gt;0),SUMIF(CÁLCULO!$AM$15:$AW$51,"&lt;="&amp;CRONO!T$12,CÁLCULO!$AB$15:$AL$51)/(ORÇAMENTO!$X$15-CÁLCULO.TotalAdmLocal)*CRONO!$E3,0),T2*$R1),SUMIF(OFFSET($R3,1,0,$Q1-2),($L1+1)&amp;"$",OFFSET(T3,1,0,$Q1-2)))</f>
        <v>#REF!</v>
      </c>
      <c r="U3" s="222" t="e">
        <f ca="1">IF($Q1=2,IF(AND(ACOMPANHAMENTO="PLE",ISNUMBER($E1)),SUMIF((OFFSET(CÁLCULO!$AM$15:$AW$15,$E1,0,OFFSET(ORÇAMENTO!$D$15,CRONO!$E1,0))),"="&amp;CRONO!U$12,OFFSET(CÁLCULO!$AB$15:$AL$15,$E1,0,OFFSET(ORÇAMENTO!$D$15,CRONO!$E1,0)))+IF(AND($E3&lt;&gt;"",$E3&lt;&gt;0),SUMIF(CÁLCULO!$AM$15:$AW$51,"="&amp;CRONO!U$12,CÁLCULO!$AB$15:$AL$51)/(ORÇAMENTO!$X$15-CÁLCULO.TotalAdmLocal)*CRONO!$E3,0),U2*$R1),SUMIF(OFFSET($R3,1,0,$Q1-2),($L1+1)&amp;"$",OFFSET(U3,1,0,$Q1-2)))</f>
        <v>#REF!</v>
      </c>
      <c r="V3" s="222" t="e">
        <f ca="1">IF($Q1=2,IF(AND(ACOMPANHAMENTO="PLE",ISNUMBER($E1)),SUMIF((OFFSET(CÁLCULO!$AM$15:$AW$15,$E1,0,OFFSET(ORÇAMENTO!$D$15,CRONO!$E1,0))),"="&amp;CRONO!V$12,OFFSET(CÁLCULO!$AB$15:$AL$15,$E1,0,OFFSET(ORÇAMENTO!$D$15,CRONO!$E1,0)))+IF(AND($E3&lt;&gt;"",$E3&lt;&gt;0),SUMIF(CÁLCULO!$AM$15:$AW$51,"="&amp;CRONO!V$12,CÁLCULO!$AB$15:$AL$51)/(ORÇAMENTO!$X$15-CÁLCULO.TotalAdmLocal)*CRONO!$E3,0),V2*$R1),SUMIF(OFFSET($R3,1,0,$Q1-2),($L1+1)&amp;"$",OFFSET(V3,1,0,$Q1-2)))</f>
        <v>#REF!</v>
      </c>
      <c r="W3" s="222" t="e">
        <f ca="1">IF($Q1=2,IF(AND(ACOMPANHAMENTO="PLE",ISNUMBER($E1)),SUMIF((OFFSET(CÁLCULO!$AM$15:$AW$15,$E1,0,OFFSET(ORÇAMENTO!$D$15,CRONO!$E1,0))),"="&amp;CRONO!W$12,OFFSET(CÁLCULO!$AB$15:$AL$15,$E1,0,OFFSET(ORÇAMENTO!$D$15,CRONO!$E1,0)))+IF(AND($E3&lt;&gt;"",$E3&lt;&gt;0),SUMIF(CÁLCULO!$AM$15:$AW$51,"="&amp;CRONO!W$12,CÁLCULO!$AB$15:$AL$51)/(ORÇAMENTO!$X$15-CÁLCULO.TotalAdmLocal)*CRONO!$E3,0),W2*$R1),SUMIF(OFFSET($R3,1,0,$Q1-2),($L1+1)&amp;"$",OFFSET(W3,1,0,$Q1-2)))</f>
        <v>#REF!</v>
      </c>
      <c r="X3" s="222" t="e">
        <f ca="1">IF($Q1=2,IF(AND(ACOMPANHAMENTO="PLE",ISNUMBER($E1)),SUMIF((OFFSET(CÁLCULO!$AM$15:$AW$15,$E1,0,OFFSET(ORÇAMENTO!$D$15,CRONO!$E1,0))),"="&amp;CRONO!X$12,OFFSET(CÁLCULO!$AB$15:$AL$15,$E1,0,OFFSET(ORÇAMENTO!$D$15,CRONO!$E1,0)))+IF(AND($E3&lt;&gt;"",$E3&lt;&gt;0),SUMIF(CÁLCULO!$AM$15:$AW$51,"="&amp;CRONO!X$12,CÁLCULO!$AB$15:$AL$51)/(ORÇAMENTO!$X$15-CÁLCULO.TotalAdmLocal)*CRONO!$E3,0),X2*$R1),SUMIF(OFFSET($R3,1,0,$Q1-2),($L1+1)&amp;"$",OFFSET(X3,1,0,$Q1-2)))</f>
        <v>#REF!</v>
      </c>
      <c r="Y3" s="222" t="e">
        <f ca="1">IF($Q1=2,IF(AND(ACOMPANHAMENTO="PLE",ISNUMBER($E1)),SUMIF((OFFSET(CÁLCULO!$AM$15:$AW$15,$E1,0,OFFSET(ORÇAMENTO!$D$15,CRONO!$E1,0))),"="&amp;CRONO!Y$12,OFFSET(CÁLCULO!$AB$15:$AL$15,$E1,0,OFFSET(ORÇAMENTO!$D$15,CRONO!$E1,0)))+IF(AND($E3&lt;&gt;"",$E3&lt;&gt;0),SUMIF(CÁLCULO!$AM$15:$AW$51,"="&amp;CRONO!Y$12,CÁLCULO!$AB$15:$AL$51)/(ORÇAMENTO!$X$15-CÁLCULO.TotalAdmLocal)*CRONO!$E3,0),Y2*$R1),SUMIF(OFFSET($R3,1,0,$Q1-2),($L1+1)&amp;"$",OFFSET(Y3,1,0,$Q1-2)))</f>
        <v>#REF!</v>
      </c>
      <c r="Z3" s="222" t="e">
        <f ca="1">IF($Q1=2,IF(AND(ACOMPANHAMENTO="PLE",ISNUMBER($E1)),SUMIF((OFFSET(CÁLCULO!$AM$15:$AW$15,$E1,0,OFFSET(ORÇAMENTO!$D$15,CRONO!$E1,0))),"="&amp;CRONO!Z$12,OFFSET(CÁLCULO!$AB$15:$AL$15,$E1,0,OFFSET(ORÇAMENTO!$D$15,CRONO!$E1,0)))+IF(AND($E3&lt;&gt;"",$E3&lt;&gt;0),SUMIF(CÁLCULO!$AM$15:$AW$51,"="&amp;CRONO!Z$12,CÁLCULO!$AB$15:$AL$51)/(ORÇAMENTO!$X$15-CÁLCULO.TotalAdmLocal)*CRONO!$E3,0),Z2*$R1),SUMIF(OFFSET($R3,1,0,$Q1-2),($L1+1)&amp;"$",OFFSET(Z3,1,0,$Q1-2)))</f>
        <v>#REF!</v>
      </c>
      <c r="AA3" s="222" t="e">
        <f ca="1">IF($Q1=2,IF(AND(ACOMPANHAMENTO="PLE",ISNUMBER($E1)),SUMIF((OFFSET(CÁLCULO!$AM$15:$AW$15,$E1,0,OFFSET(ORÇAMENTO!$D$15,CRONO!$E1,0))),"="&amp;CRONO!AA$12,OFFSET(CÁLCULO!$AB$15:$AL$15,$E1,0,OFFSET(ORÇAMENTO!$D$15,CRONO!$E1,0)))+IF(AND($E3&lt;&gt;"",$E3&lt;&gt;0),SUMIF(CÁLCULO!$AM$15:$AW$51,"="&amp;CRONO!AA$12,CÁLCULO!$AB$15:$AL$51)/(ORÇAMENTO!$X$15-CÁLCULO.TotalAdmLocal)*CRONO!$E3,0),AA2*$R1),SUMIF(OFFSET($R3,1,0,$Q1-2),($L1+1)&amp;"$",OFFSET(AA3,1,0,$Q1-2)))</f>
        <v>#REF!</v>
      </c>
      <c r="AB3" s="222" t="e">
        <f ca="1">IF($Q1=2,IF(AND(ACOMPANHAMENTO="PLE",ISNUMBER($E1)),SUMIF((OFFSET(CÁLCULO!$AM$15:$AW$15,$E1,0,OFFSET(ORÇAMENTO!$D$15,CRONO!$E1,0))),"="&amp;CRONO!AB$12,OFFSET(CÁLCULO!$AB$15:$AL$15,$E1,0,OFFSET(ORÇAMENTO!$D$15,CRONO!$E1,0)))+IF(AND($E3&lt;&gt;"",$E3&lt;&gt;0),SUMIF(CÁLCULO!$AM$15:$AW$51,"="&amp;CRONO!AB$12,CÁLCULO!$AB$15:$AL$51)/(ORÇAMENTO!$X$15-CÁLCULO.TotalAdmLocal)*CRONO!$E3,0),AB2*$R1),SUMIF(OFFSET($R3,1,0,$Q1-2),($L1+1)&amp;"$",OFFSET(AB3,1,0,$Q1-2)))</f>
        <v>#REF!</v>
      </c>
      <c r="AC3" s="222" t="e">
        <f ca="1">IF($Q1=2,IF(AND(ACOMPANHAMENTO="PLE",ISNUMBER($E1)),SUMIF((OFFSET(CÁLCULO!$AM$15:$AW$15,$E1,0,OFFSET(ORÇAMENTO!$D$15,CRONO!$E1,0))),"="&amp;CRONO!AC$12,OFFSET(CÁLCULO!$AB$15:$AL$15,$E1,0,OFFSET(ORÇAMENTO!$D$15,CRONO!$E1,0)))+IF(AND($E3&lt;&gt;"",$E3&lt;&gt;0),SUMIF(CÁLCULO!$AM$15:$AW$51,"="&amp;CRONO!AC$12,CÁLCULO!$AB$15:$AL$51)/(ORÇAMENTO!$X$15-CÁLCULO.TotalAdmLocal)*CRONO!$E3,0),AC2*$R1),SUMIF(OFFSET($R3,1,0,$Q1-2),($L1+1)&amp;"$",OFFSET(AC3,1,0,$Q1-2)))</f>
        <v>#REF!</v>
      </c>
      <c r="AD3" s="222" t="e">
        <f ca="1">IF($Q1=2,IF(AND(ACOMPANHAMENTO="PLE",ISNUMBER($E1)),SUMIF((OFFSET(CÁLCULO!$AM$15:$AW$15,$E1,0,OFFSET(ORÇAMENTO!$D$15,CRONO!$E1,0))),"="&amp;CRONO!AD$12,OFFSET(CÁLCULO!$AB$15:$AL$15,$E1,0,OFFSET(ORÇAMENTO!$D$15,CRONO!$E1,0)))+IF(AND($E3&lt;&gt;"",$E3&lt;&gt;0),SUMIF(CÁLCULO!$AM$15:$AW$51,"="&amp;CRONO!AD$12,CÁLCULO!$AB$15:$AL$51)/(ORÇAMENTO!$X$15-CÁLCULO.TotalAdmLocal)*CRONO!$E3,0),AD2*$R1),SUMIF(OFFSET($R3,1,0,$Q1-2),($L1+1)&amp;"$",OFFSET(AD3,1,0,$Q1-2)))</f>
        <v>#REF!</v>
      </c>
      <c r="AE3" s="227" t="e">
        <f ca="1">IF($Q1=2,IF(AND(ACOMPANHAMENTO="PLE",ISNUMBER($E1)),SUMIF((OFFSET(CÁLCULO!$AM$15:$AW$15,$E1,0,OFFSET(ORÇAMENTO!$D$15,CRONO!$E1,0))),"="&amp;CRONO!AE$12,OFFSET(CÁLCULO!$AB$15:$AL$15,$E1,0,OFFSET(ORÇAMENTO!$D$15,CRONO!$E1,0)))+IF(AND($E3&lt;&gt;"",$E3&lt;&gt;0),SUMIF(CÁLCULO!$AM$15:$AW$51,"="&amp;CRONO!AE$12,CÁLCULO!$AB$15:$AL$51)/(ORÇAMENTO!$X$15-CÁLCULO.TotalAdmLocal)*CRONO!$E3,0),AE2*$R1),SUMIF(OFFSET($R3,1,0,$Q1-2),($L1+1)&amp;"$",OFFSET(AE3,1,0,$Q1-2)))</f>
        <v>#REF!</v>
      </c>
    </row>
    <row r="4" spans="1:32" ht="15" customHeight="1" x14ac:dyDescent="0.25">
      <c r="R4" s="228" t="str">
        <f>IF(TIPOORCAMENTO="licitado","CFF - CRONOGRAMA FÍSICO-FINANCEIRO LICITADO","CFF - CRONOGRAMA FÍSICO-FINANCEIRO")</f>
        <v>CFF - CRONOGRAMA FÍSICO-FINANCEIRO LICITADO</v>
      </c>
      <c r="AD4" s="626" t="s">
        <v>140</v>
      </c>
      <c r="AE4" s="626"/>
    </row>
    <row r="5" spans="1:32" ht="15" x14ac:dyDescent="0.2">
      <c r="R5" s="84" t="str">
        <f>import.recurso</f>
        <v>(SELECIONAR)</v>
      </c>
      <c r="AD5" s="627" t="s">
        <v>143</v>
      </c>
      <c r="AE5" s="627"/>
    </row>
    <row r="6" spans="1:32" ht="12.75" customHeight="1" x14ac:dyDescent="0.2"/>
    <row r="7" spans="1:32" ht="12.75" customHeight="1" x14ac:dyDescent="0.2">
      <c r="E7" s="229"/>
      <c r="G7" s="681" t="s">
        <v>269</v>
      </c>
      <c r="H7" s="230" t="s">
        <v>146</v>
      </c>
      <c r="I7" s="231"/>
      <c r="J7" s="232" t="s">
        <v>436</v>
      </c>
      <c r="K7" s="233" t="s">
        <v>270</v>
      </c>
      <c r="L7" s="204"/>
      <c r="M7" s="204"/>
      <c r="N7" s="204"/>
      <c r="S7" s="234"/>
      <c r="T7" s="230" t="s">
        <v>271</v>
      </c>
      <c r="X7" s="231"/>
      <c r="Y7" s="230" t="str">
        <f>IF(TIPOORCAMENTO="Licitado","NOME DA EMPRESA","DESCRIÇÃO DO LOTE")</f>
        <v>NOME DA EMPRESA</v>
      </c>
      <c r="AE7" s="235" t="str">
        <f>IF(TIPOORCAMENTO="Licitado","Nº CTEF","")</f>
        <v>Nº CTEF</v>
      </c>
    </row>
    <row r="8" spans="1:32" x14ac:dyDescent="0.2">
      <c r="D8" s="203"/>
      <c r="E8" s="116"/>
      <c r="F8" s="615" t="s">
        <v>208</v>
      </c>
      <c r="G8" s="681"/>
      <c r="H8" s="679">
        <f>Import.CR</f>
        <v>0</v>
      </c>
      <c r="I8" s="679"/>
      <c r="J8" s="236">
        <f>Import.TransfereGOV</f>
        <v>0</v>
      </c>
      <c r="K8" s="678" t="str">
        <f>Import.Proponente</f>
        <v>MUNICIPIO DE BENTO GONÇALVES</v>
      </c>
      <c r="L8" s="678"/>
      <c r="M8" s="678"/>
      <c r="N8" s="678"/>
      <c r="O8" s="678"/>
      <c r="P8" s="678"/>
      <c r="Q8" s="678"/>
      <c r="R8" s="678"/>
      <c r="S8" s="678"/>
      <c r="T8" s="679" t="str">
        <f>Import.Apelido</f>
        <v>RUA MIGUEL A DA ROLT</v>
      </c>
      <c r="U8" s="679"/>
      <c r="V8" s="679"/>
      <c r="W8" s="679"/>
      <c r="X8" s="679"/>
      <c r="Y8" s="675">
        <f>IF(TIPOORCAMENTO="Licitado",Import.empresa,Import.DescLote)</f>
        <v>0</v>
      </c>
      <c r="Z8" s="675"/>
      <c r="AA8" s="675"/>
      <c r="AB8" s="675"/>
      <c r="AC8" s="675"/>
      <c r="AD8" s="675"/>
      <c r="AE8" s="223">
        <f>IF(TIPOORCAMENTO="Licitado",Import.CTEF,"")</f>
        <v>0</v>
      </c>
    </row>
    <row r="9" spans="1:32" x14ac:dyDescent="0.2">
      <c r="E9" s="116"/>
      <c r="F9" s="615"/>
      <c r="G9" s="681"/>
    </row>
    <row r="10" spans="1:32" x14ac:dyDescent="0.2">
      <c r="E10" s="229"/>
      <c r="F10" s="615"/>
      <c r="G10" s="237">
        <v>2</v>
      </c>
      <c r="J10" s="680" t="str">
        <f ca="1">IF(MAX($A$13:$A$32)&lt;CRONO.LinhasNecessarias,"ERRO: NÚMERO DE LINHAS DO CRONOGRAMA INSUFICIENTE. CLIQUE EM ATUALIZAR LINHAS.",IF(AND(ACOMPANHAMENTO="PLE",ROUND(OFFSET($AF$42,0,-1),2)=0),"CRONOGRAMA DEVE SER PREENCHIDO POR EVENTOS",IF(ROUND(OFFSET($AF$42,0,-1),2)&lt;&gt;$Q$33,"ERRO: CRONOGRAMA NÃO FECHA 100%","")))</f>
        <v>CRONOGRAMA DEVE SER PREENCHIDO POR EVENTOS</v>
      </c>
      <c r="K10" s="680"/>
      <c r="L10" s="680"/>
      <c r="M10" s="680"/>
      <c r="N10" s="680"/>
      <c r="O10" s="680"/>
      <c r="P10" s="680"/>
      <c r="Q10" s="680"/>
      <c r="R10" s="680"/>
      <c r="S10" s="680"/>
    </row>
    <row r="11" spans="1:32" ht="12.75" customHeight="1" x14ac:dyDescent="0.2">
      <c r="F11" s="615"/>
      <c r="H11" s="238"/>
      <c r="I11" s="238"/>
      <c r="J11" s="680"/>
      <c r="K11" s="680"/>
      <c r="L11" s="680"/>
      <c r="M11" s="680"/>
      <c r="N11" s="680"/>
      <c r="O11" s="680"/>
      <c r="P11" s="680"/>
      <c r="Q11" s="680"/>
      <c r="R11" s="680"/>
      <c r="S11" s="680"/>
    </row>
    <row r="12" spans="1:32" ht="12.75" customHeight="1" x14ac:dyDescent="0.2">
      <c r="D12" s="239">
        <f ca="1">OFFSET(D12,0,-1)+1</f>
        <v>1</v>
      </c>
      <c r="F12" s="108" t="s">
        <v>216</v>
      </c>
      <c r="G12" s="683" t="s">
        <v>272</v>
      </c>
      <c r="H12" s="684" t="s">
        <v>230</v>
      </c>
      <c r="I12" s="685" t="s">
        <v>233</v>
      </c>
      <c r="J12" s="240"/>
      <c r="K12" s="240"/>
      <c r="L12" s="241"/>
      <c r="M12" s="241"/>
      <c r="N12" s="241"/>
      <c r="O12" s="241"/>
      <c r="P12" s="241"/>
      <c r="Q12" s="241"/>
      <c r="R12" s="676" t="s">
        <v>273</v>
      </c>
      <c r="S12" s="677" t="s">
        <v>274</v>
      </c>
      <c r="T12" s="242">
        <v>1</v>
      </c>
      <c r="U12" s="239">
        <f ca="1">OFFSET(U12,0,-1)+1</f>
        <v>2</v>
      </c>
      <c r="V12" s="239">
        <f t="shared" ref="V12:AE12" ca="1" si="1">OFFSET(V12,0,-1)+1</f>
        <v>3</v>
      </c>
      <c r="W12" s="239">
        <f t="shared" ca="1" si="1"/>
        <v>4</v>
      </c>
      <c r="X12" s="239">
        <f t="shared" ca="1" si="1"/>
        <v>5</v>
      </c>
      <c r="Y12" s="239">
        <f t="shared" ca="1" si="1"/>
        <v>6</v>
      </c>
      <c r="Z12" s="239">
        <f t="shared" ca="1" si="1"/>
        <v>7</v>
      </c>
      <c r="AA12" s="239">
        <f t="shared" ca="1" si="1"/>
        <v>8</v>
      </c>
      <c r="AB12" s="239">
        <f t="shared" ca="1" si="1"/>
        <v>9</v>
      </c>
      <c r="AC12" s="239">
        <f t="shared" ca="1" si="1"/>
        <v>10</v>
      </c>
      <c r="AD12" s="239">
        <f t="shared" ca="1" si="1"/>
        <v>11</v>
      </c>
      <c r="AE12" s="243">
        <f t="shared" ca="1" si="1"/>
        <v>12</v>
      </c>
    </row>
    <row r="13" spans="1:32" ht="24.95" customHeight="1" x14ac:dyDescent="0.2">
      <c r="A13" s="244" t="s">
        <v>275</v>
      </c>
      <c r="B13" s="244" t="s">
        <v>169</v>
      </c>
      <c r="C13" s="244" t="s">
        <v>276</v>
      </c>
      <c r="D13" s="245" t="e">
        <f ca="1">OFFSET(D13,0,-1)+41-DAY(OFFSET(D13,0,-1)+40)</f>
        <v>#VALUE!</v>
      </c>
      <c r="E13" s="244" t="s">
        <v>277</v>
      </c>
      <c r="G13" s="683"/>
      <c r="H13" s="684"/>
      <c r="I13" s="685"/>
      <c r="J13" s="246"/>
      <c r="K13" s="246"/>
      <c r="L13" s="247" t="s">
        <v>228</v>
      </c>
      <c r="M13" s="247">
        <v>1</v>
      </c>
      <c r="N13" s="247">
        <v>2</v>
      </c>
      <c r="O13" s="247">
        <v>3</v>
      </c>
      <c r="P13" s="247">
        <v>4</v>
      </c>
      <c r="Q13" s="248" t="s">
        <v>278</v>
      </c>
      <c r="R13" s="676"/>
      <c r="S13" s="677"/>
      <c r="T13" s="249">
        <v>46174</v>
      </c>
      <c r="U13" s="245">
        <f ca="1">OFFSET(U13,0,-1)+41-DAY(OFFSET(U13,0,-1)+40)</f>
        <v>46204</v>
      </c>
      <c r="V13" s="245">
        <f ca="1">OFFSET(V13,0,-1)+41-DAY(OFFSET(V13,0,-1)+40)</f>
        <v>46235</v>
      </c>
      <c r="W13" s="245">
        <f t="shared" ref="W13:AE13" ca="1" si="2">OFFSET(W13,0,-1)+41-DAY(OFFSET(W13,0,-1)+40)</f>
        <v>46266</v>
      </c>
      <c r="X13" s="245">
        <f t="shared" ca="1" si="2"/>
        <v>46296</v>
      </c>
      <c r="Y13" s="245">
        <f t="shared" ca="1" si="2"/>
        <v>46327</v>
      </c>
      <c r="Z13" s="245">
        <f t="shared" ca="1" si="2"/>
        <v>46357</v>
      </c>
      <c r="AA13" s="245">
        <f t="shared" ca="1" si="2"/>
        <v>46388</v>
      </c>
      <c r="AB13" s="245">
        <f t="shared" ca="1" si="2"/>
        <v>46419</v>
      </c>
      <c r="AC13" s="245">
        <f t="shared" ca="1" si="2"/>
        <v>46447</v>
      </c>
      <c r="AD13" s="245">
        <f t="shared" ca="1" si="2"/>
        <v>46478</v>
      </c>
      <c r="AE13" s="250">
        <f t="shared" ca="1" si="2"/>
        <v>46508</v>
      </c>
    </row>
    <row r="14" spans="1:32" x14ac:dyDescent="0.2">
      <c r="A14" s="203">
        <f t="shared" ref="A14" ca="1" si="3">OFFSET(A14,-3,0)+1</f>
        <v>1</v>
      </c>
      <c r="B14" s="203">
        <f ca="1">IF($Q14&lt;&gt;2,0,IF($R14=0,1,IF(E15&gt;0,OFFSET(QCI!$M$13,SUBSTITUTE(E15,".",""),0),OFFSET(ORÇAMENTO!$AA$15,CRONO!$E14,0))/$R14))</f>
        <v>0</v>
      </c>
      <c r="C14" s="203">
        <f ca="1">IF($Q14&lt;&gt;2,0,IF($R14=0,1,IF(E15&gt;0,OFFSET(QCI!$N$13,SUBSTITUTE(E15,".",""),0),OFFSET(ORÇAMENTO!$AB$15,CRONO!$E14,0))/$R14))</f>
        <v>0</v>
      </c>
      <c r="D14" s="206" t="e">
        <f ca="1">IF(AND($Q14=2,ACOMPANHAMENTO="BM"),D15,D16/$R14)</f>
        <v>#DIV/0!</v>
      </c>
      <c r="E14" s="203">
        <f ca="1">IF(A14&lt;=ORÇAMENTO.MáximoListaCrono,MATCH(A14,ORÇAMENTO.ListaCrono,0),NA())</f>
        <v>1</v>
      </c>
      <c r="F14" s="203" t="str">
        <f t="shared" ref="F14" ca="1" si="4">IF(AND($E15&lt;&gt;-1,$R14&gt;0),"F","")</f>
        <v/>
      </c>
      <c r="G14" s="207" t="str">
        <f ca="1">IF(OR(R14=0,R14=""),"Linha",IF(AND(OR(ACOMPANHAMENTO="PLE",$Q14&lt;&gt;2),$E15=0),"Linha",1-SUM(T14:AF14)))</f>
        <v>Linha</v>
      </c>
      <c r="H14" s="208" t="str">
        <f ca="1">IF($E15=0,OFFSET(ORÇAMENTO!O$15,$E14,0),IF($E15&lt;&gt;-1,OFFSET(QCI!$D$13,$E15,0),""))</f>
        <v>1.</v>
      </c>
      <c r="I14" s="209" t="str">
        <f ca="1">IF($E15=0,OFFSET(ORÇAMENTO!R$15,$E14,0),IF($E15&lt;&gt;-1,OFFSET(QCI!$G$13,$E15,0),""))</f>
        <v>RUA MIGUEL A DA ROLT</v>
      </c>
      <c r="J14" s="209"/>
      <c r="K14" s="209"/>
      <c r="L14" s="210">
        <f ca="1">IF($E15=0,OFFSET(ORÇAMENTO!C$15,$E14,0),1)</f>
        <v>1</v>
      </c>
      <c r="M14" s="211">
        <f ca="1">IF($E15=-1,0,IF(M$13&lt;=$L14,IF(ISERROR(MATCH(M$13,OFFSET($L14,1,0,ROW($L$32)-ROW($L14)-1),0)),ROW($L$32)-ROW($L14)-1,MATCH(M$13,OFFSET($L14,1,0,ROW($L$32)-ROW($L14)-1),0)-1),0))</f>
        <v>17</v>
      </c>
      <c r="N14" s="211">
        <f ca="1">IF($E15=-1,0,IF(N$13&lt;=$L14,IF(ISERROR(MATCH(N$13,OFFSET($L14,1,0,ROW($L$32)-ROW($L14)-1),0)),ROW($L$32)-ROW($L14)-1,MATCH(N$13,OFFSET($L14,1,0,ROW($L$32)-ROW($L14)-1),0)-1),0))</f>
        <v>0</v>
      </c>
      <c r="O14" s="211">
        <f ca="1">IF($E15=-1,0,IF(O$13&lt;=$L14,IF(ISERROR(MATCH(O$13,OFFSET($L14,1,0,ROW($L$32)-ROW($L14)-1),0)),ROW($L$32)-ROW($L14)-1,MATCH(O$13,OFFSET($L14,1,0,ROW($L$32)-ROW($L14)-1),0)-1),0))</f>
        <v>0</v>
      </c>
      <c r="P14" s="211">
        <f ca="1">IF($E15=-1,0,IF(P$13&lt;=$L14,IF(ISERROR(MATCH(P$13,OFFSET($L14,1,0,ROW($L$32)-ROW($L14)-1),0)),ROW($L$32)-ROW($L14)-1,MATCH(P$13,OFFSET($L14,1,0,ROW($L$32)-ROW($L14)-1),0)-1),0))</f>
        <v>0</v>
      </c>
      <c r="Q14" s="211">
        <f t="shared" ref="Q14" ca="1" si="5">MIN(OFFSET(L14,0,1,,L14))</f>
        <v>17</v>
      </c>
      <c r="R14" s="212">
        <f ca="1">IF($E15=0,OFFSET(ORÇAMENTO!X$15,$E14,0),IF($E15&lt;&gt;-1,OFFSET(QCI!$O$13,$E15,0),""))</f>
        <v>0</v>
      </c>
      <c r="S14" s="213" t="s">
        <v>268</v>
      </c>
      <c r="T14" s="214" t="e">
        <f t="shared" ref="T14:AE14" ca="1" si="6">IF(AND($Q14=2,ACOMPANHAMENTO="BM"),T15,T16/$R14)</f>
        <v>#DIV/0!</v>
      </c>
      <c r="U14" s="206" t="e">
        <f t="shared" ca="1" si="6"/>
        <v>#DIV/0!</v>
      </c>
      <c r="V14" s="206" t="e">
        <f t="shared" ca="1" si="6"/>
        <v>#DIV/0!</v>
      </c>
      <c r="W14" s="206" t="e">
        <f t="shared" ca="1" si="6"/>
        <v>#DIV/0!</v>
      </c>
      <c r="X14" s="206" t="e">
        <f t="shared" ca="1" si="6"/>
        <v>#DIV/0!</v>
      </c>
      <c r="Y14" s="206" t="e">
        <f t="shared" ca="1" si="6"/>
        <v>#DIV/0!</v>
      </c>
      <c r="Z14" s="206" t="e">
        <f t="shared" ca="1" si="6"/>
        <v>#DIV/0!</v>
      </c>
      <c r="AA14" s="206" t="e">
        <f t="shared" ca="1" si="6"/>
        <v>#DIV/0!</v>
      </c>
      <c r="AB14" s="206" t="e">
        <f t="shared" ca="1" si="6"/>
        <v>#DIV/0!</v>
      </c>
      <c r="AC14" s="206" t="e">
        <f t="shared" ca="1" si="6"/>
        <v>#DIV/0!</v>
      </c>
      <c r="AD14" s="206" t="e">
        <f t="shared" ca="1" si="6"/>
        <v>#DIV/0!</v>
      </c>
      <c r="AE14" s="215" t="e">
        <f t="shared" ca="1" si="6"/>
        <v>#DIV/0!</v>
      </c>
    </row>
    <row r="15" spans="1:32" ht="12.75" customHeight="1" x14ac:dyDescent="0.2">
      <c r="D15" s="546"/>
      <c r="E15" s="203">
        <f ca="1">IF(ISERROR(E14),IF(1+COUNTIF($L$13:OFFSET(L14,-1,0),1)&lt;=MAX(QCI!$D$13:$D$24),1+COUNTIF($L$13:OFFSET(L14,-1,0),1),-1),0)</f>
        <v>0</v>
      </c>
      <c r="F15" s="203" t="str">
        <f t="shared" ref="F15" ca="1" si="7">IF(AND($E15&lt;&gt;-1,$R14&gt;0),"F","")</f>
        <v/>
      </c>
      <c r="G15" s="216" t="str">
        <f ca="1">IF(OR(R14=0,R14=""),"vazia",IF(AND(OR(ACOMPANHAMENTO="PLE",$Q14&lt;&gt;2),$E15=0),"calculada","--&gt;"))</f>
        <v>vazia</v>
      </c>
      <c r="H15" s="217"/>
      <c r="I15" s="218" t="str">
        <f t="shared" ref="I15" ca="1" si="8">IF(AND(G14&lt;&gt;0,ISNUMBER(G14)),"PREENCHA ESTA LINHA --&gt;","")</f>
        <v/>
      </c>
      <c r="J15" s="218"/>
      <c r="K15" s="218"/>
      <c r="L15" s="219"/>
      <c r="M15" s="219"/>
      <c r="N15" s="219"/>
      <c r="O15" s="219"/>
      <c r="P15" s="219"/>
      <c r="Q15" s="219"/>
      <c r="R15" s="220"/>
      <c r="S15" s="221"/>
      <c r="T15" s="547"/>
      <c r="U15" s="546"/>
      <c r="V15" s="546"/>
      <c r="W15" s="546"/>
      <c r="X15" s="546"/>
      <c r="Y15" s="546"/>
      <c r="Z15" s="546"/>
      <c r="AA15" s="546"/>
      <c r="AB15" s="546"/>
      <c r="AC15" s="546"/>
      <c r="AD15" s="546"/>
      <c r="AE15" s="548"/>
      <c r="AF15" s="511"/>
    </row>
    <row r="16" spans="1:32" ht="14.25" hidden="1" customHeight="1" x14ac:dyDescent="0.2">
      <c r="D16" s="222">
        <f ca="1">IF($Q14=2,IF(AND(ACOMPANHAMENTO="PLE",ISNUMBER($E14)),SUMIF((OFFSET(CÁLCULO!$AM$15:$AW$15,$E14,0,OFFSET(ORÇAMENTO!$D$15,CRONO!$E14,0))),"="&amp;CRONO!D$12,OFFSET(CÁLCULO!$AB$15:$AL$15,$E14,0,OFFSET(ORÇAMENTO!$D$15,CRONO!$E14,0)))+IF(AND($E16&lt;&gt;"",$E16&lt;&gt;0),SUMIF(CÁLCULO!$AM$15:$AW$51,"="&amp;CRONO!D$12,CÁLCULO!$AB$15:$AL$51)/(ORÇAMENTO!$X$15-CÁLCULO.TotalAdmLocal)*CRONO!$E16,0),D15*$R14),SUMIF(OFFSET($R16,1,0,$Q14-2),($L14+1)&amp;"$",OFFSET(D16,1,0,$Q14-2)))</f>
        <v>0</v>
      </c>
      <c r="E16" s="203" t="str">
        <f ca="1">IF(OR($Q14&lt;&gt;2,AUTOEVENTO&lt;&gt;"manual",$E15&gt;0),"",SUMIF(OFFSET(CÁLCULO!$M$15,CRONO!$E14,0,OFFSET(ORÇAMENTO!$D$15,CRONO!$E14,0)),1,OFFSET(ORÇAMENTO!$X$15,CRONO!$E14,0,OFFSET(ORÇAMENTO!$D$15,CRONO!$E14,0))))</f>
        <v/>
      </c>
      <c r="G16" s="223"/>
      <c r="R16" s="224" t="str">
        <f t="shared" ref="R16" ca="1" si="9">L14&amp;"$"</f>
        <v>1$</v>
      </c>
      <c r="S16" s="225"/>
      <c r="T16" s="226">
        <f ca="1">IF($Q14=2,IF(AND(ACOMPANHAMENTO="PLE",ISNUMBER($E14)),SUMIF((OFFSET(CÁLCULO!$AM$15:$AW$15,$E14,0,OFFSET(ORÇAMENTO!$D$15,CRONO!$E14,0))),"&lt;="&amp;CRONO!T$12,OFFSET(CÁLCULO!$AB$15:$AL$15,$E14,0,OFFSET(ORÇAMENTO!$D$15,CRONO!$E14,0)))+IF(AND($E16&lt;&gt;"",$E16&lt;&gt;0),SUMIF(CÁLCULO!$AM$15:$AW$51,"&lt;="&amp;CRONO!T$12,CÁLCULO!$AB$15:$AL$51)/(ORÇAMENTO!$X$15-CÁLCULO.TotalAdmLocal)*CRONO!$E16,0),T15*$R14),SUMIF(OFFSET($R16,1,0,$Q14-2),($L14+1)&amp;"$",OFFSET(T16,1,0,$Q14-2)))</f>
        <v>0</v>
      </c>
      <c r="U16" s="222">
        <f ca="1">IF($Q14=2,IF(AND(ACOMPANHAMENTO="PLE",ISNUMBER($E14)),SUMIF((OFFSET(CÁLCULO!$AM$15:$AW$15,$E14,0,OFFSET(ORÇAMENTO!$D$15,CRONO!$E14,0))),"="&amp;CRONO!U$12,OFFSET(CÁLCULO!$AB$15:$AL$15,$E14,0,OFFSET(ORÇAMENTO!$D$15,CRONO!$E14,0)))+IF(AND($E16&lt;&gt;"",$E16&lt;&gt;0),SUMIF(CÁLCULO!$AM$15:$AW$51,"="&amp;CRONO!U$12,CÁLCULO!$AB$15:$AL$51)/(ORÇAMENTO!$X$15-CÁLCULO.TotalAdmLocal)*CRONO!$E16,0),U15*$R14),SUMIF(OFFSET($R16,1,0,$Q14-2),($L14+1)&amp;"$",OFFSET(U16,1,0,$Q14-2)))</f>
        <v>0</v>
      </c>
      <c r="V16" s="222">
        <f ca="1">IF($Q14=2,IF(AND(ACOMPANHAMENTO="PLE",ISNUMBER($E14)),SUMIF((OFFSET(CÁLCULO!$AM$15:$AW$15,$E14,0,OFFSET(ORÇAMENTO!$D$15,CRONO!$E14,0))),"="&amp;CRONO!V$12,OFFSET(CÁLCULO!$AB$15:$AL$15,$E14,0,OFFSET(ORÇAMENTO!$D$15,CRONO!$E14,0)))+IF(AND($E16&lt;&gt;"",$E16&lt;&gt;0),SUMIF(CÁLCULO!$AM$15:$AW$51,"="&amp;CRONO!V$12,CÁLCULO!$AB$15:$AL$51)/(ORÇAMENTO!$X$15-CÁLCULO.TotalAdmLocal)*CRONO!$E16,0),V15*$R14),SUMIF(OFFSET($R16,1,0,$Q14-2),($L14+1)&amp;"$",OFFSET(V16,1,0,$Q14-2)))</f>
        <v>0</v>
      </c>
      <c r="W16" s="222">
        <f ca="1">IF($Q14=2,IF(AND(ACOMPANHAMENTO="PLE",ISNUMBER($E14)),SUMIF((OFFSET(CÁLCULO!$AM$15:$AW$15,$E14,0,OFFSET(ORÇAMENTO!$D$15,CRONO!$E14,0))),"="&amp;CRONO!W$12,OFFSET(CÁLCULO!$AB$15:$AL$15,$E14,0,OFFSET(ORÇAMENTO!$D$15,CRONO!$E14,0)))+IF(AND($E16&lt;&gt;"",$E16&lt;&gt;0),SUMIF(CÁLCULO!$AM$15:$AW$51,"="&amp;CRONO!W$12,CÁLCULO!$AB$15:$AL$51)/(ORÇAMENTO!$X$15-CÁLCULO.TotalAdmLocal)*CRONO!$E16,0),W15*$R14),SUMIF(OFFSET($R16,1,0,$Q14-2),($L14+1)&amp;"$",OFFSET(W16,1,0,$Q14-2)))</f>
        <v>0</v>
      </c>
      <c r="X16" s="222">
        <f ca="1">IF($Q14=2,IF(AND(ACOMPANHAMENTO="PLE",ISNUMBER($E14)),SUMIF((OFFSET(CÁLCULO!$AM$15:$AW$15,$E14,0,OFFSET(ORÇAMENTO!$D$15,CRONO!$E14,0))),"="&amp;CRONO!X$12,OFFSET(CÁLCULO!$AB$15:$AL$15,$E14,0,OFFSET(ORÇAMENTO!$D$15,CRONO!$E14,0)))+IF(AND($E16&lt;&gt;"",$E16&lt;&gt;0),SUMIF(CÁLCULO!$AM$15:$AW$51,"="&amp;CRONO!X$12,CÁLCULO!$AB$15:$AL$51)/(ORÇAMENTO!$X$15-CÁLCULO.TotalAdmLocal)*CRONO!$E16,0),X15*$R14),SUMIF(OFFSET($R16,1,0,$Q14-2),($L14+1)&amp;"$",OFFSET(X16,1,0,$Q14-2)))</f>
        <v>0</v>
      </c>
      <c r="Y16" s="222">
        <f ca="1">IF($Q14=2,IF(AND(ACOMPANHAMENTO="PLE",ISNUMBER($E14)),SUMIF((OFFSET(CÁLCULO!$AM$15:$AW$15,$E14,0,OFFSET(ORÇAMENTO!$D$15,CRONO!$E14,0))),"="&amp;CRONO!Y$12,OFFSET(CÁLCULO!$AB$15:$AL$15,$E14,0,OFFSET(ORÇAMENTO!$D$15,CRONO!$E14,0)))+IF(AND($E16&lt;&gt;"",$E16&lt;&gt;0),SUMIF(CÁLCULO!$AM$15:$AW$51,"="&amp;CRONO!Y$12,CÁLCULO!$AB$15:$AL$51)/(ORÇAMENTO!$X$15-CÁLCULO.TotalAdmLocal)*CRONO!$E16,0),Y15*$R14),SUMIF(OFFSET($R16,1,0,$Q14-2),($L14+1)&amp;"$",OFFSET(Y16,1,0,$Q14-2)))</f>
        <v>0</v>
      </c>
      <c r="Z16" s="222">
        <f ca="1">IF($Q14=2,IF(AND(ACOMPANHAMENTO="PLE",ISNUMBER($E14)),SUMIF((OFFSET(CÁLCULO!$AM$15:$AW$15,$E14,0,OFFSET(ORÇAMENTO!$D$15,CRONO!$E14,0))),"="&amp;CRONO!Z$12,OFFSET(CÁLCULO!$AB$15:$AL$15,$E14,0,OFFSET(ORÇAMENTO!$D$15,CRONO!$E14,0)))+IF(AND($E16&lt;&gt;"",$E16&lt;&gt;0),SUMIF(CÁLCULO!$AM$15:$AW$51,"="&amp;CRONO!Z$12,CÁLCULO!$AB$15:$AL$51)/(ORÇAMENTO!$X$15-CÁLCULO.TotalAdmLocal)*CRONO!$E16,0),Z15*$R14),SUMIF(OFFSET($R16,1,0,$Q14-2),($L14+1)&amp;"$",OFFSET(Z16,1,0,$Q14-2)))</f>
        <v>0</v>
      </c>
      <c r="AA16" s="222">
        <f ca="1">IF($Q14=2,IF(AND(ACOMPANHAMENTO="PLE",ISNUMBER($E14)),SUMIF((OFFSET(CÁLCULO!$AM$15:$AW$15,$E14,0,OFFSET(ORÇAMENTO!$D$15,CRONO!$E14,0))),"="&amp;CRONO!AA$12,OFFSET(CÁLCULO!$AB$15:$AL$15,$E14,0,OFFSET(ORÇAMENTO!$D$15,CRONO!$E14,0)))+IF(AND($E16&lt;&gt;"",$E16&lt;&gt;0),SUMIF(CÁLCULO!$AM$15:$AW$51,"="&amp;CRONO!AA$12,CÁLCULO!$AB$15:$AL$51)/(ORÇAMENTO!$X$15-CÁLCULO.TotalAdmLocal)*CRONO!$E16,0),AA15*$R14),SUMIF(OFFSET($R16,1,0,$Q14-2),($L14+1)&amp;"$",OFFSET(AA16,1,0,$Q14-2)))</f>
        <v>0</v>
      </c>
      <c r="AB16" s="222">
        <f ca="1">IF($Q14=2,IF(AND(ACOMPANHAMENTO="PLE",ISNUMBER($E14)),SUMIF((OFFSET(CÁLCULO!$AM$15:$AW$15,$E14,0,OFFSET(ORÇAMENTO!$D$15,CRONO!$E14,0))),"="&amp;CRONO!AB$12,OFFSET(CÁLCULO!$AB$15:$AL$15,$E14,0,OFFSET(ORÇAMENTO!$D$15,CRONO!$E14,0)))+IF(AND($E16&lt;&gt;"",$E16&lt;&gt;0),SUMIF(CÁLCULO!$AM$15:$AW$51,"="&amp;CRONO!AB$12,CÁLCULO!$AB$15:$AL$51)/(ORÇAMENTO!$X$15-CÁLCULO.TotalAdmLocal)*CRONO!$E16,0),AB15*$R14),SUMIF(OFFSET($R16,1,0,$Q14-2),($L14+1)&amp;"$",OFFSET(AB16,1,0,$Q14-2)))</f>
        <v>0</v>
      </c>
      <c r="AC16" s="222">
        <f ca="1">IF($Q14=2,IF(AND(ACOMPANHAMENTO="PLE",ISNUMBER($E14)),SUMIF((OFFSET(CÁLCULO!$AM$15:$AW$15,$E14,0,OFFSET(ORÇAMENTO!$D$15,CRONO!$E14,0))),"="&amp;CRONO!AC$12,OFFSET(CÁLCULO!$AB$15:$AL$15,$E14,0,OFFSET(ORÇAMENTO!$D$15,CRONO!$E14,0)))+IF(AND($E16&lt;&gt;"",$E16&lt;&gt;0),SUMIF(CÁLCULO!$AM$15:$AW$51,"="&amp;CRONO!AC$12,CÁLCULO!$AB$15:$AL$51)/(ORÇAMENTO!$X$15-CÁLCULO.TotalAdmLocal)*CRONO!$E16,0),AC15*$R14),SUMIF(OFFSET($R16,1,0,$Q14-2),($L14+1)&amp;"$",OFFSET(AC16,1,0,$Q14-2)))</f>
        <v>0</v>
      </c>
      <c r="AD16" s="222">
        <f ca="1">IF($Q14=2,IF(AND(ACOMPANHAMENTO="PLE",ISNUMBER($E14)),SUMIF((OFFSET(CÁLCULO!$AM$15:$AW$15,$E14,0,OFFSET(ORÇAMENTO!$D$15,CRONO!$E14,0))),"="&amp;CRONO!AD$12,OFFSET(CÁLCULO!$AB$15:$AL$15,$E14,0,OFFSET(ORÇAMENTO!$D$15,CRONO!$E14,0)))+IF(AND($E16&lt;&gt;"",$E16&lt;&gt;0),SUMIF(CÁLCULO!$AM$15:$AW$51,"="&amp;CRONO!AD$12,CÁLCULO!$AB$15:$AL$51)/(ORÇAMENTO!$X$15-CÁLCULO.TotalAdmLocal)*CRONO!$E16,0),AD15*$R14),SUMIF(OFFSET($R16,1,0,$Q14-2),($L14+1)&amp;"$",OFFSET(AD16,1,0,$Q14-2)))</f>
        <v>0</v>
      </c>
      <c r="AE16" s="227">
        <f ca="1">IF($Q14=2,IF(AND(ACOMPANHAMENTO="PLE",ISNUMBER($E14)),SUMIF((OFFSET(CÁLCULO!$AM$15:$AW$15,$E14,0,OFFSET(ORÇAMENTO!$D$15,CRONO!$E14,0))),"="&amp;CRONO!AE$12,OFFSET(CÁLCULO!$AB$15:$AL$15,$E14,0,OFFSET(ORÇAMENTO!$D$15,CRONO!$E14,0)))+IF(AND($E16&lt;&gt;"",$E16&lt;&gt;0),SUMIF(CÁLCULO!$AM$15:$AW$51,"="&amp;CRONO!AE$12,CÁLCULO!$AB$15:$AL$51)/(ORÇAMENTO!$X$15-CÁLCULO.TotalAdmLocal)*CRONO!$E16,0),AE15*$R14),SUMIF(OFFSET($R16,1,0,$Q14-2),($L14+1)&amp;"$",OFFSET(AE16,1,0,$Q14-2)))</f>
        <v>0</v>
      </c>
    </row>
    <row r="17" spans="1:32" x14ac:dyDescent="0.2">
      <c r="A17" s="203">
        <f t="shared" ref="A17" ca="1" si="10">OFFSET(A17,-3,0)+1</f>
        <v>2</v>
      </c>
      <c r="B17" s="203">
        <f ca="1">IF($Q17&lt;&gt;2,0,IF($R17=0,1,IF(E18&gt;0,OFFSET(QCI!$M$13,SUBSTITUTE(E18,".",""),0),OFFSET(ORÇAMENTO!$AA$15,CRONO!$E17,0))/$R17))</f>
        <v>1</v>
      </c>
      <c r="C17" s="203">
        <f ca="1">IF($Q17&lt;&gt;2,0,IF($R17=0,1,IF(E18&gt;0,OFFSET(QCI!$N$13,SUBSTITUTE(E18,".",""),0),OFFSET(ORÇAMENTO!$AB$15,CRONO!$E17,0))/$R17))</f>
        <v>1</v>
      </c>
      <c r="D17" s="206" t="e">
        <f ca="1">IF(AND($Q17=2,ACOMPANHAMENTO="BM"),D18,D19/$R17)</f>
        <v>#DIV/0!</v>
      </c>
      <c r="E17" s="203">
        <f ca="1">IF(A17&lt;=ORÇAMENTO.MáximoListaCrono,MATCH(A17,ORÇAMENTO.ListaCrono,0),NA())</f>
        <v>2</v>
      </c>
      <c r="F17" s="203" t="str">
        <f t="shared" ref="F17" ca="1" si="11">IF(AND($E18&lt;&gt;-1,$R17&gt;0),"F","")</f>
        <v/>
      </c>
      <c r="G17" s="207" t="str">
        <f ca="1">IF(OR(R17=0,R17=""),"Linha",IF(AND(OR(ACOMPANHAMENTO="PLE",$Q17&lt;&gt;2),$E18=0),"Linha",1-SUM(T17:AF17)))</f>
        <v>Linha</v>
      </c>
      <c r="H17" s="208" t="str">
        <f ca="1">IF($E18=0,OFFSET(ORÇAMENTO!O$15,$E17,0),IF($E18&lt;&gt;-1,OFFSET(QCI!$D$13,$E18,0),""))</f>
        <v>1.1.</v>
      </c>
      <c r="I17" s="209" t="str">
        <f ca="1">IF($E18=0,OFFSET(ORÇAMENTO!R$15,$E17,0),IF($E18&lt;&gt;-1,OFFSET(QCI!$G$13,$E18,0),""))</f>
        <v>SERVIÇOS INICIAIS</v>
      </c>
      <c r="J17" s="209"/>
      <c r="K17" s="209"/>
      <c r="L17" s="210">
        <f ca="1">IF($E18=0,OFFSET(ORÇAMENTO!C$15,$E17,0),1)</f>
        <v>2</v>
      </c>
      <c r="M17" s="211">
        <f ca="1">IF($E18=-1,0,IF(M$13&lt;=$L17,IF(ISERROR(MATCH(M$13,OFFSET($L17,1,0,ROW($L$32)-ROW($L17)-1),0)),ROW($L$32)-ROW($L17)-1,MATCH(M$13,OFFSET($L17,1,0,ROW($L$32)-ROW($L17)-1),0)-1),0))</f>
        <v>14</v>
      </c>
      <c r="N17" s="211">
        <f ca="1">IF($E18=-1,0,IF(N$13&lt;=$L17,IF(ISERROR(MATCH(N$13,OFFSET($L17,1,0,ROW($L$32)-ROW($L17)-1),0)),ROW($L$32)-ROW($L17)-1,MATCH(N$13,OFFSET($L17,1,0,ROW($L$32)-ROW($L17)-1),0)-1),0))</f>
        <v>2</v>
      </c>
      <c r="O17" s="211">
        <f ca="1">IF($E18=-1,0,IF(O$13&lt;=$L17,IF(ISERROR(MATCH(O$13,OFFSET($L17,1,0,ROW($L$32)-ROW($L17)-1),0)),ROW($L$32)-ROW($L17)-1,MATCH(O$13,OFFSET($L17,1,0,ROW($L$32)-ROW($L17)-1),0)-1),0))</f>
        <v>0</v>
      </c>
      <c r="P17" s="211">
        <f ca="1">IF($E18=-1,0,IF(P$13&lt;=$L17,IF(ISERROR(MATCH(P$13,OFFSET($L17,1,0,ROW($L$32)-ROW($L17)-1),0)),ROW($L$32)-ROW($L17)-1,MATCH(P$13,OFFSET($L17,1,0,ROW($L$32)-ROW($L17)-1),0)-1),0))</f>
        <v>0</v>
      </c>
      <c r="Q17" s="211">
        <f t="shared" ref="Q17" ca="1" si="12">MIN(OFFSET(L17,0,1,,L17))</f>
        <v>2</v>
      </c>
      <c r="R17" s="212">
        <f ca="1">IF($E18=0,OFFSET(ORÇAMENTO!X$15,$E17,0),IF($E18&lt;&gt;-1,OFFSET(QCI!$O$13,$E18,0),""))</f>
        <v>0</v>
      </c>
      <c r="S17" s="213" t="s">
        <v>268</v>
      </c>
      <c r="T17" s="214" t="e">
        <f t="shared" ref="T17:AE17" ca="1" si="13">IF(AND($Q17=2,ACOMPANHAMENTO="BM"),T18,T19/$R17)</f>
        <v>#DIV/0!</v>
      </c>
      <c r="U17" s="206" t="e">
        <f t="shared" ca="1" si="13"/>
        <v>#DIV/0!</v>
      </c>
      <c r="V17" s="206" t="e">
        <f t="shared" ca="1" si="13"/>
        <v>#DIV/0!</v>
      </c>
      <c r="W17" s="206" t="e">
        <f t="shared" ca="1" si="13"/>
        <v>#DIV/0!</v>
      </c>
      <c r="X17" s="206" t="e">
        <f t="shared" ca="1" si="13"/>
        <v>#DIV/0!</v>
      </c>
      <c r="Y17" s="206" t="e">
        <f t="shared" ca="1" si="13"/>
        <v>#DIV/0!</v>
      </c>
      <c r="Z17" s="206" t="e">
        <f t="shared" ca="1" si="13"/>
        <v>#DIV/0!</v>
      </c>
      <c r="AA17" s="206" t="e">
        <f t="shared" ca="1" si="13"/>
        <v>#DIV/0!</v>
      </c>
      <c r="AB17" s="206" t="e">
        <f t="shared" ca="1" si="13"/>
        <v>#DIV/0!</v>
      </c>
      <c r="AC17" s="206" t="e">
        <f t="shared" ca="1" si="13"/>
        <v>#DIV/0!</v>
      </c>
      <c r="AD17" s="206" t="e">
        <f t="shared" ca="1" si="13"/>
        <v>#DIV/0!</v>
      </c>
      <c r="AE17" s="215" t="e">
        <f t="shared" ca="1" si="13"/>
        <v>#DIV/0!</v>
      </c>
    </row>
    <row r="18" spans="1:32" ht="12.75" customHeight="1" x14ac:dyDescent="0.2">
      <c r="D18" s="546"/>
      <c r="E18" s="203">
        <f ca="1">IF(ISERROR(E17),IF(1+COUNTIF($L$13:OFFSET(L17,-1,0),1)&lt;=MAX(QCI!$D$13:$D$24),1+COUNTIF($L$13:OFFSET(L17,-1,0),1),-1),0)</f>
        <v>0</v>
      </c>
      <c r="F18" s="203" t="str">
        <f t="shared" ref="F18" ca="1" si="14">IF(AND($E18&lt;&gt;-1,$R17&gt;0),"F","")</f>
        <v/>
      </c>
      <c r="G18" s="216" t="str">
        <f ca="1">IF(OR(R17=0,R17=""),"vazia",IF(AND(OR(ACOMPANHAMENTO="PLE",$Q17&lt;&gt;2),$E18=0),"calculada","--&gt;"))</f>
        <v>vazia</v>
      </c>
      <c r="H18" s="217"/>
      <c r="I18" s="218" t="str">
        <f t="shared" ref="I18" ca="1" si="15">IF(AND(G17&lt;&gt;0,ISNUMBER(G17)),"PREENCHA ESTA LINHA --&gt;","")</f>
        <v/>
      </c>
      <c r="J18" s="218"/>
      <c r="K18" s="218"/>
      <c r="L18" s="219"/>
      <c r="M18" s="219"/>
      <c r="N18" s="219"/>
      <c r="O18" s="219"/>
      <c r="P18" s="219"/>
      <c r="Q18" s="219"/>
      <c r="R18" s="220"/>
      <c r="S18" s="221"/>
      <c r="T18" s="547">
        <v>1</v>
      </c>
      <c r="U18" s="546"/>
      <c r="V18" s="546"/>
      <c r="W18" s="546"/>
      <c r="X18" s="546"/>
      <c r="Y18" s="546"/>
      <c r="Z18" s="546"/>
      <c r="AA18" s="546"/>
      <c r="AB18" s="546"/>
      <c r="AC18" s="546"/>
      <c r="AD18" s="546"/>
      <c r="AE18" s="548"/>
      <c r="AF18" s="511"/>
    </row>
    <row r="19" spans="1:32" ht="14.25" hidden="1" customHeight="1" x14ac:dyDescent="0.2">
      <c r="D19" s="222">
        <f ca="1">IF($Q17=2,IF(AND(ACOMPANHAMENTO="PLE",ISNUMBER($E17)),SUMIF((OFFSET(CÁLCULO!$AM$15:$AW$15,$E17,0,OFFSET(ORÇAMENTO!$D$15,CRONO!$E17,0))),"="&amp;CRONO!D$12,OFFSET(CÁLCULO!$AB$15:$AL$15,$E17,0,OFFSET(ORÇAMENTO!$D$15,CRONO!$E17,0)))+IF(AND($E19&lt;&gt;"",$E19&lt;&gt;0),SUMIF(CÁLCULO!$AM$15:$AW$51,"="&amp;CRONO!D$12,CÁLCULO!$AB$15:$AL$51)/(ORÇAMENTO!$X$15-CÁLCULO.TotalAdmLocal)*CRONO!$E19,0),D18*$R17),SUMIF(OFFSET($R19,1,0,$Q17-2),($L17+1)&amp;"$",OFFSET(D19,1,0,$Q17-2)))</f>
        <v>0</v>
      </c>
      <c r="E19" s="203" t="str">
        <f ca="1">IF(OR($Q17&lt;&gt;2,AUTOEVENTO&lt;&gt;"manual",$E18&gt;0),"",SUMIF(OFFSET(CÁLCULO!$M$15,CRONO!$E17,0,OFFSET(ORÇAMENTO!$D$15,CRONO!$E17,0)),1,OFFSET(ORÇAMENTO!$X$15,CRONO!$E17,0,OFFSET(ORÇAMENTO!$D$15,CRONO!$E17,0))))</f>
        <v/>
      </c>
      <c r="G19" s="223"/>
      <c r="R19" s="224" t="str">
        <f t="shared" ref="R19" ca="1" si="16">L17&amp;"$"</f>
        <v>2$</v>
      </c>
      <c r="S19" s="225"/>
      <c r="T19" s="226">
        <f ca="1">IF($Q17=2,IF(AND(ACOMPANHAMENTO="PLE",ISNUMBER($E17)),SUMIF((OFFSET(CÁLCULO!$AM$15:$AW$15,$E17,0,OFFSET(ORÇAMENTO!$D$15,CRONO!$E17,0))),"&lt;="&amp;CRONO!T$12,OFFSET(CÁLCULO!$AB$15:$AL$15,$E17,0,OFFSET(ORÇAMENTO!$D$15,CRONO!$E17,0)))+IF(AND($E19&lt;&gt;"",$E19&lt;&gt;0),SUMIF(CÁLCULO!$AM$15:$AW$51,"&lt;="&amp;CRONO!T$12,CÁLCULO!$AB$15:$AL$51)/(ORÇAMENTO!$X$15-CÁLCULO.TotalAdmLocal)*CRONO!$E19,0),T18*$R17),SUMIF(OFFSET($R19,1,0,$Q17-2),($L17+1)&amp;"$",OFFSET(T19,1,0,$Q17-2)))</f>
        <v>0</v>
      </c>
      <c r="U19" s="222">
        <f ca="1">IF($Q17=2,IF(AND(ACOMPANHAMENTO="PLE",ISNUMBER($E17)),SUMIF((OFFSET(CÁLCULO!$AM$15:$AW$15,$E17,0,OFFSET(ORÇAMENTO!$D$15,CRONO!$E17,0))),"="&amp;CRONO!U$12,OFFSET(CÁLCULO!$AB$15:$AL$15,$E17,0,OFFSET(ORÇAMENTO!$D$15,CRONO!$E17,0)))+IF(AND($E19&lt;&gt;"",$E19&lt;&gt;0),SUMIF(CÁLCULO!$AM$15:$AW$51,"="&amp;CRONO!U$12,CÁLCULO!$AB$15:$AL$51)/(ORÇAMENTO!$X$15-CÁLCULO.TotalAdmLocal)*CRONO!$E19,0),U18*$R17),SUMIF(OFFSET($R19,1,0,$Q17-2),($L17+1)&amp;"$",OFFSET(U19,1,0,$Q17-2)))</f>
        <v>0</v>
      </c>
      <c r="V19" s="222">
        <f ca="1">IF($Q17=2,IF(AND(ACOMPANHAMENTO="PLE",ISNUMBER($E17)),SUMIF((OFFSET(CÁLCULO!$AM$15:$AW$15,$E17,0,OFFSET(ORÇAMENTO!$D$15,CRONO!$E17,0))),"="&amp;CRONO!V$12,OFFSET(CÁLCULO!$AB$15:$AL$15,$E17,0,OFFSET(ORÇAMENTO!$D$15,CRONO!$E17,0)))+IF(AND($E19&lt;&gt;"",$E19&lt;&gt;0),SUMIF(CÁLCULO!$AM$15:$AW$51,"="&amp;CRONO!V$12,CÁLCULO!$AB$15:$AL$51)/(ORÇAMENTO!$X$15-CÁLCULO.TotalAdmLocal)*CRONO!$E19,0),V18*$R17),SUMIF(OFFSET($R19,1,0,$Q17-2),($L17+1)&amp;"$",OFFSET(V19,1,0,$Q17-2)))</f>
        <v>0</v>
      </c>
      <c r="W19" s="222">
        <f ca="1">IF($Q17=2,IF(AND(ACOMPANHAMENTO="PLE",ISNUMBER($E17)),SUMIF((OFFSET(CÁLCULO!$AM$15:$AW$15,$E17,0,OFFSET(ORÇAMENTO!$D$15,CRONO!$E17,0))),"="&amp;CRONO!W$12,OFFSET(CÁLCULO!$AB$15:$AL$15,$E17,0,OFFSET(ORÇAMENTO!$D$15,CRONO!$E17,0)))+IF(AND($E19&lt;&gt;"",$E19&lt;&gt;0),SUMIF(CÁLCULO!$AM$15:$AW$51,"="&amp;CRONO!W$12,CÁLCULO!$AB$15:$AL$51)/(ORÇAMENTO!$X$15-CÁLCULO.TotalAdmLocal)*CRONO!$E19,0),W18*$R17),SUMIF(OFFSET($R19,1,0,$Q17-2),($L17+1)&amp;"$",OFFSET(W19,1,0,$Q17-2)))</f>
        <v>0</v>
      </c>
      <c r="X19" s="222">
        <f ca="1">IF($Q17=2,IF(AND(ACOMPANHAMENTO="PLE",ISNUMBER($E17)),SUMIF((OFFSET(CÁLCULO!$AM$15:$AW$15,$E17,0,OFFSET(ORÇAMENTO!$D$15,CRONO!$E17,0))),"="&amp;CRONO!X$12,OFFSET(CÁLCULO!$AB$15:$AL$15,$E17,0,OFFSET(ORÇAMENTO!$D$15,CRONO!$E17,0)))+IF(AND($E19&lt;&gt;"",$E19&lt;&gt;0),SUMIF(CÁLCULO!$AM$15:$AW$51,"="&amp;CRONO!X$12,CÁLCULO!$AB$15:$AL$51)/(ORÇAMENTO!$X$15-CÁLCULO.TotalAdmLocal)*CRONO!$E19,0),X18*$R17),SUMIF(OFFSET($R19,1,0,$Q17-2),($L17+1)&amp;"$",OFFSET(X19,1,0,$Q17-2)))</f>
        <v>0</v>
      </c>
      <c r="Y19" s="222">
        <f ca="1">IF($Q17=2,IF(AND(ACOMPANHAMENTO="PLE",ISNUMBER($E17)),SUMIF((OFFSET(CÁLCULO!$AM$15:$AW$15,$E17,0,OFFSET(ORÇAMENTO!$D$15,CRONO!$E17,0))),"="&amp;CRONO!Y$12,OFFSET(CÁLCULO!$AB$15:$AL$15,$E17,0,OFFSET(ORÇAMENTO!$D$15,CRONO!$E17,0)))+IF(AND($E19&lt;&gt;"",$E19&lt;&gt;0),SUMIF(CÁLCULO!$AM$15:$AW$51,"="&amp;CRONO!Y$12,CÁLCULO!$AB$15:$AL$51)/(ORÇAMENTO!$X$15-CÁLCULO.TotalAdmLocal)*CRONO!$E19,0),Y18*$R17),SUMIF(OFFSET($R19,1,0,$Q17-2),($L17+1)&amp;"$",OFFSET(Y19,1,0,$Q17-2)))</f>
        <v>0</v>
      </c>
      <c r="Z19" s="222">
        <f ca="1">IF($Q17=2,IF(AND(ACOMPANHAMENTO="PLE",ISNUMBER($E17)),SUMIF((OFFSET(CÁLCULO!$AM$15:$AW$15,$E17,0,OFFSET(ORÇAMENTO!$D$15,CRONO!$E17,0))),"="&amp;CRONO!Z$12,OFFSET(CÁLCULO!$AB$15:$AL$15,$E17,0,OFFSET(ORÇAMENTO!$D$15,CRONO!$E17,0)))+IF(AND($E19&lt;&gt;"",$E19&lt;&gt;0),SUMIF(CÁLCULO!$AM$15:$AW$51,"="&amp;CRONO!Z$12,CÁLCULO!$AB$15:$AL$51)/(ORÇAMENTO!$X$15-CÁLCULO.TotalAdmLocal)*CRONO!$E19,0),Z18*$R17),SUMIF(OFFSET($R19,1,0,$Q17-2),($L17+1)&amp;"$",OFFSET(Z19,1,0,$Q17-2)))</f>
        <v>0</v>
      </c>
      <c r="AA19" s="222">
        <f ca="1">IF($Q17=2,IF(AND(ACOMPANHAMENTO="PLE",ISNUMBER($E17)),SUMIF((OFFSET(CÁLCULO!$AM$15:$AW$15,$E17,0,OFFSET(ORÇAMENTO!$D$15,CRONO!$E17,0))),"="&amp;CRONO!AA$12,OFFSET(CÁLCULO!$AB$15:$AL$15,$E17,0,OFFSET(ORÇAMENTO!$D$15,CRONO!$E17,0)))+IF(AND($E19&lt;&gt;"",$E19&lt;&gt;0),SUMIF(CÁLCULO!$AM$15:$AW$51,"="&amp;CRONO!AA$12,CÁLCULO!$AB$15:$AL$51)/(ORÇAMENTO!$X$15-CÁLCULO.TotalAdmLocal)*CRONO!$E19,0),AA18*$R17),SUMIF(OFFSET($R19,1,0,$Q17-2),($L17+1)&amp;"$",OFFSET(AA19,1,0,$Q17-2)))</f>
        <v>0</v>
      </c>
      <c r="AB19" s="222">
        <f ca="1">IF($Q17=2,IF(AND(ACOMPANHAMENTO="PLE",ISNUMBER($E17)),SUMIF((OFFSET(CÁLCULO!$AM$15:$AW$15,$E17,0,OFFSET(ORÇAMENTO!$D$15,CRONO!$E17,0))),"="&amp;CRONO!AB$12,OFFSET(CÁLCULO!$AB$15:$AL$15,$E17,0,OFFSET(ORÇAMENTO!$D$15,CRONO!$E17,0)))+IF(AND($E19&lt;&gt;"",$E19&lt;&gt;0),SUMIF(CÁLCULO!$AM$15:$AW$51,"="&amp;CRONO!AB$12,CÁLCULO!$AB$15:$AL$51)/(ORÇAMENTO!$X$15-CÁLCULO.TotalAdmLocal)*CRONO!$E19,0),AB18*$R17),SUMIF(OFFSET($R19,1,0,$Q17-2),($L17+1)&amp;"$",OFFSET(AB19,1,0,$Q17-2)))</f>
        <v>0</v>
      </c>
      <c r="AC19" s="222">
        <f ca="1">IF($Q17=2,IF(AND(ACOMPANHAMENTO="PLE",ISNUMBER($E17)),SUMIF((OFFSET(CÁLCULO!$AM$15:$AW$15,$E17,0,OFFSET(ORÇAMENTO!$D$15,CRONO!$E17,0))),"="&amp;CRONO!AC$12,OFFSET(CÁLCULO!$AB$15:$AL$15,$E17,0,OFFSET(ORÇAMENTO!$D$15,CRONO!$E17,0)))+IF(AND($E19&lt;&gt;"",$E19&lt;&gt;0),SUMIF(CÁLCULO!$AM$15:$AW$51,"="&amp;CRONO!AC$12,CÁLCULO!$AB$15:$AL$51)/(ORÇAMENTO!$X$15-CÁLCULO.TotalAdmLocal)*CRONO!$E19,0),AC18*$R17),SUMIF(OFFSET($R19,1,0,$Q17-2),($L17+1)&amp;"$",OFFSET(AC19,1,0,$Q17-2)))</f>
        <v>0</v>
      </c>
      <c r="AD19" s="222">
        <f ca="1">IF($Q17=2,IF(AND(ACOMPANHAMENTO="PLE",ISNUMBER($E17)),SUMIF((OFFSET(CÁLCULO!$AM$15:$AW$15,$E17,0,OFFSET(ORÇAMENTO!$D$15,CRONO!$E17,0))),"="&amp;CRONO!AD$12,OFFSET(CÁLCULO!$AB$15:$AL$15,$E17,0,OFFSET(ORÇAMENTO!$D$15,CRONO!$E17,0)))+IF(AND($E19&lt;&gt;"",$E19&lt;&gt;0),SUMIF(CÁLCULO!$AM$15:$AW$51,"="&amp;CRONO!AD$12,CÁLCULO!$AB$15:$AL$51)/(ORÇAMENTO!$X$15-CÁLCULO.TotalAdmLocal)*CRONO!$E19,0),AD18*$R17),SUMIF(OFFSET($R19,1,0,$Q17-2),($L17+1)&amp;"$",OFFSET(AD19,1,0,$Q17-2)))</f>
        <v>0</v>
      </c>
      <c r="AE19" s="227">
        <f ca="1">IF($Q17=2,IF(AND(ACOMPANHAMENTO="PLE",ISNUMBER($E17)),SUMIF((OFFSET(CÁLCULO!$AM$15:$AW$15,$E17,0,OFFSET(ORÇAMENTO!$D$15,CRONO!$E17,0))),"="&amp;CRONO!AE$12,OFFSET(CÁLCULO!$AB$15:$AL$15,$E17,0,OFFSET(ORÇAMENTO!$D$15,CRONO!$E17,0)))+IF(AND($E19&lt;&gt;"",$E19&lt;&gt;0),SUMIF(CÁLCULO!$AM$15:$AW$51,"="&amp;CRONO!AE$12,CÁLCULO!$AB$15:$AL$51)/(ORÇAMENTO!$X$15-CÁLCULO.TotalAdmLocal)*CRONO!$E19,0),AE18*$R17),SUMIF(OFFSET($R19,1,0,$Q17-2),($L17+1)&amp;"$",OFFSET(AE19,1,0,$Q17-2)))</f>
        <v>0</v>
      </c>
    </row>
    <row r="20" spans="1:32" x14ac:dyDescent="0.2">
      <c r="A20" s="203">
        <f t="shared" ref="A20" ca="1" si="17">OFFSET(A20,-3,0)+1</f>
        <v>3</v>
      </c>
      <c r="B20" s="203">
        <f ca="1">IF($Q20&lt;&gt;2,0,IF($R20=0,1,IF(E21&gt;0,OFFSET(QCI!$M$13,SUBSTITUTE(E21,".",""),0),OFFSET(ORÇAMENTO!$AA$15,CRONO!$E20,0))/$R20))</f>
        <v>1</v>
      </c>
      <c r="C20" s="203">
        <f ca="1">IF($Q20&lt;&gt;2,0,IF($R20=0,1,IF(E21&gt;0,OFFSET(QCI!$N$13,SUBSTITUTE(E21,".",""),0),OFFSET(ORÇAMENTO!$AB$15,CRONO!$E20,0))/$R20))</f>
        <v>1</v>
      </c>
      <c r="D20" s="206" t="e">
        <f ca="1">IF(AND($Q20=2,ACOMPANHAMENTO="BM"),D21,D22/$R20)</f>
        <v>#DIV/0!</v>
      </c>
      <c r="E20" s="203">
        <f ca="1">IF(A20&lt;=ORÇAMENTO.MáximoListaCrono,MATCH(A20,ORÇAMENTO.ListaCrono,0),NA())</f>
        <v>7</v>
      </c>
      <c r="F20" s="203" t="str">
        <f t="shared" ref="F20" ca="1" si="18">IF(AND($E21&lt;&gt;-1,$R20&gt;0),"F","")</f>
        <v/>
      </c>
      <c r="G20" s="207" t="str">
        <f ca="1">IF(OR(R20=0,R20=""),"Linha",IF(AND(OR(ACOMPANHAMENTO="PLE",$Q20&lt;&gt;2),$E21=0),"Linha",1-SUM(T20:AF20)))</f>
        <v>Linha</v>
      </c>
      <c r="H20" s="208" t="str">
        <f ca="1">IF($E21=0,OFFSET(ORÇAMENTO!O$15,$E20,0),IF($E21&lt;&gt;-1,OFFSET(QCI!$D$13,$E21,0),""))</f>
        <v>1.2.</v>
      </c>
      <c r="I20" s="209" t="str">
        <f ca="1">IF($E21=0,OFFSET(ORÇAMENTO!R$15,$E20,0),IF($E21&lt;&gt;-1,OFFSET(QCI!$G$13,$E21,0),""))</f>
        <v>DRENAGEM</v>
      </c>
      <c r="J20" s="209"/>
      <c r="K20" s="209"/>
      <c r="L20" s="210">
        <f ca="1">IF($E21=0,OFFSET(ORÇAMENTO!C$15,$E20,0),1)</f>
        <v>2</v>
      </c>
      <c r="M20" s="211">
        <f ca="1">IF($E21=-1,0,IF(M$13&lt;=$L20,IF(ISERROR(MATCH(M$13,OFFSET($L20,1,0,ROW($L$32)-ROW($L20)-1),0)),ROW($L$32)-ROW($L20)-1,MATCH(M$13,OFFSET($L20,1,0,ROW($L$32)-ROW($L20)-1),0)-1),0))</f>
        <v>11</v>
      </c>
      <c r="N20" s="211">
        <f ca="1">IF($E21=-1,0,IF(N$13&lt;=$L20,IF(ISERROR(MATCH(N$13,OFFSET($L20,1,0,ROW($L$32)-ROW($L20)-1),0)),ROW($L$32)-ROW($L20)-1,MATCH(N$13,OFFSET($L20,1,0,ROW($L$32)-ROW($L20)-1),0)-1),0))</f>
        <v>2</v>
      </c>
      <c r="O20" s="211">
        <f ca="1">IF($E21=-1,0,IF(O$13&lt;=$L20,IF(ISERROR(MATCH(O$13,OFFSET($L20,1,0,ROW($L$32)-ROW($L20)-1),0)),ROW($L$32)-ROW($L20)-1,MATCH(O$13,OFFSET($L20,1,0,ROW($L$32)-ROW($L20)-1),0)-1),0))</f>
        <v>0</v>
      </c>
      <c r="P20" s="211">
        <f ca="1">IF($E21=-1,0,IF(P$13&lt;=$L20,IF(ISERROR(MATCH(P$13,OFFSET($L20,1,0,ROW($L$32)-ROW($L20)-1),0)),ROW($L$32)-ROW($L20)-1,MATCH(P$13,OFFSET($L20,1,0,ROW($L$32)-ROW($L20)-1),0)-1),0))</f>
        <v>0</v>
      </c>
      <c r="Q20" s="211">
        <f t="shared" ref="Q20" ca="1" si="19">MIN(OFFSET(L20,0,1,,L20))</f>
        <v>2</v>
      </c>
      <c r="R20" s="212">
        <f ca="1">IF($E21=0,OFFSET(ORÇAMENTO!X$15,$E20,0),IF($E21&lt;&gt;-1,OFFSET(QCI!$O$13,$E21,0),""))</f>
        <v>0</v>
      </c>
      <c r="S20" s="213" t="s">
        <v>268</v>
      </c>
      <c r="T20" s="214" t="e">
        <f t="shared" ref="T20:AE20" ca="1" si="20">IF(AND($Q20=2,ACOMPANHAMENTO="BM"),T21,T22/$R20)</f>
        <v>#DIV/0!</v>
      </c>
      <c r="U20" s="206" t="e">
        <f t="shared" ca="1" si="20"/>
        <v>#DIV/0!</v>
      </c>
      <c r="V20" s="206" t="e">
        <f t="shared" ca="1" si="20"/>
        <v>#DIV/0!</v>
      </c>
      <c r="W20" s="206" t="e">
        <f t="shared" ca="1" si="20"/>
        <v>#DIV/0!</v>
      </c>
      <c r="X20" s="206" t="e">
        <f t="shared" ca="1" si="20"/>
        <v>#DIV/0!</v>
      </c>
      <c r="Y20" s="206" t="e">
        <f t="shared" ca="1" si="20"/>
        <v>#DIV/0!</v>
      </c>
      <c r="Z20" s="206" t="e">
        <f t="shared" ca="1" si="20"/>
        <v>#DIV/0!</v>
      </c>
      <c r="AA20" s="206" t="e">
        <f t="shared" ca="1" si="20"/>
        <v>#DIV/0!</v>
      </c>
      <c r="AB20" s="206" t="e">
        <f t="shared" ca="1" si="20"/>
        <v>#DIV/0!</v>
      </c>
      <c r="AC20" s="206" t="e">
        <f t="shared" ca="1" si="20"/>
        <v>#DIV/0!</v>
      </c>
      <c r="AD20" s="206" t="e">
        <f t="shared" ca="1" si="20"/>
        <v>#DIV/0!</v>
      </c>
      <c r="AE20" s="215" t="e">
        <f t="shared" ca="1" si="20"/>
        <v>#DIV/0!</v>
      </c>
    </row>
    <row r="21" spans="1:32" ht="12.75" customHeight="1" x14ac:dyDescent="0.2">
      <c r="D21" s="546"/>
      <c r="E21" s="203">
        <f ca="1">IF(ISERROR(E20),IF(1+COUNTIF($L$13:OFFSET(L20,-1,0),1)&lt;=MAX(QCI!$D$13:$D$24),1+COUNTIF($L$13:OFFSET(L20,-1,0),1),-1),0)</f>
        <v>0</v>
      </c>
      <c r="F21" s="203" t="str">
        <f t="shared" ref="F21" ca="1" si="21">IF(AND($E21&lt;&gt;-1,$R20&gt;0),"F","")</f>
        <v/>
      </c>
      <c r="G21" s="216" t="str">
        <f ca="1">IF(OR(R20=0,R20=""),"vazia",IF(AND(OR(ACOMPANHAMENTO="PLE",$Q20&lt;&gt;2),$E21=0),"calculada","--&gt;"))</f>
        <v>vazia</v>
      </c>
      <c r="H21" s="217"/>
      <c r="I21" s="218" t="str">
        <f t="shared" ref="I21" ca="1" si="22">IF(AND(G20&lt;&gt;0,ISNUMBER(G20)),"PREENCHA ESTA LINHA --&gt;","")</f>
        <v/>
      </c>
      <c r="J21" s="218"/>
      <c r="K21" s="218"/>
      <c r="L21" s="219"/>
      <c r="M21" s="219"/>
      <c r="N21" s="219"/>
      <c r="O21" s="219"/>
      <c r="P21" s="219"/>
      <c r="Q21" s="219"/>
      <c r="R21" s="220"/>
      <c r="S21" s="221"/>
      <c r="T21" s="547"/>
      <c r="U21" s="546"/>
      <c r="V21" s="546"/>
      <c r="W21" s="546"/>
      <c r="X21" s="546"/>
      <c r="Y21" s="546"/>
      <c r="Z21" s="546"/>
      <c r="AA21" s="546"/>
      <c r="AB21" s="546"/>
      <c r="AC21" s="546"/>
      <c r="AD21" s="546"/>
      <c r="AE21" s="548"/>
      <c r="AF21" s="511"/>
    </row>
    <row r="22" spans="1:32" ht="14.25" hidden="1" customHeight="1" x14ac:dyDescent="0.2">
      <c r="D22" s="222">
        <f ca="1">IF($Q20=2,IF(AND(ACOMPANHAMENTO="PLE",ISNUMBER($E20)),SUMIF((OFFSET(CÁLCULO!$AM$15:$AW$15,$E20,0,OFFSET(ORÇAMENTO!$D$15,CRONO!$E20,0))),"="&amp;CRONO!D$12,OFFSET(CÁLCULO!$AB$15:$AL$15,$E20,0,OFFSET(ORÇAMENTO!$D$15,CRONO!$E20,0)))+IF(AND($E22&lt;&gt;"",$E22&lt;&gt;0),SUMIF(CÁLCULO!$AM$15:$AW$51,"="&amp;CRONO!D$12,CÁLCULO!$AB$15:$AL$51)/(ORÇAMENTO!$X$15-CÁLCULO.TotalAdmLocal)*CRONO!$E22,0),D21*$R20),SUMIF(OFFSET($R22,1,0,$Q20-2),($L20+1)&amp;"$",OFFSET(D22,1,0,$Q20-2)))</f>
        <v>0</v>
      </c>
      <c r="E22" s="203" t="str">
        <f ca="1">IF(OR($Q20&lt;&gt;2,AUTOEVENTO&lt;&gt;"manual",$E21&gt;0),"",SUMIF(OFFSET(CÁLCULO!$M$15,CRONO!$E20,0,OFFSET(ORÇAMENTO!$D$15,CRONO!$E20,0)),1,OFFSET(ORÇAMENTO!$X$15,CRONO!$E20,0,OFFSET(ORÇAMENTO!$D$15,CRONO!$E20,0))))</f>
        <v/>
      </c>
      <c r="G22" s="223"/>
      <c r="R22" s="224" t="str">
        <f t="shared" ref="R22" ca="1" si="23">L20&amp;"$"</f>
        <v>2$</v>
      </c>
      <c r="S22" s="225"/>
      <c r="T22" s="226">
        <f ca="1">IF($Q20=2,IF(AND(ACOMPANHAMENTO="PLE",ISNUMBER($E20)),SUMIF((OFFSET(CÁLCULO!$AM$15:$AW$15,$E20,0,OFFSET(ORÇAMENTO!$D$15,CRONO!$E20,0))),"&lt;="&amp;CRONO!T$12,OFFSET(CÁLCULO!$AB$15:$AL$15,$E20,0,OFFSET(ORÇAMENTO!$D$15,CRONO!$E20,0)))+IF(AND($E22&lt;&gt;"",$E22&lt;&gt;0),SUMIF(CÁLCULO!$AM$15:$AW$51,"&lt;="&amp;CRONO!T$12,CÁLCULO!$AB$15:$AL$51)/(ORÇAMENTO!$X$15-CÁLCULO.TotalAdmLocal)*CRONO!$E22,0),T21*$R20),SUMIF(OFFSET($R22,1,0,$Q20-2),($L20+1)&amp;"$",OFFSET(T22,1,0,$Q20-2)))</f>
        <v>0</v>
      </c>
      <c r="U22" s="222">
        <f ca="1">IF($Q20=2,IF(AND(ACOMPANHAMENTO="PLE",ISNUMBER($E20)),SUMIF((OFFSET(CÁLCULO!$AM$15:$AW$15,$E20,0,OFFSET(ORÇAMENTO!$D$15,CRONO!$E20,0))),"="&amp;CRONO!U$12,OFFSET(CÁLCULO!$AB$15:$AL$15,$E20,0,OFFSET(ORÇAMENTO!$D$15,CRONO!$E20,0)))+IF(AND($E22&lt;&gt;"",$E22&lt;&gt;0),SUMIF(CÁLCULO!$AM$15:$AW$51,"="&amp;CRONO!U$12,CÁLCULO!$AB$15:$AL$51)/(ORÇAMENTO!$X$15-CÁLCULO.TotalAdmLocal)*CRONO!$E22,0),U21*$R20),SUMIF(OFFSET($R22,1,0,$Q20-2),($L20+1)&amp;"$",OFFSET(U22,1,0,$Q20-2)))</f>
        <v>0</v>
      </c>
      <c r="V22" s="222">
        <f ca="1">IF($Q20=2,IF(AND(ACOMPANHAMENTO="PLE",ISNUMBER($E20)),SUMIF((OFFSET(CÁLCULO!$AM$15:$AW$15,$E20,0,OFFSET(ORÇAMENTO!$D$15,CRONO!$E20,0))),"="&amp;CRONO!V$12,OFFSET(CÁLCULO!$AB$15:$AL$15,$E20,0,OFFSET(ORÇAMENTO!$D$15,CRONO!$E20,0)))+IF(AND($E22&lt;&gt;"",$E22&lt;&gt;0),SUMIF(CÁLCULO!$AM$15:$AW$51,"="&amp;CRONO!V$12,CÁLCULO!$AB$15:$AL$51)/(ORÇAMENTO!$X$15-CÁLCULO.TotalAdmLocal)*CRONO!$E22,0),V21*$R20),SUMIF(OFFSET($R22,1,0,$Q20-2),($L20+1)&amp;"$",OFFSET(V22,1,0,$Q20-2)))</f>
        <v>0</v>
      </c>
      <c r="W22" s="222">
        <f ca="1">IF($Q20=2,IF(AND(ACOMPANHAMENTO="PLE",ISNUMBER($E20)),SUMIF((OFFSET(CÁLCULO!$AM$15:$AW$15,$E20,0,OFFSET(ORÇAMENTO!$D$15,CRONO!$E20,0))),"="&amp;CRONO!W$12,OFFSET(CÁLCULO!$AB$15:$AL$15,$E20,0,OFFSET(ORÇAMENTO!$D$15,CRONO!$E20,0)))+IF(AND($E22&lt;&gt;"",$E22&lt;&gt;0),SUMIF(CÁLCULO!$AM$15:$AW$51,"="&amp;CRONO!W$12,CÁLCULO!$AB$15:$AL$51)/(ORÇAMENTO!$X$15-CÁLCULO.TotalAdmLocal)*CRONO!$E22,0),W21*$R20),SUMIF(OFFSET($R22,1,0,$Q20-2),($L20+1)&amp;"$",OFFSET(W22,1,0,$Q20-2)))</f>
        <v>0</v>
      </c>
      <c r="X22" s="222">
        <f ca="1">IF($Q20=2,IF(AND(ACOMPANHAMENTO="PLE",ISNUMBER($E20)),SUMIF((OFFSET(CÁLCULO!$AM$15:$AW$15,$E20,0,OFFSET(ORÇAMENTO!$D$15,CRONO!$E20,0))),"="&amp;CRONO!X$12,OFFSET(CÁLCULO!$AB$15:$AL$15,$E20,0,OFFSET(ORÇAMENTO!$D$15,CRONO!$E20,0)))+IF(AND($E22&lt;&gt;"",$E22&lt;&gt;0),SUMIF(CÁLCULO!$AM$15:$AW$51,"="&amp;CRONO!X$12,CÁLCULO!$AB$15:$AL$51)/(ORÇAMENTO!$X$15-CÁLCULO.TotalAdmLocal)*CRONO!$E22,0),X21*$R20),SUMIF(OFFSET($R22,1,0,$Q20-2),($L20+1)&amp;"$",OFFSET(X22,1,0,$Q20-2)))</f>
        <v>0</v>
      </c>
      <c r="Y22" s="222">
        <f ca="1">IF($Q20=2,IF(AND(ACOMPANHAMENTO="PLE",ISNUMBER($E20)),SUMIF((OFFSET(CÁLCULO!$AM$15:$AW$15,$E20,0,OFFSET(ORÇAMENTO!$D$15,CRONO!$E20,0))),"="&amp;CRONO!Y$12,OFFSET(CÁLCULO!$AB$15:$AL$15,$E20,0,OFFSET(ORÇAMENTO!$D$15,CRONO!$E20,0)))+IF(AND($E22&lt;&gt;"",$E22&lt;&gt;0),SUMIF(CÁLCULO!$AM$15:$AW$51,"="&amp;CRONO!Y$12,CÁLCULO!$AB$15:$AL$51)/(ORÇAMENTO!$X$15-CÁLCULO.TotalAdmLocal)*CRONO!$E22,0),Y21*$R20),SUMIF(OFFSET($R22,1,0,$Q20-2),($L20+1)&amp;"$",OFFSET(Y22,1,0,$Q20-2)))</f>
        <v>0</v>
      </c>
      <c r="Z22" s="222">
        <f ca="1">IF($Q20=2,IF(AND(ACOMPANHAMENTO="PLE",ISNUMBER($E20)),SUMIF((OFFSET(CÁLCULO!$AM$15:$AW$15,$E20,0,OFFSET(ORÇAMENTO!$D$15,CRONO!$E20,0))),"="&amp;CRONO!Z$12,OFFSET(CÁLCULO!$AB$15:$AL$15,$E20,0,OFFSET(ORÇAMENTO!$D$15,CRONO!$E20,0)))+IF(AND($E22&lt;&gt;"",$E22&lt;&gt;0),SUMIF(CÁLCULO!$AM$15:$AW$51,"="&amp;CRONO!Z$12,CÁLCULO!$AB$15:$AL$51)/(ORÇAMENTO!$X$15-CÁLCULO.TotalAdmLocal)*CRONO!$E22,0),Z21*$R20),SUMIF(OFFSET($R22,1,0,$Q20-2),($L20+1)&amp;"$",OFFSET(Z22,1,0,$Q20-2)))</f>
        <v>0</v>
      </c>
      <c r="AA22" s="222">
        <f ca="1">IF($Q20=2,IF(AND(ACOMPANHAMENTO="PLE",ISNUMBER($E20)),SUMIF((OFFSET(CÁLCULO!$AM$15:$AW$15,$E20,0,OFFSET(ORÇAMENTO!$D$15,CRONO!$E20,0))),"="&amp;CRONO!AA$12,OFFSET(CÁLCULO!$AB$15:$AL$15,$E20,0,OFFSET(ORÇAMENTO!$D$15,CRONO!$E20,0)))+IF(AND($E22&lt;&gt;"",$E22&lt;&gt;0),SUMIF(CÁLCULO!$AM$15:$AW$51,"="&amp;CRONO!AA$12,CÁLCULO!$AB$15:$AL$51)/(ORÇAMENTO!$X$15-CÁLCULO.TotalAdmLocal)*CRONO!$E22,0),AA21*$R20),SUMIF(OFFSET($R22,1,0,$Q20-2),($L20+1)&amp;"$",OFFSET(AA22,1,0,$Q20-2)))</f>
        <v>0</v>
      </c>
      <c r="AB22" s="222">
        <f ca="1">IF($Q20=2,IF(AND(ACOMPANHAMENTO="PLE",ISNUMBER($E20)),SUMIF((OFFSET(CÁLCULO!$AM$15:$AW$15,$E20,0,OFFSET(ORÇAMENTO!$D$15,CRONO!$E20,0))),"="&amp;CRONO!AB$12,OFFSET(CÁLCULO!$AB$15:$AL$15,$E20,0,OFFSET(ORÇAMENTO!$D$15,CRONO!$E20,0)))+IF(AND($E22&lt;&gt;"",$E22&lt;&gt;0),SUMIF(CÁLCULO!$AM$15:$AW$51,"="&amp;CRONO!AB$12,CÁLCULO!$AB$15:$AL$51)/(ORÇAMENTO!$X$15-CÁLCULO.TotalAdmLocal)*CRONO!$E22,0),AB21*$R20),SUMIF(OFFSET($R22,1,0,$Q20-2),($L20+1)&amp;"$",OFFSET(AB22,1,0,$Q20-2)))</f>
        <v>0</v>
      </c>
      <c r="AC22" s="222">
        <f ca="1">IF($Q20=2,IF(AND(ACOMPANHAMENTO="PLE",ISNUMBER($E20)),SUMIF((OFFSET(CÁLCULO!$AM$15:$AW$15,$E20,0,OFFSET(ORÇAMENTO!$D$15,CRONO!$E20,0))),"="&amp;CRONO!AC$12,OFFSET(CÁLCULO!$AB$15:$AL$15,$E20,0,OFFSET(ORÇAMENTO!$D$15,CRONO!$E20,0)))+IF(AND($E22&lt;&gt;"",$E22&lt;&gt;0),SUMIF(CÁLCULO!$AM$15:$AW$51,"="&amp;CRONO!AC$12,CÁLCULO!$AB$15:$AL$51)/(ORÇAMENTO!$X$15-CÁLCULO.TotalAdmLocal)*CRONO!$E22,0),AC21*$R20),SUMIF(OFFSET($R22,1,0,$Q20-2),($L20+1)&amp;"$",OFFSET(AC22,1,0,$Q20-2)))</f>
        <v>0</v>
      </c>
      <c r="AD22" s="222">
        <f ca="1">IF($Q20=2,IF(AND(ACOMPANHAMENTO="PLE",ISNUMBER($E20)),SUMIF((OFFSET(CÁLCULO!$AM$15:$AW$15,$E20,0,OFFSET(ORÇAMENTO!$D$15,CRONO!$E20,0))),"="&amp;CRONO!AD$12,OFFSET(CÁLCULO!$AB$15:$AL$15,$E20,0,OFFSET(ORÇAMENTO!$D$15,CRONO!$E20,0)))+IF(AND($E22&lt;&gt;"",$E22&lt;&gt;0),SUMIF(CÁLCULO!$AM$15:$AW$51,"="&amp;CRONO!AD$12,CÁLCULO!$AB$15:$AL$51)/(ORÇAMENTO!$X$15-CÁLCULO.TotalAdmLocal)*CRONO!$E22,0),AD21*$R20),SUMIF(OFFSET($R22,1,0,$Q20-2),($L20+1)&amp;"$",OFFSET(AD22,1,0,$Q20-2)))</f>
        <v>0</v>
      </c>
      <c r="AE22" s="227">
        <f ca="1">IF($Q20=2,IF(AND(ACOMPANHAMENTO="PLE",ISNUMBER($E20)),SUMIF((OFFSET(CÁLCULO!$AM$15:$AW$15,$E20,0,OFFSET(ORÇAMENTO!$D$15,CRONO!$E20,0))),"="&amp;CRONO!AE$12,OFFSET(CÁLCULO!$AB$15:$AL$15,$E20,0,OFFSET(ORÇAMENTO!$D$15,CRONO!$E20,0)))+IF(AND($E22&lt;&gt;"",$E22&lt;&gt;0),SUMIF(CÁLCULO!$AM$15:$AW$51,"="&amp;CRONO!AE$12,CÁLCULO!$AB$15:$AL$51)/(ORÇAMENTO!$X$15-CÁLCULO.TotalAdmLocal)*CRONO!$E22,0),AE21*$R20),SUMIF(OFFSET($R22,1,0,$Q20-2),($L20+1)&amp;"$",OFFSET(AE22,1,0,$Q20-2)))</f>
        <v>0</v>
      </c>
    </row>
    <row r="23" spans="1:32" x14ac:dyDescent="0.2">
      <c r="A23" s="203">
        <f t="shared" ref="A23" ca="1" si="24">OFFSET(A23,-3,0)+1</f>
        <v>4</v>
      </c>
      <c r="B23" s="203">
        <f ca="1">IF($Q23&lt;&gt;2,0,IF($R23=0,1,IF(E24&gt;0,OFFSET(QCI!$M$13,SUBSTITUTE(E24,".",""),0),OFFSET(ORÇAMENTO!$AA$15,CRONO!$E23,0))/$R23))</f>
        <v>1</v>
      </c>
      <c r="C23" s="203">
        <f ca="1">IF($Q23&lt;&gt;2,0,IF($R23=0,1,IF(E24&gt;0,OFFSET(QCI!$N$13,SUBSTITUTE(E24,".",""),0),OFFSET(ORÇAMENTO!$AB$15,CRONO!$E23,0))/$R23))</f>
        <v>1</v>
      </c>
      <c r="D23" s="206" t="e">
        <f ca="1">IF(AND($Q23=2,ACOMPANHAMENTO="BM"),D24,D25/$R23)</f>
        <v>#DIV/0!</v>
      </c>
      <c r="E23" s="203">
        <f ca="1">IF(A23&lt;=ORÇAMENTO.MáximoListaCrono,MATCH(A23,ORÇAMENTO.ListaCrono,0),NA())</f>
        <v>18</v>
      </c>
      <c r="F23" s="203" t="str">
        <f t="shared" ref="F23" ca="1" si="25">IF(AND($E24&lt;&gt;-1,$R23&gt;0),"F","")</f>
        <v/>
      </c>
      <c r="G23" s="207" t="str">
        <f ca="1">IF(OR(R23=0,R23=""),"Linha",IF(AND(OR(ACOMPANHAMENTO="PLE",$Q23&lt;&gt;2),$E24=0),"Linha",1-SUM(T23:AF23)))</f>
        <v>Linha</v>
      </c>
      <c r="H23" s="208" t="str">
        <f ca="1">IF($E24=0,OFFSET(ORÇAMENTO!O$15,$E23,0),IF($E24&lt;&gt;-1,OFFSET(QCI!$D$13,$E24,0),""))</f>
        <v>1.3.</v>
      </c>
      <c r="I23" s="209" t="str">
        <f ca="1">IF($E24=0,OFFSET(ORÇAMENTO!R$15,$E23,0),IF($E24&lt;&gt;-1,OFFSET(QCI!$G$13,$E24,0),""))</f>
        <v>PAVIMENTAÇÃO ASFÁLTICA</v>
      </c>
      <c r="J23" s="209"/>
      <c r="K23" s="209"/>
      <c r="L23" s="210">
        <f ca="1">IF($E24=0,OFFSET(ORÇAMENTO!C$15,$E23,0),1)</f>
        <v>2</v>
      </c>
      <c r="M23" s="211">
        <f ca="1">IF($E24=-1,0,IF(M$13&lt;=$L23,IF(ISERROR(MATCH(M$13,OFFSET($L23,1,0,ROW($L$32)-ROW($L23)-1),0)),ROW($L$32)-ROW($L23)-1,MATCH(M$13,OFFSET($L23,1,0,ROW($L$32)-ROW($L23)-1),0)-1),0))</f>
        <v>8</v>
      </c>
      <c r="N23" s="211">
        <f ca="1">IF($E24=-1,0,IF(N$13&lt;=$L23,IF(ISERROR(MATCH(N$13,OFFSET($L23,1,0,ROW($L$32)-ROW($L23)-1),0)),ROW($L$32)-ROW($L23)-1,MATCH(N$13,OFFSET($L23,1,0,ROW($L$32)-ROW($L23)-1),0)-1),0))</f>
        <v>2</v>
      </c>
      <c r="O23" s="211">
        <f ca="1">IF($E24=-1,0,IF(O$13&lt;=$L23,IF(ISERROR(MATCH(O$13,OFFSET($L23,1,0,ROW($L$32)-ROW($L23)-1),0)),ROW($L$32)-ROW($L23)-1,MATCH(O$13,OFFSET($L23,1,0,ROW($L$32)-ROW($L23)-1),0)-1),0))</f>
        <v>0</v>
      </c>
      <c r="P23" s="211">
        <f ca="1">IF($E24=-1,0,IF(P$13&lt;=$L23,IF(ISERROR(MATCH(P$13,OFFSET($L23,1,0,ROW($L$32)-ROW($L23)-1),0)),ROW($L$32)-ROW($L23)-1,MATCH(P$13,OFFSET($L23,1,0,ROW($L$32)-ROW($L23)-1),0)-1),0))</f>
        <v>0</v>
      </c>
      <c r="Q23" s="211">
        <f t="shared" ref="Q23" ca="1" si="26">MIN(OFFSET(L23,0,1,,L23))</f>
        <v>2</v>
      </c>
      <c r="R23" s="212">
        <f ca="1">IF($E24=0,OFFSET(ORÇAMENTO!X$15,$E23,0),IF($E24&lt;&gt;-1,OFFSET(QCI!$O$13,$E24,0),""))</f>
        <v>0</v>
      </c>
      <c r="S23" s="213" t="s">
        <v>268</v>
      </c>
      <c r="T23" s="214" t="e">
        <f t="shared" ref="T23:AE23" ca="1" si="27">IF(AND($Q23=2,ACOMPANHAMENTO="BM"),T24,T25/$R23)</f>
        <v>#DIV/0!</v>
      </c>
      <c r="U23" s="206" t="e">
        <f t="shared" ca="1" si="27"/>
        <v>#DIV/0!</v>
      </c>
      <c r="V23" s="206" t="e">
        <f t="shared" ca="1" si="27"/>
        <v>#DIV/0!</v>
      </c>
      <c r="W23" s="206" t="e">
        <f t="shared" ca="1" si="27"/>
        <v>#DIV/0!</v>
      </c>
      <c r="X23" s="206" t="e">
        <f t="shared" ca="1" si="27"/>
        <v>#DIV/0!</v>
      </c>
      <c r="Y23" s="206" t="e">
        <f t="shared" ca="1" si="27"/>
        <v>#DIV/0!</v>
      </c>
      <c r="Z23" s="206" t="e">
        <f t="shared" ca="1" si="27"/>
        <v>#DIV/0!</v>
      </c>
      <c r="AA23" s="206" t="e">
        <f t="shared" ca="1" si="27"/>
        <v>#DIV/0!</v>
      </c>
      <c r="AB23" s="206" t="e">
        <f t="shared" ca="1" si="27"/>
        <v>#DIV/0!</v>
      </c>
      <c r="AC23" s="206" t="e">
        <f t="shared" ca="1" si="27"/>
        <v>#DIV/0!</v>
      </c>
      <c r="AD23" s="206" t="e">
        <f t="shared" ca="1" si="27"/>
        <v>#DIV/0!</v>
      </c>
      <c r="AE23" s="215" t="e">
        <f t="shared" ca="1" si="27"/>
        <v>#DIV/0!</v>
      </c>
    </row>
    <row r="24" spans="1:32" ht="12.75" customHeight="1" x14ac:dyDescent="0.2">
      <c r="D24" s="546"/>
      <c r="E24" s="203">
        <f ca="1">IF(ISERROR(E23),IF(1+COUNTIF($L$13:OFFSET(L23,-1,0),1)&lt;=MAX(QCI!$D$13:$D$24),1+COUNTIF($L$13:OFFSET(L23,-1,0),1),-1),0)</f>
        <v>0</v>
      </c>
      <c r="F24" s="203" t="str">
        <f t="shared" ref="F24" ca="1" si="28">IF(AND($E24&lt;&gt;-1,$R23&gt;0),"F","")</f>
        <v/>
      </c>
      <c r="G24" s="216" t="str">
        <f ca="1">IF(OR(R23=0,R23=""),"vazia",IF(AND(OR(ACOMPANHAMENTO="PLE",$Q23&lt;&gt;2),$E24=0),"calculada","--&gt;"))</f>
        <v>vazia</v>
      </c>
      <c r="H24" s="217"/>
      <c r="I24" s="218" t="str">
        <f t="shared" ref="I24" ca="1" si="29">IF(AND(G23&lt;&gt;0,ISNUMBER(G23)),"PREENCHA ESTA LINHA --&gt;","")</f>
        <v/>
      </c>
      <c r="J24" s="218"/>
      <c r="K24" s="218"/>
      <c r="L24" s="219"/>
      <c r="M24" s="219"/>
      <c r="N24" s="219"/>
      <c r="O24" s="219"/>
      <c r="P24" s="219"/>
      <c r="Q24" s="219"/>
      <c r="R24" s="220"/>
      <c r="S24" s="221"/>
      <c r="T24" s="547"/>
      <c r="U24" s="546"/>
      <c r="V24" s="546"/>
      <c r="W24" s="546"/>
      <c r="X24" s="546"/>
      <c r="Y24" s="546"/>
      <c r="Z24" s="546"/>
      <c r="AA24" s="546"/>
      <c r="AB24" s="546"/>
      <c r="AC24" s="546"/>
      <c r="AD24" s="546"/>
      <c r="AE24" s="548"/>
      <c r="AF24" s="511"/>
    </row>
    <row r="25" spans="1:32" ht="14.25" hidden="1" customHeight="1" x14ac:dyDescent="0.2">
      <c r="D25" s="222">
        <f ca="1">IF($Q23=2,IF(AND(ACOMPANHAMENTO="PLE",ISNUMBER($E23)),SUMIF((OFFSET(CÁLCULO!$AM$15:$AW$15,$E23,0,OFFSET(ORÇAMENTO!$D$15,CRONO!$E23,0))),"="&amp;CRONO!D$12,OFFSET(CÁLCULO!$AB$15:$AL$15,$E23,0,OFFSET(ORÇAMENTO!$D$15,CRONO!$E23,0)))+IF(AND($E25&lt;&gt;"",$E25&lt;&gt;0),SUMIF(CÁLCULO!$AM$15:$AW$51,"="&amp;CRONO!D$12,CÁLCULO!$AB$15:$AL$51)/(ORÇAMENTO!$X$15-CÁLCULO.TotalAdmLocal)*CRONO!$E25,0),D24*$R23),SUMIF(OFFSET($R25,1,0,$Q23-2),($L23+1)&amp;"$",OFFSET(D25,1,0,$Q23-2)))</f>
        <v>0</v>
      </c>
      <c r="E25" s="203" t="str">
        <f ca="1">IF(OR($Q23&lt;&gt;2,AUTOEVENTO&lt;&gt;"manual",$E24&gt;0),"",SUMIF(OFFSET(CÁLCULO!$M$15,CRONO!$E23,0,OFFSET(ORÇAMENTO!$D$15,CRONO!$E23,0)),1,OFFSET(ORÇAMENTO!$X$15,CRONO!$E23,0,OFFSET(ORÇAMENTO!$D$15,CRONO!$E23,0))))</f>
        <v/>
      </c>
      <c r="G25" s="223"/>
      <c r="R25" s="224" t="str">
        <f t="shared" ref="R25" ca="1" si="30">L23&amp;"$"</f>
        <v>2$</v>
      </c>
      <c r="S25" s="225"/>
      <c r="T25" s="226">
        <f ca="1">IF($Q23=2,IF(AND(ACOMPANHAMENTO="PLE",ISNUMBER($E23)),SUMIF((OFFSET(CÁLCULO!$AM$15:$AW$15,$E23,0,OFFSET(ORÇAMENTO!$D$15,CRONO!$E23,0))),"&lt;="&amp;CRONO!T$12,OFFSET(CÁLCULO!$AB$15:$AL$15,$E23,0,OFFSET(ORÇAMENTO!$D$15,CRONO!$E23,0)))+IF(AND($E25&lt;&gt;"",$E25&lt;&gt;0),SUMIF(CÁLCULO!$AM$15:$AW$51,"&lt;="&amp;CRONO!T$12,CÁLCULO!$AB$15:$AL$51)/(ORÇAMENTO!$X$15-CÁLCULO.TotalAdmLocal)*CRONO!$E25,0),T24*$R23),SUMIF(OFFSET($R25,1,0,$Q23-2),($L23+1)&amp;"$",OFFSET(T25,1,0,$Q23-2)))</f>
        <v>0</v>
      </c>
      <c r="U25" s="222">
        <f ca="1">IF($Q23=2,IF(AND(ACOMPANHAMENTO="PLE",ISNUMBER($E23)),SUMIF((OFFSET(CÁLCULO!$AM$15:$AW$15,$E23,0,OFFSET(ORÇAMENTO!$D$15,CRONO!$E23,0))),"="&amp;CRONO!U$12,OFFSET(CÁLCULO!$AB$15:$AL$15,$E23,0,OFFSET(ORÇAMENTO!$D$15,CRONO!$E23,0)))+IF(AND($E25&lt;&gt;"",$E25&lt;&gt;0),SUMIF(CÁLCULO!$AM$15:$AW$51,"="&amp;CRONO!U$12,CÁLCULO!$AB$15:$AL$51)/(ORÇAMENTO!$X$15-CÁLCULO.TotalAdmLocal)*CRONO!$E25,0),U24*$R23),SUMIF(OFFSET($R25,1,0,$Q23-2),($L23+1)&amp;"$",OFFSET(U25,1,0,$Q23-2)))</f>
        <v>0</v>
      </c>
      <c r="V25" s="222">
        <f ca="1">IF($Q23=2,IF(AND(ACOMPANHAMENTO="PLE",ISNUMBER($E23)),SUMIF((OFFSET(CÁLCULO!$AM$15:$AW$15,$E23,0,OFFSET(ORÇAMENTO!$D$15,CRONO!$E23,0))),"="&amp;CRONO!V$12,OFFSET(CÁLCULO!$AB$15:$AL$15,$E23,0,OFFSET(ORÇAMENTO!$D$15,CRONO!$E23,0)))+IF(AND($E25&lt;&gt;"",$E25&lt;&gt;0),SUMIF(CÁLCULO!$AM$15:$AW$51,"="&amp;CRONO!V$12,CÁLCULO!$AB$15:$AL$51)/(ORÇAMENTO!$X$15-CÁLCULO.TotalAdmLocal)*CRONO!$E25,0),V24*$R23),SUMIF(OFFSET($R25,1,0,$Q23-2),($L23+1)&amp;"$",OFFSET(V25,1,0,$Q23-2)))</f>
        <v>0</v>
      </c>
      <c r="W25" s="222">
        <f ca="1">IF($Q23=2,IF(AND(ACOMPANHAMENTO="PLE",ISNUMBER($E23)),SUMIF((OFFSET(CÁLCULO!$AM$15:$AW$15,$E23,0,OFFSET(ORÇAMENTO!$D$15,CRONO!$E23,0))),"="&amp;CRONO!W$12,OFFSET(CÁLCULO!$AB$15:$AL$15,$E23,0,OFFSET(ORÇAMENTO!$D$15,CRONO!$E23,0)))+IF(AND($E25&lt;&gt;"",$E25&lt;&gt;0),SUMIF(CÁLCULO!$AM$15:$AW$51,"="&amp;CRONO!W$12,CÁLCULO!$AB$15:$AL$51)/(ORÇAMENTO!$X$15-CÁLCULO.TotalAdmLocal)*CRONO!$E25,0),W24*$R23),SUMIF(OFFSET($R25,1,0,$Q23-2),($L23+1)&amp;"$",OFFSET(W25,1,0,$Q23-2)))</f>
        <v>0</v>
      </c>
      <c r="X25" s="222">
        <f ca="1">IF($Q23=2,IF(AND(ACOMPANHAMENTO="PLE",ISNUMBER($E23)),SUMIF((OFFSET(CÁLCULO!$AM$15:$AW$15,$E23,0,OFFSET(ORÇAMENTO!$D$15,CRONO!$E23,0))),"="&amp;CRONO!X$12,OFFSET(CÁLCULO!$AB$15:$AL$15,$E23,0,OFFSET(ORÇAMENTO!$D$15,CRONO!$E23,0)))+IF(AND($E25&lt;&gt;"",$E25&lt;&gt;0),SUMIF(CÁLCULO!$AM$15:$AW$51,"="&amp;CRONO!X$12,CÁLCULO!$AB$15:$AL$51)/(ORÇAMENTO!$X$15-CÁLCULO.TotalAdmLocal)*CRONO!$E25,0),X24*$R23),SUMIF(OFFSET($R25,1,0,$Q23-2),($L23+1)&amp;"$",OFFSET(X25,1,0,$Q23-2)))</f>
        <v>0</v>
      </c>
      <c r="Y25" s="222">
        <f ca="1">IF($Q23=2,IF(AND(ACOMPANHAMENTO="PLE",ISNUMBER($E23)),SUMIF((OFFSET(CÁLCULO!$AM$15:$AW$15,$E23,0,OFFSET(ORÇAMENTO!$D$15,CRONO!$E23,0))),"="&amp;CRONO!Y$12,OFFSET(CÁLCULO!$AB$15:$AL$15,$E23,0,OFFSET(ORÇAMENTO!$D$15,CRONO!$E23,0)))+IF(AND($E25&lt;&gt;"",$E25&lt;&gt;0),SUMIF(CÁLCULO!$AM$15:$AW$51,"="&amp;CRONO!Y$12,CÁLCULO!$AB$15:$AL$51)/(ORÇAMENTO!$X$15-CÁLCULO.TotalAdmLocal)*CRONO!$E25,0),Y24*$R23),SUMIF(OFFSET($R25,1,0,$Q23-2),($L23+1)&amp;"$",OFFSET(Y25,1,0,$Q23-2)))</f>
        <v>0</v>
      </c>
      <c r="Z25" s="222">
        <f ca="1">IF($Q23=2,IF(AND(ACOMPANHAMENTO="PLE",ISNUMBER($E23)),SUMIF((OFFSET(CÁLCULO!$AM$15:$AW$15,$E23,0,OFFSET(ORÇAMENTO!$D$15,CRONO!$E23,0))),"="&amp;CRONO!Z$12,OFFSET(CÁLCULO!$AB$15:$AL$15,$E23,0,OFFSET(ORÇAMENTO!$D$15,CRONO!$E23,0)))+IF(AND($E25&lt;&gt;"",$E25&lt;&gt;0),SUMIF(CÁLCULO!$AM$15:$AW$51,"="&amp;CRONO!Z$12,CÁLCULO!$AB$15:$AL$51)/(ORÇAMENTO!$X$15-CÁLCULO.TotalAdmLocal)*CRONO!$E25,0),Z24*$R23),SUMIF(OFFSET($R25,1,0,$Q23-2),($L23+1)&amp;"$",OFFSET(Z25,1,0,$Q23-2)))</f>
        <v>0</v>
      </c>
      <c r="AA25" s="222">
        <f ca="1">IF($Q23=2,IF(AND(ACOMPANHAMENTO="PLE",ISNUMBER($E23)),SUMIF((OFFSET(CÁLCULO!$AM$15:$AW$15,$E23,0,OFFSET(ORÇAMENTO!$D$15,CRONO!$E23,0))),"="&amp;CRONO!AA$12,OFFSET(CÁLCULO!$AB$15:$AL$15,$E23,0,OFFSET(ORÇAMENTO!$D$15,CRONO!$E23,0)))+IF(AND($E25&lt;&gt;"",$E25&lt;&gt;0),SUMIF(CÁLCULO!$AM$15:$AW$51,"="&amp;CRONO!AA$12,CÁLCULO!$AB$15:$AL$51)/(ORÇAMENTO!$X$15-CÁLCULO.TotalAdmLocal)*CRONO!$E25,0),AA24*$R23),SUMIF(OFFSET($R25,1,0,$Q23-2),($L23+1)&amp;"$",OFFSET(AA25,1,0,$Q23-2)))</f>
        <v>0</v>
      </c>
      <c r="AB25" s="222">
        <f ca="1">IF($Q23=2,IF(AND(ACOMPANHAMENTO="PLE",ISNUMBER($E23)),SUMIF((OFFSET(CÁLCULO!$AM$15:$AW$15,$E23,0,OFFSET(ORÇAMENTO!$D$15,CRONO!$E23,0))),"="&amp;CRONO!AB$12,OFFSET(CÁLCULO!$AB$15:$AL$15,$E23,0,OFFSET(ORÇAMENTO!$D$15,CRONO!$E23,0)))+IF(AND($E25&lt;&gt;"",$E25&lt;&gt;0),SUMIF(CÁLCULO!$AM$15:$AW$51,"="&amp;CRONO!AB$12,CÁLCULO!$AB$15:$AL$51)/(ORÇAMENTO!$X$15-CÁLCULO.TotalAdmLocal)*CRONO!$E25,0),AB24*$R23),SUMIF(OFFSET($R25,1,0,$Q23-2),($L23+1)&amp;"$",OFFSET(AB25,1,0,$Q23-2)))</f>
        <v>0</v>
      </c>
      <c r="AC25" s="222">
        <f ca="1">IF($Q23=2,IF(AND(ACOMPANHAMENTO="PLE",ISNUMBER($E23)),SUMIF((OFFSET(CÁLCULO!$AM$15:$AW$15,$E23,0,OFFSET(ORÇAMENTO!$D$15,CRONO!$E23,0))),"="&amp;CRONO!AC$12,OFFSET(CÁLCULO!$AB$15:$AL$15,$E23,0,OFFSET(ORÇAMENTO!$D$15,CRONO!$E23,0)))+IF(AND($E25&lt;&gt;"",$E25&lt;&gt;0),SUMIF(CÁLCULO!$AM$15:$AW$51,"="&amp;CRONO!AC$12,CÁLCULO!$AB$15:$AL$51)/(ORÇAMENTO!$X$15-CÁLCULO.TotalAdmLocal)*CRONO!$E25,0),AC24*$R23),SUMIF(OFFSET($R25,1,0,$Q23-2),($L23+1)&amp;"$",OFFSET(AC25,1,0,$Q23-2)))</f>
        <v>0</v>
      </c>
      <c r="AD25" s="222">
        <f ca="1">IF($Q23=2,IF(AND(ACOMPANHAMENTO="PLE",ISNUMBER($E23)),SUMIF((OFFSET(CÁLCULO!$AM$15:$AW$15,$E23,0,OFFSET(ORÇAMENTO!$D$15,CRONO!$E23,0))),"="&amp;CRONO!AD$12,OFFSET(CÁLCULO!$AB$15:$AL$15,$E23,0,OFFSET(ORÇAMENTO!$D$15,CRONO!$E23,0)))+IF(AND($E25&lt;&gt;"",$E25&lt;&gt;0),SUMIF(CÁLCULO!$AM$15:$AW$51,"="&amp;CRONO!AD$12,CÁLCULO!$AB$15:$AL$51)/(ORÇAMENTO!$X$15-CÁLCULO.TotalAdmLocal)*CRONO!$E25,0),AD24*$R23),SUMIF(OFFSET($R25,1,0,$Q23-2),($L23+1)&amp;"$",OFFSET(AD25,1,0,$Q23-2)))</f>
        <v>0</v>
      </c>
      <c r="AE25" s="227">
        <f ca="1">IF($Q23=2,IF(AND(ACOMPANHAMENTO="PLE",ISNUMBER($E23)),SUMIF((OFFSET(CÁLCULO!$AM$15:$AW$15,$E23,0,OFFSET(ORÇAMENTO!$D$15,CRONO!$E23,0))),"="&amp;CRONO!AE$12,OFFSET(CÁLCULO!$AB$15:$AL$15,$E23,0,OFFSET(ORÇAMENTO!$D$15,CRONO!$E23,0)))+IF(AND($E25&lt;&gt;"",$E25&lt;&gt;0),SUMIF(CÁLCULO!$AM$15:$AW$51,"="&amp;CRONO!AE$12,CÁLCULO!$AB$15:$AL$51)/(ORÇAMENTO!$X$15-CÁLCULO.TotalAdmLocal)*CRONO!$E25,0),AE24*$R23),SUMIF(OFFSET($R25,1,0,$Q23-2),($L23+1)&amp;"$",OFFSET(AE25,1,0,$Q23-2)))</f>
        <v>0</v>
      </c>
    </row>
    <row r="26" spans="1:32" x14ac:dyDescent="0.2">
      <c r="A26" s="203">
        <f t="shared" ref="A26" ca="1" si="31">OFFSET(A26,-3,0)+1</f>
        <v>5</v>
      </c>
      <c r="B26" s="203">
        <f ca="1">IF($Q26&lt;&gt;2,0,IF($R26=0,1,IF(E27&gt;0,OFFSET(QCI!$M$13,SUBSTITUTE(E27,".",""),0),OFFSET(ORÇAMENTO!$AA$15,CRONO!$E26,0))/$R26))</f>
        <v>1</v>
      </c>
      <c r="C26" s="203">
        <f ca="1">IF($Q26&lt;&gt;2,0,IF($R26=0,1,IF(E27&gt;0,OFFSET(QCI!$N$13,SUBSTITUTE(E27,".",""),0),OFFSET(ORÇAMENTO!$AB$15,CRONO!$E26,0))/$R26))</f>
        <v>1</v>
      </c>
      <c r="D26" s="206" t="e">
        <f ca="1">IF(AND($Q26=2,ACOMPANHAMENTO="BM"),D27,D28/$R26)</f>
        <v>#DIV/0!</v>
      </c>
      <c r="E26" s="203">
        <f ca="1">IF(A26&lt;=ORÇAMENTO.MáximoListaCrono,MATCH(A26,ORÇAMENTO.ListaCrono,0),NA())</f>
        <v>28</v>
      </c>
      <c r="F26" s="203" t="str">
        <f t="shared" ref="F26" ca="1" si="32">IF(AND($E27&lt;&gt;-1,$R26&gt;0),"F","")</f>
        <v/>
      </c>
      <c r="G26" s="207" t="str">
        <f ca="1">IF(OR(R26=0,R26=""),"Linha",IF(AND(OR(ACOMPANHAMENTO="PLE",$Q26&lt;&gt;2),$E27=0),"Linha",1-SUM(T26:AF26)))</f>
        <v>Linha</v>
      </c>
      <c r="H26" s="208" t="str">
        <f ca="1">IF($E27=0,OFFSET(ORÇAMENTO!O$15,$E26,0),IF($E27&lt;&gt;-1,OFFSET(QCI!$D$13,$E27,0),""))</f>
        <v>1.4.</v>
      </c>
      <c r="I26" s="209" t="str">
        <f ca="1">IF($E27=0,OFFSET(ORÇAMENTO!R$15,$E26,0),IF($E27&lt;&gt;-1,OFFSET(QCI!$G$13,$E27,0),""))</f>
        <v>PASSEIO E ACESSIBILIDADE</v>
      </c>
      <c r="J26" s="209"/>
      <c r="K26" s="209"/>
      <c r="L26" s="210">
        <f ca="1">IF($E27=0,OFFSET(ORÇAMENTO!C$15,$E26,0),1)</f>
        <v>2</v>
      </c>
      <c r="M26" s="211">
        <f ca="1">IF($E27=-1,0,IF(M$13&lt;=$L26,IF(ISERROR(MATCH(M$13,OFFSET($L26,1,0,ROW($L$32)-ROW($L26)-1),0)),ROW($L$32)-ROW($L26)-1,MATCH(M$13,OFFSET($L26,1,0,ROW($L$32)-ROW($L26)-1),0)-1),0))</f>
        <v>5</v>
      </c>
      <c r="N26" s="211">
        <f ca="1">IF($E27=-1,0,IF(N$13&lt;=$L26,IF(ISERROR(MATCH(N$13,OFFSET($L26,1,0,ROW($L$32)-ROW($L26)-1),0)),ROW($L$32)-ROW($L26)-1,MATCH(N$13,OFFSET($L26,1,0,ROW($L$32)-ROW($L26)-1),0)-1),0))</f>
        <v>2</v>
      </c>
      <c r="O26" s="211">
        <f ca="1">IF($E27=-1,0,IF(O$13&lt;=$L26,IF(ISERROR(MATCH(O$13,OFFSET($L26,1,0,ROW($L$32)-ROW($L26)-1),0)),ROW($L$32)-ROW($L26)-1,MATCH(O$13,OFFSET($L26,1,0,ROW($L$32)-ROW($L26)-1),0)-1),0))</f>
        <v>0</v>
      </c>
      <c r="P26" s="211">
        <f ca="1">IF($E27=-1,0,IF(P$13&lt;=$L26,IF(ISERROR(MATCH(P$13,OFFSET($L26,1,0,ROW($L$32)-ROW($L26)-1),0)),ROW($L$32)-ROW($L26)-1,MATCH(P$13,OFFSET($L26,1,0,ROW($L$32)-ROW($L26)-1),0)-1),0))</f>
        <v>0</v>
      </c>
      <c r="Q26" s="211">
        <f t="shared" ref="Q26" ca="1" si="33">MIN(OFFSET(L26,0,1,,L26))</f>
        <v>2</v>
      </c>
      <c r="R26" s="212">
        <f ca="1">IF($E27=0,OFFSET(ORÇAMENTO!X$15,$E26,0),IF($E27&lt;&gt;-1,OFFSET(QCI!$O$13,$E27,0),""))</f>
        <v>0</v>
      </c>
      <c r="S26" s="213" t="s">
        <v>268</v>
      </c>
      <c r="T26" s="214" t="e">
        <f t="shared" ref="T26:AE26" ca="1" si="34">IF(AND($Q26=2,ACOMPANHAMENTO="BM"),T27,T28/$R26)</f>
        <v>#DIV/0!</v>
      </c>
      <c r="U26" s="206" t="e">
        <f t="shared" ca="1" si="34"/>
        <v>#DIV/0!</v>
      </c>
      <c r="V26" s="206" t="e">
        <f t="shared" ca="1" si="34"/>
        <v>#DIV/0!</v>
      </c>
      <c r="W26" s="206" t="e">
        <f t="shared" ca="1" si="34"/>
        <v>#DIV/0!</v>
      </c>
      <c r="X26" s="206" t="e">
        <f t="shared" ca="1" si="34"/>
        <v>#DIV/0!</v>
      </c>
      <c r="Y26" s="206" t="e">
        <f t="shared" ca="1" si="34"/>
        <v>#DIV/0!</v>
      </c>
      <c r="Z26" s="206" t="e">
        <f t="shared" ca="1" si="34"/>
        <v>#DIV/0!</v>
      </c>
      <c r="AA26" s="206" t="e">
        <f t="shared" ca="1" si="34"/>
        <v>#DIV/0!</v>
      </c>
      <c r="AB26" s="206" t="e">
        <f t="shared" ca="1" si="34"/>
        <v>#DIV/0!</v>
      </c>
      <c r="AC26" s="206" t="e">
        <f t="shared" ca="1" si="34"/>
        <v>#DIV/0!</v>
      </c>
      <c r="AD26" s="206" t="e">
        <f t="shared" ca="1" si="34"/>
        <v>#DIV/0!</v>
      </c>
      <c r="AE26" s="215" t="e">
        <f t="shared" ca="1" si="34"/>
        <v>#DIV/0!</v>
      </c>
    </row>
    <row r="27" spans="1:32" ht="12.75" customHeight="1" x14ac:dyDescent="0.2">
      <c r="D27" s="546"/>
      <c r="E27" s="203">
        <f ca="1">IF(ISERROR(E26),IF(1+COUNTIF($L$13:OFFSET(L26,-1,0),1)&lt;=MAX(QCI!$D$13:$D$24),1+COUNTIF($L$13:OFFSET(L26,-1,0),1),-1),0)</f>
        <v>0</v>
      </c>
      <c r="F27" s="203" t="str">
        <f t="shared" ref="F27" ca="1" si="35">IF(AND($E27&lt;&gt;-1,$R26&gt;0),"F","")</f>
        <v/>
      </c>
      <c r="G27" s="216" t="str">
        <f ca="1">IF(OR(R26=0,R26=""),"vazia",IF(AND(OR(ACOMPANHAMENTO="PLE",$Q26&lt;&gt;2),$E27=0),"calculada","--&gt;"))</f>
        <v>vazia</v>
      </c>
      <c r="H27" s="217"/>
      <c r="I27" s="218" t="str">
        <f t="shared" ref="I27" ca="1" si="36">IF(AND(G26&lt;&gt;0,ISNUMBER(G26)),"PREENCHA ESTA LINHA --&gt;","")</f>
        <v/>
      </c>
      <c r="J27" s="218"/>
      <c r="K27" s="218"/>
      <c r="L27" s="219"/>
      <c r="M27" s="219"/>
      <c r="N27" s="219"/>
      <c r="O27" s="219"/>
      <c r="P27" s="219"/>
      <c r="Q27" s="219"/>
      <c r="R27" s="220"/>
      <c r="S27" s="221"/>
      <c r="T27" s="547"/>
      <c r="U27" s="546"/>
      <c r="V27" s="546"/>
      <c r="W27" s="546"/>
      <c r="X27" s="546"/>
      <c r="Y27" s="546"/>
      <c r="Z27" s="546"/>
      <c r="AA27" s="546"/>
      <c r="AB27" s="546"/>
      <c r="AC27" s="546"/>
      <c r="AD27" s="546"/>
      <c r="AE27" s="548"/>
      <c r="AF27" s="511"/>
    </row>
    <row r="28" spans="1:32" ht="14.25" hidden="1" customHeight="1" x14ac:dyDescent="0.2">
      <c r="D28" s="222">
        <f ca="1">IF($Q26=2,IF(AND(ACOMPANHAMENTO="PLE",ISNUMBER($E26)),SUMIF((OFFSET(CÁLCULO!$AM$15:$AW$15,$E26,0,OFFSET(ORÇAMENTO!$D$15,CRONO!$E26,0))),"="&amp;CRONO!D$12,OFFSET(CÁLCULO!$AB$15:$AL$15,$E26,0,OFFSET(ORÇAMENTO!$D$15,CRONO!$E26,0)))+IF(AND($E28&lt;&gt;"",$E28&lt;&gt;0),SUMIF(CÁLCULO!$AM$15:$AW$51,"="&amp;CRONO!D$12,CÁLCULO!$AB$15:$AL$51)/(ORÇAMENTO!$X$15-CÁLCULO.TotalAdmLocal)*CRONO!$E28,0),D27*$R26),SUMIF(OFFSET($R28,1,0,$Q26-2),($L26+1)&amp;"$",OFFSET(D28,1,0,$Q26-2)))</f>
        <v>0</v>
      </c>
      <c r="E28" s="203" t="str">
        <f ca="1">IF(OR($Q26&lt;&gt;2,AUTOEVENTO&lt;&gt;"manual",$E27&gt;0),"",SUMIF(OFFSET(CÁLCULO!$M$15,CRONO!$E26,0,OFFSET(ORÇAMENTO!$D$15,CRONO!$E26,0)),1,OFFSET(ORÇAMENTO!$X$15,CRONO!$E26,0,OFFSET(ORÇAMENTO!$D$15,CRONO!$E26,0))))</f>
        <v/>
      </c>
      <c r="G28" s="223"/>
      <c r="R28" s="224" t="str">
        <f t="shared" ref="R28" ca="1" si="37">L26&amp;"$"</f>
        <v>2$</v>
      </c>
      <c r="S28" s="225"/>
      <c r="T28" s="226">
        <f ca="1">IF($Q26=2,IF(AND(ACOMPANHAMENTO="PLE",ISNUMBER($E26)),SUMIF((OFFSET(CÁLCULO!$AM$15:$AW$15,$E26,0,OFFSET(ORÇAMENTO!$D$15,CRONO!$E26,0))),"&lt;="&amp;CRONO!T$12,OFFSET(CÁLCULO!$AB$15:$AL$15,$E26,0,OFFSET(ORÇAMENTO!$D$15,CRONO!$E26,0)))+IF(AND($E28&lt;&gt;"",$E28&lt;&gt;0),SUMIF(CÁLCULO!$AM$15:$AW$51,"&lt;="&amp;CRONO!T$12,CÁLCULO!$AB$15:$AL$51)/(ORÇAMENTO!$X$15-CÁLCULO.TotalAdmLocal)*CRONO!$E28,0),T27*$R26),SUMIF(OFFSET($R28,1,0,$Q26-2),($L26+1)&amp;"$",OFFSET(T28,1,0,$Q26-2)))</f>
        <v>0</v>
      </c>
      <c r="U28" s="222">
        <f ca="1">IF($Q26=2,IF(AND(ACOMPANHAMENTO="PLE",ISNUMBER($E26)),SUMIF((OFFSET(CÁLCULO!$AM$15:$AW$15,$E26,0,OFFSET(ORÇAMENTO!$D$15,CRONO!$E26,0))),"="&amp;CRONO!U$12,OFFSET(CÁLCULO!$AB$15:$AL$15,$E26,0,OFFSET(ORÇAMENTO!$D$15,CRONO!$E26,0)))+IF(AND($E28&lt;&gt;"",$E28&lt;&gt;0),SUMIF(CÁLCULO!$AM$15:$AW$51,"="&amp;CRONO!U$12,CÁLCULO!$AB$15:$AL$51)/(ORÇAMENTO!$X$15-CÁLCULO.TotalAdmLocal)*CRONO!$E28,0),U27*$R26),SUMIF(OFFSET($R28,1,0,$Q26-2),($L26+1)&amp;"$",OFFSET(U28,1,0,$Q26-2)))</f>
        <v>0</v>
      </c>
      <c r="V28" s="222">
        <f ca="1">IF($Q26=2,IF(AND(ACOMPANHAMENTO="PLE",ISNUMBER($E26)),SUMIF((OFFSET(CÁLCULO!$AM$15:$AW$15,$E26,0,OFFSET(ORÇAMENTO!$D$15,CRONO!$E26,0))),"="&amp;CRONO!V$12,OFFSET(CÁLCULO!$AB$15:$AL$15,$E26,0,OFFSET(ORÇAMENTO!$D$15,CRONO!$E26,0)))+IF(AND($E28&lt;&gt;"",$E28&lt;&gt;0),SUMIF(CÁLCULO!$AM$15:$AW$51,"="&amp;CRONO!V$12,CÁLCULO!$AB$15:$AL$51)/(ORÇAMENTO!$X$15-CÁLCULO.TotalAdmLocal)*CRONO!$E28,0),V27*$R26),SUMIF(OFFSET($R28,1,0,$Q26-2),($L26+1)&amp;"$",OFFSET(V28,1,0,$Q26-2)))</f>
        <v>0</v>
      </c>
      <c r="W28" s="222">
        <f ca="1">IF($Q26=2,IF(AND(ACOMPANHAMENTO="PLE",ISNUMBER($E26)),SUMIF((OFFSET(CÁLCULO!$AM$15:$AW$15,$E26,0,OFFSET(ORÇAMENTO!$D$15,CRONO!$E26,0))),"="&amp;CRONO!W$12,OFFSET(CÁLCULO!$AB$15:$AL$15,$E26,0,OFFSET(ORÇAMENTO!$D$15,CRONO!$E26,0)))+IF(AND($E28&lt;&gt;"",$E28&lt;&gt;0),SUMIF(CÁLCULO!$AM$15:$AW$51,"="&amp;CRONO!W$12,CÁLCULO!$AB$15:$AL$51)/(ORÇAMENTO!$X$15-CÁLCULO.TotalAdmLocal)*CRONO!$E28,0),W27*$R26),SUMIF(OFFSET($R28,1,0,$Q26-2),($L26+1)&amp;"$",OFFSET(W28,1,0,$Q26-2)))</f>
        <v>0</v>
      </c>
      <c r="X28" s="222">
        <f ca="1">IF($Q26=2,IF(AND(ACOMPANHAMENTO="PLE",ISNUMBER($E26)),SUMIF((OFFSET(CÁLCULO!$AM$15:$AW$15,$E26,0,OFFSET(ORÇAMENTO!$D$15,CRONO!$E26,0))),"="&amp;CRONO!X$12,OFFSET(CÁLCULO!$AB$15:$AL$15,$E26,0,OFFSET(ORÇAMENTO!$D$15,CRONO!$E26,0)))+IF(AND($E28&lt;&gt;"",$E28&lt;&gt;0),SUMIF(CÁLCULO!$AM$15:$AW$51,"="&amp;CRONO!X$12,CÁLCULO!$AB$15:$AL$51)/(ORÇAMENTO!$X$15-CÁLCULO.TotalAdmLocal)*CRONO!$E28,0),X27*$R26),SUMIF(OFFSET($R28,1,0,$Q26-2),($L26+1)&amp;"$",OFFSET(X28,1,0,$Q26-2)))</f>
        <v>0</v>
      </c>
      <c r="Y28" s="222">
        <f ca="1">IF($Q26=2,IF(AND(ACOMPANHAMENTO="PLE",ISNUMBER($E26)),SUMIF((OFFSET(CÁLCULO!$AM$15:$AW$15,$E26,0,OFFSET(ORÇAMENTO!$D$15,CRONO!$E26,0))),"="&amp;CRONO!Y$12,OFFSET(CÁLCULO!$AB$15:$AL$15,$E26,0,OFFSET(ORÇAMENTO!$D$15,CRONO!$E26,0)))+IF(AND($E28&lt;&gt;"",$E28&lt;&gt;0),SUMIF(CÁLCULO!$AM$15:$AW$51,"="&amp;CRONO!Y$12,CÁLCULO!$AB$15:$AL$51)/(ORÇAMENTO!$X$15-CÁLCULO.TotalAdmLocal)*CRONO!$E28,0),Y27*$R26),SUMIF(OFFSET($R28,1,0,$Q26-2),($L26+1)&amp;"$",OFFSET(Y28,1,0,$Q26-2)))</f>
        <v>0</v>
      </c>
      <c r="Z28" s="222">
        <f ca="1">IF($Q26=2,IF(AND(ACOMPANHAMENTO="PLE",ISNUMBER($E26)),SUMIF((OFFSET(CÁLCULO!$AM$15:$AW$15,$E26,0,OFFSET(ORÇAMENTO!$D$15,CRONO!$E26,0))),"="&amp;CRONO!Z$12,OFFSET(CÁLCULO!$AB$15:$AL$15,$E26,0,OFFSET(ORÇAMENTO!$D$15,CRONO!$E26,0)))+IF(AND($E28&lt;&gt;"",$E28&lt;&gt;0),SUMIF(CÁLCULO!$AM$15:$AW$51,"="&amp;CRONO!Z$12,CÁLCULO!$AB$15:$AL$51)/(ORÇAMENTO!$X$15-CÁLCULO.TotalAdmLocal)*CRONO!$E28,0),Z27*$R26),SUMIF(OFFSET($R28,1,0,$Q26-2),($L26+1)&amp;"$",OFFSET(Z28,1,0,$Q26-2)))</f>
        <v>0</v>
      </c>
      <c r="AA28" s="222">
        <f ca="1">IF($Q26=2,IF(AND(ACOMPANHAMENTO="PLE",ISNUMBER($E26)),SUMIF((OFFSET(CÁLCULO!$AM$15:$AW$15,$E26,0,OFFSET(ORÇAMENTO!$D$15,CRONO!$E26,0))),"="&amp;CRONO!AA$12,OFFSET(CÁLCULO!$AB$15:$AL$15,$E26,0,OFFSET(ORÇAMENTO!$D$15,CRONO!$E26,0)))+IF(AND($E28&lt;&gt;"",$E28&lt;&gt;0),SUMIF(CÁLCULO!$AM$15:$AW$51,"="&amp;CRONO!AA$12,CÁLCULO!$AB$15:$AL$51)/(ORÇAMENTO!$X$15-CÁLCULO.TotalAdmLocal)*CRONO!$E28,0),AA27*$R26),SUMIF(OFFSET($R28,1,0,$Q26-2),($L26+1)&amp;"$",OFFSET(AA28,1,0,$Q26-2)))</f>
        <v>0</v>
      </c>
      <c r="AB28" s="222">
        <f ca="1">IF($Q26=2,IF(AND(ACOMPANHAMENTO="PLE",ISNUMBER($E26)),SUMIF((OFFSET(CÁLCULO!$AM$15:$AW$15,$E26,0,OFFSET(ORÇAMENTO!$D$15,CRONO!$E26,0))),"="&amp;CRONO!AB$12,OFFSET(CÁLCULO!$AB$15:$AL$15,$E26,0,OFFSET(ORÇAMENTO!$D$15,CRONO!$E26,0)))+IF(AND($E28&lt;&gt;"",$E28&lt;&gt;0),SUMIF(CÁLCULO!$AM$15:$AW$51,"="&amp;CRONO!AB$12,CÁLCULO!$AB$15:$AL$51)/(ORÇAMENTO!$X$15-CÁLCULO.TotalAdmLocal)*CRONO!$E28,0),AB27*$R26),SUMIF(OFFSET($R28,1,0,$Q26-2),($L26+1)&amp;"$",OFFSET(AB28,1,0,$Q26-2)))</f>
        <v>0</v>
      </c>
      <c r="AC28" s="222">
        <f ca="1">IF($Q26=2,IF(AND(ACOMPANHAMENTO="PLE",ISNUMBER($E26)),SUMIF((OFFSET(CÁLCULO!$AM$15:$AW$15,$E26,0,OFFSET(ORÇAMENTO!$D$15,CRONO!$E26,0))),"="&amp;CRONO!AC$12,OFFSET(CÁLCULO!$AB$15:$AL$15,$E26,0,OFFSET(ORÇAMENTO!$D$15,CRONO!$E26,0)))+IF(AND($E28&lt;&gt;"",$E28&lt;&gt;0),SUMIF(CÁLCULO!$AM$15:$AW$51,"="&amp;CRONO!AC$12,CÁLCULO!$AB$15:$AL$51)/(ORÇAMENTO!$X$15-CÁLCULO.TotalAdmLocal)*CRONO!$E28,0),AC27*$R26),SUMIF(OFFSET($R28,1,0,$Q26-2),($L26+1)&amp;"$",OFFSET(AC28,1,0,$Q26-2)))</f>
        <v>0</v>
      </c>
      <c r="AD28" s="222">
        <f ca="1">IF($Q26=2,IF(AND(ACOMPANHAMENTO="PLE",ISNUMBER($E26)),SUMIF((OFFSET(CÁLCULO!$AM$15:$AW$15,$E26,0,OFFSET(ORÇAMENTO!$D$15,CRONO!$E26,0))),"="&amp;CRONO!AD$12,OFFSET(CÁLCULO!$AB$15:$AL$15,$E26,0,OFFSET(ORÇAMENTO!$D$15,CRONO!$E26,0)))+IF(AND($E28&lt;&gt;"",$E28&lt;&gt;0),SUMIF(CÁLCULO!$AM$15:$AW$51,"="&amp;CRONO!AD$12,CÁLCULO!$AB$15:$AL$51)/(ORÇAMENTO!$X$15-CÁLCULO.TotalAdmLocal)*CRONO!$E28,0),AD27*$R26),SUMIF(OFFSET($R28,1,0,$Q26-2),($L26+1)&amp;"$",OFFSET(AD28,1,0,$Q26-2)))</f>
        <v>0</v>
      </c>
      <c r="AE28" s="227">
        <f ca="1">IF($Q26=2,IF(AND(ACOMPANHAMENTO="PLE",ISNUMBER($E26)),SUMIF((OFFSET(CÁLCULO!$AM$15:$AW$15,$E26,0,OFFSET(ORÇAMENTO!$D$15,CRONO!$E26,0))),"="&amp;CRONO!AE$12,OFFSET(CÁLCULO!$AB$15:$AL$15,$E26,0,OFFSET(ORÇAMENTO!$D$15,CRONO!$E26,0)))+IF(AND($E28&lt;&gt;"",$E28&lt;&gt;0),SUMIF(CÁLCULO!$AM$15:$AW$51,"="&amp;CRONO!AE$12,CÁLCULO!$AB$15:$AL$51)/(ORÇAMENTO!$X$15-CÁLCULO.TotalAdmLocal)*CRONO!$E28,0),AE27*$R26),SUMIF(OFFSET($R28,1,0,$Q26-2),($L26+1)&amp;"$",OFFSET(AE28,1,0,$Q26-2)))</f>
        <v>0</v>
      </c>
    </row>
    <row r="29" spans="1:32" x14ac:dyDescent="0.2">
      <c r="A29" s="203">
        <f t="shared" ref="A29" ca="1" si="38">OFFSET(A29,-3,0)+1</f>
        <v>6</v>
      </c>
      <c r="B29" s="203">
        <f ca="1">IF($Q29&lt;&gt;2,0,IF($R29=0,1,IF(E30&gt;0,OFFSET(QCI!$M$13,SUBSTITUTE(E30,".",""),0),OFFSET(ORÇAMENTO!$AA$15,CRONO!$E29,0))/$R29))</f>
        <v>1</v>
      </c>
      <c r="C29" s="203">
        <f ca="1">IF($Q29&lt;&gt;2,0,IF($R29=0,1,IF(E30&gt;0,OFFSET(QCI!$N$13,SUBSTITUTE(E30,".",""),0),OFFSET(ORÇAMENTO!$AB$15,CRONO!$E29,0))/$R29))</f>
        <v>1</v>
      </c>
      <c r="D29" s="206" t="e">
        <f ca="1">IF(AND($Q29=2,ACOMPANHAMENTO="BM"),D30,D31/$R29)</f>
        <v>#DIV/0!</v>
      </c>
      <c r="E29" s="203">
        <f ca="1">IF(A29&lt;=ORÇAMENTO.MáximoListaCrono,MATCH(A29,ORÇAMENTO.ListaCrono,0),NA())</f>
        <v>32</v>
      </c>
      <c r="F29" s="203" t="str">
        <f t="shared" ref="F29" ca="1" si="39">IF(AND($E30&lt;&gt;-1,$R29&gt;0),"F","")</f>
        <v/>
      </c>
      <c r="G29" s="207" t="str">
        <f ca="1">IF(OR(R29=0,R29=""),"Linha",IF(AND(OR(ACOMPANHAMENTO="PLE",$Q29&lt;&gt;2),$E30=0),"Linha",1-SUM(T29:AF29)))</f>
        <v>Linha</v>
      </c>
      <c r="H29" s="208" t="str">
        <f ca="1">IF($E30=0,OFFSET(ORÇAMENTO!O$15,$E29,0),IF($E30&lt;&gt;-1,OFFSET(QCI!$D$13,$E30,0),""))</f>
        <v>1.5.</v>
      </c>
      <c r="I29" s="209" t="str">
        <f ca="1">IF($E30=0,OFFSET(ORÇAMENTO!R$15,$E29,0),IF($E30&lt;&gt;-1,OFFSET(QCI!$G$13,$E30,0),""))</f>
        <v>SINALIZAÇÃO</v>
      </c>
      <c r="J29" s="209"/>
      <c r="K29" s="209"/>
      <c r="L29" s="210">
        <f ca="1">IF($E30=0,OFFSET(ORÇAMENTO!C$15,$E29,0),1)</f>
        <v>2</v>
      </c>
      <c r="M29" s="211">
        <f ca="1">IF($E30=-1,0,IF(M$13&lt;=$L29,IF(ISERROR(MATCH(M$13,OFFSET($L29,1,0,ROW($L$32)-ROW($L29)-1),0)),ROW($L$32)-ROW($L29)-1,MATCH(M$13,OFFSET($L29,1,0,ROW($L$32)-ROW($L29)-1),0)-1),0))</f>
        <v>2</v>
      </c>
      <c r="N29" s="211">
        <f ca="1">IF($E30=-1,0,IF(N$13&lt;=$L29,IF(ISERROR(MATCH(N$13,OFFSET($L29,1,0,ROW($L$32)-ROW($L29)-1),0)),ROW($L$32)-ROW($L29)-1,MATCH(N$13,OFFSET($L29,1,0,ROW($L$32)-ROW($L29)-1),0)-1),0))</f>
        <v>2</v>
      </c>
      <c r="O29" s="211">
        <f ca="1">IF($E30=-1,0,IF(O$13&lt;=$L29,IF(ISERROR(MATCH(O$13,OFFSET($L29,1,0,ROW($L$32)-ROW($L29)-1),0)),ROW($L$32)-ROW($L29)-1,MATCH(O$13,OFFSET($L29,1,0,ROW($L$32)-ROW($L29)-1),0)-1),0))</f>
        <v>0</v>
      </c>
      <c r="P29" s="211">
        <f ca="1">IF($E30=-1,0,IF(P$13&lt;=$L29,IF(ISERROR(MATCH(P$13,OFFSET($L29,1,0,ROW($L$32)-ROW($L29)-1),0)),ROW($L$32)-ROW($L29)-1,MATCH(P$13,OFFSET($L29,1,0,ROW($L$32)-ROW($L29)-1),0)-1),0))</f>
        <v>0</v>
      </c>
      <c r="Q29" s="211">
        <f t="shared" ref="Q29" ca="1" si="40">MIN(OFFSET(L29,0,1,,L29))</f>
        <v>2</v>
      </c>
      <c r="R29" s="212">
        <f ca="1">IF($E30=0,OFFSET(ORÇAMENTO!X$15,$E29,0),IF($E30&lt;&gt;-1,OFFSET(QCI!$O$13,$E30,0),""))</f>
        <v>0</v>
      </c>
      <c r="S29" s="213" t="s">
        <v>268</v>
      </c>
      <c r="T29" s="214" t="e">
        <f t="shared" ref="T29:AE29" ca="1" si="41">IF(AND($Q29=2,ACOMPANHAMENTO="BM"),T30,T31/$R29)</f>
        <v>#DIV/0!</v>
      </c>
      <c r="U29" s="206" t="e">
        <f t="shared" ca="1" si="41"/>
        <v>#DIV/0!</v>
      </c>
      <c r="V29" s="206" t="e">
        <f t="shared" ca="1" si="41"/>
        <v>#DIV/0!</v>
      </c>
      <c r="W29" s="206" t="e">
        <f t="shared" ca="1" si="41"/>
        <v>#DIV/0!</v>
      </c>
      <c r="X29" s="206" t="e">
        <f t="shared" ca="1" si="41"/>
        <v>#DIV/0!</v>
      </c>
      <c r="Y29" s="206" t="e">
        <f t="shared" ca="1" si="41"/>
        <v>#DIV/0!</v>
      </c>
      <c r="Z29" s="206" t="e">
        <f t="shared" ca="1" si="41"/>
        <v>#DIV/0!</v>
      </c>
      <c r="AA29" s="206" t="e">
        <f t="shared" ca="1" si="41"/>
        <v>#DIV/0!</v>
      </c>
      <c r="AB29" s="206" t="e">
        <f t="shared" ca="1" si="41"/>
        <v>#DIV/0!</v>
      </c>
      <c r="AC29" s="206" t="e">
        <f t="shared" ca="1" si="41"/>
        <v>#DIV/0!</v>
      </c>
      <c r="AD29" s="206" t="e">
        <f t="shared" ca="1" si="41"/>
        <v>#DIV/0!</v>
      </c>
      <c r="AE29" s="215" t="e">
        <f t="shared" ca="1" si="41"/>
        <v>#DIV/0!</v>
      </c>
    </row>
    <row r="30" spans="1:32" ht="12.75" customHeight="1" x14ac:dyDescent="0.2">
      <c r="D30" s="546"/>
      <c r="E30" s="203">
        <f ca="1">IF(ISERROR(E29),IF(1+COUNTIF($L$13:OFFSET(L29,-1,0),1)&lt;=MAX(QCI!$D$13:$D$24),1+COUNTIF($L$13:OFFSET(L29,-1,0),1),-1),0)</f>
        <v>0</v>
      </c>
      <c r="F30" s="203" t="str">
        <f t="shared" ref="F30" ca="1" si="42">IF(AND($E30&lt;&gt;-1,$R29&gt;0),"F","")</f>
        <v/>
      </c>
      <c r="G30" s="216" t="str">
        <f ca="1">IF(OR(R29=0,R29=""),"vazia",IF(AND(OR(ACOMPANHAMENTO="PLE",$Q29&lt;&gt;2),$E30=0),"calculada","--&gt;"))</f>
        <v>vazia</v>
      </c>
      <c r="H30" s="217"/>
      <c r="I30" s="218" t="str">
        <f t="shared" ref="I30" ca="1" si="43">IF(AND(G29&lt;&gt;0,ISNUMBER(G29)),"PREENCHA ESTA LINHA --&gt;","")</f>
        <v/>
      </c>
      <c r="J30" s="218"/>
      <c r="K30" s="218"/>
      <c r="L30" s="219"/>
      <c r="M30" s="219"/>
      <c r="N30" s="219"/>
      <c r="O30" s="219"/>
      <c r="P30" s="219"/>
      <c r="Q30" s="219"/>
      <c r="R30" s="220"/>
      <c r="S30" s="221"/>
      <c r="T30" s="547"/>
      <c r="U30" s="546"/>
      <c r="V30" s="546"/>
      <c r="W30" s="546"/>
      <c r="X30" s="546"/>
      <c r="Y30" s="546"/>
      <c r="Z30" s="546"/>
      <c r="AA30" s="546"/>
      <c r="AB30" s="546"/>
      <c r="AC30" s="546"/>
      <c r="AD30" s="546"/>
      <c r="AE30" s="548"/>
      <c r="AF30" s="511"/>
    </row>
    <row r="31" spans="1:32" ht="14.25" hidden="1" customHeight="1" x14ac:dyDescent="0.2">
      <c r="D31" s="222">
        <f ca="1">IF($Q29=2,IF(AND(ACOMPANHAMENTO="PLE",ISNUMBER($E29)),SUMIF((OFFSET(CÁLCULO!$AM$15:$AW$15,$E29,0,OFFSET(ORÇAMENTO!$D$15,CRONO!$E29,0))),"="&amp;CRONO!D$12,OFFSET(CÁLCULO!$AB$15:$AL$15,$E29,0,OFFSET(ORÇAMENTO!$D$15,CRONO!$E29,0)))+IF(AND($E31&lt;&gt;"",$E31&lt;&gt;0),SUMIF(CÁLCULO!$AM$15:$AW$51,"="&amp;CRONO!D$12,CÁLCULO!$AB$15:$AL$51)/(ORÇAMENTO!$X$15-CÁLCULO.TotalAdmLocal)*CRONO!$E31,0),D30*$R29),SUMIF(OFFSET($R31,1,0,$Q29-2),($L29+1)&amp;"$",OFFSET(D31,1,0,$Q29-2)))</f>
        <v>0</v>
      </c>
      <c r="E31" s="203" t="str">
        <f ca="1">IF(OR($Q29&lt;&gt;2,AUTOEVENTO&lt;&gt;"manual",$E30&gt;0),"",SUMIF(OFFSET(CÁLCULO!$M$15,CRONO!$E29,0,OFFSET(ORÇAMENTO!$D$15,CRONO!$E29,0)),1,OFFSET(ORÇAMENTO!$X$15,CRONO!$E29,0,OFFSET(ORÇAMENTO!$D$15,CRONO!$E29,0))))</f>
        <v/>
      </c>
      <c r="G31" s="223"/>
      <c r="R31" s="224" t="str">
        <f t="shared" ref="R31" ca="1" si="44">L29&amp;"$"</f>
        <v>2$</v>
      </c>
      <c r="S31" s="225"/>
      <c r="T31" s="226">
        <f ca="1">IF($Q29=2,IF(AND(ACOMPANHAMENTO="PLE",ISNUMBER($E29)),SUMIF((OFFSET(CÁLCULO!$AM$15:$AW$15,$E29,0,OFFSET(ORÇAMENTO!$D$15,CRONO!$E29,0))),"&lt;="&amp;CRONO!T$12,OFFSET(CÁLCULO!$AB$15:$AL$15,$E29,0,OFFSET(ORÇAMENTO!$D$15,CRONO!$E29,0)))+IF(AND($E31&lt;&gt;"",$E31&lt;&gt;0),SUMIF(CÁLCULO!$AM$15:$AW$51,"&lt;="&amp;CRONO!T$12,CÁLCULO!$AB$15:$AL$51)/(ORÇAMENTO!$X$15-CÁLCULO.TotalAdmLocal)*CRONO!$E31,0),T30*$R29),SUMIF(OFFSET($R31,1,0,$Q29-2),($L29+1)&amp;"$",OFFSET(T31,1,0,$Q29-2)))</f>
        <v>0</v>
      </c>
      <c r="U31" s="222">
        <f ca="1">IF($Q29=2,IF(AND(ACOMPANHAMENTO="PLE",ISNUMBER($E29)),SUMIF((OFFSET(CÁLCULO!$AM$15:$AW$15,$E29,0,OFFSET(ORÇAMENTO!$D$15,CRONO!$E29,0))),"="&amp;CRONO!U$12,OFFSET(CÁLCULO!$AB$15:$AL$15,$E29,0,OFFSET(ORÇAMENTO!$D$15,CRONO!$E29,0)))+IF(AND($E31&lt;&gt;"",$E31&lt;&gt;0),SUMIF(CÁLCULO!$AM$15:$AW$51,"="&amp;CRONO!U$12,CÁLCULO!$AB$15:$AL$51)/(ORÇAMENTO!$X$15-CÁLCULO.TotalAdmLocal)*CRONO!$E31,0),U30*$R29),SUMIF(OFFSET($R31,1,0,$Q29-2),($L29+1)&amp;"$",OFFSET(U31,1,0,$Q29-2)))</f>
        <v>0</v>
      </c>
      <c r="V31" s="222">
        <f ca="1">IF($Q29=2,IF(AND(ACOMPANHAMENTO="PLE",ISNUMBER($E29)),SUMIF((OFFSET(CÁLCULO!$AM$15:$AW$15,$E29,0,OFFSET(ORÇAMENTO!$D$15,CRONO!$E29,0))),"="&amp;CRONO!V$12,OFFSET(CÁLCULO!$AB$15:$AL$15,$E29,0,OFFSET(ORÇAMENTO!$D$15,CRONO!$E29,0)))+IF(AND($E31&lt;&gt;"",$E31&lt;&gt;0),SUMIF(CÁLCULO!$AM$15:$AW$51,"="&amp;CRONO!V$12,CÁLCULO!$AB$15:$AL$51)/(ORÇAMENTO!$X$15-CÁLCULO.TotalAdmLocal)*CRONO!$E31,0),V30*$R29),SUMIF(OFFSET($R31,1,0,$Q29-2),($L29+1)&amp;"$",OFFSET(V31,1,0,$Q29-2)))</f>
        <v>0</v>
      </c>
      <c r="W31" s="222">
        <f ca="1">IF($Q29=2,IF(AND(ACOMPANHAMENTO="PLE",ISNUMBER($E29)),SUMIF((OFFSET(CÁLCULO!$AM$15:$AW$15,$E29,0,OFFSET(ORÇAMENTO!$D$15,CRONO!$E29,0))),"="&amp;CRONO!W$12,OFFSET(CÁLCULO!$AB$15:$AL$15,$E29,0,OFFSET(ORÇAMENTO!$D$15,CRONO!$E29,0)))+IF(AND($E31&lt;&gt;"",$E31&lt;&gt;0),SUMIF(CÁLCULO!$AM$15:$AW$51,"="&amp;CRONO!W$12,CÁLCULO!$AB$15:$AL$51)/(ORÇAMENTO!$X$15-CÁLCULO.TotalAdmLocal)*CRONO!$E31,0),W30*$R29),SUMIF(OFFSET($R31,1,0,$Q29-2),($L29+1)&amp;"$",OFFSET(W31,1,0,$Q29-2)))</f>
        <v>0</v>
      </c>
      <c r="X31" s="222">
        <f ca="1">IF($Q29=2,IF(AND(ACOMPANHAMENTO="PLE",ISNUMBER($E29)),SUMIF((OFFSET(CÁLCULO!$AM$15:$AW$15,$E29,0,OFFSET(ORÇAMENTO!$D$15,CRONO!$E29,0))),"="&amp;CRONO!X$12,OFFSET(CÁLCULO!$AB$15:$AL$15,$E29,0,OFFSET(ORÇAMENTO!$D$15,CRONO!$E29,0)))+IF(AND($E31&lt;&gt;"",$E31&lt;&gt;0),SUMIF(CÁLCULO!$AM$15:$AW$51,"="&amp;CRONO!X$12,CÁLCULO!$AB$15:$AL$51)/(ORÇAMENTO!$X$15-CÁLCULO.TotalAdmLocal)*CRONO!$E31,0),X30*$R29),SUMIF(OFFSET($R31,1,0,$Q29-2),($L29+1)&amp;"$",OFFSET(X31,1,0,$Q29-2)))</f>
        <v>0</v>
      </c>
      <c r="Y31" s="222">
        <f ca="1">IF($Q29=2,IF(AND(ACOMPANHAMENTO="PLE",ISNUMBER($E29)),SUMIF((OFFSET(CÁLCULO!$AM$15:$AW$15,$E29,0,OFFSET(ORÇAMENTO!$D$15,CRONO!$E29,0))),"="&amp;CRONO!Y$12,OFFSET(CÁLCULO!$AB$15:$AL$15,$E29,0,OFFSET(ORÇAMENTO!$D$15,CRONO!$E29,0)))+IF(AND($E31&lt;&gt;"",$E31&lt;&gt;0),SUMIF(CÁLCULO!$AM$15:$AW$51,"="&amp;CRONO!Y$12,CÁLCULO!$AB$15:$AL$51)/(ORÇAMENTO!$X$15-CÁLCULO.TotalAdmLocal)*CRONO!$E31,0),Y30*$R29),SUMIF(OFFSET($R31,1,0,$Q29-2),($L29+1)&amp;"$",OFFSET(Y31,1,0,$Q29-2)))</f>
        <v>0</v>
      </c>
      <c r="Z31" s="222">
        <f ca="1">IF($Q29=2,IF(AND(ACOMPANHAMENTO="PLE",ISNUMBER($E29)),SUMIF((OFFSET(CÁLCULO!$AM$15:$AW$15,$E29,0,OFFSET(ORÇAMENTO!$D$15,CRONO!$E29,0))),"="&amp;CRONO!Z$12,OFFSET(CÁLCULO!$AB$15:$AL$15,$E29,0,OFFSET(ORÇAMENTO!$D$15,CRONO!$E29,0)))+IF(AND($E31&lt;&gt;"",$E31&lt;&gt;0),SUMIF(CÁLCULO!$AM$15:$AW$51,"="&amp;CRONO!Z$12,CÁLCULO!$AB$15:$AL$51)/(ORÇAMENTO!$X$15-CÁLCULO.TotalAdmLocal)*CRONO!$E31,0),Z30*$R29),SUMIF(OFFSET($R31,1,0,$Q29-2),($L29+1)&amp;"$",OFFSET(Z31,1,0,$Q29-2)))</f>
        <v>0</v>
      </c>
      <c r="AA31" s="222">
        <f ca="1">IF($Q29=2,IF(AND(ACOMPANHAMENTO="PLE",ISNUMBER($E29)),SUMIF((OFFSET(CÁLCULO!$AM$15:$AW$15,$E29,0,OFFSET(ORÇAMENTO!$D$15,CRONO!$E29,0))),"="&amp;CRONO!AA$12,OFFSET(CÁLCULO!$AB$15:$AL$15,$E29,0,OFFSET(ORÇAMENTO!$D$15,CRONO!$E29,0)))+IF(AND($E31&lt;&gt;"",$E31&lt;&gt;0),SUMIF(CÁLCULO!$AM$15:$AW$51,"="&amp;CRONO!AA$12,CÁLCULO!$AB$15:$AL$51)/(ORÇAMENTO!$X$15-CÁLCULO.TotalAdmLocal)*CRONO!$E31,0),AA30*$R29),SUMIF(OFFSET($R31,1,0,$Q29-2),($L29+1)&amp;"$",OFFSET(AA31,1,0,$Q29-2)))</f>
        <v>0</v>
      </c>
      <c r="AB31" s="222">
        <f ca="1">IF($Q29=2,IF(AND(ACOMPANHAMENTO="PLE",ISNUMBER($E29)),SUMIF((OFFSET(CÁLCULO!$AM$15:$AW$15,$E29,0,OFFSET(ORÇAMENTO!$D$15,CRONO!$E29,0))),"="&amp;CRONO!AB$12,OFFSET(CÁLCULO!$AB$15:$AL$15,$E29,0,OFFSET(ORÇAMENTO!$D$15,CRONO!$E29,0)))+IF(AND($E31&lt;&gt;"",$E31&lt;&gt;0),SUMIF(CÁLCULO!$AM$15:$AW$51,"="&amp;CRONO!AB$12,CÁLCULO!$AB$15:$AL$51)/(ORÇAMENTO!$X$15-CÁLCULO.TotalAdmLocal)*CRONO!$E31,0),AB30*$R29),SUMIF(OFFSET($R31,1,0,$Q29-2),($L29+1)&amp;"$",OFFSET(AB31,1,0,$Q29-2)))</f>
        <v>0</v>
      </c>
      <c r="AC31" s="222">
        <f ca="1">IF($Q29=2,IF(AND(ACOMPANHAMENTO="PLE",ISNUMBER($E29)),SUMIF((OFFSET(CÁLCULO!$AM$15:$AW$15,$E29,0,OFFSET(ORÇAMENTO!$D$15,CRONO!$E29,0))),"="&amp;CRONO!AC$12,OFFSET(CÁLCULO!$AB$15:$AL$15,$E29,0,OFFSET(ORÇAMENTO!$D$15,CRONO!$E29,0)))+IF(AND($E31&lt;&gt;"",$E31&lt;&gt;0),SUMIF(CÁLCULO!$AM$15:$AW$51,"="&amp;CRONO!AC$12,CÁLCULO!$AB$15:$AL$51)/(ORÇAMENTO!$X$15-CÁLCULO.TotalAdmLocal)*CRONO!$E31,0),AC30*$R29),SUMIF(OFFSET($R31,1,0,$Q29-2),($L29+1)&amp;"$",OFFSET(AC31,1,0,$Q29-2)))</f>
        <v>0</v>
      </c>
      <c r="AD31" s="222">
        <f ca="1">IF($Q29=2,IF(AND(ACOMPANHAMENTO="PLE",ISNUMBER($E29)),SUMIF((OFFSET(CÁLCULO!$AM$15:$AW$15,$E29,0,OFFSET(ORÇAMENTO!$D$15,CRONO!$E29,0))),"="&amp;CRONO!AD$12,OFFSET(CÁLCULO!$AB$15:$AL$15,$E29,0,OFFSET(ORÇAMENTO!$D$15,CRONO!$E29,0)))+IF(AND($E31&lt;&gt;"",$E31&lt;&gt;0),SUMIF(CÁLCULO!$AM$15:$AW$51,"="&amp;CRONO!AD$12,CÁLCULO!$AB$15:$AL$51)/(ORÇAMENTO!$X$15-CÁLCULO.TotalAdmLocal)*CRONO!$E31,0),AD30*$R29),SUMIF(OFFSET($R31,1,0,$Q29-2),($L29+1)&amp;"$",OFFSET(AD31,1,0,$Q29-2)))</f>
        <v>0</v>
      </c>
      <c r="AE31" s="227">
        <f ca="1">IF($Q29=2,IF(AND(ACOMPANHAMENTO="PLE",ISNUMBER($E29)),SUMIF((OFFSET(CÁLCULO!$AM$15:$AW$15,$E29,0,OFFSET(ORÇAMENTO!$D$15,CRONO!$E29,0))),"="&amp;CRONO!AE$12,OFFSET(CÁLCULO!$AB$15:$AL$15,$E29,0,OFFSET(ORÇAMENTO!$D$15,CRONO!$E29,0)))+IF(AND($E31&lt;&gt;"",$E31&lt;&gt;0),SUMIF(CÁLCULO!$AM$15:$AW$51,"="&amp;CRONO!AE$12,CÁLCULO!$AB$15:$AL$51)/(ORÇAMENTO!$X$15-CÁLCULO.TotalAdmLocal)*CRONO!$E31,0),AE30*$R29),SUMIF(OFFSET($R31,1,0,$Q29-2),($L29+1)&amp;"$",OFFSET(AE31,1,0,$Q29-2)))</f>
        <v>0</v>
      </c>
    </row>
    <row r="32" spans="1:32" ht="5.0999999999999996" customHeight="1" x14ac:dyDescent="0.2">
      <c r="D32" s="489"/>
      <c r="F32" s="203" t="s">
        <v>245</v>
      </c>
      <c r="G32" s="491"/>
      <c r="H32" s="492"/>
      <c r="I32" s="493"/>
      <c r="J32" s="493"/>
      <c r="K32" s="493"/>
      <c r="L32" s="494" t="s">
        <v>279</v>
      </c>
      <c r="M32" s="494"/>
      <c r="N32" s="494"/>
      <c r="O32" s="494"/>
      <c r="P32" s="494"/>
      <c r="Q32" s="494"/>
      <c r="R32" s="495"/>
      <c r="S32" s="495"/>
      <c r="T32" s="493"/>
      <c r="U32" s="493"/>
      <c r="V32" s="493"/>
      <c r="W32" s="493"/>
      <c r="X32" s="493"/>
      <c r="Y32" s="493"/>
      <c r="Z32" s="493"/>
      <c r="AA32" s="493"/>
      <c r="AB32" s="493"/>
      <c r="AC32" s="493"/>
      <c r="AD32" s="493"/>
      <c r="AE32" s="496"/>
      <c r="AF32" s="490"/>
    </row>
    <row r="33" spans="4:32" ht="12.75" customHeight="1" x14ac:dyDescent="0.2">
      <c r="D33" s="251" t="e">
        <f ca="1">D37/$Q$33</f>
        <v>#DIV/0!</v>
      </c>
      <c r="F33" s="203" t="s">
        <v>245</v>
      </c>
      <c r="H33" s="682" t="str">
        <f ca="1">"Total:    R$ "&amp;TEXT(Q33,"#.##0,00")</f>
        <v>Total:    R$ .000</v>
      </c>
      <c r="I33" s="682"/>
      <c r="J33" s="682"/>
      <c r="K33" s="252"/>
      <c r="Q33" s="253">
        <f ca="1">SUMIF(L12:L32,1,R12:R32)</f>
        <v>0</v>
      </c>
      <c r="R33" s="254"/>
      <c r="S33" s="255" t="s">
        <v>280</v>
      </c>
      <c r="T33" s="256" t="e">
        <f t="shared" ref="T33:AE33" ca="1" si="45">ROUND(T37,2)/$Q$33</f>
        <v>#DIV/0!</v>
      </c>
      <c r="U33" s="257" t="e">
        <f t="shared" ca="1" si="45"/>
        <v>#DIV/0!</v>
      </c>
      <c r="V33" s="257" t="e">
        <f t="shared" ca="1" si="45"/>
        <v>#DIV/0!</v>
      </c>
      <c r="W33" s="257" t="e">
        <f t="shared" ca="1" si="45"/>
        <v>#DIV/0!</v>
      </c>
      <c r="X33" s="257" t="e">
        <f t="shared" ca="1" si="45"/>
        <v>#DIV/0!</v>
      </c>
      <c r="Y33" s="257" t="e">
        <f t="shared" ca="1" si="45"/>
        <v>#DIV/0!</v>
      </c>
      <c r="Z33" s="257" t="e">
        <f t="shared" ca="1" si="45"/>
        <v>#DIV/0!</v>
      </c>
      <c r="AA33" s="257" t="e">
        <f t="shared" ca="1" si="45"/>
        <v>#DIV/0!</v>
      </c>
      <c r="AB33" s="257" t="e">
        <f t="shared" ca="1" si="45"/>
        <v>#DIV/0!</v>
      </c>
      <c r="AC33" s="257" t="e">
        <f t="shared" ca="1" si="45"/>
        <v>#DIV/0!</v>
      </c>
      <c r="AD33" s="257" t="e">
        <f t="shared" ca="1" si="45"/>
        <v>#DIV/0!</v>
      </c>
      <c r="AE33" s="258" t="e">
        <f t="shared" ca="1" si="45"/>
        <v>#DIV/0!</v>
      </c>
    </row>
    <row r="34" spans="4:32" ht="15" customHeight="1" x14ac:dyDescent="0.2">
      <c r="D34" s="259">
        <f ca="1">ROUND(D39,2)-ROUND(C39,2)</f>
        <v>0</v>
      </c>
      <c r="F34" s="203" t="s">
        <v>245</v>
      </c>
      <c r="H34" s="682"/>
      <c r="I34" s="682"/>
      <c r="J34" s="682"/>
      <c r="K34" s="260"/>
      <c r="Q34" s="253"/>
      <c r="R34" s="261"/>
      <c r="S34" s="262" t="str">
        <f>IF(import.recurso="FGTS","Financiamento:","Repasse:")</f>
        <v>Repasse:</v>
      </c>
      <c r="T34" s="263">
        <f ca="1">ROUND(T39,2)</f>
        <v>0</v>
      </c>
      <c r="U34" s="259">
        <f t="shared" ref="U34:AE34" ca="1" si="46">ROUND(U39,2)-ROUND(T39,2)</f>
        <v>0</v>
      </c>
      <c r="V34" s="259">
        <f t="shared" ca="1" si="46"/>
        <v>0</v>
      </c>
      <c r="W34" s="259">
        <f t="shared" ca="1" si="46"/>
        <v>0</v>
      </c>
      <c r="X34" s="259">
        <f t="shared" ca="1" si="46"/>
        <v>0</v>
      </c>
      <c r="Y34" s="259">
        <f t="shared" ca="1" si="46"/>
        <v>0</v>
      </c>
      <c r="Z34" s="259">
        <f t="shared" ca="1" si="46"/>
        <v>0</v>
      </c>
      <c r="AA34" s="259">
        <f t="shared" ca="1" si="46"/>
        <v>0</v>
      </c>
      <c r="AB34" s="259">
        <f t="shared" ca="1" si="46"/>
        <v>0</v>
      </c>
      <c r="AC34" s="259">
        <f t="shared" ca="1" si="46"/>
        <v>0</v>
      </c>
      <c r="AD34" s="259">
        <f t="shared" ca="1" si="46"/>
        <v>0</v>
      </c>
      <c r="AE34" s="264">
        <f t="shared" ca="1" si="46"/>
        <v>0</v>
      </c>
    </row>
    <row r="35" spans="4:32" ht="12.75" customHeight="1" x14ac:dyDescent="0.2">
      <c r="D35" s="259">
        <f ca="1">ROUND(D40,2)-ROUND(C40,2)</f>
        <v>0</v>
      </c>
      <c r="F35" s="203" t="s">
        <v>245</v>
      </c>
      <c r="H35" s="265"/>
      <c r="K35" s="266" t="s">
        <v>281</v>
      </c>
      <c r="Q35" s="253"/>
      <c r="R35" s="267"/>
      <c r="S35" s="268" t="s">
        <v>282</v>
      </c>
      <c r="T35" s="269">
        <f ca="1">ROUND(T40,2)</f>
        <v>0</v>
      </c>
      <c r="U35" s="270">
        <f t="shared" ref="U35:AE35" ca="1" si="47">ROUND(U40,2)-ROUND(T40,2)</f>
        <v>0</v>
      </c>
      <c r="V35" s="270">
        <f t="shared" ca="1" si="47"/>
        <v>0</v>
      </c>
      <c r="W35" s="270">
        <f t="shared" ca="1" si="47"/>
        <v>0</v>
      </c>
      <c r="X35" s="270">
        <f t="shared" ca="1" si="47"/>
        <v>0</v>
      </c>
      <c r="Y35" s="270">
        <f t="shared" ca="1" si="47"/>
        <v>0</v>
      </c>
      <c r="Z35" s="270">
        <f t="shared" ca="1" si="47"/>
        <v>0</v>
      </c>
      <c r="AA35" s="270">
        <f t="shared" ca="1" si="47"/>
        <v>0</v>
      </c>
      <c r="AB35" s="270">
        <f t="shared" ca="1" si="47"/>
        <v>0</v>
      </c>
      <c r="AC35" s="270">
        <f t="shared" ca="1" si="47"/>
        <v>0</v>
      </c>
      <c r="AD35" s="270">
        <f t="shared" ca="1" si="47"/>
        <v>0</v>
      </c>
      <c r="AE35" s="271">
        <f t="shared" ca="1" si="47"/>
        <v>0</v>
      </c>
    </row>
    <row r="36" spans="4:32" x14ac:dyDescent="0.2">
      <c r="D36" s="272">
        <f ca="1">ROUND(D41,2)-ROUND(C41,2)</f>
        <v>0</v>
      </c>
      <c r="F36" s="203" t="s">
        <v>245</v>
      </c>
      <c r="H36" s="265"/>
      <c r="K36" s="266"/>
      <c r="Q36" s="253"/>
      <c r="R36" s="273"/>
      <c r="S36" s="274" t="s">
        <v>283</v>
      </c>
      <c r="T36" s="275">
        <f ca="1">ROUND(T41,2)</f>
        <v>0</v>
      </c>
      <c r="U36" s="272">
        <f t="shared" ref="U36:AE36" ca="1" si="48">ROUND(U41,2)-ROUND(T41,2)</f>
        <v>0</v>
      </c>
      <c r="V36" s="272">
        <f t="shared" ca="1" si="48"/>
        <v>0</v>
      </c>
      <c r="W36" s="272">
        <f t="shared" ca="1" si="48"/>
        <v>0</v>
      </c>
      <c r="X36" s="272">
        <f t="shared" ca="1" si="48"/>
        <v>0</v>
      </c>
      <c r="Y36" s="272">
        <f t="shared" ca="1" si="48"/>
        <v>0</v>
      </c>
      <c r="Z36" s="272">
        <f t="shared" ca="1" si="48"/>
        <v>0</v>
      </c>
      <c r="AA36" s="272">
        <f t="shared" ca="1" si="48"/>
        <v>0</v>
      </c>
      <c r="AB36" s="272">
        <f t="shared" ca="1" si="48"/>
        <v>0</v>
      </c>
      <c r="AC36" s="272">
        <f t="shared" ca="1" si="48"/>
        <v>0</v>
      </c>
      <c r="AD36" s="272">
        <f t="shared" ca="1" si="48"/>
        <v>0</v>
      </c>
      <c r="AE36" s="276">
        <f t="shared" ca="1" si="48"/>
        <v>0</v>
      </c>
    </row>
    <row r="37" spans="4:32" x14ac:dyDescent="0.2">
      <c r="D37" s="277">
        <f ca="1">ROUND(D42,2)-ROUND(C42,2)</f>
        <v>0</v>
      </c>
      <c r="F37" s="203" t="s">
        <v>245</v>
      </c>
      <c r="K37" s="278"/>
      <c r="R37" s="279"/>
      <c r="S37" s="280" t="s">
        <v>284</v>
      </c>
      <c r="T37" s="281">
        <f ca="1">ROUND(T42,2)</f>
        <v>0</v>
      </c>
      <c r="U37" s="282">
        <f t="shared" ref="U37:AE37" ca="1" si="49">ROUND(U42,2)-ROUND(T42,2)</f>
        <v>0</v>
      </c>
      <c r="V37" s="282">
        <f t="shared" ca="1" si="49"/>
        <v>0</v>
      </c>
      <c r="W37" s="282">
        <f t="shared" ca="1" si="49"/>
        <v>0</v>
      </c>
      <c r="X37" s="282">
        <f t="shared" ca="1" si="49"/>
        <v>0</v>
      </c>
      <c r="Y37" s="282">
        <f t="shared" ca="1" si="49"/>
        <v>0</v>
      </c>
      <c r="Z37" s="282">
        <f t="shared" ca="1" si="49"/>
        <v>0</v>
      </c>
      <c r="AA37" s="282">
        <f t="shared" ca="1" si="49"/>
        <v>0</v>
      </c>
      <c r="AB37" s="282">
        <f t="shared" ca="1" si="49"/>
        <v>0</v>
      </c>
      <c r="AC37" s="282">
        <f t="shared" ca="1" si="49"/>
        <v>0</v>
      </c>
      <c r="AD37" s="282">
        <f t="shared" ca="1" si="49"/>
        <v>0</v>
      </c>
      <c r="AE37" s="283">
        <f t="shared" ca="1" si="49"/>
        <v>0</v>
      </c>
    </row>
    <row r="38" spans="4:32" x14ac:dyDescent="0.2">
      <c r="D38" s="251" t="e">
        <f ca="1">D42/$Q$33</f>
        <v>#DIV/0!</v>
      </c>
      <c r="F38" s="203" t="s">
        <v>245</v>
      </c>
      <c r="K38" s="252"/>
      <c r="R38" s="254"/>
      <c r="S38" s="255" t="s">
        <v>280</v>
      </c>
      <c r="T38" s="256" t="e">
        <f ca="1">ROUND(T42,2)/$Q$33</f>
        <v>#DIV/0!</v>
      </c>
      <c r="U38" s="257" t="e">
        <f t="shared" ref="U38:AE38" ca="1" si="50">ROUND(U42,2)/$Q$33</f>
        <v>#DIV/0!</v>
      </c>
      <c r="V38" s="257" t="e">
        <f t="shared" ca="1" si="50"/>
        <v>#DIV/0!</v>
      </c>
      <c r="W38" s="257" t="e">
        <f t="shared" ca="1" si="50"/>
        <v>#DIV/0!</v>
      </c>
      <c r="X38" s="257" t="e">
        <f t="shared" ca="1" si="50"/>
        <v>#DIV/0!</v>
      </c>
      <c r="Y38" s="257" t="e">
        <f t="shared" ca="1" si="50"/>
        <v>#DIV/0!</v>
      </c>
      <c r="Z38" s="257" t="e">
        <f t="shared" ca="1" si="50"/>
        <v>#DIV/0!</v>
      </c>
      <c r="AA38" s="257" t="e">
        <f t="shared" ca="1" si="50"/>
        <v>#DIV/0!</v>
      </c>
      <c r="AB38" s="257" t="e">
        <f t="shared" ca="1" si="50"/>
        <v>#DIV/0!</v>
      </c>
      <c r="AC38" s="257" t="e">
        <f t="shared" ca="1" si="50"/>
        <v>#DIV/0!</v>
      </c>
      <c r="AD38" s="257" t="e">
        <f t="shared" ca="1" si="50"/>
        <v>#DIV/0!</v>
      </c>
      <c r="AE38" s="258" t="e">
        <f t="shared" ca="1" si="50"/>
        <v>#DIV/0!</v>
      </c>
    </row>
    <row r="39" spans="4:32" x14ac:dyDescent="0.2">
      <c r="D39" s="259">
        <f ca="1">ROUND(D42-D41-D40,2)</f>
        <v>0</v>
      </c>
      <c r="F39" s="203" t="s">
        <v>245</v>
      </c>
      <c r="K39" s="260"/>
      <c r="R39" s="261"/>
      <c r="S39" s="262" t="str">
        <f>IF(import.recurso="FGTS","Financiamento:","Repasse:")</f>
        <v>Repasse:</v>
      </c>
      <c r="T39" s="263">
        <f ca="1">ROUND(T42-T41-T40,2)</f>
        <v>0</v>
      </c>
      <c r="U39" s="259">
        <f t="shared" ref="U39:AE39" ca="1" si="51">ROUND(U42-U41-U40,2)</f>
        <v>0</v>
      </c>
      <c r="V39" s="259">
        <f t="shared" ca="1" si="51"/>
        <v>0</v>
      </c>
      <c r="W39" s="259">
        <f t="shared" ca="1" si="51"/>
        <v>0</v>
      </c>
      <c r="X39" s="259">
        <f t="shared" ca="1" si="51"/>
        <v>0</v>
      </c>
      <c r="Y39" s="259">
        <f t="shared" ca="1" si="51"/>
        <v>0</v>
      </c>
      <c r="Z39" s="259">
        <f t="shared" ca="1" si="51"/>
        <v>0</v>
      </c>
      <c r="AA39" s="259">
        <f t="shared" ca="1" si="51"/>
        <v>0</v>
      </c>
      <c r="AB39" s="259">
        <f t="shared" ca="1" si="51"/>
        <v>0</v>
      </c>
      <c r="AC39" s="259">
        <f t="shared" ca="1" si="51"/>
        <v>0</v>
      </c>
      <c r="AD39" s="259">
        <f t="shared" ca="1" si="51"/>
        <v>0</v>
      </c>
      <c r="AE39" s="264">
        <f t="shared" ca="1" si="51"/>
        <v>0</v>
      </c>
      <c r="AF39" s="204">
        <f ca="1">AE39+SUMPRODUCT((OFFSET($B$13,1,0):OFFSET($B$32,-3,0))*IF(ISNUMBER(OFFSET(AF$11,5,0):OFFSET(AF$32,-1,0)),OFFSET(AF$11,5,0):OFFSET(AF$32,-1,0),0))</f>
        <v>0</v>
      </c>
    </row>
    <row r="40" spans="4:32" x14ac:dyDescent="0.2">
      <c r="D40" s="259">
        <f t="array" aca="1" ref="D40" ca="1">C40+SUM((OFFSET($B$13,1,0):OFFSET($B$32,-3,0))*IF(ISNUMBER(OFFSET(D$11,5,0):OFFSET(D$32,-1,0)),OFFSET(D$11,5,0):OFFSET(D$32,-1,0),0))</f>
        <v>0</v>
      </c>
      <c r="F40" s="203" t="s">
        <v>245</v>
      </c>
      <c r="K40" s="266" t="s">
        <v>285</v>
      </c>
      <c r="R40" s="267"/>
      <c r="S40" s="268" t="s">
        <v>282</v>
      </c>
      <c r="T40" s="269">
        <f t="array" aca="1" ref="T40" ca="1">SUM((OFFSET($B$13,1,0):OFFSET($B$32,-3,0))*IF(ISNUMBER(OFFSET(T$11,5,0):OFFSET(T$32,-1,0)),OFFSET(T$11,5,0):OFFSET(T$32,-1,0),0))</f>
        <v>0</v>
      </c>
      <c r="U40" s="270">
        <f t="array" aca="1" ref="U40" ca="1">T40+SUM((OFFSET($B$13,1,0):OFFSET($B$32,-3,0))*IF(ISNUMBER(OFFSET(U$11,5,0):OFFSET(U$32,-1,0)),OFFSET(U$11,5,0):OFFSET(U$32,-1,0),0))</f>
        <v>0</v>
      </c>
      <c r="V40" s="270">
        <f t="array" aca="1" ref="V40" ca="1">U40+SUM((OFFSET($B$13,1,0):OFFSET($B$32,-3,0))*IF(ISNUMBER(OFFSET(V$11,5,0):OFFSET(V$32,-1,0)),OFFSET(V$11,5,0):OFFSET(V$32,-1,0),0))</f>
        <v>0</v>
      </c>
      <c r="W40" s="270">
        <f t="array" aca="1" ref="W40" ca="1">V40+SUM((OFFSET($B$13,1,0):OFFSET($B$32,-3,0))*IF(ISNUMBER(OFFSET(W$11,5,0):OFFSET(W$32,-1,0)),OFFSET(W$11,5,0):OFFSET(W$32,-1,0),0))</f>
        <v>0</v>
      </c>
      <c r="X40" s="270">
        <f t="array" aca="1" ref="X40" ca="1">W40+SUM((OFFSET($B$13,1,0):OFFSET($B$32,-3,0))*IF(ISNUMBER(OFFSET(X$11,5,0):OFFSET(X$32,-1,0)),OFFSET(X$11,5,0):OFFSET(X$32,-1,0),0))</f>
        <v>0</v>
      </c>
      <c r="Y40" s="270">
        <f t="array" aca="1" ref="Y40" ca="1">X40+SUM((OFFSET($B$13,1,0):OFFSET($B$32,-3,0))*IF(ISNUMBER(OFFSET(Y$11,5,0):OFFSET(Y$32,-1,0)),OFFSET(Y$11,5,0):OFFSET(Y$32,-1,0),0))</f>
        <v>0</v>
      </c>
      <c r="Z40" s="270">
        <f t="array" aca="1" ref="Z40" ca="1">Y40+SUM((OFFSET($B$13,1,0):OFFSET($B$32,-3,0))*IF(ISNUMBER(OFFSET(Z$11,5,0):OFFSET(Z$32,-1,0)),OFFSET(Z$11,5,0):OFFSET(Z$32,-1,0),0))</f>
        <v>0</v>
      </c>
      <c r="AA40" s="270">
        <f t="array" aca="1" ref="AA40" ca="1">Z40+SUM((OFFSET($B$13,1,0):OFFSET($B$32,-3,0))*IF(ISNUMBER(OFFSET(AA$11,5,0):OFFSET(AA$32,-1,0)),OFFSET(AA$11,5,0):OFFSET(AA$32,-1,0),0))</f>
        <v>0</v>
      </c>
      <c r="AB40" s="270">
        <f t="array" aca="1" ref="AB40" ca="1">AA40+SUM((OFFSET($B$13,1,0):OFFSET($B$32,-3,0))*IF(ISNUMBER(OFFSET(AB$11,5,0):OFFSET(AB$32,-1,0)),OFFSET(AB$11,5,0):OFFSET(AB$32,-1,0),0))</f>
        <v>0</v>
      </c>
      <c r="AC40" s="270">
        <f t="array" aca="1" ref="AC40" ca="1">AB40+SUM((OFFSET($B$13,1,0):OFFSET($B$32,-3,0))*IF(ISNUMBER(OFFSET(AC$11,5,0):OFFSET(AC$32,-1,0)),OFFSET(AC$11,5,0):OFFSET(AC$32,-1,0),0))</f>
        <v>0</v>
      </c>
      <c r="AD40" s="270">
        <f t="array" aca="1" ref="AD40" ca="1">AC40+SUM((OFFSET($B$13,1,0):OFFSET($B$32,-3,0))*IF(ISNUMBER(OFFSET(AD$11,5,0):OFFSET(AD$32,-1,0)),OFFSET(AD$11,5,0):OFFSET(AD$32,-1,0),0))</f>
        <v>0</v>
      </c>
      <c r="AE40" s="271">
        <f t="array" aca="1" ref="AE40" ca="1">AD40+SUM((OFFSET($B$13,1,0):OFFSET($B$32,-3,0))*IF(ISNUMBER(OFFSET(AE$11,5,0):OFFSET(AE$32,-1,0)),OFFSET(AE$11,5,0):OFFSET(AE$32,-1,0),0))</f>
        <v>0</v>
      </c>
      <c r="AF40" s="204">
        <f ca="1">AE40+SUMPRODUCT((OFFSET($C$13,1,0):OFFSET($C$32,-3,0))*IF(ISNUMBER(OFFSET(AF$11,5,0):OFFSET(AF$32,-1,0)),OFFSET(AF$11,5,0):OFFSET(AF$32,-1,0),0))</f>
        <v>0</v>
      </c>
    </row>
    <row r="41" spans="4:32" x14ac:dyDescent="0.2">
      <c r="D41" s="272">
        <f t="array" aca="1" ref="D41" ca="1">C41+SUM((OFFSET($C$13,1,0):OFFSET($C$32,-3,0))*IF(ISNUMBER(OFFSET(D$11,5,0):OFFSET(D$32,-1,0)),OFFSET(D$11,5,0):OFFSET(D$32,-1,0),0))</f>
        <v>0</v>
      </c>
      <c r="F41" s="203" t="s">
        <v>245</v>
      </c>
      <c r="K41" s="266"/>
      <c r="R41" s="273"/>
      <c r="S41" s="274" t="s">
        <v>283</v>
      </c>
      <c r="T41" s="275">
        <f t="array" aca="1" ref="T41" ca="1">SUM((OFFSET($C$13,1,0):OFFSET($C$32,-3,0))*IF(ISNUMBER(OFFSET(T$11,5,0):OFFSET(T$32,-1,0)),OFFSET(T$11,5,0):OFFSET(T$32,-1,0),0))</f>
        <v>0</v>
      </c>
      <c r="U41" s="272">
        <f t="array" aca="1" ref="U41" ca="1">T41+SUM((OFFSET($C$13,1,0):OFFSET($C$32,-3,0))*IF(ISNUMBER(OFFSET(U$11,5,0):OFFSET(U$32,-1,0)),OFFSET(U$11,5,0):OFFSET(U$32,-1,0),0))</f>
        <v>0</v>
      </c>
      <c r="V41" s="272">
        <f t="array" aca="1" ref="V41" ca="1">U41+SUM((OFFSET($C$13,1,0):OFFSET($C$32,-3,0))*IF(ISNUMBER(OFFSET(V$11,5,0):OFFSET(V$32,-1,0)),OFFSET(V$11,5,0):OFFSET(V$32,-1,0),0))</f>
        <v>0</v>
      </c>
      <c r="W41" s="272">
        <f t="array" aca="1" ref="W41" ca="1">V41+SUM((OFFSET($C$13,1,0):OFFSET($C$32,-3,0))*IF(ISNUMBER(OFFSET(W$11,5,0):OFFSET(W$32,-1,0)),OFFSET(W$11,5,0):OFFSET(W$32,-1,0),0))</f>
        <v>0</v>
      </c>
      <c r="X41" s="272">
        <f t="array" aca="1" ref="X41" ca="1">W41+SUM((OFFSET($C$13,1,0):OFFSET($C$32,-3,0))*IF(ISNUMBER(OFFSET(X$11,5,0):OFFSET(X$32,-1,0)),OFFSET(X$11,5,0):OFFSET(X$32,-1,0),0))</f>
        <v>0</v>
      </c>
      <c r="Y41" s="272">
        <f t="array" aca="1" ref="Y41" ca="1">X41+SUM((OFFSET($C$13,1,0):OFFSET($C$32,-3,0))*IF(ISNUMBER(OFFSET(Y$11,5,0):OFFSET(Y$32,-1,0)),OFFSET(Y$11,5,0):OFFSET(Y$32,-1,0),0))</f>
        <v>0</v>
      </c>
      <c r="Z41" s="272">
        <f t="array" aca="1" ref="Z41" ca="1">Y41+SUM((OFFSET($C$13,1,0):OFFSET($C$32,-3,0))*IF(ISNUMBER(OFFSET(Z$11,5,0):OFFSET(Z$32,-1,0)),OFFSET(Z$11,5,0):OFFSET(Z$32,-1,0),0))</f>
        <v>0</v>
      </c>
      <c r="AA41" s="272">
        <f t="array" aca="1" ref="AA41" ca="1">Z41+SUM((OFFSET($C$13,1,0):OFFSET($C$32,-3,0))*IF(ISNUMBER(OFFSET(AA$11,5,0):OFFSET(AA$32,-1,0)),OFFSET(AA$11,5,0):OFFSET(AA$32,-1,0),0))</f>
        <v>0</v>
      </c>
      <c r="AB41" s="272">
        <f t="array" aca="1" ref="AB41" ca="1">AA41+SUM((OFFSET($C$13,1,0):OFFSET($C$32,-3,0))*IF(ISNUMBER(OFFSET(AB$11,5,0):OFFSET(AB$32,-1,0)),OFFSET(AB$11,5,0):OFFSET(AB$32,-1,0),0))</f>
        <v>0</v>
      </c>
      <c r="AC41" s="272">
        <f t="array" aca="1" ref="AC41" ca="1">AB41+SUM((OFFSET($C$13,1,0):OFFSET($C$32,-3,0))*IF(ISNUMBER(OFFSET(AC$11,5,0):OFFSET(AC$32,-1,0)),OFFSET(AC$11,5,0):OFFSET(AC$32,-1,0),0))</f>
        <v>0</v>
      </c>
      <c r="AD41" s="272">
        <f t="array" aca="1" ref="AD41" ca="1">AC41+SUM((OFFSET($C$13,1,0):OFFSET($C$32,-3,0))*IF(ISNUMBER(OFFSET(AD$11,5,0):OFFSET(AD$32,-1,0)),OFFSET(AD$11,5,0):OFFSET(AD$32,-1,0),0))</f>
        <v>0</v>
      </c>
      <c r="AE41" s="276">
        <f t="array" aca="1" ref="AE41" ca="1">AD41+SUM((OFFSET($C$13,1,0):OFFSET($C$32,-3,0))*IF(ISNUMBER(OFFSET(AE$11,5,0):OFFSET(AE$32,-1,0)),OFFSET(AE$11,5,0):OFFSET(AE$32,-1,0),0))</f>
        <v>0</v>
      </c>
      <c r="AF41" s="204">
        <f ca="1">ROUND(AF42-AF39-AF40,2)</f>
        <v>0</v>
      </c>
    </row>
    <row r="42" spans="4:32" x14ac:dyDescent="0.2">
      <c r="D42" s="277">
        <f ca="1">C42+SUMIF($R$12:$R$32,"1$",D12:D32)</f>
        <v>0</v>
      </c>
      <c r="F42" s="203" t="s">
        <v>245</v>
      </c>
      <c r="K42" s="278"/>
      <c r="R42" s="279"/>
      <c r="S42" s="280" t="s">
        <v>284</v>
      </c>
      <c r="T42" s="281">
        <f ca="1">SUMIF($R$12:$R$32,"1$",T12:T32)</f>
        <v>0</v>
      </c>
      <c r="U42" s="282">
        <f t="shared" ref="U42:AF42" ca="1" si="52">T42+SUMIF($R$12:$R$32,"1$",U12:U32)</f>
        <v>0</v>
      </c>
      <c r="V42" s="282">
        <f t="shared" ca="1" si="52"/>
        <v>0</v>
      </c>
      <c r="W42" s="282">
        <f t="shared" ca="1" si="52"/>
        <v>0</v>
      </c>
      <c r="X42" s="282">
        <f t="shared" ca="1" si="52"/>
        <v>0</v>
      </c>
      <c r="Y42" s="282">
        <f t="shared" ca="1" si="52"/>
        <v>0</v>
      </c>
      <c r="Z42" s="282">
        <f t="shared" ca="1" si="52"/>
        <v>0</v>
      </c>
      <c r="AA42" s="282">
        <f t="shared" ca="1" si="52"/>
        <v>0</v>
      </c>
      <c r="AB42" s="282">
        <f t="shared" ca="1" si="52"/>
        <v>0</v>
      </c>
      <c r="AC42" s="282">
        <f t="shared" ca="1" si="52"/>
        <v>0</v>
      </c>
      <c r="AD42" s="282">
        <f t="shared" ca="1" si="52"/>
        <v>0</v>
      </c>
      <c r="AE42" s="283">
        <f t="shared" ca="1" si="52"/>
        <v>0</v>
      </c>
      <c r="AF42" s="204">
        <f t="shared" ca="1" si="52"/>
        <v>0</v>
      </c>
    </row>
    <row r="43" spans="4:32" x14ac:dyDescent="0.2">
      <c r="F43" s="203" t="s">
        <v>245</v>
      </c>
    </row>
    <row r="44" spans="4:32" ht="32.25" customHeight="1" x14ac:dyDescent="0.2">
      <c r="F44" s="203" t="s">
        <v>245</v>
      </c>
      <c r="H44" s="644" t="str">
        <f>Import.Município</f>
        <v>BENTO GONÇALVES/RS</v>
      </c>
      <c r="I44" s="644"/>
      <c r="J44" s="644"/>
      <c r="K44" s="644"/>
      <c r="L44" s="644"/>
      <c r="M44" s="644"/>
      <c r="N44" s="644"/>
      <c r="O44" s="644"/>
      <c r="P44" s="644"/>
      <c r="Q44" s="644"/>
      <c r="R44" s="644"/>
      <c r="Z44" s="531"/>
      <c r="AA44" s="531"/>
      <c r="AB44" s="531"/>
      <c r="AC44" s="531"/>
      <c r="AD44" s="533"/>
      <c r="AE44" s="533"/>
    </row>
    <row r="45" spans="4:32" x14ac:dyDescent="0.2">
      <c r="F45" s="203" t="s">
        <v>245</v>
      </c>
      <c r="H45" s="10" t="s">
        <v>187</v>
      </c>
      <c r="I45"/>
      <c r="J45"/>
      <c r="K45"/>
      <c r="Z45" s="195" t="s">
        <v>189</v>
      </c>
      <c r="AA45" s="195"/>
      <c r="AB45" s="195"/>
      <c r="AC45" s="195"/>
      <c r="AD45" s="203"/>
      <c r="AE45" s="203"/>
    </row>
    <row r="46" spans="4:32" x14ac:dyDescent="0.2">
      <c r="F46" s="203" t="s">
        <v>245</v>
      </c>
      <c r="H46"/>
      <c r="I46"/>
      <c r="J46"/>
      <c r="K46"/>
      <c r="Z46" s="444" t="str">
        <f t="array" aca="1" ref="Z46:Z48" ca="1">OFFSET(Import.RespOrçamento,0,-1) &amp; " " &amp; Import.RespOrçamento</f>
        <v>Nome: Eng. Bruna de Oliveira Pelizza</v>
      </c>
      <c r="AB46"/>
      <c r="AC46" s="80"/>
      <c r="AD46" s="203"/>
      <c r="AE46" s="203"/>
    </row>
    <row r="47" spans="4:32" x14ac:dyDescent="0.2">
      <c r="F47" s="203" t="s">
        <v>245</v>
      </c>
      <c r="H47" s="674">
        <f>DADOS!$F$25</f>
        <v>46199</v>
      </c>
      <c r="I47" s="674"/>
      <c r="J47" s="674"/>
      <c r="K47" s="194"/>
      <c r="L47" s="284"/>
      <c r="M47" s="284"/>
      <c r="N47" s="284"/>
      <c r="O47" s="284"/>
      <c r="P47" s="284"/>
      <c r="Q47" s="284"/>
      <c r="R47" s="285"/>
      <c r="Z47" s="444" t="str">
        <f ca="1"/>
        <v>CREA/CAU: RS230174</v>
      </c>
      <c r="AB47" s="80"/>
      <c r="AC47" s="80"/>
      <c r="AD47" s="203"/>
      <c r="AE47" s="203"/>
    </row>
    <row r="48" spans="4:32" x14ac:dyDescent="0.2">
      <c r="F48" s="203" t="s">
        <v>245</v>
      </c>
      <c r="H48" s="10" t="s">
        <v>188</v>
      </c>
      <c r="I48"/>
      <c r="J48"/>
      <c r="K48"/>
      <c r="Z48" s="444" t="str">
        <f ca="1"/>
        <v xml:space="preserve">ART/RRT: </v>
      </c>
      <c r="AB48" s="80"/>
      <c r="AC48" s="80"/>
      <c r="AD48" s="203"/>
      <c r="AE48" s="203"/>
    </row>
  </sheetData>
  <sheetProtection algorithmName="SHA-512" hashValue="E9jjXmzX8coOAr8BiVp9gR4/NWRGeZHBbh6ouwgNLAoT9dVmNR4Y9Qi3Rpvz3sDPBJEyuI5fx132/DLmCzdMpw==" saltValue="DU32fncM2I1VfeKccNSXZA==" spinCount="100000" sheet="1" objects="1" scenarios="1" autoFilter="0"/>
  <autoFilter ref="F13:F48" xr:uid="{00000000-0009-0000-0000-000008000000}">
    <filterColumn colId="0">
      <filters>
        <filter val="F"/>
      </filters>
    </filterColumn>
  </autoFilter>
  <mergeCells count="17">
    <mergeCell ref="F8:F11"/>
    <mergeCell ref="H8:I8"/>
    <mergeCell ref="G7:G9"/>
    <mergeCell ref="H33:J34"/>
    <mergeCell ref="G12:G13"/>
    <mergeCell ref="H12:H13"/>
    <mergeCell ref="I12:I13"/>
    <mergeCell ref="H47:J47"/>
    <mergeCell ref="AD4:AE4"/>
    <mergeCell ref="AD5:AE5"/>
    <mergeCell ref="Y8:AD8"/>
    <mergeCell ref="R12:R13"/>
    <mergeCell ref="S12:S13"/>
    <mergeCell ref="K8:S8"/>
    <mergeCell ref="T8:X8"/>
    <mergeCell ref="J10:S11"/>
    <mergeCell ref="H44:R44"/>
  </mergeCells>
  <phoneticPr fontId="38" type="noConversion"/>
  <conditionalFormatting sqref="T12:T13">
    <cfRule type="expression" dxfId="165" priority="3497" stopIfTrue="1">
      <formula>NOT(ISNUMBER(S$12))</formula>
    </cfRule>
  </conditionalFormatting>
  <conditionalFormatting sqref="D2 T2:AF2">
    <cfRule type="expression" dxfId="164" priority="3498" stopIfTrue="1">
      <formula>AND(ISNUMBER($G1),$G1&lt;&gt;0)</formula>
    </cfRule>
  </conditionalFormatting>
  <conditionalFormatting sqref="H2:R2">
    <cfRule type="expression" dxfId="163" priority="3499" stopIfTrue="1">
      <formula>$L1=2</formula>
    </cfRule>
    <cfRule type="expression" dxfId="162" priority="3500" stopIfTrue="1">
      <formula>AND($L1=1,$R1&lt;&gt;"")</formula>
    </cfRule>
  </conditionalFormatting>
  <conditionalFormatting sqref="H1:R1">
    <cfRule type="expression" dxfId="161" priority="3501" stopIfTrue="1">
      <formula>$L1=2</formula>
    </cfRule>
    <cfRule type="expression" dxfId="160" priority="3502" stopIfTrue="1">
      <formula>AND($L1=1,$R1&lt;&gt;"")</formula>
    </cfRule>
  </conditionalFormatting>
  <conditionalFormatting sqref="D33:D37 T34:AE34 T36:AE36">
    <cfRule type="expression" dxfId="159" priority="3503" stopIfTrue="1">
      <formula>D$33=0</formula>
    </cfRule>
  </conditionalFormatting>
  <conditionalFormatting sqref="D38:D42">
    <cfRule type="expression" dxfId="158" priority="3504" stopIfTrue="1">
      <formula>C$38=1</formula>
    </cfRule>
  </conditionalFormatting>
  <conditionalFormatting sqref="U38:AE38 U40:AE40 U42:AE42">
    <cfRule type="expression" dxfId="157" priority="3505" stopIfTrue="1">
      <formula>OFFSET(U$38,0,-1)&gt;=1</formula>
    </cfRule>
  </conditionalFormatting>
  <conditionalFormatting sqref="U39:AE39 U41:AE41">
    <cfRule type="expression" dxfId="156" priority="3506" stopIfTrue="1">
      <formula>OFFSET(U$38,0,-1)&gt;=1</formula>
    </cfRule>
  </conditionalFormatting>
  <conditionalFormatting sqref="T33:AE33 T35:AE35 T37:AE37">
    <cfRule type="expression" dxfId="155" priority="3507" stopIfTrue="1">
      <formula>T$33=0</formula>
    </cfRule>
  </conditionalFormatting>
  <conditionalFormatting sqref="AE7:AE8">
    <cfRule type="expression" dxfId="154" priority="3508" stopIfTrue="1">
      <formula>OR(TIPOORCAMENTO&lt;&gt;"Licitado",QCI.ExisteManual)</formula>
    </cfRule>
  </conditionalFormatting>
  <conditionalFormatting sqref="D1 T1:AE1">
    <cfRule type="expression" dxfId="153" priority="3509" stopIfTrue="1">
      <formula>D1&lt;&gt;0</formula>
    </cfRule>
  </conditionalFormatting>
  <conditionalFormatting sqref="Y7:AD8">
    <cfRule type="expression" dxfId="152" priority="3496" stopIfTrue="1">
      <formula>QCI.ExisteManual</formula>
    </cfRule>
  </conditionalFormatting>
  <conditionalFormatting sqref="D15 D18 D21 T15:AF15 T18:AF18 T21:AF21">
    <cfRule type="expression" dxfId="151" priority="129" stopIfTrue="1">
      <formula>AND(ISNUMBER($G14),$G14&lt;&gt;0)</formula>
    </cfRule>
  </conditionalFormatting>
  <conditionalFormatting sqref="H15:R15 H18:R18 H21:R21">
    <cfRule type="expression" dxfId="150" priority="130" stopIfTrue="1">
      <formula>$L14=2</formula>
    </cfRule>
    <cfRule type="expression" dxfId="149" priority="131" stopIfTrue="1">
      <formula>AND($L14=1,$R14&lt;&gt;"")</formula>
    </cfRule>
  </conditionalFormatting>
  <conditionalFormatting sqref="H14:R14 H17:R17 H20:R20">
    <cfRule type="expression" dxfId="148" priority="132" stopIfTrue="1">
      <formula>$L14=2</formula>
    </cfRule>
    <cfRule type="expression" dxfId="147" priority="133" stopIfTrue="1">
      <formula>AND($L14=1,$R14&lt;&gt;"")</formula>
    </cfRule>
  </conditionalFormatting>
  <conditionalFormatting sqref="D14 D17 D20 T14:AE14 T17:AE17 T20:AE20">
    <cfRule type="expression" dxfId="146" priority="134" stopIfTrue="1">
      <formula>D14&lt;&gt;0</formula>
    </cfRule>
  </conditionalFormatting>
  <conditionalFormatting sqref="D24 D27 D30 T24:AF24 T27:AF27 AF30">
    <cfRule type="expression" dxfId="145" priority="123" stopIfTrue="1">
      <formula>AND(ISNUMBER($G23),$G23&lt;&gt;0)</formula>
    </cfRule>
  </conditionalFormatting>
  <conditionalFormatting sqref="H24:R24 H27:R27 H30:R30">
    <cfRule type="expression" dxfId="144" priority="124" stopIfTrue="1">
      <formula>$L23=2</formula>
    </cfRule>
    <cfRule type="expression" dxfId="143" priority="125" stopIfTrue="1">
      <formula>AND($L23=1,$R23&lt;&gt;"")</formula>
    </cfRule>
  </conditionalFormatting>
  <conditionalFormatting sqref="H23:R23 H26:R26 H29:R29">
    <cfRule type="expression" dxfId="142" priority="126" stopIfTrue="1">
      <formula>$L23=2</formula>
    </cfRule>
    <cfRule type="expression" dxfId="141" priority="127" stopIfTrue="1">
      <formula>AND($L23=1,$R23&lt;&gt;"")</formula>
    </cfRule>
  </conditionalFormatting>
  <conditionalFormatting sqref="D23 D26 D29 T23:AE23 T26:AE26 T29:AE29">
    <cfRule type="expression" dxfId="140" priority="128" stopIfTrue="1">
      <formula>D23&lt;&gt;0</formula>
    </cfRule>
  </conditionalFormatting>
  <conditionalFormatting sqref="T30:AE30">
    <cfRule type="expression" dxfId="139" priority="32" stopIfTrue="1">
      <formula>AND(ISNUMBER($G29),$G29&lt;&gt;0)</formula>
    </cfRule>
  </conditionalFormatting>
  <dataValidations count="5">
    <dataValidation type="list" allowBlank="1" showErrorMessage="1" sqref="G10" xr:uid="{00000000-0002-0000-0800-000000000000}">
      <formula1>"1,2,3,4"</formula1>
      <formula2>0</formula2>
    </dataValidation>
    <dataValidation allowBlank="1" showInputMessage="1" showErrorMessage="1" prompt="Preencha na célula de baixo. Se o acompanhamento for PLE, preencha no botão PREENCHIMENTO POR EVENTOS, acima." sqref="D1 T1:AE1 D14 D17 D20 T14:AE14 T17:AE17 T20:AE20 D23 D26 D29 T23:AE23 T26:AE26 T29:AE29" xr:uid="{00000000-0002-0000-0800-000001000000}"/>
    <dataValidation type="whole" operator="greaterThan" allowBlank="1" showErrorMessage="1" sqref="T12" xr:uid="{00000000-0002-0000-0800-000002000000}">
      <formula1>0</formula1>
      <formula2>0</formula2>
    </dataValidation>
    <dataValidation type="decimal" allowBlank="1" showErrorMessage="1" error="Porcentagem Acumulada &gt; 100%." sqref="D2 T2:AF2 D15 D18 D21 T15:AF15 T18:AF18 T21:AF21 D24 D27 D30 T24:AF24 T27:AF27 T30:AF30" xr:uid="{00000000-0002-0000-0800-000003000000}">
      <formula1>0</formula1>
      <formula2>CRONO.MaxParc</formula2>
    </dataValidation>
    <dataValidation type="date" operator="greaterThan" allowBlank="1" showInputMessage="1" showErrorMessage="1" errorTitle="Erro" error="Digite somente datas." sqref="T13" xr:uid="{00000000-0002-0000-0800-000004000000}">
      <formula1>36526</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&amp;LPMv3.07&amp;R&amp;P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7">
    <pageSetUpPr fitToPage="1"/>
  </sheetPr>
  <dimension ref="A1:AE37"/>
  <sheetViews>
    <sheetView showGridLines="0" zoomScaleNormal="100" zoomScaleSheetLayoutView="90" workbookViewId="0">
      <pane xSplit="7" ySplit="13" topLeftCell="H14" activePane="bottomRight" state="frozen"/>
      <selection activeCell="C1" sqref="C1"/>
      <selection pane="topRight" activeCell="H1" sqref="H1"/>
      <selection pane="bottomLeft" activeCell="C14" sqref="C14"/>
      <selection pane="bottomRight" activeCell="M17" sqref="M17"/>
    </sheetView>
  </sheetViews>
  <sheetFormatPr defaultRowHeight="12.75" x14ac:dyDescent="0.2"/>
  <cols>
    <col min="1" max="1" width="15.85546875" hidden="1" customWidth="1"/>
    <col min="2" max="2" width="10.42578125" hidden="1" customWidth="1"/>
    <col min="3" max="3" width="3.7109375" customWidth="1"/>
    <col min="4" max="4" width="6.7109375" customWidth="1"/>
    <col min="5" max="5" width="18.7109375" customWidth="1"/>
    <col min="6" max="6" width="28.7109375" customWidth="1"/>
    <col min="7" max="7" width="35.7109375" customWidth="1"/>
    <col min="8" max="8" width="15.7109375" customWidth="1"/>
    <col min="9" max="9" width="12.7109375" customWidth="1"/>
    <col min="10" max="10" width="7.7109375" customWidth="1"/>
    <col min="11" max="15" width="16.7109375" customWidth="1"/>
    <col min="16" max="17" width="5.7109375" customWidth="1"/>
    <col min="18" max="18" width="35.7109375" customWidth="1"/>
    <col min="19" max="19" width="1.7109375" customWidth="1"/>
    <col min="20" max="21" width="16.7109375" customWidth="1"/>
    <col min="22" max="22" width="13.7109375" customWidth="1"/>
    <col min="23" max="24" width="16.7109375" customWidth="1"/>
    <col min="25" max="25" width="1.7109375" customWidth="1"/>
    <col min="26" max="28" width="9.140625" hidden="1" customWidth="1"/>
    <col min="29" max="29" width="3.7109375" hidden="1" customWidth="1"/>
    <col min="30" max="30" width="13.42578125" hidden="1" customWidth="1"/>
    <col min="31" max="31" width="9.140625" hidden="1" customWidth="1"/>
  </cols>
  <sheetData>
    <row r="1" spans="1:31" ht="30" customHeight="1" x14ac:dyDescent="0.2">
      <c r="F1" s="312" t="s">
        <v>301</v>
      </c>
      <c r="I1" s="8"/>
      <c r="J1" s="8"/>
      <c r="O1" s="570" t="s">
        <v>452</v>
      </c>
      <c r="P1" s="87"/>
    </row>
    <row r="2" spans="1:31" x14ac:dyDescent="0.2">
      <c r="Z2" t="s">
        <v>302</v>
      </c>
      <c r="AA2" s="90" t="s">
        <v>303</v>
      </c>
      <c r="AB2" s="78"/>
    </row>
    <row r="3" spans="1:31" x14ac:dyDescent="0.2">
      <c r="D3" s="622" t="s">
        <v>146</v>
      </c>
      <c r="E3" s="622"/>
      <c r="F3" s="89" t="s">
        <v>432</v>
      </c>
      <c r="G3" s="622" t="s">
        <v>147</v>
      </c>
      <c r="H3" s="622"/>
      <c r="I3" s="622"/>
      <c r="J3" s="691" t="s">
        <v>304</v>
      </c>
      <c r="K3" s="691"/>
      <c r="L3" s="691"/>
      <c r="M3" s="692" t="s">
        <v>305</v>
      </c>
      <c r="N3" s="692"/>
      <c r="O3" s="692"/>
      <c r="Z3" s="104">
        <f ca="1">MAX(Z7:AB7)</f>
        <v>0</v>
      </c>
      <c r="AA3" s="313">
        <f ca="1">IF(OR($O$24=ORÇAMENTO.SumINVMANUAL+QCI.SumINVMANUAL,$O$24=0),0,MIN(MAX(0,($Z$3*$O$24-ORÇAMENTO.SumCPMANUAL-QCI.SumCPMANUAL)/($O$24-ORÇAMENTO.SumINVMANUAL-QCI.SumINVMANUAL)),1))</f>
        <v>0</v>
      </c>
      <c r="AB3" s="94"/>
    </row>
    <row r="4" spans="1:31" x14ac:dyDescent="0.2">
      <c r="D4" s="625">
        <f>Import.CR</f>
        <v>0</v>
      </c>
      <c r="E4" s="625"/>
      <c r="F4" s="57">
        <f>Import.TransfereGOV</f>
        <v>0</v>
      </c>
      <c r="G4" s="625" t="str">
        <f>Import.Proponente</f>
        <v>MUNICIPIO DE BENTO GONÇALVES</v>
      </c>
      <c r="H4" s="625"/>
      <c r="I4" s="625"/>
      <c r="J4" s="693" t="str">
        <f>Import.Município</f>
        <v>BENTO GONÇALVES/RS</v>
      </c>
      <c r="K4" s="693"/>
      <c r="L4" s="693"/>
      <c r="M4" s="692"/>
      <c r="N4" s="692"/>
      <c r="O4" s="692"/>
      <c r="R4" s="131"/>
      <c r="Z4" s="94"/>
      <c r="AA4" s="94"/>
      <c r="AB4" s="94"/>
    </row>
    <row r="5" spans="1:31" ht="5.0999999999999996" customHeight="1" x14ac:dyDescent="0.2">
      <c r="M5" s="305"/>
      <c r="O5" s="4"/>
    </row>
    <row r="6" spans="1:31" x14ac:dyDescent="0.2">
      <c r="D6" s="622" t="s">
        <v>201</v>
      </c>
      <c r="E6" s="622"/>
      <c r="F6" s="622"/>
      <c r="G6" s="622"/>
      <c r="H6" s="622"/>
      <c r="I6" s="622"/>
      <c r="J6" s="622"/>
      <c r="K6" s="622"/>
      <c r="L6" s="314" t="s">
        <v>209</v>
      </c>
      <c r="M6" s="89" t="str">
        <f>IF(import.recurso="FGTS","FINANCIAMENTO","REPASSE")</f>
        <v>REPASSE</v>
      </c>
      <c r="N6" s="89" t="s">
        <v>306</v>
      </c>
      <c r="O6" s="89" t="s">
        <v>307</v>
      </c>
      <c r="Z6" t="s">
        <v>308</v>
      </c>
      <c r="AA6" t="s">
        <v>309</v>
      </c>
      <c r="AB6" t="s">
        <v>310</v>
      </c>
    </row>
    <row r="7" spans="1:31" ht="12.75" customHeight="1" x14ac:dyDescent="0.2">
      <c r="C7" s="615" t="s">
        <v>208</v>
      </c>
      <c r="D7" s="625" t="str">
        <f>Import.Apelido</f>
        <v>RUA MIGUEL A DA ROLT</v>
      </c>
      <c r="E7" s="625"/>
      <c r="F7" s="625"/>
      <c r="G7" s="625"/>
      <c r="H7" s="625"/>
      <c r="I7" s="625"/>
      <c r="J7" s="625"/>
      <c r="K7" s="625"/>
      <c r="L7" s="315" t="str">
        <f>import.recurso</f>
        <v>(SELECIONAR)</v>
      </c>
      <c r="M7" s="316">
        <f>Import.Repasse</f>
        <v>0</v>
      </c>
      <c r="N7" s="316">
        <f>Import.Contrapartida</f>
        <v>0</v>
      </c>
      <c r="O7" s="316">
        <f>M7+N7</f>
        <v>0</v>
      </c>
      <c r="Z7" s="104">
        <f>ROUND(Import.CPMinPerc,4)</f>
        <v>0</v>
      </c>
      <c r="AA7" s="104">
        <f ca="1">IF($O$24=0,0,Import.CPMinAbsoluta/$O$24)</f>
        <v>0</v>
      </c>
      <c r="AB7" s="104">
        <f ca="1">IF($O$24=0,0,($O$24-$AB$24-Import.Repasse)/($O$24))</f>
        <v>0</v>
      </c>
    </row>
    <row r="8" spans="1:31" x14ac:dyDescent="0.2">
      <c r="C8" s="615"/>
      <c r="D8" s="94"/>
      <c r="E8" s="94"/>
      <c r="F8" s="317"/>
      <c r="G8" s="94"/>
      <c r="H8" s="94"/>
      <c r="I8" s="94"/>
      <c r="J8" s="94"/>
      <c r="K8" s="94"/>
      <c r="L8" s="94"/>
      <c r="M8" s="94"/>
      <c r="N8" s="94"/>
      <c r="O8" s="94"/>
    </row>
    <row r="9" spans="1:31" ht="12.75" customHeight="1" x14ac:dyDescent="0.2">
      <c r="C9" s="615"/>
      <c r="G9" s="690" t="str">
        <f ca="1">CHOOSE(1+LOG(1+2*(AND($O$24&gt;0,$M$25&gt;Import.CPMaxPerc,Import.CPMaxPerc&gt;0))+4*(OR(AND($O$24&gt;0,$M$25&lt;QCI!$Z$7),$M$24&lt;ROUND(Import.CPMinAbsoluta,2)))+8*(OR($L$10&lt;0,$M$10&lt;0))+16*(COUNTIF($L$13:$L$24,"&lt;0")&gt;0)+32*(OFFSET($A$24,-1,0)&lt;OFFSET(ORÇAMENTO!$E$51,-1,0)),2),"","ERRO: CONTRAPARTIDA MAIOR QUE A MÁXIMA","ERRO: CONTRAPARTIDA MENOR QUE A MÍNIMA","ERRO: SALDO NEGATIVO","ERRO: VALORES DE REPASSE NEGATIVOS","ERRO: NÚMERO DE LINHAS DO QCI INSUFICIENTE. CLIQUE NO BOTÃO ADICIONAR LINHAS")</f>
        <v/>
      </c>
      <c r="H9" s="690"/>
      <c r="I9" s="596"/>
      <c r="J9" s="595"/>
      <c r="K9" s="689" t="s">
        <v>311</v>
      </c>
      <c r="L9" s="318" t="str">
        <f>$L$13</f>
        <v>Repasse (R$)</v>
      </c>
      <c r="M9" s="318" t="s">
        <v>237</v>
      </c>
      <c r="AD9" s="687"/>
      <c r="AE9" s="687"/>
    </row>
    <row r="10" spans="1:31" ht="12.75" customHeight="1" x14ac:dyDescent="0.2">
      <c r="A10" s="686" t="s">
        <v>312</v>
      </c>
      <c r="C10" s="615"/>
      <c r="G10" s="690"/>
      <c r="H10" s="690"/>
      <c r="I10" s="596"/>
      <c r="J10" s="595"/>
      <c r="K10" s="689"/>
      <c r="L10" s="319">
        <f ca="1">Import.Repasse-L24</f>
        <v>0</v>
      </c>
      <c r="M10" s="320">
        <f ca="1">Import.Contrapartida-M24</f>
        <v>0</v>
      </c>
      <c r="Z10" s="635" t="s">
        <v>215</v>
      </c>
      <c r="AA10" s="635"/>
      <c r="AB10" s="635"/>
      <c r="AD10" s="687" t="s">
        <v>313</v>
      </c>
      <c r="AE10" s="687"/>
    </row>
    <row r="11" spans="1:31" ht="20.100000000000001" customHeight="1" x14ac:dyDescent="0.2">
      <c r="A11" s="686"/>
      <c r="C11" s="615"/>
      <c r="Z11" s="112" t="s">
        <v>314</v>
      </c>
      <c r="AA11" s="112" t="s">
        <v>237</v>
      </c>
      <c r="AB11" s="113" t="s">
        <v>238</v>
      </c>
    </row>
    <row r="12" spans="1:31" hidden="1" x14ac:dyDescent="0.2">
      <c r="A12">
        <f ca="1">IF(NOT(ISBLANK(QCI.DescManual)),OFFSET(A12,-1,0),D12)</f>
        <v>-1</v>
      </c>
      <c r="B12" t="str">
        <f ca="1">IF(NOT(ISBLANK(QCI.DescManual)),IF(QCI.Divisao="Calculado","Manual","SemiAuto"),IF(ISERROR(MATCH($A12,ORÇAMENTO!$E$15:$E$51,0)),"Branco","Automático"))</f>
        <v>Branco</v>
      </c>
      <c r="C12" t="str">
        <f ca="1">IF(O12&gt;0,"F","")</f>
        <v/>
      </c>
      <c r="D12" s="321">
        <f>ROW()-ROW($D$13)</f>
        <v>-1</v>
      </c>
      <c r="E12" s="120"/>
      <c r="F12" s="120"/>
      <c r="G12" s="172" t="str">
        <f ca="1">IF(OR($B12="Manual",$B12="SemiAuto"),QCI.DescManual,IF($B12="Automático",INDEX(ORÇAMENTO!$R$15:$R$51,MATCH($A12,ORÇAMENTO!$E$15:$E$51,0)),""))</f>
        <v/>
      </c>
      <c r="H12" s="120"/>
      <c r="I12" s="535"/>
      <c r="J12" s="322" t="str">
        <f ca="1">IF(AND(ISBLANK(E12),ISBLANK(F12)),"",VLOOKUP($F12,OFFSET(DADOS!$A$2,1,MATCH(QCI!$E12,DADOS!$2:$2,0)-1,100,50),2,FALSE))</f>
        <v/>
      </c>
      <c r="K12" s="534" t="str">
        <f ca="1">IF(OR($B12="Manual",$B12="SemiAuto"),QCI.LoteManual,IF($B12="Automático",IF(TIPOORCAMENTO="Licitado",Import.CTEF,"LOTE 1"),""))</f>
        <v/>
      </c>
      <c r="L12" s="323">
        <f ca="1">ROUND($O12,2)-ROUND($M12,2)-ROUND($N12,2)</f>
        <v>0</v>
      </c>
      <c r="M12" s="324">
        <f ca="1">ROUND($AA12,2)-ROUND($AE12,2)</f>
        <v>0</v>
      </c>
      <c r="N12" s="325">
        <f ca="1">ROUND($AB12,2)</f>
        <v>0</v>
      </c>
      <c r="O12" s="326">
        <f ca="1">IF($B12="Branco",0,IF(OR($B12="Manual",$B12="SemiAuto"),QCI.InvManual,INDEX(ORÇAMENTO!X$15:X$51,MATCH($A12,ORÇAMENTO!$E$15:$E$51,0))))</f>
        <v>0</v>
      </c>
      <c r="P12" s="510"/>
      <c r="R12" s="536"/>
      <c r="T12" s="537"/>
      <c r="U12" s="327"/>
      <c r="V12" s="538" t="s">
        <v>315</v>
      </c>
      <c r="W12" s="328">
        <f ca="1">$O12</f>
        <v>0</v>
      </c>
      <c r="X12" s="329">
        <v>0</v>
      </c>
      <c r="Z12">
        <f ca="1">$O12-$AA12-$AB12</f>
        <v>0</v>
      </c>
      <c r="AA12">
        <f ca="1">IF($B12="Branco",0,IF($B12="Manual",QCI.CPManual,IF($B12="SemiAuto",ROUND(QCI!$AA$3*QCI.InvManual,2),INDEX(ORÇAMENTO!$AA$15:$AA$51,MATCH($A12,ORÇAMENTO!$E$15:$E$51,0)))))</f>
        <v>0</v>
      </c>
      <c r="AB12">
        <f ca="1">IF($B12="Branco",0,IF($B12="Manual",QCI.OutrosManual,IF($B12="SemiAuto",0,INDEX(ORÇAMENTO!$AB$15:$AB$51,MATCH($A12,ORÇAMENTO!$E$15:$E$51,0)))))</f>
        <v>0</v>
      </c>
      <c r="AD12" s="330" t="b">
        <f ca="1">AND($AA$3&gt;0,$AA$3&lt;1,$O12&gt;0,OR($B12="Automático",$B12="SemiAuto"),OR(QCI!$Z$3=QCI!$Z$7,QCI!$Z$3=QCI!$AA$7,QCI!$Z$3=QCI!$AB$7))</f>
        <v>0</v>
      </c>
      <c r="AE12" s="330">
        <f ca="1">IF(AND($AD12,$O12&gt;0,COUNTIF(OFFSET($AD12,1,0):$AD$24,TRUE)=0),CHOOSE(1+LOG(1+2*(QCI!$Z$3=QCI!$Z$7)+4*(QCI!$Z$3=QCI!$AA$7)+8*(QCI!$Z$3=QCI!$AB$7),2),0,$AA$24-ROUND(Import.CPMinPerc*$O$24,2),$AA$24-Import.CPMinAbsoluta,Import.Repasse-$Z$24),0)</f>
        <v>0</v>
      </c>
    </row>
    <row r="13" spans="1:31" ht="25.5" customHeight="1" x14ac:dyDescent="0.2">
      <c r="A13" s="87">
        <v>0</v>
      </c>
      <c r="B13" s="331" t="s">
        <v>316</v>
      </c>
      <c r="C13" s="108" t="s">
        <v>216</v>
      </c>
      <c r="D13" s="109" t="s">
        <v>194</v>
      </c>
      <c r="E13" s="109" t="s">
        <v>317</v>
      </c>
      <c r="F13" s="109" t="s">
        <v>318</v>
      </c>
      <c r="G13" s="109" t="s">
        <v>319</v>
      </c>
      <c r="H13" s="109" t="s">
        <v>161</v>
      </c>
      <c r="I13" s="109" t="s">
        <v>202</v>
      </c>
      <c r="J13" s="109" t="s">
        <v>320</v>
      </c>
      <c r="K13" s="109" t="s">
        <v>321</v>
      </c>
      <c r="L13" s="332" t="str">
        <f>IF(import.recurso="FGTS","Financiamento (R$)","Repasse (R$)")</f>
        <v>Repasse (R$)</v>
      </c>
      <c r="M13" s="333" t="s">
        <v>322</v>
      </c>
      <c r="N13" s="334" t="s">
        <v>238</v>
      </c>
      <c r="O13" s="109" t="s">
        <v>323</v>
      </c>
      <c r="R13" s="335" t="s">
        <v>319</v>
      </c>
      <c r="T13" s="335" t="s">
        <v>321</v>
      </c>
      <c r="U13" s="168" t="s">
        <v>323</v>
      </c>
      <c r="V13" s="336" t="s">
        <v>324</v>
      </c>
      <c r="W13" s="167" t="s">
        <v>322</v>
      </c>
      <c r="X13" s="169" t="s">
        <v>238</v>
      </c>
    </row>
    <row r="14" spans="1:31" x14ac:dyDescent="0.2">
      <c r="A14">
        <f t="shared" ref="A14:A23" ca="1" si="0">IF(NOT(ISBLANK(QCI.DescManual)),OFFSET(A14,-1,0),D14)</f>
        <v>1</v>
      </c>
      <c r="B14" t="str">
        <f ca="1">IF(NOT(ISBLANK(QCI.DescManual)),IF(QCI.Divisao="Calculado","Manual","SemiAuto"),IF(ISERROR(MATCH($A14,ORÇAMENTO!$E$15:$E$51,0)),"Branco","Automático"))</f>
        <v>Automático</v>
      </c>
      <c r="C14" t="str">
        <f t="shared" ref="C14:C22" ca="1" si="1">IF(O14&gt;0,"F","")</f>
        <v/>
      </c>
      <c r="D14" s="321">
        <f t="shared" ref="D14:D22" si="2">ROW()-ROW($D$13)</f>
        <v>1</v>
      </c>
      <c r="E14" s="120"/>
      <c r="F14" s="120"/>
      <c r="G14" s="172" t="str">
        <f ca="1">IF(OR($B14="Manual",$B14="SemiAuto"),QCI.DescManual,IF($B14="Automático",INDEX(ORÇAMENTO!$R$15:$R$51,MATCH($A14,ORÇAMENTO!$E$15:$E$51,0)),""))</f>
        <v>RUA MIGUEL A DA ROLT</v>
      </c>
      <c r="H14" s="120"/>
      <c r="I14" s="535"/>
      <c r="J14" s="322" t="str">
        <f ca="1">IF(AND(ISBLANK(E14),ISBLANK(F14)),"",VLOOKUP($F14,OFFSET(DADOS!$A$2,1,MATCH(QCI!$E14,DADOS!$2:$2,0)-1,100,50),2,FALSE))</f>
        <v/>
      </c>
      <c r="K14" s="534">
        <f ca="1">IF(OR($B14="Manual",$B14="SemiAuto"),QCI.LoteManual,IF($B14="Automático",IF(TIPOORCAMENTO="Licitado",Import.CTEF,"LOTE 1"),""))</f>
        <v>0</v>
      </c>
      <c r="L14" s="323">
        <f t="shared" ref="L14:L22" ca="1" si="3">ROUND($O14,2)-ROUND($M14,2)-ROUND($N14,2)</f>
        <v>0</v>
      </c>
      <c r="M14" s="324">
        <f t="shared" ref="M14:M22" ca="1" si="4">ROUND($AA14,2)-ROUND($AE14,2)</f>
        <v>0</v>
      </c>
      <c r="N14" s="325">
        <f t="shared" ref="N14:N22" ca="1" si="5">ROUND($AB14,2)</f>
        <v>0</v>
      </c>
      <c r="O14" s="326">
        <f ca="1">IF($B14="Branco",0,IF(OR($B14="Manual",$B14="SemiAuto"),QCI.InvManual,INDEX(ORÇAMENTO!X$15:X$51,MATCH($A14,ORÇAMENTO!$E$15:$E$51,0))))</f>
        <v>0</v>
      </c>
      <c r="P14" s="510"/>
      <c r="R14" s="536"/>
      <c r="T14" s="537"/>
      <c r="U14" s="327"/>
      <c r="V14" s="538" t="s">
        <v>315</v>
      </c>
      <c r="W14" s="328">
        <f t="shared" ref="W14:W22" ca="1" si="6">$O14</f>
        <v>0</v>
      </c>
      <c r="X14" s="329">
        <v>0</v>
      </c>
      <c r="Z14">
        <f t="shared" ref="Z14:Z22" ca="1" si="7">$O14-$AA14-$AB14</f>
        <v>0</v>
      </c>
      <c r="AA14">
        <f ca="1">IF($B14="Branco",0,IF($B14="Manual",QCI.CPManual,IF($B14="SemiAuto",ROUND(QCI!$AA$3*QCI.InvManual,2),INDEX(ORÇAMENTO!$AA$15:$AA$51,MATCH($A14,ORÇAMENTO!$E$15:$E$51,0)))))</f>
        <v>0</v>
      </c>
      <c r="AB14">
        <f ca="1">IF($B14="Branco",0,IF($B14="Manual",QCI.OutrosManual,IF($B14="SemiAuto",0,INDEX(ORÇAMENTO!$AB$15:$AB$51,MATCH($A14,ORÇAMENTO!$E$15:$E$51,0)))))</f>
        <v>0</v>
      </c>
      <c r="AD14" s="330" t="b">
        <f ca="1">AND($AA$3&gt;0,$AA$3&lt;1,$O14&gt;0,OR($B14="Automático",$B14="SemiAuto"),OR(QCI!$Z$3=QCI!$Z$7,QCI!$Z$3=QCI!$AA$7,QCI!$Z$3=QCI!$AB$7))</f>
        <v>0</v>
      </c>
      <c r="AE14" s="330">
        <f ca="1">IF(AND($AD14,$O14&gt;0,COUNTIF(OFFSET($AD14,1,0):$AD$24,TRUE)=0),CHOOSE(1+LOG(1+2*(QCI!$Z$3=QCI!$Z$7)+4*(QCI!$Z$3=QCI!$AA$7)+8*(QCI!$Z$3=QCI!$AB$7),2),0,$AA$24-ROUND(Import.CPMinPerc*$O$24,2),$AA$24-Import.CPMinAbsoluta,Import.Repasse-$Z$24),0)</f>
        <v>0</v>
      </c>
    </row>
    <row r="15" spans="1:31" x14ac:dyDescent="0.2">
      <c r="A15">
        <f t="shared" ca="1" si="0"/>
        <v>2</v>
      </c>
      <c r="B15" t="str">
        <f ca="1">IF(NOT(ISBLANK(QCI.DescManual)),IF(QCI.Divisao="Calculado","Manual","SemiAuto"),IF(ISERROR(MATCH($A15,ORÇAMENTO!$E$15:$E$51,0)),"Branco","Automático"))</f>
        <v>Branco</v>
      </c>
      <c r="C15" t="str">
        <f t="shared" ca="1" si="1"/>
        <v/>
      </c>
      <c r="D15" s="321">
        <f t="shared" si="2"/>
        <v>2</v>
      </c>
      <c r="E15" s="120"/>
      <c r="F15" s="120"/>
      <c r="G15" s="172" t="str">
        <f ca="1">IF(OR($B15="Manual",$B15="SemiAuto"),QCI.DescManual,IF($B15="Automático",INDEX(ORÇAMENTO!$R$15:$R$51,MATCH($A15,ORÇAMENTO!$E$15:$E$51,0)),""))</f>
        <v/>
      </c>
      <c r="H15" s="120"/>
      <c r="I15" s="535"/>
      <c r="J15" s="322" t="str">
        <f ca="1">IF(AND(ISBLANK(E15),ISBLANK(F15)),"",VLOOKUP($F15,OFFSET(DADOS!$A$2,1,MATCH(QCI!$E15,DADOS!$2:$2,0)-1,100,50),2,FALSE))</f>
        <v/>
      </c>
      <c r="K15" s="534" t="str">
        <f ca="1">IF(OR($B15="Manual",$B15="SemiAuto"),QCI.LoteManual,IF($B15="Automático",IF(TIPOORCAMENTO="Licitado",Import.CTEF,"LOTE 1"),""))</f>
        <v/>
      </c>
      <c r="L15" s="323">
        <f t="shared" ca="1" si="3"/>
        <v>0</v>
      </c>
      <c r="M15" s="324">
        <f t="shared" ca="1" si="4"/>
        <v>0</v>
      </c>
      <c r="N15" s="325">
        <f t="shared" ca="1" si="5"/>
        <v>0</v>
      </c>
      <c r="O15" s="326">
        <f ca="1">IF($B15="Branco",0,IF(OR($B15="Manual",$B15="SemiAuto"),QCI.InvManual,INDEX(ORÇAMENTO!X$15:X$51,MATCH($A15,ORÇAMENTO!$E$15:$E$51,0))))</f>
        <v>0</v>
      </c>
      <c r="P15" s="510"/>
      <c r="R15" s="536"/>
      <c r="T15" s="537"/>
      <c r="U15" s="327"/>
      <c r="V15" s="538" t="s">
        <v>315</v>
      </c>
      <c r="W15" s="328">
        <f t="shared" ca="1" si="6"/>
        <v>0</v>
      </c>
      <c r="X15" s="329">
        <v>0</v>
      </c>
      <c r="Z15">
        <f t="shared" ca="1" si="7"/>
        <v>0</v>
      </c>
      <c r="AA15">
        <f ca="1">IF($B15="Branco",0,IF($B15="Manual",QCI.CPManual,IF($B15="SemiAuto",ROUND(QCI!$AA$3*QCI.InvManual,2),INDEX(ORÇAMENTO!$AA$15:$AA$51,MATCH($A15,ORÇAMENTO!$E$15:$E$51,0)))))</f>
        <v>0</v>
      </c>
      <c r="AB15">
        <f ca="1">IF($B15="Branco",0,IF($B15="Manual",QCI.OutrosManual,IF($B15="SemiAuto",0,INDEX(ORÇAMENTO!$AB$15:$AB$51,MATCH($A15,ORÇAMENTO!$E$15:$E$51,0)))))</f>
        <v>0</v>
      </c>
      <c r="AD15" s="330" t="b">
        <f ca="1">AND($AA$3&gt;0,$AA$3&lt;1,$O15&gt;0,OR($B15="Automático",$B15="SemiAuto"),OR(QCI!$Z$3=QCI!$Z$7,QCI!$Z$3=QCI!$AA$7,QCI!$Z$3=QCI!$AB$7))</f>
        <v>0</v>
      </c>
      <c r="AE15" s="330">
        <f ca="1">IF(AND($AD15,$O15&gt;0,COUNTIF(OFFSET($AD15,1,0):$AD$24,TRUE)=0),CHOOSE(1+LOG(1+2*(QCI!$Z$3=QCI!$Z$7)+4*(QCI!$Z$3=QCI!$AA$7)+8*(QCI!$Z$3=QCI!$AB$7),2),0,$AA$24-ROUND(Import.CPMinPerc*$O$24,2),$AA$24-Import.CPMinAbsoluta,Import.Repasse-$Z$24),0)</f>
        <v>0</v>
      </c>
    </row>
    <row r="16" spans="1:31" x14ac:dyDescent="0.2">
      <c r="A16">
        <f t="shared" ca="1" si="0"/>
        <v>3</v>
      </c>
      <c r="B16" t="str">
        <f ca="1">IF(NOT(ISBLANK(QCI.DescManual)),IF(QCI.Divisao="Calculado","Manual","SemiAuto"),IF(ISERROR(MATCH($A16,ORÇAMENTO!$E$15:$E$51,0)),"Branco","Automático"))</f>
        <v>Branco</v>
      </c>
      <c r="C16" t="str">
        <f t="shared" ca="1" si="1"/>
        <v/>
      </c>
      <c r="D16" s="321">
        <f t="shared" si="2"/>
        <v>3</v>
      </c>
      <c r="E16" s="120"/>
      <c r="F16" s="120"/>
      <c r="G16" s="172" t="str">
        <f ca="1">IF(OR($B16="Manual",$B16="SemiAuto"),QCI.DescManual,IF($B16="Automático",INDEX(ORÇAMENTO!$R$15:$R$51,MATCH($A16,ORÇAMENTO!$E$15:$E$51,0)),""))</f>
        <v/>
      </c>
      <c r="H16" s="120"/>
      <c r="I16" s="535"/>
      <c r="J16" s="322" t="str">
        <f ca="1">IF(AND(ISBLANK(E16),ISBLANK(F16)),"",VLOOKUP($F16,OFFSET(DADOS!$A$2,1,MATCH(QCI!$E16,DADOS!$2:$2,0)-1,100,50),2,FALSE))</f>
        <v/>
      </c>
      <c r="K16" s="534" t="str">
        <f ca="1">IF(OR($B16="Manual",$B16="SemiAuto"),QCI.LoteManual,IF($B16="Automático",IF(TIPOORCAMENTO="Licitado",Import.CTEF,"LOTE 1"),""))</f>
        <v/>
      </c>
      <c r="L16" s="323">
        <f t="shared" ca="1" si="3"/>
        <v>0</v>
      </c>
      <c r="M16" s="324">
        <f t="shared" ca="1" si="4"/>
        <v>0</v>
      </c>
      <c r="N16" s="325">
        <f t="shared" ca="1" si="5"/>
        <v>0</v>
      </c>
      <c r="O16" s="326">
        <f ca="1">IF($B16="Branco",0,IF(OR($B16="Manual",$B16="SemiAuto"),QCI.InvManual,INDEX(ORÇAMENTO!X$15:X$51,MATCH($A16,ORÇAMENTO!$E$15:$E$51,0))))</f>
        <v>0</v>
      </c>
      <c r="P16" s="510"/>
      <c r="R16" s="536"/>
      <c r="T16" s="537"/>
      <c r="U16" s="327"/>
      <c r="V16" s="538" t="s">
        <v>315</v>
      </c>
      <c r="W16" s="328">
        <f t="shared" ca="1" si="6"/>
        <v>0</v>
      </c>
      <c r="X16" s="329">
        <v>0</v>
      </c>
      <c r="Z16">
        <f t="shared" ca="1" si="7"/>
        <v>0</v>
      </c>
      <c r="AA16">
        <f ca="1">IF($B16="Branco",0,IF($B16="Manual",QCI.CPManual,IF($B16="SemiAuto",ROUND(QCI!$AA$3*QCI.InvManual,2),INDEX(ORÇAMENTO!$AA$15:$AA$51,MATCH($A16,ORÇAMENTO!$E$15:$E$51,0)))))</f>
        <v>0</v>
      </c>
      <c r="AB16">
        <f ca="1">IF($B16="Branco",0,IF($B16="Manual",QCI.OutrosManual,IF($B16="SemiAuto",0,INDEX(ORÇAMENTO!$AB$15:$AB$51,MATCH($A16,ORÇAMENTO!$E$15:$E$51,0)))))</f>
        <v>0</v>
      </c>
      <c r="AD16" s="330" t="b">
        <f ca="1">AND($AA$3&gt;0,$AA$3&lt;1,$O16&gt;0,OR($B16="Automático",$B16="SemiAuto"),OR(QCI!$Z$3=QCI!$Z$7,QCI!$Z$3=QCI!$AA$7,QCI!$Z$3=QCI!$AB$7))</f>
        <v>0</v>
      </c>
      <c r="AE16" s="330">
        <f ca="1">IF(AND($AD16,$O16&gt;0,COUNTIF(OFFSET($AD16,1,0):$AD$24,TRUE)=0),CHOOSE(1+LOG(1+2*(QCI!$Z$3=QCI!$Z$7)+4*(QCI!$Z$3=QCI!$AA$7)+8*(QCI!$Z$3=QCI!$AB$7),2),0,$AA$24-ROUND(Import.CPMinPerc*$O$24,2),$AA$24-Import.CPMinAbsoluta,Import.Repasse-$Z$24),0)</f>
        <v>0</v>
      </c>
    </row>
    <row r="17" spans="1:31" x14ac:dyDescent="0.2">
      <c r="A17">
        <f t="shared" ca="1" si="0"/>
        <v>4</v>
      </c>
      <c r="B17" t="str">
        <f ca="1">IF(NOT(ISBLANK(QCI.DescManual)),IF(QCI.Divisao="Calculado","Manual","SemiAuto"),IF(ISERROR(MATCH($A17,ORÇAMENTO!$E$15:$E$51,0)),"Branco","Automático"))</f>
        <v>Branco</v>
      </c>
      <c r="C17" t="str">
        <f t="shared" ca="1" si="1"/>
        <v/>
      </c>
      <c r="D17" s="321">
        <f t="shared" si="2"/>
        <v>4</v>
      </c>
      <c r="E17" s="120"/>
      <c r="F17" s="120"/>
      <c r="G17" s="172" t="str">
        <f ca="1">IF(OR($B17="Manual",$B17="SemiAuto"),QCI.DescManual,IF($B17="Automático",INDEX(ORÇAMENTO!$R$15:$R$51,MATCH($A17,ORÇAMENTO!$E$15:$E$51,0)),""))</f>
        <v/>
      </c>
      <c r="H17" s="120"/>
      <c r="I17" s="535"/>
      <c r="J17" s="322" t="str">
        <f ca="1">IF(AND(ISBLANK(E17),ISBLANK(F17)),"",VLOOKUP($F17,OFFSET(DADOS!$A$2,1,MATCH(QCI!$E17,DADOS!$2:$2,0)-1,100,50),2,FALSE))</f>
        <v/>
      </c>
      <c r="K17" s="534" t="str">
        <f ca="1">IF(OR($B17="Manual",$B17="SemiAuto"),QCI.LoteManual,IF($B17="Automático",IF(TIPOORCAMENTO="Licitado",Import.CTEF,"LOTE 1"),""))</f>
        <v/>
      </c>
      <c r="L17" s="323">
        <f t="shared" ca="1" si="3"/>
        <v>0</v>
      </c>
      <c r="M17" s="324">
        <f t="shared" ca="1" si="4"/>
        <v>0</v>
      </c>
      <c r="N17" s="325">
        <f t="shared" ca="1" si="5"/>
        <v>0</v>
      </c>
      <c r="O17" s="326">
        <f ca="1">IF($B17="Branco",0,IF(OR($B17="Manual",$B17="SemiAuto"),QCI.InvManual,INDEX(ORÇAMENTO!X$15:X$51,MATCH($A17,ORÇAMENTO!$E$15:$E$51,0))))</f>
        <v>0</v>
      </c>
      <c r="P17" s="510"/>
      <c r="R17" s="536"/>
      <c r="T17" s="537"/>
      <c r="U17" s="327"/>
      <c r="V17" s="538" t="s">
        <v>315</v>
      </c>
      <c r="W17" s="328">
        <f t="shared" ca="1" si="6"/>
        <v>0</v>
      </c>
      <c r="X17" s="329">
        <v>0</v>
      </c>
      <c r="Z17">
        <f t="shared" ca="1" si="7"/>
        <v>0</v>
      </c>
      <c r="AA17">
        <f ca="1">IF($B17="Branco",0,IF($B17="Manual",QCI.CPManual,IF($B17="SemiAuto",ROUND(QCI!$AA$3*QCI.InvManual,2),INDEX(ORÇAMENTO!$AA$15:$AA$51,MATCH($A17,ORÇAMENTO!$E$15:$E$51,0)))))</f>
        <v>0</v>
      </c>
      <c r="AB17">
        <f ca="1">IF($B17="Branco",0,IF($B17="Manual",QCI.OutrosManual,IF($B17="SemiAuto",0,INDEX(ORÇAMENTO!$AB$15:$AB$51,MATCH($A17,ORÇAMENTO!$E$15:$E$51,0)))))</f>
        <v>0</v>
      </c>
      <c r="AD17" s="330" t="b">
        <f ca="1">AND($AA$3&gt;0,$AA$3&lt;1,$O17&gt;0,OR($B17="Automático",$B17="SemiAuto"),OR(QCI!$Z$3=QCI!$Z$7,QCI!$Z$3=QCI!$AA$7,QCI!$Z$3=QCI!$AB$7))</f>
        <v>0</v>
      </c>
      <c r="AE17" s="330">
        <f ca="1">IF(AND($AD17,$O17&gt;0,COUNTIF(OFFSET($AD17,1,0):$AD$24,TRUE)=0),CHOOSE(1+LOG(1+2*(QCI!$Z$3=QCI!$Z$7)+4*(QCI!$Z$3=QCI!$AA$7)+8*(QCI!$Z$3=QCI!$AB$7),2),0,$AA$24-ROUND(Import.CPMinPerc*$O$24,2),$AA$24-Import.CPMinAbsoluta,Import.Repasse-$Z$24),0)</f>
        <v>0</v>
      </c>
    </row>
    <row r="18" spans="1:31" x14ac:dyDescent="0.2">
      <c r="A18">
        <f t="shared" ca="1" si="0"/>
        <v>5</v>
      </c>
      <c r="B18" t="str">
        <f ca="1">IF(NOT(ISBLANK(QCI.DescManual)),IF(QCI.Divisao="Calculado","Manual","SemiAuto"),IF(ISERROR(MATCH($A18,ORÇAMENTO!$E$15:$E$51,0)),"Branco","Automático"))</f>
        <v>Branco</v>
      </c>
      <c r="C18" t="str">
        <f t="shared" ca="1" si="1"/>
        <v/>
      </c>
      <c r="D18" s="321">
        <f t="shared" si="2"/>
        <v>5</v>
      </c>
      <c r="E18" s="120"/>
      <c r="F18" s="120"/>
      <c r="G18" s="172" t="str">
        <f ca="1">IF(OR($B18="Manual",$B18="SemiAuto"),QCI.DescManual,IF($B18="Automático",INDEX(ORÇAMENTO!$R$15:$R$51,MATCH($A18,ORÇAMENTO!$E$15:$E$51,0)),""))</f>
        <v/>
      </c>
      <c r="H18" s="120"/>
      <c r="I18" s="535"/>
      <c r="J18" s="322" t="str">
        <f ca="1">IF(AND(ISBLANK(E18),ISBLANK(F18)),"",VLOOKUP($F18,OFFSET(DADOS!$A$2,1,MATCH(QCI!$E18,DADOS!$2:$2,0)-1,100,50),2,FALSE))</f>
        <v/>
      </c>
      <c r="K18" s="534" t="str">
        <f ca="1">IF(OR($B18="Manual",$B18="SemiAuto"),QCI.LoteManual,IF($B18="Automático",IF(TIPOORCAMENTO="Licitado",Import.CTEF,"LOTE 1"),""))</f>
        <v/>
      </c>
      <c r="L18" s="323">
        <f t="shared" ca="1" si="3"/>
        <v>0</v>
      </c>
      <c r="M18" s="324">
        <f t="shared" ca="1" si="4"/>
        <v>0</v>
      </c>
      <c r="N18" s="325">
        <f t="shared" ca="1" si="5"/>
        <v>0</v>
      </c>
      <c r="O18" s="326">
        <f ca="1">IF($B18="Branco",0,IF(OR($B18="Manual",$B18="SemiAuto"),QCI.InvManual,INDEX(ORÇAMENTO!X$15:X$51,MATCH($A18,ORÇAMENTO!$E$15:$E$51,0))))</f>
        <v>0</v>
      </c>
      <c r="P18" s="510"/>
      <c r="R18" s="536"/>
      <c r="T18" s="537"/>
      <c r="U18" s="327"/>
      <c r="V18" s="538" t="s">
        <v>315</v>
      </c>
      <c r="W18" s="328">
        <f t="shared" ca="1" si="6"/>
        <v>0</v>
      </c>
      <c r="X18" s="329">
        <v>0</v>
      </c>
      <c r="Z18">
        <f t="shared" ca="1" si="7"/>
        <v>0</v>
      </c>
      <c r="AA18">
        <f ca="1">IF($B18="Branco",0,IF($B18="Manual",QCI.CPManual,IF($B18="SemiAuto",ROUND(QCI!$AA$3*QCI.InvManual,2),INDEX(ORÇAMENTO!$AA$15:$AA$51,MATCH($A18,ORÇAMENTO!$E$15:$E$51,0)))))</f>
        <v>0</v>
      </c>
      <c r="AB18">
        <f ca="1">IF($B18="Branco",0,IF($B18="Manual",QCI.OutrosManual,IF($B18="SemiAuto",0,INDEX(ORÇAMENTO!$AB$15:$AB$51,MATCH($A18,ORÇAMENTO!$E$15:$E$51,0)))))</f>
        <v>0</v>
      </c>
      <c r="AD18" s="330" t="b">
        <f ca="1">AND($AA$3&gt;0,$AA$3&lt;1,$O18&gt;0,OR($B18="Automático",$B18="SemiAuto"),OR(QCI!$Z$3=QCI!$Z$7,QCI!$Z$3=QCI!$AA$7,QCI!$Z$3=QCI!$AB$7))</f>
        <v>0</v>
      </c>
      <c r="AE18" s="330">
        <f ca="1">IF(AND($AD18,$O18&gt;0,COUNTIF(OFFSET($AD18,1,0):$AD$24,TRUE)=0),CHOOSE(1+LOG(1+2*(QCI!$Z$3=QCI!$Z$7)+4*(QCI!$Z$3=QCI!$AA$7)+8*(QCI!$Z$3=QCI!$AB$7),2),0,$AA$24-ROUND(Import.CPMinPerc*$O$24,2),$AA$24-Import.CPMinAbsoluta,Import.Repasse-$Z$24),0)</f>
        <v>0</v>
      </c>
    </row>
    <row r="19" spans="1:31" x14ac:dyDescent="0.2">
      <c r="A19">
        <f t="shared" ca="1" si="0"/>
        <v>6</v>
      </c>
      <c r="B19" t="str">
        <f ca="1">IF(NOT(ISBLANK(QCI.DescManual)),IF(QCI.Divisao="Calculado","Manual","SemiAuto"),IF(ISERROR(MATCH($A19,ORÇAMENTO!$E$15:$E$51,0)),"Branco","Automático"))</f>
        <v>Branco</v>
      </c>
      <c r="C19" t="str">
        <f t="shared" ca="1" si="1"/>
        <v/>
      </c>
      <c r="D19" s="321">
        <f t="shared" si="2"/>
        <v>6</v>
      </c>
      <c r="E19" s="120"/>
      <c r="F19" s="120"/>
      <c r="G19" s="172" t="str">
        <f ca="1">IF(OR($B19="Manual",$B19="SemiAuto"),QCI.DescManual,IF($B19="Automático",INDEX(ORÇAMENTO!$R$15:$R$51,MATCH($A19,ORÇAMENTO!$E$15:$E$51,0)),""))</f>
        <v/>
      </c>
      <c r="H19" s="120"/>
      <c r="I19" s="535"/>
      <c r="J19" s="322" t="str">
        <f ca="1">IF(AND(ISBLANK(E19),ISBLANK(F19)),"",VLOOKUP($F19,OFFSET(DADOS!$A$2,1,MATCH(QCI!$E19,DADOS!$2:$2,0)-1,100,50),2,FALSE))</f>
        <v/>
      </c>
      <c r="K19" s="534" t="str">
        <f ca="1">IF(OR($B19="Manual",$B19="SemiAuto"),QCI.LoteManual,IF($B19="Automático",IF(TIPOORCAMENTO="Licitado",Import.CTEF,"LOTE 1"),""))</f>
        <v/>
      </c>
      <c r="L19" s="323">
        <f t="shared" ca="1" si="3"/>
        <v>0</v>
      </c>
      <c r="M19" s="324">
        <f t="shared" ca="1" si="4"/>
        <v>0</v>
      </c>
      <c r="N19" s="325">
        <f t="shared" ca="1" si="5"/>
        <v>0</v>
      </c>
      <c r="O19" s="326">
        <f ca="1">IF($B19="Branco",0,IF(OR($B19="Manual",$B19="SemiAuto"),QCI.InvManual,INDEX(ORÇAMENTO!X$15:X$51,MATCH($A19,ORÇAMENTO!$E$15:$E$51,0))))</f>
        <v>0</v>
      </c>
      <c r="P19" s="510"/>
      <c r="R19" s="536"/>
      <c r="T19" s="537"/>
      <c r="U19" s="327"/>
      <c r="V19" s="538" t="s">
        <v>315</v>
      </c>
      <c r="W19" s="328">
        <f t="shared" ca="1" si="6"/>
        <v>0</v>
      </c>
      <c r="X19" s="329">
        <v>0</v>
      </c>
      <c r="Z19">
        <f t="shared" ca="1" si="7"/>
        <v>0</v>
      </c>
      <c r="AA19">
        <f ca="1">IF($B19="Branco",0,IF($B19="Manual",QCI.CPManual,IF($B19="SemiAuto",ROUND(QCI!$AA$3*QCI.InvManual,2),INDEX(ORÇAMENTO!$AA$15:$AA$51,MATCH($A19,ORÇAMENTO!$E$15:$E$51,0)))))</f>
        <v>0</v>
      </c>
      <c r="AB19">
        <f ca="1">IF($B19="Branco",0,IF($B19="Manual",QCI.OutrosManual,IF($B19="SemiAuto",0,INDEX(ORÇAMENTO!$AB$15:$AB$51,MATCH($A19,ORÇAMENTO!$E$15:$E$51,0)))))</f>
        <v>0</v>
      </c>
      <c r="AD19" s="330" t="b">
        <f ca="1">AND($AA$3&gt;0,$AA$3&lt;1,$O19&gt;0,OR($B19="Automático",$B19="SemiAuto"),OR(QCI!$Z$3=QCI!$Z$7,QCI!$Z$3=QCI!$AA$7,QCI!$Z$3=QCI!$AB$7))</f>
        <v>0</v>
      </c>
      <c r="AE19" s="330">
        <f ca="1">IF(AND($AD19,$O19&gt;0,COUNTIF(OFFSET($AD19,1,0):$AD$24,TRUE)=0),CHOOSE(1+LOG(1+2*(QCI!$Z$3=QCI!$Z$7)+4*(QCI!$Z$3=QCI!$AA$7)+8*(QCI!$Z$3=QCI!$AB$7),2),0,$AA$24-ROUND(Import.CPMinPerc*$O$24,2),$AA$24-Import.CPMinAbsoluta,Import.Repasse-$Z$24),0)</f>
        <v>0</v>
      </c>
    </row>
    <row r="20" spans="1:31" x14ac:dyDescent="0.2">
      <c r="A20">
        <f t="shared" ca="1" si="0"/>
        <v>7</v>
      </c>
      <c r="B20" t="str">
        <f ca="1">IF(NOT(ISBLANK(QCI.DescManual)),IF(QCI.Divisao="Calculado","Manual","SemiAuto"),IF(ISERROR(MATCH($A20,ORÇAMENTO!$E$15:$E$51,0)),"Branco","Automático"))</f>
        <v>Branco</v>
      </c>
      <c r="C20" t="str">
        <f t="shared" ca="1" si="1"/>
        <v/>
      </c>
      <c r="D20" s="321">
        <f t="shared" si="2"/>
        <v>7</v>
      </c>
      <c r="E20" s="120"/>
      <c r="F20" s="120"/>
      <c r="G20" s="172" t="str">
        <f ca="1">IF(OR($B20="Manual",$B20="SemiAuto"),QCI.DescManual,IF($B20="Automático",INDEX(ORÇAMENTO!$R$15:$R$51,MATCH($A20,ORÇAMENTO!$E$15:$E$51,0)),""))</f>
        <v/>
      </c>
      <c r="H20" s="120"/>
      <c r="I20" s="535"/>
      <c r="J20" s="322" t="str">
        <f ca="1">IF(AND(ISBLANK(E20),ISBLANK(F20)),"",VLOOKUP($F20,OFFSET(DADOS!$A$2,1,MATCH(QCI!$E20,DADOS!$2:$2,0)-1,100,50),2,FALSE))</f>
        <v/>
      </c>
      <c r="K20" s="534" t="str">
        <f ca="1">IF(OR($B20="Manual",$B20="SemiAuto"),QCI.LoteManual,IF($B20="Automático",IF(TIPOORCAMENTO="Licitado",Import.CTEF,"LOTE 1"),""))</f>
        <v/>
      </c>
      <c r="L20" s="323">
        <f t="shared" ca="1" si="3"/>
        <v>0</v>
      </c>
      <c r="M20" s="324">
        <f t="shared" ca="1" si="4"/>
        <v>0</v>
      </c>
      <c r="N20" s="325">
        <f t="shared" ca="1" si="5"/>
        <v>0</v>
      </c>
      <c r="O20" s="326">
        <f ca="1">IF($B20="Branco",0,IF(OR($B20="Manual",$B20="SemiAuto"),QCI.InvManual,INDEX(ORÇAMENTO!X$15:X$51,MATCH($A20,ORÇAMENTO!$E$15:$E$51,0))))</f>
        <v>0</v>
      </c>
      <c r="P20" s="510"/>
      <c r="R20" s="536"/>
      <c r="T20" s="537"/>
      <c r="U20" s="327"/>
      <c r="V20" s="538" t="s">
        <v>315</v>
      </c>
      <c r="W20" s="328">
        <f t="shared" ca="1" si="6"/>
        <v>0</v>
      </c>
      <c r="X20" s="329">
        <v>0</v>
      </c>
      <c r="Z20">
        <f t="shared" ca="1" si="7"/>
        <v>0</v>
      </c>
      <c r="AA20">
        <f ca="1">IF($B20="Branco",0,IF($B20="Manual",QCI.CPManual,IF($B20="SemiAuto",ROUND(QCI!$AA$3*QCI.InvManual,2),INDEX(ORÇAMENTO!$AA$15:$AA$51,MATCH($A20,ORÇAMENTO!$E$15:$E$51,0)))))</f>
        <v>0</v>
      </c>
      <c r="AB20">
        <f ca="1">IF($B20="Branco",0,IF($B20="Manual",QCI.OutrosManual,IF($B20="SemiAuto",0,INDEX(ORÇAMENTO!$AB$15:$AB$51,MATCH($A20,ORÇAMENTO!$E$15:$E$51,0)))))</f>
        <v>0</v>
      </c>
      <c r="AD20" s="330" t="b">
        <f ca="1">AND($AA$3&gt;0,$AA$3&lt;1,$O20&gt;0,OR($B20="Automático",$B20="SemiAuto"),OR(QCI!$Z$3=QCI!$Z$7,QCI!$Z$3=QCI!$AA$7,QCI!$Z$3=QCI!$AB$7))</f>
        <v>0</v>
      </c>
      <c r="AE20" s="330">
        <f ca="1">IF(AND($AD20,$O20&gt;0,COUNTIF(OFFSET($AD20,1,0):$AD$24,TRUE)=0),CHOOSE(1+LOG(1+2*(QCI!$Z$3=QCI!$Z$7)+4*(QCI!$Z$3=QCI!$AA$7)+8*(QCI!$Z$3=QCI!$AB$7),2),0,$AA$24-ROUND(Import.CPMinPerc*$O$24,2),$AA$24-Import.CPMinAbsoluta,Import.Repasse-$Z$24),0)</f>
        <v>0</v>
      </c>
    </row>
    <row r="21" spans="1:31" x14ac:dyDescent="0.2">
      <c r="A21">
        <f t="shared" ca="1" si="0"/>
        <v>8</v>
      </c>
      <c r="B21" t="str">
        <f ca="1">IF(NOT(ISBLANK(QCI.DescManual)),IF(QCI.Divisao="Calculado","Manual","SemiAuto"),IF(ISERROR(MATCH($A21,ORÇAMENTO!$E$15:$E$51,0)),"Branco","Automático"))</f>
        <v>Branco</v>
      </c>
      <c r="C21" t="str">
        <f t="shared" ca="1" si="1"/>
        <v/>
      </c>
      <c r="D21" s="321">
        <f t="shared" si="2"/>
        <v>8</v>
      </c>
      <c r="E21" s="120"/>
      <c r="F21" s="120"/>
      <c r="G21" s="172" t="str">
        <f ca="1">IF(OR($B21="Manual",$B21="SemiAuto"),QCI.DescManual,IF($B21="Automático",INDEX(ORÇAMENTO!$R$15:$R$51,MATCH($A21,ORÇAMENTO!$E$15:$E$51,0)),""))</f>
        <v/>
      </c>
      <c r="H21" s="120"/>
      <c r="I21" s="535"/>
      <c r="J21" s="322" t="str">
        <f ca="1">IF(AND(ISBLANK(E21),ISBLANK(F21)),"",VLOOKUP($F21,OFFSET(DADOS!$A$2,1,MATCH(QCI!$E21,DADOS!$2:$2,0)-1,100,50),2,FALSE))</f>
        <v/>
      </c>
      <c r="K21" s="534" t="str">
        <f ca="1">IF(OR($B21="Manual",$B21="SemiAuto"),QCI.LoteManual,IF($B21="Automático",IF(TIPOORCAMENTO="Licitado",Import.CTEF,"LOTE 1"),""))</f>
        <v/>
      </c>
      <c r="L21" s="323">
        <f t="shared" ca="1" si="3"/>
        <v>0</v>
      </c>
      <c r="M21" s="324">
        <f t="shared" ca="1" si="4"/>
        <v>0</v>
      </c>
      <c r="N21" s="325">
        <f t="shared" ca="1" si="5"/>
        <v>0</v>
      </c>
      <c r="O21" s="326">
        <f ca="1">IF($B21="Branco",0,IF(OR($B21="Manual",$B21="SemiAuto"),QCI.InvManual,INDEX(ORÇAMENTO!X$15:X$51,MATCH($A21,ORÇAMENTO!$E$15:$E$51,0))))</f>
        <v>0</v>
      </c>
      <c r="P21" s="510"/>
      <c r="R21" s="536"/>
      <c r="T21" s="537"/>
      <c r="U21" s="327"/>
      <c r="V21" s="538" t="s">
        <v>315</v>
      </c>
      <c r="W21" s="328">
        <f t="shared" ca="1" si="6"/>
        <v>0</v>
      </c>
      <c r="X21" s="329">
        <v>0</v>
      </c>
      <c r="Z21">
        <f t="shared" ca="1" si="7"/>
        <v>0</v>
      </c>
      <c r="AA21">
        <f ca="1">IF($B21="Branco",0,IF($B21="Manual",QCI.CPManual,IF($B21="SemiAuto",ROUND(QCI!$AA$3*QCI.InvManual,2),INDEX(ORÇAMENTO!$AA$15:$AA$51,MATCH($A21,ORÇAMENTO!$E$15:$E$51,0)))))</f>
        <v>0</v>
      </c>
      <c r="AB21">
        <f ca="1">IF($B21="Branco",0,IF($B21="Manual",QCI.OutrosManual,IF($B21="SemiAuto",0,INDEX(ORÇAMENTO!$AB$15:$AB$51,MATCH($A21,ORÇAMENTO!$E$15:$E$51,0)))))</f>
        <v>0</v>
      </c>
      <c r="AD21" s="330" t="b">
        <f ca="1">AND($AA$3&gt;0,$AA$3&lt;1,$O21&gt;0,OR($B21="Automático",$B21="SemiAuto"),OR(QCI!$Z$3=QCI!$Z$7,QCI!$Z$3=QCI!$AA$7,QCI!$Z$3=QCI!$AB$7))</f>
        <v>0</v>
      </c>
      <c r="AE21" s="330">
        <f ca="1">IF(AND($AD21,$O21&gt;0,COUNTIF(OFFSET($AD21,1,0):$AD$24,TRUE)=0),CHOOSE(1+LOG(1+2*(QCI!$Z$3=QCI!$Z$7)+4*(QCI!$Z$3=QCI!$AA$7)+8*(QCI!$Z$3=QCI!$AB$7),2),0,$AA$24-ROUND(Import.CPMinPerc*$O$24,2),$AA$24-Import.CPMinAbsoluta,Import.Repasse-$Z$24),0)</f>
        <v>0</v>
      </c>
    </row>
    <row r="22" spans="1:31" x14ac:dyDescent="0.2">
      <c r="A22">
        <f t="shared" ca="1" si="0"/>
        <v>9</v>
      </c>
      <c r="B22" t="str">
        <f ca="1">IF(NOT(ISBLANK(QCI.DescManual)),IF(QCI.Divisao="Calculado","Manual","SemiAuto"),IF(ISERROR(MATCH($A22,ORÇAMENTO!$E$15:$E$51,0)),"Branco","Automático"))</f>
        <v>Branco</v>
      </c>
      <c r="C22" t="str">
        <f t="shared" ca="1" si="1"/>
        <v/>
      </c>
      <c r="D22" s="321">
        <f t="shared" si="2"/>
        <v>9</v>
      </c>
      <c r="E22" s="120"/>
      <c r="F22" s="120"/>
      <c r="G22" s="172" t="str">
        <f ca="1">IF(OR($B22="Manual",$B22="SemiAuto"),QCI.DescManual,IF($B22="Automático",INDEX(ORÇAMENTO!$R$15:$R$51,MATCH($A22,ORÇAMENTO!$E$15:$E$51,0)),""))</f>
        <v/>
      </c>
      <c r="H22" s="120"/>
      <c r="I22" s="535"/>
      <c r="J22" s="322" t="str">
        <f ca="1">IF(AND(ISBLANK(E22),ISBLANK(F22)),"",VLOOKUP($F22,OFFSET(DADOS!$A$2,1,MATCH(QCI!$E22,DADOS!$2:$2,0)-1,100,50),2,FALSE))</f>
        <v/>
      </c>
      <c r="K22" s="534" t="str">
        <f ca="1">IF(OR($B22="Manual",$B22="SemiAuto"),QCI.LoteManual,IF($B22="Automático",IF(TIPOORCAMENTO="Licitado",Import.CTEF,"LOTE 1"),""))</f>
        <v/>
      </c>
      <c r="L22" s="323">
        <f t="shared" ca="1" si="3"/>
        <v>0</v>
      </c>
      <c r="M22" s="324">
        <f t="shared" ca="1" si="4"/>
        <v>0</v>
      </c>
      <c r="N22" s="325">
        <f t="shared" ca="1" si="5"/>
        <v>0</v>
      </c>
      <c r="O22" s="326">
        <f ca="1">IF($B22="Branco",0,IF(OR($B22="Manual",$B22="SemiAuto"),QCI.InvManual,INDEX(ORÇAMENTO!X$15:X$51,MATCH($A22,ORÇAMENTO!$E$15:$E$51,0))))</f>
        <v>0</v>
      </c>
      <c r="P22" s="510"/>
      <c r="R22" s="536"/>
      <c r="T22" s="537"/>
      <c r="U22" s="327"/>
      <c r="V22" s="538" t="s">
        <v>315</v>
      </c>
      <c r="W22" s="328">
        <f t="shared" ca="1" si="6"/>
        <v>0</v>
      </c>
      <c r="X22" s="329">
        <v>0</v>
      </c>
      <c r="Z22">
        <f t="shared" ca="1" si="7"/>
        <v>0</v>
      </c>
      <c r="AA22">
        <f ca="1">IF($B22="Branco",0,IF($B22="Manual",QCI.CPManual,IF($B22="SemiAuto",ROUND(QCI!$AA$3*QCI.InvManual,2),INDEX(ORÇAMENTO!$AA$15:$AA$51,MATCH($A22,ORÇAMENTO!$E$15:$E$51,0)))))</f>
        <v>0</v>
      </c>
      <c r="AB22">
        <f ca="1">IF($B22="Branco",0,IF($B22="Manual",QCI.OutrosManual,IF($B22="SemiAuto",0,INDEX(ORÇAMENTO!$AB$15:$AB$51,MATCH($A22,ORÇAMENTO!$E$15:$E$51,0)))))</f>
        <v>0</v>
      </c>
      <c r="AD22" s="330" t="b">
        <f ca="1">AND($AA$3&gt;0,$AA$3&lt;1,$O22&gt;0,OR($B22="Automático",$B22="SemiAuto"),OR(QCI!$Z$3=QCI!$Z$7,QCI!$Z$3=QCI!$AA$7,QCI!$Z$3=QCI!$AB$7))</f>
        <v>0</v>
      </c>
      <c r="AE22" s="330">
        <f ca="1">IF(AND($AD22,$O22&gt;0,COUNTIF(OFFSET($AD22,1,0):$AD$24,TRUE)=0),CHOOSE(1+LOG(1+2*(QCI!$Z$3=QCI!$Z$7)+4*(QCI!$Z$3=QCI!$AA$7)+8*(QCI!$Z$3=QCI!$AB$7),2),0,$AA$24-ROUND(Import.CPMinPerc*$O$24,2),$AA$24-Import.CPMinAbsoluta,Import.Repasse-$Z$24),0)</f>
        <v>0</v>
      </c>
    </row>
    <row r="23" spans="1:31" x14ac:dyDescent="0.2">
      <c r="A23">
        <f t="shared" ca="1" si="0"/>
        <v>10</v>
      </c>
      <c r="B23" t="str">
        <f ca="1">IF(NOT(ISBLANK(QCI.DescManual)),IF(QCI.Divisao="Calculado","Manual","SemiAuto"),IF(ISERROR(MATCH($A23,ORÇAMENTO!$E$15:$E$51,0)),"Branco","Automático"))</f>
        <v>Branco</v>
      </c>
      <c r="C23" t="str">
        <f ca="1">IF(O23&gt;0,"F","")</f>
        <v/>
      </c>
      <c r="D23" s="321">
        <f>ROW()-ROW($D$13)</f>
        <v>10</v>
      </c>
      <c r="E23" s="120"/>
      <c r="F23" s="120"/>
      <c r="G23" s="172" t="str">
        <f ca="1">IF(OR($B23="Manual",$B23="SemiAuto"),QCI.DescManual,IF($B23="Automático",INDEX(ORÇAMENTO!$R$15:$R$51,MATCH($A23,ORÇAMENTO!$E$15:$E$51,0)),""))</f>
        <v/>
      </c>
      <c r="H23" s="120"/>
      <c r="I23" s="535"/>
      <c r="J23" s="322" t="str">
        <f ca="1">IF(AND(ISBLANK(E23),ISBLANK(F23)),"",VLOOKUP($F23,OFFSET(DADOS!$A$2,1,MATCH(QCI!$E23,DADOS!$2:$2,0)-1,100,50),2,FALSE))</f>
        <v/>
      </c>
      <c r="K23" s="534" t="str">
        <f ca="1">IF(OR($B23="Manual",$B23="SemiAuto"),QCI.LoteManual,IF($B23="Automático",IF(TIPOORCAMENTO="Licitado",Import.CTEF,"LOTE 1"),""))</f>
        <v/>
      </c>
      <c r="L23" s="323">
        <f ca="1">ROUND($O23,2)-ROUND($M23,2)-ROUND($N23,2)</f>
        <v>0</v>
      </c>
      <c r="M23" s="324">
        <f ca="1">ROUND($AA23,2)-ROUND($AE23,2)</f>
        <v>0</v>
      </c>
      <c r="N23" s="325">
        <f ca="1">ROUND($AB23,2)</f>
        <v>0</v>
      </c>
      <c r="O23" s="326">
        <f ca="1">IF($B23="Branco",0,IF(OR($B23="Manual",$B23="SemiAuto"),QCI.InvManual,INDEX(ORÇAMENTO!X$15:X$51,MATCH($A23,ORÇAMENTO!$E$15:$E$51,0))))</f>
        <v>0</v>
      </c>
      <c r="P23" s="510"/>
      <c r="R23" s="536"/>
      <c r="T23" s="537"/>
      <c r="U23" s="327"/>
      <c r="V23" s="538" t="s">
        <v>315</v>
      </c>
      <c r="W23" s="328">
        <f ca="1">$O23</f>
        <v>0</v>
      </c>
      <c r="X23" s="329">
        <v>0</v>
      </c>
      <c r="Z23">
        <f ca="1">$O23-$AA23-$AB23</f>
        <v>0</v>
      </c>
      <c r="AA23">
        <f ca="1">IF($B23="Branco",0,IF($B23="Manual",QCI.CPManual,IF($B23="SemiAuto",ROUND(QCI!$AA$3*QCI.InvManual,2),INDEX(ORÇAMENTO!$AA$15:$AA$51,MATCH($A23,ORÇAMENTO!$E$15:$E$51,0)))))</f>
        <v>0</v>
      </c>
      <c r="AB23">
        <f ca="1">IF($B23="Branco",0,IF($B23="Manual",QCI.OutrosManual,IF($B23="SemiAuto",0,INDEX(ORÇAMENTO!$AB$15:$AB$51,MATCH($A23,ORÇAMENTO!$E$15:$E$51,0)))))</f>
        <v>0</v>
      </c>
      <c r="AD23" s="330" t="b">
        <f ca="1">AND($AA$3&gt;0,$AA$3&lt;1,$O23&gt;0,OR($B23="Automático",$B23="SemiAuto"),OR(QCI!$Z$3=QCI!$Z$7,QCI!$Z$3=QCI!$AA$7,QCI!$Z$3=QCI!$AB$7))</f>
        <v>0</v>
      </c>
      <c r="AE23" s="330">
        <f ca="1">IF(AND($AD23,$O23&gt;0,COUNTIF(OFFSET($AD23,1,0):$AD$24,TRUE)=0),CHOOSE(1+LOG(1+2*(QCI!$Z$3=QCI!$Z$7)+4*(QCI!$Z$3=QCI!$AA$7)+8*(QCI!$Z$3=QCI!$AB$7),2),0,$AA$24-ROUND(Import.CPMinPerc*$O$24,2),$AA$24-Import.CPMinAbsoluta,Import.Repasse-$Z$24),0)</f>
        <v>0</v>
      </c>
    </row>
    <row r="24" spans="1:31" ht="15" x14ac:dyDescent="0.2">
      <c r="B24" t="s">
        <v>325</v>
      </c>
      <c r="C24" t="s">
        <v>245</v>
      </c>
      <c r="D24" s="337"/>
      <c r="E24" s="338"/>
      <c r="F24" s="338"/>
      <c r="G24" s="338"/>
      <c r="H24" s="338"/>
      <c r="I24" s="338"/>
      <c r="J24" s="338"/>
      <c r="K24" s="688" t="s">
        <v>326</v>
      </c>
      <c r="L24" s="339">
        <f ca="1">SUM(L13:OFFSET(L24,-1,0))</f>
        <v>0</v>
      </c>
      <c r="M24" s="340">
        <f ca="1">SUM(M13:OFFSET(M24,-1,0))</f>
        <v>0</v>
      </c>
      <c r="N24" s="341">
        <f ca="1">SUM(N13:OFFSET(N24,-1,0))</f>
        <v>0</v>
      </c>
      <c r="O24" s="342">
        <f ca="1">SUM(O13:OFFSET(O24,-1,0))</f>
        <v>0</v>
      </c>
      <c r="R24" s="343"/>
      <c r="T24" s="344"/>
      <c r="U24" s="345"/>
      <c r="V24" s="346"/>
      <c r="W24" s="347"/>
      <c r="X24" s="348"/>
      <c r="Z24" s="90">
        <f ca="1">SUMPRODUCT(ROUND(Z13:OFFSET(Z24,-1,0),2))</f>
        <v>0</v>
      </c>
      <c r="AA24" s="90">
        <f ca="1">SUMPRODUCT(ROUND(AA13:OFFSET(AA24,-1,0),2))</f>
        <v>0</v>
      </c>
      <c r="AB24" s="90">
        <f ca="1">SUM(AB13:OFFSET(AB24,-1,0))</f>
        <v>0</v>
      </c>
    </row>
    <row r="25" spans="1:31" x14ac:dyDescent="0.2">
      <c r="B25" t="s">
        <v>327</v>
      </c>
      <c r="C25" t="s">
        <v>245</v>
      </c>
      <c r="D25" s="349"/>
      <c r="E25" s="350"/>
      <c r="F25" s="350"/>
      <c r="G25" s="350"/>
      <c r="H25" s="350"/>
      <c r="I25" s="350"/>
      <c r="J25" s="350"/>
      <c r="K25" s="688"/>
      <c r="L25" s="351">
        <f ca="1">IF(ISERROR(L24/$O24),0,ROUND(L24/$O24,4))</f>
        <v>0</v>
      </c>
      <c r="M25" s="352">
        <f ca="1">IF(ISERROR(M24/$O24),0,ROUND(M24/$O24,4))</f>
        <v>0</v>
      </c>
      <c r="N25" s="353">
        <f ca="1">IF(ISERROR(N24/$O24),0,ROUND(N24/$O24,4))</f>
        <v>0</v>
      </c>
      <c r="O25" s="354">
        <f ca="1">IF(ISERROR(O24/$O24),0,ROUND(O24/$O24,4))</f>
        <v>0</v>
      </c>
      <c r="R25" s="355"/>
      <c r="T25" s="356"/>
      <c r="U25" s="357"/>
      <c r="V25" s="358"/>
      <c r="W25" s="359"/>
      <c r="X25" s="360"/>
    </row>
    <row r="27" spans="1:31" ht="14.25" x14ac:dyDescent="0.2">
      <c r="D27" s="141" t="s">
        <v>186</v>
      </c>
    </row>
    <row r="28" spans="1:31" ht="12.75" customHeight="1" x14ac:dyDescent="0.2">
      <c r="D28" s="642"/>
      <c r="E28" s="642"/>
      <c r="F28" s="642"/>
      <c r="G28" s="642"/>
      <c r="H28" s="642"/>
      <c r="I28" s="642"/>
      <c r="J28" s="642"/>
      <c r="K28" s="642"/>
      <c r="L28" s="642"/>
      <c r="M28" s="642"/>
      <c r="N28" s="642"/>
      <c r="O28" s="642"/>
    </row>
    <row r="29" spans="1:31" ht="12.75" customHeight="1" x14ac:dyDescent="0.2">
      <c r="D29" s="642"/>
      <c r="E29" s="642"/>
      <c r="F29" s="642"/>
      <c r="G29" s="642"/>
      <c r="H29" s="642"/>
      <c r="I29" s="642"/>
      <c r="J29" s="642"/>
      <c r="K29" s="642"/>
      <c r="L29" s="642"/>
      <c r="M29" s="642"/>
      <c r="N29" s="642"/>
      <c r="O29" s="642"/>
    </row>
    <row r="30" spans="1:31" ht="12.75" customHeight="1" x14ac:dyDescent="0.2">
      <c r="D30" s="642"/>
      <c r="E30" s="642"/>
      <c r="F30" s="642"/>
      <c r="G30" s="642"/>
      <c r="H30" s="642"/>
      <c r="I30" s="642"/>
      <c r="J30" s="642"/>
      <c r="K30" s="642"/>
      <c r="L30" s="642"/>
      <c r="M30" s="642"/>
      <c r="N30" s="642"/>
      <c r="O30" s="642"/>
    </row>
    <row r="33" spans="4:12" ht="15" x14ac:dyDescent="0.2">
      <c r="D33" s="644" t="str">
        <f>Import.Município</f>
        <v>BENTO GONÇALVES/RS</v>
      </c>
      <c r="E33" s="644"/>
      <c r="F33" s="644"/>
      <c r="I33" s="145"/>
      <c r="J33" s="145"/>
      <c r="K33" s="194"/>
      <c r="L33" s="194"/>
    </row>
    <row r="34" spans="4:12" x14ac:dyDescent="0.2">
      <c r="D34" s="10" t="s">
        <v>187</v>
      </c>
      <c r="I34" s="195" t="s">
        <v>328</v>
      </c>
      <c r="J34" s="195"/>
    </row>
    <row r="35" spans="4:12" x14ac:dyDescent="0.2">
      <c r="I35" s="78" t="str">
        <f>"Nome:" &amp;  " " &amp; DADOS!F28</f>
        <v xml:space="preserve">Nome: </v>
      </c>
    </row>
    <row r="36" spans="4:12" x14ac:dyDescent="0.2">
      <c r="D36" s="639">
        <f>DADOS!$F$25</f>
        <v>46199</v>
      </c>
      <c r="E36" s="639"/>
      <c r="F36" s="639"/>
      <c r="I36" s="78" t="str">
        <f>"Cargo:"  &amp; " " &amp; DADOS!F29</f>
        <v xml:space="preserve">Cargo: </v>
      </c>
    </row>
    <row r="37" spans="4:12" x14ac:dyDescent="0.2">
      <c r="D37" s="146" t="s">
        <v>188</v>
      </c>
      <c r="E37" s="1"/>
      <c r="F37" s="1"/>
      <c r="K37" s="78"/>
      <c r="L37" s="79"/>
    </row>
  </sheetData>
  <sheetProtection algorithmName="SHA-512" hashValue="/UGzMSaySk2OemSXtS/CLigDtAYlUe2oeuh3G7NWzCI9sS56T1PovrnG7iEeD+R35VsnjYyx/56run/4ECqHuQ==" saltValue="PchO5MllRLR7t9Vl+hf6uQ==" spinCount="100000" sheet="1" objects="1" scenarios="1" autoFilter="0"/>
  <autoFilter ref="C13:C25" xr:uid="{00000000-0009-0000-0000-000009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38" priority="301" stopIfTrue="1">
      <formula>OR($B12="Automático",$B12="Branco")</formula>
    </cfRule>
  </conditionalFormatting>
  <conditionalFormatting sqref="L12">
    <cfRule type="expression" dxfId="137" priority="30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36" priority="303" stopIfTrue="1">
      <formula>OR($B12="Automático",$B12="Branco",$V12&lt;&gt;"Calculado")</formula>
    </cfRule>
  </conditionalFormatting>
  <conditionalFormatting sqref="M25">
    <cfRule type="expression" dxfId="135" priority="305" stopIfTrue="1">
      <formula>AND($G$9&lt;&gt;"",OR($M$25&lt;Import.CPMinPerc,$M$25&gt;Import.CPMaxPerc))</formula>
    </cfRule>
  </conditionalFormatting>
  <conditionalFormatting sqref="M24">
    <cfRule type="expression" dxfId="134" priority="306" stopIfTrue="1">
      <formula>AND($G$9&lt;&gt;"",$M$24&lt;Import.CPMinAbsoluta)</formula>
    </cfRule>
  </conditionalFormatting>
  <conditionalFormatting sqref="L10:M10">
    <cfRule type="cellIs" dxfId="133" priority="307" stopIfTrue="1" operator="lessThan">
      <formula>0</formula>
    </cfRule>
  </conditionalFormatting>
  <conditionalFormatting sqref="G12">
    <cfRule type="cellIs" dxfId="132" priority="308" stopIfTrue="1" operator="equal">
      <formula>"(digite a descrição aqui)"</formula>
    </cfRule>
  </conditionalFormatting>
  <conditionalFormatting sqref="T14:V22">
    <cfRule type="expression" dxfId="131" priority="5" stopIfTrue="1">
      <formula>OR($B14="Automático",$B14="Branco")</formula>
    </cfRule>
  </conditionalFormatting>
  <conditionalFormatting sqref="L14:L22">
    <cfRule type="expression" dxfId="130"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29" priority="7" stopIfTrue="1">
      <formula>OR($B14="Automático",$B14="Branco",$V14&lt;&gt;"Calculado")</formula>
    </cfRule>
  </conditionalFormatting>
  <conditionalFormatting sqref="G14:G22">
    <cfRule type="cellIs" dxfId="128" priority="8" stopIfTrue="1" operator="equal">
      <formula>"(digite a descrição aqui)"</formula>
    </cfRule>
  </conditionalFormatting>
  <conditionalFormatting sqref="T23:V23">
    <cfRule type="expression" dxfId="127" priority="1" stopIfTrue="1">
      <formula>OR($B23="Automático",$B23="Branco")</formula>
    </cfRule>
  </conditionalFormatting>
  <conditionalFormatting sqref="L23">
    <cfRule type="expression" dxfId="126"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25" priority="3" stopIfTrue="1">
      <formula>OR($B23="Automático",$B23="Branco",$V23&lt;&gt;"Calculado")</formula>
    </cfRule>
  </conditionalFormatting>
  <conditionalFormatting sqref="G23">
    <cfRule type="cellIs" dxfId="124"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900-000000000000}">
      <formula1>0</formula1>
      <formula2>0</formula2>
    </dataValidation>
    <dataValidation type="list" allowBlank="1" sqref="E12 E14:E23" xr:uid="{00000000-0002-0000-0900-000001000000}">
      <formula1>QCI.ItemInvestimento</formula1>
      <formula2>0</formula2>
    </dataValidation>
    <dataValidation type="list" allowBlank="1" sqref="F12 F14:F23" xr:uid="{00000000-0002-0000-0900-000002000000}">
      <formula1>QCI.SubItemInvestimento</formula1>
      <formula2>0</formula2>
    </dataValidation>
    <dataValidation type="list" allowBlank="1" sqref="H12 H14:H23" xr:uid="{00000000-0002-0000-0900-000003000000}">
      <formula1>"Sem Projeto,Em Análise,Análise Concluída / A Licitar,Licitado / Em Execução,Concluído"</formula1>
      <formula2>0</formula2>
    </dataValidation>
    <dataValidation type="decimal" operator="greaterThan" allowBlank="1" showErrorMessage="1" errorTitle="Erro" error="Digite valores maiores do que 0." sqref="I12 I14:I23" xr:uid="{00000000-0002-0000-0900-000004000000}">
      <formula1>0</formula1>
      <formula2>0</formula2>
    </dataValidation>
    <dataValidation type="list" allowBlank="1" showErrorMessage="1" sqref="V12 V14:V23" xr:uid="{00000000-0002-0000-0900-000005000000}">
      <formula1>"Proporcional,Calculado"</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9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900-000007000000}">
      <formula1>0</formula1>
      <formula2>QCI.MaxOUManual</formula2>
    </dataValidation>
    <dataValidation allowBlank="1" showInputMessage="1" showErrorMessage="1" prompt="Preencha somente se a meta não fizer parte do Orçamento desta Plan. Mult." sqref="R12 R14:R23" xr:uid="{00000000-0002-0000-0900-000008000000}"/>
  </dataValidations>
  <pageMargins left="0.78740157480314998" right="0.78740157480314998" top="0.78740157480314998" bottom="0.78740157480314998" header="0.59055118110236204" footer="0.59055118110236204"/>
  <pageSetup paperSize="9" scale="62" firstPageNumber="0" fitToHeight="0" orientation="landscape" horizontalDpi="300" verticalDpi="300" r:id="rId1"/>
  <headerFooter alignWithMargins="0">
    <oddHeader>&amp;L_&amp;C&amp;14I</oddHeader>
    <oddFooter>&amp;LPMv3.07&amp;R&amp;P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11"/>
  <dimension ref="A1:AG36"/>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activeCell="A25" sqref="A25"/>
    </sheetView>
  </sheetViews>
  <sheetFormatPr defaultRowHeight="12.75" x14ac:dyDescent="0.2"/>
  <cols>
    <col min="1" max="1" width="3.7109375" customWidth="1"/>
    <col min="2" max="2" width="8.140625" customWidth="1"/>
    <col min="3" max="3" width="17" customWidth="1"/>
    <col min="4" max="4" width="19.85546875" customWidth="1"/>
    <col min="5" max="5" width="0.85546875" customWidth="1"/>
    <col min="6" max="6" width="5.7109375" hidden="1" customWidth="1"/>
    <col min="7" max="7" width="9.140625" hidden="1" customWidth="1"/>
    <col min="8" max="32" width="5.7109375" customWidth="1"/>
    <col min="33" max="33" width="8.7109375" hidden="1" customWidth="1"/>
    <col min="34" max="34" width="8.7109375" customWidth="1"/>
  </cols>
  <sheetData>
    <row r="1" spans="1:33" hidden="1" x14ac:dyDescent="0.2">
      <c r="A1" s="7" t="e">
        <f ca="1">IF(AUTOEVENTO="Manual",IF(OFFSET(EVENTOS!$F$14,PLE!$B1,0)&gt;0,"F",""),IF(PLE!B1&lt;=MAX(CÁLCULO!$M$15:$M$51),"F",""))</f>
        <v>#REF!</v>
      </c>
      <c r="B1" s="286" t="e">
        <f ca="1">OFFSET(B1,-1,0)+1</f>
        <v>#REF!</v>
      </c>
      <c r="C1" s="700" t="e">
        <f ca="1">IF(AUTOEVENTO="Manual",IF($B1&lt;&gt;1,OFFSET(EVENTOS!$D$14,$B1,0),0),IF(B1&lt;=MAX(CÁLCULO!$M$15:$M$51),VLOOKUP($B1,CÁLCULO!$M$15:$N$51,2,FALSE),0))</f>
        <v>#REF!</v>
      </c>
      <c r="D1" s="700"/>
      <c r="F1" s="288"/>
      <c r="H1" s="288"/>
      <c r="I1" s="288"/>
      <c r="J1" s="288"/>
      <c r="K1" s="288"/>
      <c r="L1" s="288"/>
      <c r="M1" s="288"/>
      <c r="N1" s="288"/>
      <c r="O1" s="288"/>
      <c r="P1" s="288"/>
      <c r="Q1" s="288"/>
      <c r="R1" s="288"/>
      <c r="S1" s="288"/>
      <c r="T1" s="288"/>
      <c r="U1" s="288"/>
      <c r="V1" s="288"/>
      <c r="W1" s="288"/>
      <c r="X1" s="288"/>
      <c r="Y1" s="288"/>
      <c r="Z1" s="288"/>
      <c r="AA1" s="288"/>
      <c r="AB1" s="288"/>
      <c r="AC1" s="288"/>
      <c r="AD1" s="288"/>
      <c r="AE1" s="288"/>
      <c r="AF1" s="288"/>
    </row>
    <row r="2" spans="1:33" hidden="1" x14ac:dyDescent="0.2">
      <c r="A2" s="7"/>
      <c r="B2" s="7"/>
      <c r="C2" s="13"/>
      <c r="D2" s="13"/>
      <c r="F2" s="504"/>
    </row>
    <row r="3" spans="1:33" ht="15.75" x14ac:dyDescent="0.25">
      <c r="H3" s="228" t="s">
        <v>291</v>
      </c>
      <c r="AD3" s="626" t="s">
        <v>140</v>
      </c>
      <c r="AE3" s="626"/>
      <c r="AF3" s="626"/>
    </row>
    <row r="4" spans="1:33" ht="15.75" x14ac:dyDescent="0.2">
      <c r="B4" s="83"/>
      <c r="C4" s="83"/>
      <c r="H4" s="84" t="str">
        <f>import.recurso</f>
        <v>(SELECIONAR)</v>
      </c>
      <c r="AD4" s="627" t="s">
        <v>143</v>
      </c>
      <c r="AE4" s="627"/>
      <c r="AF4" s="627"/>
    </row>
    <row r="6" spans="1:33" x14ac:dyDescent="0.2">
      <c r="B6" s="230" t="s">
        <v>146</v>
      </c>
      <c r="C6" s="303"/>
      <c r="D6" s="232" t="s">
        <v>432</v>
      </c>
      <c r="E6" s="4"/>
      <c r="H6" s="233" t="s">
        <v>270</v>
      </c>
      <c r="I6" s="204"/>
      <c r="J6" s="204"/>
      <c r="K6" s="204"/>
      <c r="L6" s="203"/>
      <c r="M6" s="203"/>
      <c r="N6" s="304"/>
      <c r="O6" s="230" t="s">
        <v>271</v>
      </c>
      <c r="P6" s="234"/>
      <c r="R6" s="204"/>
      <c r="S6" s="204"/>
      <c r="T6" s="204"/>
      <c r="U6" s="231"/>
      <c r="V6" s="230" t="str">
        <f>IF(TIPOORCAMENTO="Licitado","NOME DA EMPRESA","DESCRIÇÃO DO LOTE")</f>
        <v>NOME DA EMPRESA</v>
      </c>
      <c r="W6" s="204"/>
      <c r="X6" s="204"/>
      <c r="Y6" s="204"/>
      <c r="AD6" s="4"/>
      <c r="AE6" s="708" t="str">
        <f>IF(TIPOORCAMENTO="Licitado","Nº CTEF","")</f>
        <v>Nº CTEF</v>
      </c>
      <c r="AF6" s="708"/>
    </row>
    <row r="7" spans="1:33" x14ac:dyDescent="0.2">
      <c r="B7" s="679">
        <f>Import.CR</f>
        <v>0</v>
      </c>
      <c r="C7" s="679"/>
      <c r="D7" s="236">
        <f>Import.TransfereGOV</f>
        <v>0</v>
      </c>
      <c r="E7" s="43"/>
      <c r="H7" s="678" t="str">
        <f>Import.Proponente</f>
        <v>MUNICIPIO DE BENTO GONÇALVES</v>
      </c>
      <c r="I7" s="678"/>
      <c r="J7" s="678"/>
      <c r="K7" s="678"/>
      <c r="L7" s="678"/>
      <c r="M7" s="678"/>
      <c r="N7" s="678"/>
      <c r="O7" s="679" t="str">
        <f>Import.Apelido</f>
        <v>RUA MIGUEL A DA ROLT</v>
      </c>
      <c r="P7" s="679"/>
      <c r="Q7" s="679"/>
      <c r="R7" s="679"/>
      <c r="S7" s="679"/>
      <c r="T7" s="679"/>
      <c r="U7" s="679"/>
      <c r="V7" s="679">
        <f>IF(TIPOORCAMENTO="Licitado",Import.empresa,Import.DescLote)</f>
        <v>0</v>
      </c>
      <c r="W7" s="679"/>
      <c r="X7" s="679"/>
      <c r="Y7" s="679"/>
      <c r="Z7" s="679"/>
      <c r="AA7" s="679"/>
      <c r="AB7" s="679"/>
      <c r="AC7" s="679"/>
      <c r="AD7" s="679"/>
      <c r="AE7" s="709">
        <f>IF(TIPOORCAMENTO="Licitado",Import.CTEF,"")</f>
        <v>0</v>
      </c>
      <c r="AF7" s="709"/>
      <c r="AG7" s="305"/>
    </row>
    <row r="9" spans="1:33" ht="15.75" x14ac:dyDescent="0.25">
      <c r="A9" s="450">
        <v>0</v>
      </c>
      <c r="B9" s="306"/>
      <c r="C9" s="306"/>
      <c r="I9" s="307" t="s">
        <v>292</v>
      </c>
      <c r="J9" s="712">
        <v>1</v>
      </c>
      <c r="K9" s="712"/>
      <c r="M9" s="307" t="s">
        <v>281</v>
      </c>
      <c r="N9" s="713" t="str">
        <f ca="1">TEXT(IF(PLE.Medicao=1,Import.DataInicioObra,OFFSET($H$24,0,1+(PLE.Medicao-$I$25)*2-2)+1),"dd/mm/aaaa")&amp;" a "&amp;TEXT(OFFSET($H$24,0,1+(PLE.Medicao-$I$25)*2),"dd/mm/aaaa")</f>
        <v>00/01/Saturday a 00/01/Saturday</v>
      </c>
      <c r="O9" s="713"/>
      <c r="P9" s="713"/>
      <c r="Q9" s="713"/>
      <c r="R9" s="713"/>
      <c r="S9" s="713"/>
      <c r="T9" s="713"/>
      <c r="U9" s="308"/>
      <c r="X9" s="307" t="s">
        <v>293</v>
      </c>
      <c r="Y9" s="710" t="e">
        <f ca="1">OFFSET($I$25,1+8*(ROUNDUP(($J$9-0)/((COLUMN($AG$14)-COLUMN($G$14)-1)/25*12),0)-1),ROUNDDOWN((($J$9-0)-OFFSET($I$25,8*(ROUNDUP(($J$9-0)/((COLUMN($AG$14)-COLUMN($G$14)-1)/25*12),0)-1),0))*(2+1/12),0))</f>
        <v>#DIV/0!</v>
      </c>
      <c r="Z9" s="710"/>
      <c r="AD9" s="307" t="s">
        <v>294</v>
      </c>
      <c r="AE9" s="710" t="e">
        <f ca="1">OFFSET($I$25,3+8*(ROUNDUP(($J$9-0)/((COLUMN($AG$14)-COLUMN($G$14)-1)/25*12),0)-1),ROUNDDOWN((($J$9-0)-OFFSET($I$25,8*(ROUNDUP(($J$9-0)/((COLUMN($AG$14)-COLUMN($G$14)-1)/25*12),0)-1),0))*(2+1/12),0))</f>
        <v>#DIV/0!</v>
      </c>
      <c r="AF9" s="710"/>
    </row>
    <row r="11" spans="1:33" ht="65.25" customHeight="1" x14ac:dyDescent="0.2">
      <c r="A11" s="290" t="s">
        <v>288</v>
      </c>
      <c r="C11" s="711" t="str">
        <f>IF(TIPOORCAMENTO="proposto","ALTERE O TIPO DE ORÇAMENTO NA ABA 'MENU' PARA LICITADO.",IF(ACOMPANHAMENTO="BM","FOI SELECIONADO NA ABA 'MENU' O ACOMPANHAMENTO POR BM.",""))</f>
        <v/>
      </c>
      <c r="D11" s="711"/>
      <c r="F11" s="292" t="str">
        <f ca="1">IF(F$12&gt;CÁLCULO.NúmeroDeFrentes,"",OFFSET(CÁLCULO!$P$12,0,F$12))</f>
        <v>FRENTE 1</v>
      </c>
      <c r="H11" s="292" t="str">
        <f ca="1">IF(H$12&gt;CÁLCULO.NúmeroDeFrentes,"",OFFSET(CÁLCULO!$P$12,0,H$12))</f>
        <v>FRENTE 1</v>
      </c>
      <c r="I11" s="292" t="str">
        <f ca="1">IF(I$12&gt;CÁLCULO.NúmeroDeFrentes,"",OFFSET(CÁLCULO!$P$12,0,I$12))</f>
        <v>FRENTE 2</v>
      </c>
      <c r="J11" s="292">
        <f ca="1">IF(J$12&gt;CÁLCULO.NúmeroDeFrentes,"",OFFSET(CÁLCULO!$P$12,0,J$12))</f>
        <v>0</v>
      </c>
      <c r="K11" s="292">
        <f ca="1">IF(K$12&gt;CÁLCULO.NúmeroDeFrentes,"",OFFSET(CÁLCULO!$P$12,0,K$12))</f>
        <v>0</v>
      </c>
      <c r="L11" s="292">
        <f ca="1">IF(L$12&gt;CÁLCULO.NúmeroDeFrentes,"",OFFSET(CÁLCULO!$P$12,0,L$12))</f>
        <v>0</v>
      </c>
      <c r="M11" s="292">
        <f ca="1">IF(M$12&gt;CÁLCULO.NúmeroDeFrentes,"",OFFSET(CÁLCULO!$P$12,0,M$12))</f>
        <v>0</v>
      </c>
      <c r="N11" s="292">
        <f ca="1">IF(N$12&gt;CÁLCULO.NúmeroDeFrentes,"",OFFSET(CÁLCULO!$P$12,0,N$12))</f>
        <v>0</v>
      </c>
      <c r="O11" s="292">
        <f ca="1">IF(O$12&gt;CÁLCULO.NúmeroDeFrentes,"",OFFSET(CÁLCULO!$P$12,0,O$12))</f>
        <v>0</v>
      </c>
      <c r="P11" s="292">
        <f ca="1">IF(P$12&gt;CÁLCULO.NúmeroDeFrentes,"",OFFSET(CÁLCULO!$P$12,0,P$12))</f>
        <v>0</v>
      </c>
      <c r="Q11" s="292">
        <f ca="1">IF(Q$12&gt;CÁLCULO.NúmeroDeFrentes,"",OFFSET(CÁLCULO!$P$12,0,Q$12))</f>
        <v>0</v>
      </c>
      <c r="R11" s="292" t="str">
        <f ca="1">IF(R$12&gt;CÁLCULO.NúmeroDeFrentes,"",OFFSET(CÁLCULO!$P$12,0,R$12))</f>
        <v/>
      </c>
      <c r="S11" s="292" t="str">
        <f ca="1">IF(S$12&gt;CÁLCULO.NúmeroDeFrentes,"",OFFSET(CÁLCULO!$P$12,0,S$12))</f>
        <v/>
      </c>
      <c r="T11" s="292" t="str">
        <f ca="1">IF(T$12&gt;CÁLCULO.NúmeroDeFrentes,"",OFFSET(CÁLCULO!$P$12,0,T$12))</f>
        <v/>
      </c>
      <c r="U11" s="292" t="str">
        <f ca="1">IF(U$12&gt;CÁLCULO.NúmeroDeFrentes,"",OFFSET(CÁLCULO!$P$12,0,U$12))</f>
        <v/>
      </c>
      <c r="V11" s="292" t="str">
        <f ca="1">IF(V$12&gt;CÁLCULO.NúmeroDeFrentes,"",OFFSET(CÁLCULO!$P$12,0,V$12))</f>
        <v/>
      </c>
      <c r="W11" s="292" t="str">
        <f ca="1">IF(W$12&gt;CÁLCULO.NúmeroDeFrentes,"",OFFSET(CÁLCULO!$P$12,0,W$12))</f>
        <v/>
      </c>
      <c r="X11" s="292" t="str">
        <f ca="1">IF(X$12&gt;CÁLCULO.NúmeroDeFrentes,"",OFFSET(CÁLCULO!$P$12,0,X$12))</f>
        <v/>
      </c>
      <c r="Y11" s="292" t="str">
        <f ca="1">IF(Y$12&gt;CÁLCULO.NúmeroDeFrentes,"",OFFSET(CÁLCULO!$P$12,0,Y$12))</f>
        <v/>
      </c>
      <c r="Z11" s="292" t="str">
        <f ca="1">IF(Z$12&gt;CÁLCULO.NúmeroDeFrentes,"",OFFSET(CÁLCULO!$P$12,0,Z$12))</f>
        <v/>
      </c>
      <c r="AA11" s="292" t="str">
        <f ca="1">IF(AA$12&gt;CÁLCULO.NúmeroDeFrentes,"",OFFSET(CÁLCULO!$P$12,0,AA$12))</f>
        <v/>
      </c>
      <c r="AB11" s="292" t="str">
        <f ca="1">IF(AB$12&gt;CÁLCULO.NúmeroDeFrentes,"",OFFSET(CÁLCULO!$P$12,0,AB$12))</f>
        <v/>
      </c>
      <c r="AC11" s="292" t="str">
        <f ca="1">IF(AC$12&gt;CÁLCULO.NúmeroDeFrentes,"",OFFSET(CÁLCULO!$P$12,0,AC$12))</f>
        <v/>
      </c>
      <c r="AD11" s="292" t="str">
        <f ca="1">IF(AD$12&gt;CÁLCULO.NúmeroDeFrentes,"",OFFSET(CÁLCULO!$P$12,0,AD$12))</f>
        <v/>
      </c>
      <c r="AE11" s="292" t="str">
        <f ca="1">IF(AE$12&gt;CÁLCULO.NúmeroDeFrentes,"",OFFSET(CÁLCULO!$P$12,0,AE$12))</f>
        <v/>
      </c>
      <c r="AF11" s="292" t="str">
        <f ca="1">IF(AF$12&gt;CÁLCULO.NúmeroDeFrentes,"",OFFSET(CÁLCULO!$P$12,0,AF$12))</f>
        <v/>
      </c>
    </row>
    <row r="12" spans="1:33" ht="12.75" customHeight="1" x14ac:dyDescent="0.2">
      <c r="A12" s="108" t="s">
        <v>216</v>
      </c>
      <c r="B12" s="669" t="s">
        <v>264</v>
      </c>
      <c r="C12" s="669" t="s">
        <v>289</v>
      </c>
      <c r="D12" s="669"/>
      <c r="F12" s="293">
        <f ca="1">OFFSET(F12,0,-1)+1</f>
        <v>1</v>
      </c>
      <c r="H12" s="293">
        <f ca="1">OFFSET(H12,0,-1)+1</f>
        <v>1</v>
      </c>
      <c r="I12" s="293">
        <f ca="1">OFFSET(I12,0,-1)+1</f>
        <v>2</v>
      </c>
      <c r="J12" s="293">
        <f t="shared" ref="J12:AF12" ca="1" si="0">OFFSET(J12,0,-1)+1</f>
        <v>3</v>
      </c>
      <c r="K12" s="293">
        <f t="shared" ca="1" si="0"/>
        <v>4</v>
      </c>
      <c r="L12" s="293">
        <f t="shared" ca="1" si="0"/>
        <v>5</v>
      </c>
      <c r="M12" s="293">
        <f t="shared" ca="1" si="0"/>
        <v>6</v>
      </c>
      <c r="N12" s="293">
        <f t="shared" ca="1" si="0"/>
        <v>7</v>
      </c>
      <c r="O12" s="293">
        <f t="shared" ca="1" si="0"/>
        <v>8</v>
      </c>
      <c r="P12" s="293">
        <f t="shared" ca="1" si="0"/>
        <v>9</v>
      </c>
      <c r="Q12" s="293">
        <f t="shared" ca="1" si="0"/>
        <v>10</v>
      </c>
      <c r="R12" s="293">
        <f t="shared" ca="1" si="0"/>
        <v>11</v>
      </c>
      <c r="S12" s="293">
        <f t="shared" ca="1" si="0"/>
        <v>12</v>
      </c>
      <c r="T12" s="293">
        <f t="shared" ca="1" si="0"/>
        <v>13</v>
      </c>
      <c r="U12" s="293">
        <f t="shared" ca="1" si="0"/>
        <v>14</v>
      </c>
      <c r="V12" s="293">
        <f t="shared" ca="1" si="0"/>
        <v>15</v>
      </c>
      <c r="W12" s="293">
        <f t="shared" ca="1" si="0"/>
        <v>16</v>
      </c>
      <c r="X12" s="293">
        <f t="shared" ca="1" si="0"/>
        <v>17</v>
      </c>
      <c r="Y12" s="293">
        <f t="shared" ca="1" si="0"/>
        <v>18</v>
      </c>
      <c r="Z12" s="293">
        <f t="shared" ca="1" si="0"/>
        <v>19</v>
      </c>
      <c r="AA12" s="293">
        <f t="shared" ca="1" si="0"/>
        <v>20</v>
      </c>
      <c r="AB12" s="293">
        <f t="shared" ca="1" si="0"/>
        <v>21</v>
      </c>
      <c r="AC12" s="293">
        <f t="shared" ca="1" si="0"/>
        <v>22</v>
      </c>
      <c r="AD12" s="293">
        <f t="shared" ca="1" si="0"/>
        <v>23</v>
      </c>
      <c r="AE12" s="293">
        <f t="shared" ca="1" si="0"/>
        <v>24</v>
      </c>
      <c r="AF12" s="293">
        <f t="shared" ca="1" si="0"/>
        <v>25</v>
      </c>
    </row>
    <row r="13" spans="1:33" x14ac:dyDescent="0.2">
      <c r="B13" s="669"/>
      <c r="C13" s="669"/>
      <c r="D13" s="669"/>
      <c r="F13" s="295"/>
      <c r="H13" s="295"/>
      <c r="I13" s="294"/>
      <c r="J13" s="294"/>
      <c r="K13" s="294"/>
      <c r="L13" s="294"/>
      <c r="M13" s="294"/>
      <c r="N13" s="294" t="s">
        <v>295</v>
      </c>
      <c r="O13" s="294"/>
      <c r="P13" s="294"/>
      <c r="Q13" s="294"/>
      <c r="R13" s="294"/>
      <c r="S13" s="294"/>
      <c r="T13" s="294"/>
      <c r="U13" s="294"/>
      <c r="V13" s="294"/>
      <c r="W13" s="294"/>
      <c r="X13" s="294"/>
      <c r="Y13" s="294"/>
      <c r="Z13" s="294"/>
      <c r="AA13" s="294"/>
      <c r="AB13" s="294"/>
      <c r="AC13" s="294"/>
      <c r="AD13" s="294"/>
      <c r="AE13" s="294"/>
      <c r="AF13" s="296"/>
    </row>
    <row r="14" spans="1:33" ht="3.95" customHeight="1" x14ac:dyDescent="0.2">
      <c r="A14" s="7" t="s">
        <v>245</v>
      </c>
    </row>
    <row r="15" spans="1:33" x14ac:dyDescent="0.2">
      <c r="A15" s="7" t="str">
        <f ca="1">IF(AND(AUTOEVENTO="Manual",OFFSET(EVENTOS!$F$1,1,0)&gt;0),"F","")</f>
        <v/>
      </c>
      <c r="B15" s="297">
        <v>1</v>
      </c>
      <c r="C15" s="714" t="s">
        <v>267</v>
      </c>
      <c r="D15" s="714"/>
      <c r="F15" s="300"/>
      <c r="H15" s="300"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99"/>
      <c r="J15" s="299"/>
      <c r="K15" s="299"/>
      <c r="L15" s="299"/>
      <c r="M15" s="299"/>
      <c r="N15" s="299"/>
      <c r="O15" s="299"/>
      <c r="P15" s="299"/>
      <c r="Q15" s="299"/>
      <c r="R15" s="299"/>
      <c r="S15" s="299"/>
      <c r="T15" s="299"/>
      <c r="U15" s="299"/>
      <c r="V15" s="299"/>
      <c r="W15" s="299"/>
      <c r="X15" s="299"/>
      <c r="Y15" s="299"/>
      <c r="Z15" s="299"/>
      <c r="AA15" s="299"/>
      <c r="AB15" s="299"/>
      <c r="AC15" s="299"/>
      <c r="AD15" s="299"/>
      <c r="AE15" s="299"/>
      <c r="AF15" s="301"/>
    </row>
    <row r="16" spans="1:33" x14ac:dyDescent="0.2">
      <c r="A16" s="7" t="str">
        <f ca="1">IF(AUTOEVENTO="Manual",IF(OFFSET(EVENTOS!$F$14,PLE!$B16,0)&gt;0,"F",""),IF(PLE!B16&lt;=MAX(CÁLCULO!$M$15:$M$51),"F",""))</f>
        <v>F</v>
      </c>
      <c r="B16" s="286">
        <f t="shared" ref="B16:B20" ca="1" si="1">OFFSET(B16,-1,0)+1</f>
        <v>2</v>
      </c>
      <c r="C16" s="700" t="str">
        <f ca="1">IF(AUTOEVENTO="Manual",IF($B16&lt;&gt;1,OFFSET(EVENTOS!$D$14,$B16,0),0),IF(B16&lt;=MAX(CÁLCULO!$M$15:$M$51),VLOOKUP($B16,CÁLCULO!$M$15:$N$51,2,FALSE),0))</f>
        <v>SERVIÇOS INICIAIS</v>
      </c>
      <c r="D16" s="700"/>
      <c r="F16" s="288"/>
      <c r="H16" s="288"/>
      <c r="I16" s="288"/>
      <c r="J16" s="288"/>
      <c r="K16" s="288"/>
      <c r="L16" s="288"/>
      <c r="M16" s="288"/>
      <c r="N16" s="288"/>
      <c r="O16" s="288"/>
      <c r="P16" s="288"/>
      <c r="Q16" s="288"/>
      <c r="R16" s="288"/>
      <c r="S16" s="288"/>
      <c r="T16" s="288"/>
      <c r="U16" s="288"/>
      <c r="V16" s="288"/>
      <c r="W16" s="288"/>
      <c r="X16" s="288"/>
      <c r="Y16" s="288"/>
      <c r="Z16" s="288"/>
      <c r="AA16" s="288"/>
      <c r="AB16" s="288"/>
      <c r="AC16" s="288"/>
      <c r="AD16" s="288"/>
      <c r="AE16" s="288"/>
      <c r="AF16" s="288"/>
    </row>
    <row r="17" spans="1:32" x14ac:dyDescent="0.2">
      <c r="A17" s="7" t="str">
        <f ca="1">IF(AUTOEVENTO="Manual",IF(OFFSET(EVENTOS!$F$14,PLE!$B17,0)&gt;0,"F",""),IF(PLE!B17&lt;=MAX(CÁLCULO!$M$15:$M$51),"F",""))</f>
        <v>F</v>
      </c>
      <c r="B17" s="286">
        <f t="shared" ca="1" si="1"/>
        <v>3</v>
      </c>
      <c r="C17" s="700" t="str">
        <f ca="1">IF(AUTOEVENTO="Manual",IF($B17&lt;&gt;1,OFFSET(EVENTOS!$D$14,$B17,0),0),IF(B17&lt;=MAX(CÁLCULO!$M$15:$M$51),VLOOKUP($B17,CÁLCULO!$M$15:$N$51,2,FALSE),0))</f>
        <v>DRENAGEM</v>
      </c>
      <c r="D17" s="700"/>
      <c r="F17" s="288"/>
      <c r="H17" s="288"/>
      <c r="I17" s="288"/>
      <c r="J17" s="288"/>
      <c r="K17" s="288"/>
      <c r="L17" s="288"/>
      <c r="M17" s="288"/>
      <c r="N17" s="288"/>
      <c r="O17" s="288"/>
      <c r="P17" s="288"/>
      <c r="Q17" s="288"/>
      <c r="R17" s="288"/>
      <c r="S17" s="288"/>
      <c r="T17" s="288"/>
      <c r="U17" s="288"/>
      <c r="V17" s="288"/>
      <c r="W17" s="288"/>
      <c r="X17" s="288"/>
      <c r="Y17" s="288"/>
      <c r="Z17" s="288"/>
      <c r="AA17" s="288"/>
      <c r="AB17" s="288"/>
      <c r="AC17" s="288"/>
      <c r="AD17" s="288"/>
      <c r="AE17" s="288"/>
      <c r="AF17" s="288"/>
    </row>
    <row r="18" spans="1:32" x14ac:dyDescent="0.2">
      <c r="A18" s="7" t="str">
        <f ca="1">IF(AUTOEVENTO="Manual",IF(OFFSET(EVENTOS!$F$14,PLE!$B18,0)&gt;0,"F",""),IF(PLE!B18&lt;=MAX(CÁLCULO!$M$15:$M$51),"F",""))</f>
        <v>F</v>
      </c>
      <c r="B18" s="286">
        <f t="shared" ca="1" si="1"/>
        <v>4</v>
      </c>
      <c r="C18" s="700" t="str">
        <f ca="1">IF(AUTOEVENTO="Manual",IF($B18&lt;&gt;1,OFFSET(EVENTOS!$D$14,$B18,0),0),IF(B18&lt;=MAX(CÁLCULO!$M$15:$M$51),VLOOKUP($B18,CÁLCULO!$M$15:$N$51,2,FALSE),0))</f>
        <v>PAVIMENTAÇÃO ASFÁLTICA</v>
      </c>
      <c r="D18" s="700"/>
      <c r="F18" s="288"/>
      <c r="H18" s="288"/>
      <c r="I18" s="288"/>
      <c r="J18" s="288"/>
      <c r="K18" s="288"/>
      <c r="L18" s="288"/>
      <c r="M18" s="288"/>
      <c r="N18" s="288"/>
      <c r="O18" s="288"/>
      <c r="P18" s="288"/>
      <c r="Q18" s="288"/>
      <c r="R18" s="288"/>
      <c r="S18" s="288"/>
      <c r="T18" s="288"/>
      <c r="U18" s="288"/>
      <c r="V18" s="288"/>
      <c r="W18" s="288"/>
      <c r="X18" s="288"/>
      <c r="Y18" s="288"/>
      <c r="Z18" s="288"/>
      <c r="AA18" s="288"/>
      <c r="AB18" s="288"/>
      <c r="AC18" s="288"/>
      <c r="AD18" s="288"/>
      <c r="AE18" s="288"/>
      <c r="AF18" s="288"/>
    </row>
    <row r="19" spans="1:32" x14ac:dyDescent="0.2">
      <c r="A19" s="7" t="str">
        <f ca="1">IF(AUTOEVENTO="Manual",IF(OFFSET(EVENTOS!$F$14,PLE!$B19,0)&gt;0,"F",""),IF(PLE!B19&lt;=MAX(CÁLCULO!$M$15:$M$51),"F",""))</f>
        <v>F</v>
      </c>
      <c r="B19" s="286">
        <f t="shared" ca="1" si="1"/>
        <v>5</v>
      </c>
      <c r="C19" s="700" t="str">
        <f ca="1">IF(AUTOEVENTO="Manual",IF($B19&lt;&gt;1,OFFSET(EVENTOS!$D$14,$B19,0),0),IF(B19&lt;=MAX(CÁLCULO!$M$15:$M$51),VLOOKUP($B19,CÁLCULO!$M$15:$N$51,2,FALSE),0))</f>
        <v>PASSEIO E ACESSIBILIDADE</v>
      </c>
      <c r="D19" s="700"/>
      <c r="F19" s="288"/>
      <c r="H19" s="288"/>
      <c r="I19" s="288"/>
      <c r="J19" s="288"/>
      <c r="K19" s="288"/>
      <c r="L19" s="288"/>
      <c r="M19" s="288"/>
      <c r="N19" s="288"/>
      <c r="O19" s="288"/>
      <c r="P19" s="288"/>
      <c r="Q19" s="288"/>
      <c r="R19" s="288"/>
      <c r="S19" s="288"/>
      <c r="T19" s="288"/>
      <c r="U19" s="288"/>
      <c r="V19" s="288"/>
      <c r="W19" s="288"/>
      <c r="X19" s="288"/>
      <c r="Y19" s="288"/>
      <c r="Z19" s="288"/>
      <c r="AA19" s="288"/>
      <c r="AB19" s="288"/>
      <c r="AC19" s="288"/>
      <c r="AD19" s="288"/>
      <c r="AE19" s="288"/>
      <c r="AF19" s="288"/>
    </row>
    <row r="20" spans="1:32" x14ac:dyDescent="0.2">
      <c r="A20" s="7" t="str">
        <f ca="1">IF(AUTOEVENTO="Manual",IF(OFFSET(EVENTOS!$F$14,PLE!$B20,0)&gt;0,"F",""),IF(PLE!B20&lt;=MAX(CÁLCULO!$M$15:$M$51),"F",""))</f>
        <v>F</v>
      </c>
      <c r="B20" s="286">
        <f t="shared" ca="1" si="1"/>
        <v>6</v>
      </c>
      <c r="C20" s="700" t="str">
        <f ca="1">IF(AUTOEVENTO="Manual",IF($B20&lt;&gt;1,OFFSET(EVENTOS!$D$14,$B20,0),0),IF(B20&lt;=MAX(CÁLCULO!$M$15:$M$51),VLOOKUP($B20,CÁLCULO!$M$15:$N$51,2,FALSE),0))</f>
        <v>SINALIZAÇÃO</v>
      </c>
      <c r="D20" s="700"/>
      <c r="F20" s="288"/>
      <c r="H20" s="288"/>
      <c r="I20" s="288"/>
      <c r="J20" s="288"/>
      <c r="K20" s="288"/>
      <c r="L20" s="288"/>
      <c r="M20" s="288"/>
      <c r="N20" s="288"/>
      <c r="O20" s="288"/>
      <c r="P20" s="288"/>
      <c r="Q20" s="288"/>
      <c r="R20" s="288"/>
      <c r="S20" s="288"/>
      <c r="T20" s="288"/>
      <c r="U20" s="288"/>
      <c r="V20" s="288"/>
      <c r="W20" s="288"/>
      <c r="X20" s="288"/>
      <c r="Y20" s="288"/>
      <c r="Z20" s="288"/>
      <c r="AA20" s="288"/>
      <c r="AB20" s="288"/>
      <c r="AC20" s="288"/>
      <c r="AD20" s="288"/>
      <c r="AE20" s="288"/>
      <c r="AF20" s="288"/>
    </row>
    <row r="21" spans="1:32" ht="4.5" customHeight="1" x14ac:dyDescent="0.2">
      <c r="A21" s="7" t="s">
        <v>245</v>
      </c>
      <c r="B21" s="471"/>
      <c r="C21" s="472"/>
      <c r="D21" s="473"/>
      <c r="F21" s="138"/>
      <c r="H21" s="471"/>
      <c r="I21" s="472"/>
      <c r="J21" s="472"/>
      <c r="K21" s="472"/>
      <c r="L21" s="472"/>
      <c r="M21" s="472"/>
      <c r="N21" s="472"/>
      <c r="O21" s="472"/>
      <c r="P21" s="472"/>
      <c r="Q21" s="472"/>
      <c r="R21" s="472"/>
      <c r="S21" s="472"/>
      <c r="T21" s="472"/>
      <c r="U21" s="472"/>
      <c r="V21" s="472"/>
      <c r="W21" s="472"/>
      <c r="X21" s="472"/>
      <c r="Y21" s="472"/>
      <c r="Z21" s="472"/>
      <c r="AA21" s="472"/>
      <c r="AB21" s="472"/>
      <c r="AC21" s="472"/>
      <c r="AD21" s="472"/>
      <c r="AE21" s="472"/>
      <c r="AF21" s="473"/>
    </row>
    <row r="22" spans="1:32" x14ac:dyDescent="0.2">
      <c r="A22" s="7" t="s">
        <v>245</v>
      </c>
    </row>
    <row r="23" spans="1:32" x14ac:dyDescent="0.2">
      <c r="A23" s="7" t="s">
        <v>245</v>
      </c>
      <c r="I23" s="716" t="s">
        <v>296</v>
      </c>
      <c r="J23" s="716"/>
      <c r="K23" s="716"/>
      <c r="L23" s="716"/>
      <c r="M23" s="716"/>
      <c r="N23" s="716"/>
      <c r="O23" s="716"/>
      <c r="P23" s="716"/>
      <c r="Q23" s="716"/>
      <c r="R23" s="716"/>
      <c r="S23" s="716"/>
      <c r="T23" s="716"/>
      <c r="U23" s="716"/>
      <c r="V23" s="716"/>
      <c r="W23" s="716"/>
      <c r="X23" s="716"/>
      <c r="Y23" s="716"/>
      <c r="Z23" s="716"/>
      <c r="AA23" s="716"/>
      <c r="AB23" s="716"/>
      <c r="AC23" s="716"/>
      <c r="AD23" s="716"/>
      <c r="AE23" s="716"/>
      <c r="AF23" s="716"/>
    </row>
    <row r="24" spans="1:32" x14ac:dyDescent="0.2">
      <c r="A24" s="7" t="s">
        <v>245</v>
      </c>
      <c r="I24" s="702"/>
      <c r="J24" s="699"/>
      <c r="K24" s="699"/>
      <c r="L24" s="699"/>
      <c r="M24" s="699"/>
      <c r="N24" s="699"/>
      <c r="O24" s="699"/>
      <c r="P24" s="699"/>
      <c r="Q24" s="699"/>
      <c r="R24" s="699"/>
      <c r="S24" s="699"/>
      <c r="T24" s="699"/>
      <c r="U24" s="699"/>
      <c r="V24" s="699"/>
      <c r="W24" s="699"/>
      <c r="X24" s="699"/>
      <c r="Y24" s="699"/>
      <c r="Z24" s="699"/>
      <c r="AA24" s="699"/>
      <c r="AB24" s="699"/>
      <c r="AC24" s="699"/>
      <c r="AD24" s="699"/>
      <c r="AE24" s="699"/>
      <c r="AF24" s="715"/>
    </row>
    <row r="25" spans="1:32" x14ac:dyDescent="0.2">
      <c r="A25" s="7" t="s">
        <v>245</v>
      </c>
      <c r="D25" s="309" t="s">
        <v>297</v>
      </c>
      <c r="I25" s="694">
        <f>IF(PLE.Medicao&lt;=12,1,TRUNC((PLE.Medicao - 2)/11,0) * 11 + 1)</f>
        <v>1</v>
      </c>
      <c r="J25" s="694"/>
      <c r="K25" s="694">
        <f>I25+1</f>
        <v>2</v>
      </c>
      <c r="L25" s="694"/>
      <c r="M25" s="694">
        <f>K25+1</f>
        <v>3</v>
      </c>
      <c r="N25" s="694"/>
      <c r="O25" s="694">
        <f>M25+1</f>
        <v>4</v>
      </c>
      <c r="P25" s="694"/>
      <c r="Q25" s="694">
        <f>O25+1</f>
        <v>5</v>
      </c>
      <c r="R25" s="694"/>
      <c r="S25" s="694">
        <f>Q25+1</f>
        <v>6</v>
      </c>
      <c r="T25" s="694"/>
      <c r="U25" s="694">
        <f>S25+1</f>
        <v>7</v>
      </c>
      <c r="V25" s="694"/>
      <c r="W25" s="694">
        <f>U25+1</f>
        <v>8</v>
      </c>
      <c r="X25" s="694"/>
      <c r="Y25" s="694">
        <f>W25+1</f>
        <v>9</v>
      </c>
      <c r="Z25" s="694"/>
      <c r="AA25" s="694">
        <f>Y25+1</f>
        <v>10</v>
      </c>
      <c r="AB25" s="694"/>
      <c r="AC25" s="694">
        <f>AA25+1</f>
        <v>11</v>
      </c>
      <c r="AD25" s="694"/>
      <c r="AE25" s="694">
        <f>AC25+1</f>
        <v>12</v>
      </c>
      <c r="AF25" s="694"/>
    </row>
    <row r="26" spans="1:32" x14ac:dyDescent="0.2">
      <c r="A26" s="7" t="s">
        <v>245</v>
      </c>
      <c r="D26" s="705" t="s">
        <v>281</v>
      </c>
      <c r="H26" s="310" t="s">
        <v>298</v>
      </c>
      <c r="I26" s="695" t="e">
        <f ca="1">ROUND(I27,2)/ORÇAMENTO!$X$15</f>
        <v>#DIV/0!</v>
      </c>
      <c r="J26" s="695"/>
      <c r="K26" s="697" t="e">
        <f ca="1">ROUND(K27,2)/ORÇAMENTO!$X$15</f>
        <v>#DIV/0!</v>
      </c>
      <c r="L26" s="697"/>
      <c r="M26" s="696" t="e">
        <f ca="1">ROUND(M27,2)/ORÇAMENTO!$X$15</f>
        <v>#DIV/0!</v>
      </c>
      <c r="N26" s="696"/>
      <c r="O26" s="697" t="e">
        <f ca="1">ROUND(O27,2)/ORÇAMENTO!$X$15</f>
        <v>#DIV/0!</v>
      </c>
      <c r="P26" s="697"/>
      <c r="Q26" s="696" t="e">
        <f ca="1">ROUND(Q27,2)/ORÇAMENTO!$X$15</f>
        <v>#DIV/0!</v>
      </c>
      <c r="R26" s="696"/>
      <c r="S26" s="697" t="e">
        <f ca="1">ROUND(S27,2)/ORÇAMENTO!$X$15</f>
        <v>#DIV/0!</v>
      </c>
      <c r="T26" s="697"/>
      <c r="U26" s="696" t="e">
        <f ca="1">ROUND(U27,2)/ORÇAMENTO!$X$15</f>
        <v>#DIV/0!</v>
      </c>
      <c r="V26" s="696"/>
      <c r="W26" s="697" t="e">
        <f ca="1">ROUND(W27,2)/ORÇAMENTO!$X$15</f>
        <v>#DIV/0!</v>
      </c>
      <c r="X26" s="697"/>
      <c r="Y26" s="696" t="e">
        <f ca="1">ROUND(Y27,2)/ORÇAMENTO!$X$15</f>
        <v>#DIV/0!</v>
      </c>
      <c r="Z26" s="696"/>
      <c r="AA26" s="697" t="e">
        <f ca="1">ROUND(AA27,2)/ORÇAMENTO!$X$15</f>
        <v>#DIV/0!</v>
      </c>
      <c r="AB26" s="697"/>
      <c r="AC26" s="696" t="e">
        <f ca="1">ROUND(AC27,2)/ORÇAMENTO!$X$15</f>
        <v>#DIV/0!</v>
      </c>
      <c r="AD26" s="696"/>
      <c r="AE26" s="697" t="e">
        <f ca="1">ROUND(AE27,2)/ORÇAMENTO!$X$15</f>
        <v>#DIV/0!</v>
      </c>
      <c r="AF26" s="697"/>
    </row>
    <row r="27" spans="1:32" x14ac:dyDescent="0.2">
      <c r="A27" s="7" t="s">
        <v>245</v>
      </c>
      <c r="D27" s="705"/>
      <c r="H27" s="12" t="s">
        <v>299</v>
      </c>
      <c r="I27" s="698" t="e">
        <f ca="1">IF(I25=1,I29,ROUND(I29,2)-ROUND(SUMIF(CÁLCULO!$AX$15:$BH$51,"&lt;="&amp;PLE!I25-1,CÁLCULO!$AB$15:$AL$51)*(1+CÁLCULO.TotalAdmLocal/(ORÇAMENTO!$X$15-CÁLCULO.TotalAdmLocal)),2))</f>
        <v>#DIV/0!</v>
      </c>
      <c r="J27" s="698"/>
      <c r="K27" s="698" t="e">
        <f ca="1">ROUND(K29,2)-ROUND(I29,2)</f>
        <v>#DIV/0!</v>
      </c>
      <c r="L27" s="698"/>
      <c r="M27" s="701" t="e">
        <f ca="1">ROUND(M29,2)-ROUND(K29,2)</f>
        <v>#DIV/0!</v>
      </c>
      <c r="N27" s="701"/>
      <c r="O27" s="698" t="e">
        <f ca="1">ROUND(O29,2)-ROUND(M29,2)</f>
        <v>#DIV/0!</v>
      </c>
      <c r="P27" s="698"/>
      <c r="Q27" s="701" t="e">
        <f ca="1">ROUND(Q29,2)-ROUND(O29,2)</f>
        <v>#DIV/0!</v>
      </c>
      <c r="R27" s="701"/>
      <c r="S27" s="698" t="e">
        <f ca="1">ROUND(S29,2)-ROUND(Q29,2)</f>
        <v>#DIV/0!</v>
      </c>
      <c r="T27" s="698"/>
      <c r="U27" s="701" t="e">
        <f ca="1">ROUND(U29,2)-ROUND(S29,2)</f>
        <v>#DIV/0!</v>
      </c>
      <c r="V27" s="701"/>
      <c r="W27" s="698" t="e">
        <f ca="1">ROUND(W29,2)-ROUND(U29,2)</f>
        <v>#DIV/0!</v>
      </c>
      <c r="X27" s="698"/>
      <c r="Y27" s="701" t="e">
        <f ca="1">ROUND(Y29,2)-ROUND(W29,2)</f>
        <v>#DIV/0!</v>
      </c>
      <c r="Z27" s="701"/>
      <c r="AA27" s="698" t="e">
        <f ca="1">ROUND(AA29,2)-ROUND(Y29,2)</f>
        <v>#DIV/0!</v>
      </c>
      <c r="AB27" s="698"/>
      <c r="AC27" s="701" t="e">
        <f ca="1">ROUND(AC29,2)-ROUND(AA29,2)</f>
        <v>#DIV/0!</v>
      </c>
      <c r="AD27" s="701"/>
      <c r="AE27" s="698" t="e">
        <f ca="1">ROUND(AE29,2)-ROUND(AC29,2)</f>
        <v>#DIV/0!</v>
      </c>
      <c r="AF27" s="698"/>
    </row>
    <row r="28" spans="1:32" x14ac:dyDescent="0.2">
      <c r="A28" s="7" t="s">
        <v>245</v>
      </c>
      <c r="D28" s="705" t="s">
        <v>285</v>
      </c>
      <c r="H28" s="310" t="s">
        <v>298</v>
      </c>
      <c r="I28" s="707" t="e">
        <f ca="1">ROUND(I29,2)/ORÇAMENTO!$X$15</f>
        <v>#DIV/0!</v>
      </c>
      <c r="J28" s="707"/>
      <c r="K28" s="703" t="e">
        <f ca="1">ROUND(K29,2)/ORÇAMENTO!$X$15</f>
        <v>#DIV/0!</v>
      </c>
      <c r="L28" s="703"/>
      <c r="M28" s="704" t="e">
        <f ca="1">ROUND(M29,2)/ORÇAMENTO!$X$15</f>
        <v>#DIV/0!</v>
      </c>
      <c r="N28" s="704"/>
      <c r="O28" s="703" t="e">
        <f ca="1">ROUND(O29,2)/ORÇAMENTO!$X$15</f>
        <v>#DIV/0!</v>
      </c>
      <c r="P28" s="703"/>
      <c r="Q28" s="704" t="e">
        <f ca="1">ROUND(Q29,2)/ORÇAMENTO!$X$15</f>
        <v>#DIV/0!</v>
      </c>
      <c r="R28" s="704"/>
      <c r="S28" s="703" t="e">
        <f ca="1">ROUND(S29,2)/ORÇAMENTO!$X$15</f>
        <v>#DIV/0!</v>
      </c>
      <c r="T28" s="703"/>
      <c r="U28" s="704" t="e">
        <f ca="1">ROUND(U29,2)/ORÇAMENTO!$X$15</f>
        <v>#DIV/0!</v>
      </c>
      <c r="V28" s="704"/>
      <c r="W28" s="703" t="e">
        <f ca="1">ROUND(W29,2)/ORÇAMENTO!$X$15</f>
        <v>#DIV/0!</v>
      </c>
      <c r="X28" s="703"/>
      <c r="Y28" s="704" t="e">
        <f ca="1">ROUND(Y29,2)/ORÇAMENTO!$X$15</f>
        <v>#DIV/0!</v>
      </c>
      <c r="Z28" s="704"/>
      <c r="AA28" s="703" t="e">
        <f ca="1">ROUND(AA29,2)/ORÇAMENTO!$X$15</f>
        <v>#DIV/0!</v>
      </c>
      <c r="AB28" s="703"/>
      <c r="AC28" s="704" t="e">
        <f ca="1">ROUND(AC29,2)/ORÇAMENTO!$X$15</f>
        <v>#DIV/0!</v>
      </c>
      <c r="AD28" s="704"/>
      <c r="AE28" s="703" t="e">
        <f ca="1">ROUND(AE29,2)/ORÇAMENTO!$X$15</f>
        <v>#DIV/0!</v>
      </c>
      <c r="AF28" s="703"/>
    </row>
    <row r="29" spans="1:32" x14ac:dyDescent="0.2">
      <c r="A29" s="7" t="s">
        <v>245</v>
      </c>
      <c r="D29" s="705"/>
      <c r="H29" s="12" t="s">
        <v>299</v>
      </c>
      <c r="I29" s="706" t="e">
        <f ca="1">SUMIF(CÁLCULO!$AX$15:$BH$51,"&lt;="&amp;PLE!I25,CÁLCULO!$AB$15:$AL$51)*(1+CÁLCULO.TotalAdmLocal/(ORÇAMENTO!$X$15-CÁLCULO.TotalAdmLocal))</f>
        <v>#DIV/0!</v>
      </c>
      <c r="J29" s="706"/>
      <c r="K29" s="698" t="e">
        <f ca="1">SUMIF(CÁLCULO!$AX$15:$BH$51,"&lt;="&amp;PLE!K25,CÁLCULO!$AB$15:$AL$51)*(1+CÁLCULO.TotalAdmLocal/(ORÇAMENTO!$X$15-CÁLCULO.TotalAdmLocal))</f>
        <v>#DIV/0!</v>
      </c>
      <c r="L29" s="698"/>
      <c r="M29" s="701" t="e">
        <f ca="1">SUMIF(CÁLCULO!$AX$15:$BH$51,"&lt;="&amp;PLE!M25,CÁLCULO!$AB$15:$AL$51)*(1+CÁLCULO.TotalAdmLocal/(ORÇAMENTO!$X$15-CÁLCULO.TotalAdmLocal))</f>
        <v>#DIV/0!</v>
      </c>
      <c r="N29" s="701"/>
      <c r="O29" s="698" t="e">
        <f ca="1">SUMIF(CÁLCULO!$AX$15:$BH$51,"&lt;="&amp;PLE!O25,CÁLCULO!$AB$15:$AL$51)*(1+CÁLCULO.TotalAdmLocal/(ORÇAMENTO!$X$15-CÁLCULO.TotalAdmLocal))</f>
        <v>#DIV/0!</v>
      </c>
      <c r="P29" s="698"/>
      <c r="Q29" s="701" t="e">
        <f ca="1">SUMIF(CÁLCULO!$AX$15:$BH$51,"&lt;="&amp;PLE!Q25,CÁLCULO!$AB$15:$AL$51)*(1+CÁLCULO.TotalAdmLocal/(ORÇAMENTO!$X$15-CÁLCULO.TotalAdmLocal))</f>
        <v>#DIV/0!</v>
      </c>
      <c r="R29" s="701"/>
      <c r="S29" s="698" t="e">
        <f ca="1">SUMIF(CÁLCULO!$AX$15:$BH$51,"&lt;="&amp;PLE!S25,CÁLCULO!$AB$15:$AL$51)*(1+CÁLCULO.TotalAdmLocal/(ORÇAMENTO!$X$15-CÁLCULO.TotalAdmLocal))</f>
        <v>#DIV/0!</v>
      </c>
      <c r="T29" s="698"/>
      <c r="U29" s="701" t="e">
        <f ca="1">SUMIF(CÁLCULO!$AX$15:$BH$51,"&lt;="&amp;PLE!U25,CÁLCULO!$AB$15:$AL$51)*(1+CÁLCULO.TotalAdmLocal/(ORÇAMENTO!$X$15-CÁLCULO.TotalAdmLocal))</f>
        <v>#DIV/0!</v>
      </c>
      <c r="V29" s="701"/>
      <c r="W29" s="698" t="e">
        <f ca="1">SUMIF(CÁLCULO!$AX$15:$BH$51,"&lt;="&amp;PLE!W25,CÁLCULO!$AB$15:$AL$51)*(1+CÁLCULO.TotalAdmLocal/(ORÇAMENTO!$X$15-CÁLCULO.TotalAdmLocal))</f>
        <v>#DIV/0!</v>
      </c>
      <c r="X29" s="698"/>
      <c r="Y29" s="701" t="e">
        <f ca="1">SUMIF(CÁLCULO!$AX$15:$BH$51,"&lt;="&amp;PLE!Y25,CÁLCULO!$AB$15:$AL$51)*(1+CÁLCULO.TotalAdmLocal/(ORÇAMENTO!$X$15-CÁLCULO.TotalAdmLocal))</f>
        <v>#DIV/0!</v>
      </c>
      <c r="Z29" s="701"/>
      <c r="AA29" s="698" t="e">
        <f ca="1">SUMIF(CÁLCULO!$AX$15:$BH$51,"&lt;="&amp;PLE!AA25,CÁLCULO!$AB$15:$AL$51)*(1+CÁLCULO.TotalAdmLocal/(ORÇAMENTO!$X$15-CÁLCULO.TotalAdmLocal))</f>
        <v>#DIV/0!</v>
      </c>
      <c r="AB29" s="698"/>
      <c r="AC29" s="701" t="e">
        <f ca="1">SUMIF(CÁLCULO!$AX$15:$BH$51,"&lt;="&amp;PLE!AC25,CÁLCULO!$AB$15:$AL$51)*(1+CÁLCULO.TotalAdmLocal/(ORÇAMENTO!$X$15-CÁLCULO.TotalAdmLocal))</f>
        <v>#DIV/0!</v>
      </c>
      <c r="AD29" s="701"/>
      <c r="AE29" s="698" t="e">
        <f ca="1">SUMIF(CÁLCULO!$AX$15:$BH$51,"&lt;="&amp;PLE!AE25,CÁLCULO!$AB$15:$AL$51)*(1+CÁLCULO.TotalAdmLocal/(ORÇAMENTO!$X$15-CÁLCULO.TotalAdmLocal))</f>
        <v>#DIV/0!</v>
      </c>
      <c r="AF29" s="698"/>
    </row>
    <row r="30" spans="1:32" ht="20.25" customHeight="1" x14ac:dyDescent="0.2">
      <c r="A30" s="7" t="s">
        <v>245</v>
      </c>
    </row>
    <row r="31" spans="1:32" ht="15" x14ac:dyDescent="0.2">
      <c r="A31" s="7" t="s">
        <v>245</v>
      </c>
      <c r="B31" s="644" t="str">
        <f>Import.Município</f>
        <v>BENTO GONÇALVES/RS</v>
      </c>
      <c r="C31" s="644"/>
      <c r="D31" s="644"/>
      <c r="U31" s="145"/>
      <c r="V31" s="145"/>
      <c r="W31" s="145"/>
      <c r="X31" s="145"/>
      <c r="Y31" s="194"/>
      <c r="Z31" s="194"/>
      <c r="AA31" s="194"/>
      <c r="AB31" s="194"/>
      <c r="AC31" s="194"/>
      <c r="AD31" s="194"/>
    </row>
    <row r="32" spans="1:32" x14ac:dyDescent="0.2">
      <c r="A32" s="7" t="s">
        <v>245</v>
      </c>
      <c r="B32" s="10" t="s">
        <v>187</v>
      </c>
      <c r="U32" s="195" t="s">
        <v>300</v>
      </c>
    </row>
    <row r="33" spans="1:23" x14ac:dyDescent="0.2">
      <c r="A33" s="7" t="s">
        <v>245</v>
      </c>
      <c r="I33" s="80"/>
      <c r="U33" s="78" t="s">
        <v>108</v>
      </c>
      <c r="W33" s="311" t="str">
        <f t="array" ref="W33:W36">Import.RespFiscalização</f>
        <v>SERVIDOR A DEFINIR</v>
      </c>
    </row>
    <row r="34" spans="1:23" x14ac:dyDescent="0.2">
      <c r="A34" s="7" t="s">
        <v>245</v>
      </c>
      <c r="B34" s="639">
        <f>DADOS!$F$48</f>
        <v>45719</v>
      </c>
      <c r="C34" s="639"/>
      <c r="D34" s="639"/>
      <c r="I34" s="80"/>
      <c r="U34" s="78" t="s">
        <v>127</v>
      </c>
      <c r="W34" s="311" t="str">
        <v>NÃO DEFINIDO</v>
      </c>
    </row>
    <row r="35" spans="1:23" x14ac:dyDescent="0.2">
      <c r="A35" s="7" t="s">
        <v>245</v>
      </c>
      <c r="B35" s="146" t="s">
        <v>188</v>
      </c>
      <c r="C35" s="1"/>
      <c r="D35" s="1"/>
      <c r="I35" s="80"/>
      <c r="U35" s="78" t="s">
        <v>109</v>
      </c>
      <c r="W35" s="311">
        <v>0</v>
      </c>
    </row>
    <row r="36" spans="1:23" x14ac:dyDescent="0.2">
      <c r="U36" s="78" t="s">
        <v>110</v>
      </c>
      <c r="W36" s="13">
        <v>0</v>
      </c>
    </row>
  </sheetData>
  <sheetProtection algorithmName="SHA-512" hashValue="kA9d8sSnqgsPflP6IZY37w5rj4igD9d6gPaijrWgPoDHhG8B9+fyLaB89Yj1uS4ID5v7UowSLobnBChFeEwSow==" saltValue="JowyKx4VOckmSGUXCijFZw==" spinCount="100000" sheet="1" objects="1" scenarios="1" autoFilter="0"/>
  <autoFilter ref="A13:A35" xr:uid="{00000000-0009-0000-0000-00000A000000}"/>
  <mergeCells count="99">
    <mergeCell ref="B12:B13"/>
    <mergeCell ref="B7:C7"/>
    <mergeCell ref="Y9:Z9"/>
    <mergeCell ref="AA26:AB26"/>
    <mergeCell ref="Y26:Z26"/>
    <mergeCell ref="D26:D27"/>
    <mergeCell ref="O27:P27"/>
    <mergeCell ref="M27:N27"/>
    <mergeCell ref="I27:J27"/>
    <mergeCell ref="I23:AF23"/>
    <mergeCell ref="U24:V24"/>
    <mergeCell ref="W25:X25"/>
    <mergeCell ref="M25:N25"/>
    <mergeCell ref="O25:P25"/>
    <mergeCell ref="O26:P26"/>
    <mergeCell ref="M26:N26"/>
    <mergeCell ref="AC26:AD26"/>
    <mergeCell ref="AE9:AF9"/>
    <mergeCell ref="C11:D11"/>
    <mergeCell ref="C12:D13"/>
    <mergeCell ref="J9:K9"/>
    <mergeCell ref="N9:T9"/>
    <mergeCell ref="C20:D20"/>
    <mergeCell ref="C15:D15"/>
    <mergeCell ref="M24:N24"/>
    <mergeCell ref="Q24:R24"/>
    <mergeCell ref="S24:T24"/>
    <mergeCell ref="K24:L24"/>
    <mergeCell ref="AC25:AD25"/>
    <mergeCell ref="AA25:AB25"/>
    <mergeCell ref="Y25:Z25"/>
    <mergeCell ref="AE24:AF24"/>
    <mergeCell ref="C1:D1"/>
    <mergeCell ref="AD3:AF3"/>
    <mergeCell ref="AD4:AF4"/>
    <mergeCell ref="AE6:AF6"/>
    <mergeCell ref="H7:N7"/>
    <mergeCell ref="O7:U7"/>
    <mergeCell ref="AE7:AF7"/>
    <mergeCell ref="V7:AD7"/>
    <mergeCell ref="AA28:AB28"/>
    <mergeCell ref="U29:V29"/>
    <mergeCell ref="U28:V28"/>
    <mergeCell ref="Y28:Z28"/>
    <mergeCell ref="B34:D34"/>
    <mergeCell ref="B31:D31"/>
    <mergeCell ref="D28:D29"/>
    <mergeCell ref="M28:N28"/>
    <mergeCell ref="M29:N29"/>
    <mergeCell ref="I29:J29"/>
    <mergeCell ref="K29:L29"/>
    <mergeCell ref="K28:L28"/>
    <mergeCell ref="I28:J28"/>
    <mergeCell ref="O29:P29"/>
    <mergeCell ref="S28:T28"/>
    <mergeCell ref="O28:P28"/>
    <mergeCell ref="AE29:AF29"/>
    <mergeCell ref="Q29:R29"/>
    <mergeCell ref="Y29:Z29"/>
    <mergeCell ref="AA29:AB29"/>
    <mergeCell ref="Q27:R27"/>
    <mergeCell ref="AE28:AF28"/>
    <mergeCell ref="Q28:R28"/>
    <mergeCell ref="W27:X27"/>
    <mergeCell ref="S29:T29"/>
    <mergeCell ref="Y27:Z27"/>
    <mergeCell ref="U27:V27"/>
    <mergeCell ref="W29:X29"/>
    <mergeCell ref="W28:X28"/>
    <mergeCell ref="AA27:AB27"/>
    <mergeCell ref="AC29:AD29"/>
    <mergeCell ref="AC28:AD28"/>
    <mergeCell ref="W26:X26"/>
    <mergeCell ref="U26:V26"/>
    <mergeCell ref="S26:T26"/>
    <mergeCell ref="U25:V25"/>
    <mergeCell ref="Q25:R25"/>
    <mergeCell ref="AE27:AF27"/>
    <mergeCell ref="AC24:AD24"/>
    <mergeCell ref="C16:D16"/>
    <mergeCell ref="C17:D17"/>
    <mergeCell ref="C18:D18"/>
    <mergeCell ref="C19:D19"/>
    <mergeCell ref="AC27:AD27"/>
    <mergeCell ref="W24:X24"/>
    <mergeCell ref="O24:P24"/>
    <mergeCell ref="I24:J24"/>
    <mergeCell ref="AE26:AF26"/>
    <mergeCell ref="AA24:AB24"/>
    <mergeCell ref="Y24:Z24"/>
    <mergeCell ref="AE25:AF25"/>
    <mergeCell ref="K27:L27"/>
    <mergeCell ref="S27:T27"/>
    <mergeCell ref="I25:J25"/>
    <mergeCell ref="I26:J26"/>
    <mergeCell ref="S25:T25"/>
    <mergeCell ref="Q26:R26"/>
    <mergeCell ref="K25:L25"/>
    <mergeCell ref="K26:L26"/>
  </mergeCells>
  <phoneticPr fontId="38" type="noConversion"/>
  <conditionalFormatting sqref="F1:F2">
    <cfRule type="expression" dxfId="123" priority="825" stopIfTrue="1">
      <formula>IF(OR(ACOMPANHAMENTO="BM",F$12&gt;CÁLCULO.NúmeroDeFrentes),TRUE,PLE.ValorDoEvento=0)</formula>
    </cfRule>
    <cfRule type="cellIs" dxfId="122" priority="826" stopIfTrue="1" operator="equal">
      <formula>$J$9</formula>
    </cfRule>
  </conditionalFormatting>
  <conditionalFormatting sqref="I26:AF26">
    <cfRule type="expression" dxfId="121" priority="827" stopIfTrue="1">
      <formula>I25=$J$9</formula>
    </cfRule>
  </conditionalFormatting>
  <conditionalFormatting sqref="I27:AF27">
    <cfRule type="expression" dxfId="120" priority="828" stopIfTrue="1">
      <formula>I25=$J$9</formula>
    </cfRule>
  </conditionalFormatting>
  <conditionalFormatting sqref="I28:AF28">
    <cfRule type="expression" dxfId="119" priority="829" stopIfTrue="1">
      <formula>I25=$J$9</formula>
    </cfRule>
  </conditionalFormatting>
  <conditionalFormatting sqref="I29:AF29">
    <cfRule type="expression" dxfId="118" priority="830" stopIfTrue="1">
      <formula>I25=$J$9</formula>
    </cfRule>
  </conditionalFormatting>
  <conditionalFormatting sqref="I25:J25">
    <cfRule type="cellIs" dxfId="117" priority="824" stopIfTrue="1" operator="notEqual">
      <formula>1</formula>
    </cfRule>
  </conditionalFormatting>
  <conditionalFormatting sqref="H1:AF1">
    <cfRule type="expression" dxfId="116" priority="842" stopIfTrue="1">
      <formula>IF(OR(ACOMPANHAMENTO="BM",TIPOORCAMENTO="Proposto",H$12&gt;CÁLCULO.NúmeroDeFrentes),TRUE,PLE.ValorDoEvento=0)</formula>
    </cfRule>
    <cfRule type="cellIs" dxfId="115" priority="843" stopIfTrue="1" operator="equal">
      <formula>$J$9</formula>
    </cfRule>
  </conditionalFormatting>
  <conditionalFormatting sqref="AE6:AE7">
    <cfRule type="expression" dxfId="114" priority="831" stopIfTrue="1">
      <formula>TIPOORCAMENTO&lt;&gt;"Licitado"</formula>
    </cfRule>
  </conditionalFormatting>
  <conditionalFormatting sqref="N9:T9">
    <cfRule type="expression" dxfId="113" priority="832" stopIfTrue="1">
      <formula>COLUMN(N9)&gt;COLUMN($AF$12)</formula>
    </cfRule>
    <cfRule type="expression" dxfId="112" priority="833" stopIfTrue="1">
      <formula>$N$9="DIGITE A DATA DA MEDIÇÃO"</formula>
    </cfRule>
  </conditionalFormatting>
  <conditionalFormatting sqref="I9:M9 U9:AF9">
    <cfRule type="expression" dxfId="111" priority="834" stopIfTrue="1">
      <formula>COLUMN(I9)&gt;COLUMN($AF$12)</formula>
    </cfRule>
  </conditionalFormatting>
  <conditionalFormatting sqref="F16:F19">
    <cfRule type="expression" dxfId="110" priority="29" stopIfTrue="1">
      <formula>IF(OR(ACOMPANHAMENTO="BM",F$12&gt;CÁLCULO.NúmeroDeFrentes),TRUE,PLE.ValorDoEvento=0)</formula>
    </cfRule>
    <cfRule type="cellIs" dxfId="109" priority="30" stopIfTrue="1" operator="equal">
      <formula>$J$9</formula>
    </cfRule>
  </conditionalFormatting>
  <conditionalFormatting sqref="H16:AF19">
    <cfRule type="expression" dxfId="108" priority="31" stopIfTrue="1">
      <formula>IF(OR(ACOMPANHAMENTO="BM",TIPOORCAMENTO="Proposto",H$12&gt;CÁLCULO.NúmeroDeFrentes),TRUE,PLE.ValorDoEvento=0)</formula>
    </cfRule>
    <cfRule type="cellIs" dxfId="107" priority="32" stopIfTrue="1" operator="equal">
      <formula>$J$9</formula>
    </cfRule>
  </conditionalFormatting>
  <conditionalFormatting sqref="F20">
    <cfRule type="expression" dxfId="106" priority="5" stopIfTrue="1">
      <formula>IF(OR(ACOMPANHAMENTO="BM",F$12&gt;CÁLCULO.NúmeroDeFrentes),TRUE,PLE.ValorDoEvento=0)</formula>
    </cfRule>
    <cfRule type="cellIs" dxfId="105" priority="6" stopIfTrue="1" operator="equal">
      <formula>$J$9</formula>
    </cfRule>
  </conditionalFormatting>
  <conditionalFormatting sqref="H20:AF20">
    <cfRule type="expression" dxfId="104" priority="7" stopIfTrue="1">
      <formula>IF(OR(ACOMPANHAMENTO="BM",TIPOORCAMENTO="Proposto",H$12&gt;CÁLCULO.NúmeroDeFrentes),TRUE,PLE.ValorDoEvento=0)</formula>
    </cfRule>
    <cfRule type="cellIs" dxfId="103" priority="8" stopIfTrue="1" operator="equal">
      <formula>$J$9</formula>
    </cfRule>
  </conditionalFormatting>
  <dataValidations count="3">
    <dataValidation type="whole" operator="greaterThan" allowBlank="1" showErrorMessage="1" sqref="I3:AC4 J9:K9 F1:F4 F16:F20" xr:uid="{00000000-0002-0000-0A00-000000000000}">
      <formula1>0</formula1>
      <formula2>0</formula2>
    </dataValidation>
    <dataValidation allowBlank="1" showInputMessage="1" showErrorMessage="1" prompt="Digite a data de medição abaixo dos eventos." sqref="N9:T9" xr:uid="{00000000-0002-0000-0A00-000001000000}">
      <formula1>0</formula1>
      <formula2>0</formula2>
    </dataValidation>
    <dataValidation type="whole" operator="equal" allowBlank="1" showErrorMessage="1" errorTitle="Errp de entrada" error="Preencha somente com o número da medição atual." sqref="H1:AF1 H16:AF20" xr:uid="{00000000-0002-0000-0A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&amp;LPMv3.07&amp;R&amp;P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209550</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66"/>
  <sheetViews>
    <sheetView showGridLines="0" zoomScaleNormal="100" zoomScaleSheetLayoutView="90" workbookViewId="0">
      <pane xSplit="7" ySplit="15" topLeftCell="H16" activePane="bottomRight" state="frozen"/>
      <selection activeCell="C1" sqref="C1"/>
      <selection pane="topRight" activeCell="H1" sqref="H1"/>
      <selection pane="bottomLeft" activeCell="C16" sqref="C16"/>
      <selection pane="bottomRight" activeCell="A22" sqref="A22"/>
    </sheetView>
  </sheetViews>
  <sheetFormatPr defaultRowHeight="12.75" x14ac:dyDescent="0.2"/>
  <cols>
    <col min="1" max="2" width="6.7109375" hidden="1" customWidth="1"/>
    <col min="3" max="3" width="3.7109375" customWidth="1"/>
    <col min="4" max="4" width="10.7109375" customWidth="1"/>
    <col min="5" max="5" width="65.7109375" customWidth="1"/>
    <col min="6" max="6" width="7.7109375" customWidth="1"/>
    <col min="7" max="7" width="11.7109375" customWidth="1"/>
    <col min="8" max="8" width="14.7109375" customWidth="1"/>
    <col min="9" max="9" width="18.7109375" customWidth="1"/>
    <col min="10" max="12" width="11.7109375" customWidth="1"/>
    <col min="13" max="15" width="18.7109375" customWidth="1"/>
    <col min="17" max="18" width="11.7109375" hidden="1" customWidth="1"/>
    <col min="19" max="19" width="9.140625" hidden="1" customWidth="1"/>
    <col min="20" max="20" width="10.7109375" hidden="1" customWidth="1"/>
    <col min="21" max="21" width="65.7109375" hidden="1" customWidth="1"/>
    <col min="22" max="22" width="7.7109375" hidden="1" customWidth="1"/>
    <col min="23" max="23" width="11.7109375" hidden="1" customWidth="1"/>
    <col min="24" max="24" width="14.7109375" hidden="1" customWidth="1"/>
    <col min="25" max="25" width="18.7109375" hidden="1" customWidth="1"/>
    <col min="26" max="26" width="25.7109375" hidden="1" customWidth="1"/>
    <col min="27" max="27" width="9.140625" hidden="1" customWidth="1"/>
    <col min="28" max="39" width="11.7109375" customWidth="1"/>
    <col min="40" max="40" width="10.42578125" customWidth="1"/>
    <col min="41" max="41" width="9.140625" hidden="1" customWidth="1"/>
  </cols>
  <sheetData>
    <row r="1" spans="1:41" ht="15.75" x14ac:dyDescent="0.2">
      <c r="E1" s="361" t="str">
        <f>IF(CAIXA.Modo,"BA - Boletim de Aferição","BM - Boletim de Medição")</f>
        <v>BM - Boletim de Medição</v>
      </c>
      <c r="G1" s="362"/>
      <c r="J1" s="362"/>
      <c r="K1" s="362"/>
      <c r="L1" s="362"/>
      <c r="M1" s="362"/>
      <c r="N1" s="362"/>
      <c r="O1" s="53" t="s">
        <v>140</v>
      </c>
    </row>
    <row r="2" spans="1:41" ht="15" x14ac:dyDescent="0.2">
      <c r="A2" s="363" t="s">
        <v>329</v>
      </c>
      <c r="B2" s="2"/>
      <c r="E2" s="364" t="str">
        <f ca="1">IF(Import.RegimeExecução="(SELECIONAR)","Selecione o Regime de Execução na Aba Dados",Import.RegimeExecução&amp;" - "&amp;import.recurso)</f>
        <v>EMPREITADA POR PREÇO GLOBAL - (SELECIONAR)</v>
      </c>
      <c r="O2" s="12" t="s">
        <v>143</v>
      </c>
    </row>
    <row r="3" spans="1:41" x14ac:dyDescent="0.2">
      <c r="A3" s="729" t="b">
        <v>0</v>
      </c>
      <c r="B3" s="729"/>
      <c r="E3" s="87"/>
    </row>
    <row r="4" spans="1:41" x14ac:dyDescent="0.2">
      <c r="D4" s="622" t="s">
        <v>147</v>
      </c>
      <c r="E4" s="622"/>
      <c r="F4" s="633" t="s">
        <v>146</v>
      </c>
      <c r="G4" s="633"/>
      <c r="H4" s="633"/>
      <c r="I4" s="151" t="s">
        <v>432</v>
      </c>
      <c r="J4" s="622" t="s">
        <v>201</v>
      </c>
      <c r="K4" s="622"/>
      <c r="L4" s="622"/>
      <c r="M4" s="622"/>
      <c r="N4" s="622"/>
      <c r="O4" s="153" t="s">
        <v>330</v>
      </c>
    </row>
    <row r="5" spans="1:41" ht="12.75" customHeight="1" x14ac:dyDescent="0.2">
      <c r="A5" t="s">
        <v>331</v>
      </c>
      <c r="D5" s="625" t="str">
        <f>Import.Proponente</f>
        <v>MUNICIPIO DE BENTO GONÇALVES</v>
      </c>
      <c r="E5" s="625"/>
      <c r="F5" s="638">
        <f>Import.CR</f>
        <v>0</v>
      </c>
      <c r="G5" s="638"/>
      <c r="H5" s="638"/>
      <c r="I5" s="365">
        <f>Import.TransfereGOV</f>
        <v>0</v>
      </c>
      <c r="J5" s="625" t="str">
        <f>Import.Apelido</f>
        <v>RUA MIGUEL A DA ROLT</v>
      </c>
      <c r="K5" s="625"/>
      <c r="L5" s="625"/>
      <c r="M5" s="625"/>
      <c r="N5" s="625"/>
      <c r="O5" s="366">
        <f>Import.DataInicioObra</f>
        <v>0</v>
      </c>
      <c r="AO5" s="367" t="s">
        <v>332</v>
      </c>
    </row>
    <row r="6" spans="1:41" ht="5.0999999999999996" customHeight="1" x14ac:dyDescent="0.2">
      <c r="D6" s="95"/>
      <c r="E6" s="96"/>
      <c r="F6" s="95"/>
      <c r="G6" s="95"/>
      <c r="H6" s="95"/>
      <c r="I6" s="95"/>
      <c r="J6" s="95"/>
      <c r="K6" s="95"/>
      <c r="L6" s="95"/>
      <c r="M6" s="95"/>
      <c r="N6" s="95"/>
      <c r="O6" s="95"/>
      <c r="AO6" s="368"/>
    </row>
    <row r="7" spans="1:41" ht="12.75" customHeight="1" x14ac:dyDescent="0.2">
      <c r="A7" t="str">
        <f ca="1">RegimeExecucao</f>
        <v>Global</v>
      </c>
      <c r="D7" s="89" t="s">
        <v>333</v>
      </c>
      <c r="E7" s="89" t="s">
        <v>334</v>
      </c>
      <c r="F7" s="622" t="s">
        <v>335</v>
      </c>
      <c r="G7" s="622"/>
      <c r="H7" s="622"/>
      <c r="I7" s="622" t="str">
        <f>IF(TIPOORCAMENTO="Licitado","REGIME DE EXECUÇÃO","MUNICÍPIO / UF")</f>
        <v>REGIME DE EXECUÇÃO</v>
      </c>
      <c r="J7" s="622"/>
      <c r="K7" s="622"/>
      <c r="L7" s="622"/>
      <c r="M7" s="622" t="s">
        <v>336</v>
      </c>
      <c r="N7" s="622"/>
      <c r="O7" s="89" t="s">
        <v>337</v>
      </c>
      <c r="AO7" s="315">
        <f ca="1">BM.MEDAcumulado</f>
        <v>0</v>
      </c>
    </row>
    <row r="8" spans="1:41" ht="12.75" customHeight="1" x14ac:dyDescent="0.2">
      <c r="A8" s="363" t="s">
        <v>338</v>
      </c>
      <c r="B8" s="2"/>
      <c r="C8" s="615" t="s">
        <v>208</v>
      </c>
      <c r="D8" s="369">
        <f>Import.CTEF</f>
        <v>0</v>
      </c>
      <c r="E8" s="57">
        <f>Import.empresa</f>
        <v>0</v>
      </c>
      <c r="F8" s="625">
        <f>Import.CNPJ</f>
        <v>0</v>
      </c>
      <c r="G8" s="625"/>
      <c r="H8" s="625"/>
      <c r="I8" s="625" t="str">
        <f ca="1">IF(TIPOORCAMENTO="Licitado",Import.RegimeExecução,Import.Município)</f>
        <v>EMPREITADA POR PREÇO GLOBAL</v>
      </c>
      <c r="J8" s="625"/>
      <c r="K8" s="625"/>
      <c r="L8" s="625"/>
      <c r="M8" s="625" t="str">
        <f ca="1">TEXT(IF(BM.medicao=1,Import.DataInicioObra,OFFSET($AB$12,0,BM.medicao-1-$AB$13)+1),"dd/mm/aaaa")&amp;" a "&amp;TEXT(OFFSET($AB$12,0,BM.medicao-$AB$13),"dd/mm/aaaa")</f>
        <v>00/01/Saturday a 00/01/Saturday</v>
      </c>
      <c r="N8" s="625"/>
      <c r="O8" s="477">
        <v>1</v>
      </c>
    </row>
    <row r="9" spans="1:41" ht="12.75" customHeight="1" x14ac:dyDescent="0.2">
      <c r="A9" s="509" t="b">
        <v>1</v>
      </c>
      <c r="B9" s="43"/>
      <c r="C9" s="615"/>
    </row>
    <row r="10" spans="1:41" x14ac:dyDescent="0.2">
      <c r="C10" s="615"/>
      <c r="E10" s="727" t="str">
        <f>IF(ACOMPANHAMENTO="PLE","Foi selecionado na aba 'MENU' o acompanhamento por PLE.",IF(TIPOORCAMENTO="Proposto","Altere na aba 'MENU' o tipo de orçamento para 'Licitado'.",""))</f>
        <v>Foi selecionado na aba 'MENU' o acompanhamento por PLE.</v>
      </c>
      <c r="F10" s="727"/>
      <c r="G10" s="727"/>
      <c r="H10" s="727"/>
      <c r="I10" s="727"/>
      <c r="N10" s="728" t="str">
        <f ca="1">"Realizado Acumulado: "&amp;TEXT(ROUND($O$15/($I$15+10^-12),4),"0,00%")</f>
        <v>Realizado Acumulado: 000%</v>
      </c>
      <c r="O10" s="728"/>
    </row>
    <row r="11" spans="1:41" ht="15" customHeight="1" x14ac:dyDescent="0.25">
      <c r="C11" s="615"/>
      <c r="E11" s="727"/>
      <c r="F11" s="727"/>
      <c r="G11" s="727"/>
      <c r="H11" s="727"/>
      <c r="I11" s="727"/>
      <c r="N11" s="728"/>
      <c r="O11" s="728"/>
      <c r="T11" s="726" t="s">
        <v>339</v>
      </c>
      <c r="U11" s="726"/>
      <c r="Z11" s="4"/>
      <c r="AB11" s="716" t="s">
        <v>340</v>
      </c>
      <c r="AC11" s="716"/>
      <c r="AD11" s="716"/>
      <c r="AE11" s="716"/>
      <c r="AF11" s="716"/>
      <c r="AG11" s="716"/>
      <c r="AH11" s="716"/>
      <c r="AI11" s="716"/>
      <c r="AJ11" s="716"/>
      <c r="AK11" s="716"/>
      <c r="AL11" s="716"/>
      <c r="AM11" s="716"/>
    </row>
    <row r="12" spans="1:41" ht="15" customHeight="1" x14ac:dyDescent="0.25">
      <c r="C12" s="615"/>
      <c r="E12" s="85" t="s">
        <v>341</v>
      </c>
      <c r="J12" s="627" t="str">
        <f ca="1">"Evolução Física "&amp;CHOOSE(MATCH(RegimeExecucao,{"Unitário","Global"},0),"(Qtde.)","(%)")</f>
        <v>Evolução Física (%)</v>
      </c>
      <c r="K12" s="627"/>
      <c r="L12" s="627"/>
      <c r="M12" s="627" t="s">
        <v>342</v>
      </c>
      <c r="N12" s="627"/>
      <c r="O12" s="627"/>
      <c r="Q12" s="627" t="str">
        <f ca="1">"Aferido (CAIXA) "&amp;CHOOSE(MATCH(RegimeExecucao,{"Unitário","Global"},0),"(Qtde.)","(%)")</f>
        <v>Aferido (CAIXA) (%)</v>
      </c>
      <c r="R12" s="627"/>
      <c r="T12" s="370" t="s">
        <v>343</v>
      </c>
      <c r="U12" s="194"/>
      <c r="V12" s="194"/>
      <c r="W12" s="194"/>
      <c r="X12" s="194"/>
      <c r="Y12" s="194"/>
      <c r="Z12" s="43"/>
      <c r="AB12" s="371"/>
      <c r="AC12" s="372"/>
      <c r="AD12" s="372"/>
      <c r="AE12" s="372"/>
      <c r="AF12" s="372"/>
      <c r="AG12" s="372"/>
      <c r="AH12" s="372"/>
      <c r="AI12" s="372"/>
      <c r="AJ12" s="372"/>
      <c r="AK12" s="372"/>
      <c r="AL12" s="372"/>
      <c r="AM12" s="373"/>
    </row>
    <row r="13" spans="1:41" ht="45" customHeight="1" x14ac:dyDescent="0.2">
      <c r="A13" s="109" t="s">
        <v>221</v>
      </c>
      <c r="B13" s="109" t="s">
        <v>220</v>
      </c>
      <c r="C13" s="108" t="s">
        <v>216</v>
      </c>
      <c r="D13" s="335" t="s">
        <v>230</v>
      </c>
      <c r="E13" s="335" t="s">
        <v>233</v>
      </c>
      <c r="F13" s="374" t="s">
        <v>234</v>
      </c>
      <c r="G13" s="335" t="s">
        <v>202</v>
      </c>
      <c r="H13" s="335" t="s">
        <v>235</v>
      </c>
      <c r="I13" s="335" t="s">
        <v>236</v>
      </c>
      <c r="J13" s="335" t="s">
        <v>344</v>
      </c>
      <c r="K13" s="335" t="s">
        <v>345</v>
      </c>
      <c r="L13" s="335" t="s">
        <v>346</v>
      </c>
      <c r="M13" s="335" t="s">
        <v>344</v>
      </c>
      <c r="N13" s="335" t="s">
        <v>345</v>
      </c>
      <c r="O13" s="335" t="s">
        <v>346</v>
      </c>
      <c r="Q13" s="335" t="s">
        <v>344</v>
      </c>
      <c r="R13" s="335" t="s">
        <v>346</v>
      </c>
      <c r="T13" s="335" t="s">
        <v>230</v>
      </c>
      <c r="U13" s="335" t="s">
        <v>233</v>
      </c>
      <c r="V13" s="374" t="str">
        <f ca="1">IF(RegimeExecucao="Unitário","Unidade","")</f>
        <v/>
      </c>
      <c r="W13" s="335" t="str">
        <f ca="1">CHOOSE(MATCH(RegimeExecucao,{"Unitário","Global"},0),"Quant. Glosada (unid)","Percentual Glosado (%)")</f>
        <v>Percentual Glosado (%)</v>
      </c>
      <c r="X13" s="335" t="str">
        <f ca="1">CHOOSE(MATCH(RegimeExecucao,{"Unitário","Global"},0),"Preço Unitário (R$)","Valor Total do Item (R$)")</f>
        <v>Valor Total do Item (R$)</v>
      </c>
      <c r="Y13" s="335" t="s">
        <v>347</v>
      </c>
      <c r="Z13" s="335" t="s">
        <v>348</v>
      </c>
      <c r="AA13" s="114"/>
      <c r="AB13" s="375">
        <f ca="1">IF(BM.medicao&lt;=12,1,TRUNC((BM.medicao - 2)/11,0) * 11 + 1)</f>
        <v>1</v>
      </c>
      <c r="AC13" s="375">
        <f ca="1">OFFSET(AC13,0,-1)+1</f>
        <v>2</v>
      </c>
      <c r="AD13" s="375">
        <f t="shared" ref="AD13:AM13" ca="1" si="0">OFFSET(AD13,0,-1)+1</f>
        <v>3</v>
      </c>
      <c r="AE13" s="375">
        <f t="shared" ca="1" si="0"/>
        <v>4</v>
      </c>
      <c r="AF13" s="375">
        <f t="shared" ca="1" si="0"/>
        <v>5</v>
      </c>
      <c r="AG13" s="375">
        <f t="shared" ca="1" si="0"/>
        <v>6</v>
      </c>
      <c r="AH13" s="375">
        <f t="shared" ca="1" si="0"/>
        <v>7</v>
      </c>
      <c r="AI13" s="375">
        <f t="shared" ca="1" si="0"/>
        <v>8</v>
      </c>
      <c r="AJ13" s="375">
        <f t="shared" ca="1" si="0"/>
        <v>9</v>
      </c>
      <c r="AK13" s="375">
        <f t="shared" ca="1" si="0"/>
        <v>10</v>
      </c>
      <c r="AL13" s="375">
        <f t="shared" ca="1" si="0"/>
        <v>11</v>
      </c>
      <c r="AM13" s="375">
        <f t="shared" ca="1" si="0"/>
        <v>12</v>
      </c>
      <c r="AO13" s="109" t="s">
        <v>349</v>
      </c>
    </row>
    <row r="14" spans="1:41" hidden="1" x14ac:dyDescent="0.2">
      <c r="A14" t="str">
        <f ca="1">ORÇAMENTO!C14</f>
        <v>S</v>
      </c>
      <c r="B14">
        <f ca="1">ORÇAMENTO!D14</f>
        <v>0</v>
      </c>
      <c r="C14" s="116" t="str">
        <f ca="1">IF(OR($I14&gt;0,$A14=1,$A14=2,$A14=3,$A14=4),"F","")</f>
        <v/>
      </c>
      <c r="D14" s="119" t="str">
        <f ca="1">ORÇAMENTO!O14</f>
        <v>-</v>
      </c>
      <c r="E14" s="172" t="str">
        <f ca="1">ORÇAMENTO.Descricao</f>
        <v>(abra o arquivo 'Referência 05-Friday.xlsm)</v>
      </c>
      <c r="F14" s="173" t="str">
        <f ca="1">IF(RegimeExecucao="Global","",ORÇAMENTO.Unidade)</f>
        <v/>
      </c>
      <c r="G14" s="124" t="str">
        <f ca="1">IF(RegimeExecucao="Global","",ORÇAMENTO!T14)</f>
        <v/>
      </c>
      <c r="H14" s="124" t="str">
        <f ca="1">IF(RegimeExecucao="Global","",ORÇAMENTO!W14)</f>
        <v/>
      </c>
      <c r="I14" s="127">
        <f ca="1">ORÇAMENTO!X14</f>
        <v>0</v>
      </c>
      <c r="J14" s="376">
        <f ca="1">IF($A14="S",IF(CAIXA.Modo,BM.AFAnterior,BM.MEDAnterior),IF(AND(RegimeExecucao="Global",$I14&gt;0,COUNTIF($AB$13:$AM$13,BM.medicao-1)&gt;0),M14/$I14*100,0))</f>
        <v>0</v>
      </c>
      <c r="K14" s="124">
        <f ca="1">L14-J14</f>
        <v>0</v>
      </c>
      <c r="L14" s="377">
        <f ca="1">IF($A14="S",IF(CAIXA.Modo,BM.AFAcumulado,BM.MEDAcumulado),IF(AND(RegimeExecucao="Global",$I14&gt;0,COUNTIF($AB$13:$AM$13,BM.medicao)&gt;0),O14/$I14*100,0))</f>
        <v>0</v>
      </c>
      <c r="M14" s="378">
        <f ca="1">IF($A14="S",VTOTALBM,IF($A14=0,0,ROUND(SomaAgrupBM,15-13*ORÇAMENTO!$AF$11)))</f>
        <v>0</v>
      </c>
      <c r="N14" s="379">
        <f ca="1">O14-M14</f>
        <v>0</v>
      </c>
      <c r="O14" s="127">
        <f ca="1">IF($A14="S",VTOTALBM,IF($A14=0,0,ROUND(SomaAgrupBM,15-13*ORÇAMENTO!$AF$11)))</f>
        <v>0</v>
      </c>
      <c r="Q14" s="380"/>
      <c r="R14" s="381"/>
      <c r="T14" s="119" t="str">
        <f ca="1">IF($W14&gt;0,$D14,"")</f>
        <v/>
      </c>
      <c r="U14" s="172" t="str">
        <f ca="1">IF($W14&gt;0,$E14,"")</f>
        <v/>
      </c>
      <c r="V14" s="173" t="str">
        <f ca="1">IF(AND($W14&gt;0,RegimeExecucao="Unitário"),$F14,"")</f>
        <v/>
      </c>
      <c r="W14" s="525">
        <f ca="1">IF($Y14&gt;0,CHOOSE(MATCH(RegimeExecucao,{"Unitário","Global"},0),IF($A14="S",$Y14/$X14,""),($Y14/$X14)*100),0)</f>
        <v>0</v>
      </c>
      <c r="X14" s="382" t="str">
        <f ca="1">IF($Y14&gt;0,CHOOSE(MATCH(RegimeExecucao,{"Unitário","Global"},0),IF($A14="S",ROUND($H14,ORÇAMENTO!$AF$10),""),ROUND($I14,ORÇAMENTO!$AF$11)),"")</f>
        <v/>
      </c>
      <c r="Y14" s="382">
        <f ca="1">AO14-O14</f>
        <v>0</v>
      </c>
      <c r="Z14" s="549"/>
      <c r="AB14" s="380"/>
      <c r="AC14" s="503"/>
      <c r="AD14" s="503"/>
      <c r="AE14" s="503"/>
      <c r="AF14" s="503"/>
      <c r="AG14" s="503"/>
      <c r="AH14" s="503"/>
      <c r="AI14" s="503"/>
      <c r="AJ14" s="503"/>
      <c r="AK14" s="503"/>
      <c r="AL14" s="503"/>
      <c r="AM14" s="381"/>
      <c r="AO14">
        <f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6" t="s">
        <v>245</v>
      </c>
      <c r="D15" s="725" t="str">
        <f>"Objeto do CTEF: "&amp;Import.DescLote</f>
        <v>Objeto do CTEF: PAVIMENTAÇÃO ASFÁLTICA</v>
      </c>
      <c r="E15" s="725"/>
      <c r="F15" s="526"/>
      <c r="G15" s="527"/>
      <c r="H15" s="527" t="s">
        <v>350</v>
      </c>
      <c r="I15" s="528">
        <f>IF(OR(ACOMPANHAMENTO="PLE",TIPOORCAMENTO="Proposto"),0,ORÇAMENTO!$X$15)</f>
        <v>0</v>
      </c>
      <c r="J15" s="383">
        <f ca="1">IF(M$15=0,0,IF(RegimeExecucao="Global",M$15/$I$15*100,0))</f>
        <v>0</v>
      </c>
      <c r="K15" s="383">
        <f ca="1">L15-J15</f>
        <v>0</v>
      </c>
      <c r="L15" s="383">
        <f ca="1">IF(O$15=0,0,IF(RegimeExecucao="Global",O$15/$I$15*100,0))</f>
        <v>0</v>
      </c>
      <c r="M15" s="384">
        <f ca="1">IF(OR(ACOMPANHAMENTO="PLE",TIPOORCAMENTO="Proposto"),0,SUMIF(OFFSET($A15,1,0):$A$51,"S",OFFSET(M15,1,0):M$51))</f>
        <v>0</v>
      </c>
      <c r="N15" s="384">
        <f ca="1">O15-M15</f>
        <v>0</v>
      </c>
      <c r="O15" s="384">
        <f ca="1">IF(OR(ACOMPANHAMENTO="PLE",TIPOORCAMENTO="Proposto"),0,SUMIF(OFFSET($A15,1,0):$A$51,"S",OFFSET(O15,1,0):O$51))</f>
        <v>0</v>
      </c>
      <c r="Q15" s="385"/>
      <c r="R15" s="385"/>
      <c r="T15" s="386"/>
      <c r="U15" s="387"/>
      <c r="V15" s="387"/>
      <c r="W15" s="387"/>
      <c r="X15" s="387"/>
      <c r="Y15" s="387"/>
      <c r="Z15" s="388"/>
      <c r="AB15" s="721" t="str">
        <f ca="1">"Preencher abaixo com a "&amp;CHOOSE(MATCH(RegimeExecucao,{"Unitário","Global"},0),"QUANTIDADE","PORCENTAGEM")&amp;" executada no PERÍODO"</f>
        <v>Preencher abaixo com a PORCENTAGEM executada no PERÍODO</v>
      </c>
      <c r="AC15" s="721"/>
      <c r="AD15" s="721"/>
      <c r="AE15" s="721"/>
      <c r="AF15" s="721"/>
      <c r="AG15" s="721"/>
      <c r="AH15" s="721"/>
      <c r="AI15" s="721"/>
      <c r="AJ15" s="721"/>
      <c r="AK15" s="721"/>
      <c r="AL15" s="721"/>
      <c r="AM15" s="721"/>
    </row>
    <row r="16" spans="1:41" x14ac:dyDescent="0.2">
      <c r="A16">
        <f ca="1">ORÇAMENTO!C16</f>
        <v>1</v>
      </c>
      <c r="B16">
        <f ca="1">ORÇAMENTO!D16</f>
        <v>35</v>
      </c>
      <c r="C16" s="116" t="str">
        <f t="shared" ref="C16" ca="1" si="1">IF(OR($I16&gt;0,$A16=1,$A16=2,$A16=3,$A16=4),"F","")</f>
        <v>F</v>
      </c>
      <c r="D16" s="119" t="str">
        <f ca="1">ORÇAMENTO!O16</f>
        <v>1.</v>
      </c>
      <c r="E16" s="172" t="str">
        <f t="shared" ref="E16" si="2">ORÇAMENTO.Descricao</f>
        <v>RUA MIGUEL A DA ROLT</v>
      </c>
      <c r="F16" s="173" t="str">
        <f ca="1">IF(RegimeExecucao="Global","",ORÇAMENTO.Unidade)</f>
        <v/>
      </c>
      <c r="G16" s="124" t="str">
        <f ca="1">IF(RegimeExecucao="Global","",ORÇAMENTO!T16)</f>
        <v/>
      </c>
      <c r="H16" s="124" t="str">
        <f ca="1">IF(RegimeExecucao="Global","",ORÇAMENTO!W16)</f>
        <v/>
      </c>
      <c r="I16" s="127">
        <f ca="1">ORÇAMENTO!X16</f>
        <v>0</v>
      </c>
      <c r="J16" s="376">
        <f ca="1">IF($A16="S",IF(CAIXA.Modo,BM.AFAnterior,BM.MEDAnterior),IF(AND(RegimeExecucao="Global",$I16&gt;0,COUNTIF($AB$13:$AM$13,BM.medicao-1)&gt;0),M16/$I16*100,0))</f>
        <v>0</v>
      </c>
      <c r="K16" s="124">
        <f t="shared" ref="K16" ca="1" si="3">L16-J16</f>
        <v>0</v>
      </c>
      <c r="L16" s="377">
        <f ca="1">IF($A16="S",IF(CAIXA.Modo,BM.AFAcumulado,BM.MEDAcumulado),IF(AND(RegimeExecucao="Global",$I16&gt;0,COUNTIF($AB$13:$AM$13,BM.medicao)&gt;0),O16/$I16*100,0))</f>
        <v>0</v>
      </c>
      <c r="M16" s="378">
        <f ca="1">IF($A16="S",VTOTALBM,IF($A16=0,0,ROUND(SomaAgrupBM,15-13*ORÇAMENTO!$AF$11)))</f>
        <v>0</v>
      </c>
      <c r="N16" s="379">
        <f t="shared" ref="N16" ca="1" si="4">O16-M16</f>
        <v>0</v>
      </c>
      <c r="O16" s="127">
        <f ca="1">IF($A16="S",VTOTALBM,IF($A16=0,0,ROUND(SomaAgrupBM,15-13*ORÇAMENTO!$AF$11)))</f>
        <v>0</v>
      </c>
      <c r="Q16" s="380"/>
      <c r="R16" s="381"/>
      <c r="T16" s="119" t="str">
        <f t="shared" ref="T16" ca="1" si="5">IF($W16&gt;0,$D16,"")</f>
        <v/>
      </c>
      <c r="U16" s="172" t="str">
        <f t="shared" ref="U16" ca="1" si="6">IF($W16&gt;0,$E16,"")</f>
        <v/>
      </c>
      <c r="V16" s="173" t="str">
        <f ca="1">IF(AND($W16&gt;0,RegimeExecucao="Unitário"),$F16,"")</f>
        <v/>
      </c>
      <c r="W16" s="525">
        <f ca="1">IF($Y16&gt;0,CHOOSE(MATCH(RegimeExecucao,{"Unitário","Global"},0),IF($A16="S",$Y16/$X16,""),($Y16/$X16)*100),0)</f>
        <v>0</v>
      </c>
      <c r="X16" s="382" t="str">
        <f ca="1">IF($Y16&gt;0,CHOOSE(MATCH(RegimeExecucao,{"Unitário","Global"},0),IF($A16="S",ROUND($H16,ORÇAMENTO!$AF$10),""),ROUND($I16,ORÇAMENTO!$AF$11)),"")</f>
        <v/>
      </c>
      <c r="Y16" s="382">
        <f t="shared" ref="Y16" ca="1" si="7">AO16-O16</f>
        <v>0</v>
      </c>
      <c r="Z16" s="549"/>
      <c r="AB16" s="380"/>
      <c r="AC16" s="503"/>
      <c r="AD16" s="503"/>
      <c r="AE16" s="503"/>
      <c r="AF16" s="503"/>
      <c r="AG16" s="503"/>
      <c r="AH16" s="503"/>
      <c r="AI16" s="503"/>
      <c r="AJ16" s="503"/>
      <c r="AK16" s="503"/>
      <c r="AL16" s="503"/>
      <c r="AM16" s="381"/>
      <c r="AO16">
        <f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5</v>
      </c>
      <c r="C17" s="116" t="str">
        <f ca="1">IF(OR($I17&gt;0,$A17=1,$A17=2,$A17=3,$A17=4),"F","")</f>
        <v>F</v>
      </c>
      <c r="D17" s="119" t="str">
        <f ca="1">ORÇAMENTO!O17</f>
        <v>1.1.</v>
      </c>
      <c r="E17" s="172" t="str">
        <f>ORÇAMENTO.Descricao</f>
        <v>SERVIÇOS INICIAIS</v>
      </c>
      <c r="F17" s="173" t="str">
        <f ca="1">IF(RegimeExecucao="Global","",ORÇAMENTO.Unidade)</f>
        <v/>
      </c>
      <c r="G17" s="124" t="str">
        <f ca="1">IF(RegimeExecucao="Global","",ORÇAMENTO!T17)</f>
        <v/>
      </c>
      <c r="H17" s="124" t="str">
        <f ca="1">IF(RegimeExecucao="Global","",ORÇAMENTO!W17)</f>
        <v/>
      </c>
      <c r="I17" s="127">
        <f ca="1">ORÇAMENTO!X17</f>
        <v>0</v>
      </c>
      <c r="J17" s="376">
        <f ca="1">IF($A17="S",IF(CAIXA.Modo,BM.AFAnterior,BM.MEDAnterior),IF(AND(RegimeExecucao="Global",$I17&gt;0,COUNTIF($AB$13:$AM$13,BM.medicao-1)&gt;0),M17/$I17*100,0))</f>
        <v>0</v>
      </c>
      <c r="K17" s="124">
        <f ca="1">L17-J17</f>
        <v>0</v>
      </c>
      <c r="L17" s="377">
        <f ca="1">IF($A17="S",IF(CAIXA.Modo,BM.AFAcumulado,BM.MEDAcumulado),IF(AND(RegimeExecucao="Global",$I17&gt;0,COUNTIF($AB$13:$AM$13,BM.medicao)&gt;0),O17/$I17*100,0))</f>
        <v>0</v>
      </c>
      <c r="M17" s="378">
        <f ca="1">IF($A17="S",VTOTALBM,IF($A17=0,0,ROUND(SomaAgrupBM,15-13*ORÇAMENTO!$AF$11)))</f>
        <v>0</v>
      </c>
      <c r="N17" s="379">
        <f ca="1">O17-M17</f>
        <v>0</v>
      </c>
      <c r="O17" s="127">
        <f ca="1">IF($A17="S",VTOTALBM,IF($A17=0,0,ROUND(SomaAgrupBM,15-13*ORÇAMENTO!$AF$11)))</f>
        <v>0</v>
      </c>
      <c r="Q17" s="380"/>
      <c r="R17" s="381"/>
      <c r="T17" s="119" t="str">
        <f ca="1">IF($W17&gt;0,$D17,"")</f>
        <v/>
      </c>
      <c r="U17" s="172" t="str">
        <f ca="1">IF($W17&gt;0,$E17,"")</f>
        <v/>
      </c>
      <c r="V17" s="173" t="str">
        <f ca="1">IF(AND($W17&gt;0,RegimeExecucao="Unitário"),$F17,"")</f>
        <v/>
      </c>
      <c r="W17" s="525">
        <f ca="1">IF($Y17&gt;0,CHOOSE(MATCH(RegimeExecucao,{"Unitário","Global"},0),IF($A17="S",$Y17/$X17,""),($Y17/$X17)*100),0)</f>
        <v>0</v>
      </c>
      <c r="X17" s="382" t="str">
        <f ca="1">IF($Y17&gt;0,CHOOSE(MATCH(RegimeExecucao,{"Unitário","Global"},0),IF($A17="S",ROUND($H17,ORÇAMENTO!$AF$10),""),ROUND($I17,ORÇAMENTO!$AF$11)),"")</f>
        <v/>
      </c>
      <c r="Y17" s="382">
        <f ca="1">AO17-O17</f>
        <v>0</v>
      </c>
      <c r="Z17" s="549"/>
      <c r="AB17" s="380"/>
      <c r="AC17" s="503"/>
      <c r="AD17" s="503"/>
      <c r="AE17" s="503"/>
      <c r="AF17" s="503"/>
      <c r="AG17" s="503"/>
      <c r="AH17" s="503"/>
      <c r="AI17" s="503"/>
      <c r="AJ17" s="503"/>
      <c r="AK17" s="503"/>
      <c r="AL17" s="503"/>
      <c r="AM17" s="381"/>
      <c r="AO17">
        <f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6" t="str">
        <f ca="1">IF(OR($I18&gt;0,$A18=1,$A18=2,$A18=3,$A18=4),"F","")</f>
        <v/>
      </c>
      <c r="D18" s="119" t="str">
        <f ca="1">ORÇAMENTO!O18</f>
        <v>-</v>
      </c>
      <c r="E18" s="172" t="str">
        <f ca="1">ORÇAMENTO.Descricao</f>
        <v>(abra o arquivo 'Referência 05-Friday.xlsm)</v>
      </c>
      <c r="F18" s="173" t="str">
        <f ca="1">IF(RegimeExecucao="Global","",ORÇAMENTO.Unidade)</f>
        <v/>
      </c>
      <c r="G18" s="124" t="str">
        <f ca="1">IF(RegimeExecucao="Global","",ORÇAMENTO!T18)</f>
        <v/>
      </c>
      <c r="H18" s="124" t="str">
        <f ca="1">IF(RegimeExecucao="Global","",ORÇAMENTO!W18)</f>
        <v/>
      </c>
      <c r="I18" s="127">
        <f ca="1">ORÇAMENTO!X18</f>
        <v>0</v>
      </c>
      <c r="J18" s="376">
        <f ca="1">IF($A18="S",IF(CAIXA.Modo,BM.AFAnterior,BM.MEDAnterior),IF(AND(RegimeExecucao="Global",$I18&gt;0,COUNTIF($AB$13:$AM$13,BM.medicao-1)&gt;0),M18/$I18*100,0))</f>
        <v>0</v>
      </c>
      <c r="K18" s="124">
        <f ca="1">L18-J18</f>
        <v>0</v>
      </c>
      <c r="L18" s="377">
        <f ca="1">IF($A18="S",IF(CAIXA.Modo,BM.AFAcumulado,BM.MEDAcumulado),IF(AND(RegimeExecucao="Global",$I18&gt;0,COUNTIF($AB$13:$AM$13,BM.medicao)&gt;0),O18/$I18*100,0))</f>
        <v>0</v>
      </c>
      <c r="M18" s="378">
        <f ca="1">IF($A18="S",VTOTALBM,IF($A18=0,0,ROUND(SomaAgrupBM,15-13*ORÇAMENTO!$AF$11)))</f>
        <v>0</v>
      </c>
      <c r="N18" s="379">
        <f ca="1">O18-M18</f>
        <v>0</v>
      </c>
      <c r="O18" s="127">
        <f ca="1">IF($A18="S",VTOTALBM,IF($A18=0,0,ROUND(SomaAgrupBM,15-13*ORÇAMENTO!$AF$11)))</f>
        <v>0</v>
      </c>
      <c r="Q18" s="380"/>
      <c r="R18" s="381"/>
      <c r="T18" s="119" t="str">
        <f ca="1">IF($W18&gt;0,$D18,"")</f>
        <v/>
      </c>
      <c r="U18" s="172" t="str">
        <f ca="1">IF($W18&gt;0,$E18,"")</f>
        <v/>
      </c>
      <c r="V18" s="173" t="str">
        <f ca="1">IF(AND($W18&gt;0,RegimeExecucao="Unitário"),$F18,"")</f>
        <v/>
      </c>
      <c r="W18" s="525">
        <f ca="1">IF($Y18&gt;0,CHOOSE(MATCH(RegimeExecucao,{"Unitário","Global"},0),IF($A18="S",$Y18/$X18,""),($Y18/$X18)*100),0)</f>
        <v>0</v>
      </c>
      <c r="X18" s="382" t="str">
        <f ca="1">IF($Y18&gt;0,CHOOSE(MATCH(RegimeExecucao,{"Unitário","Global"},0),IF($A18="S",ROUND($H18,ORÇAMENTO!$AF$10),""),ROUND($I18,ORÇAMENTO!$AF$11)),"")</f>
        <v/>
      </c>
      <c r="Y18" s="382">
        <f ca="1">AO18-O18</f>
        <v>0</v>
      </c>
      <c r="Z18" s="549"/>
      <c r="AB18" s="380"/>
      <c r="AC18" s="503"/>
      <c r="AD18" s="503"/>
      <c r="AE18" s="503"/>
      <c r="AF18" s="503"/>
      <c r="AG18" s="503"/>
      <c r="AH18" s="503"/>
      <c r="AI18" s="503"/>
      <c r="AJ18" s="503"/>
      <c r="AK18" s="503"/>
      <c r="AL18" s="503"/>
      <c r="AM18" s="381"/>
      <c r="AO18">
        <f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t="str">
        <f ca="1">ORÇAMENTO!C19</f>
        <v>S</v>
      </c>
      <c r="B19">
        <f ca="1">ORÇAMENTO!D19</f>
        <v>0</v>
      </c>
      <c r="C19" s="116" t="str">
        <f ca="1">IF(OR($I19&gt;0,$A19=1,$A19=2,$A19=3,$A19=4),"F","")</f>
        <v/>
      </c>
      <c r="D19" s="119" t="str">
        <f ca="1">ORÇAMENTO!O19</f>
        <v>-</v>
      </c>
      <c r="E19" s="172" t="str">
        <f ca="1">ORÇAMENTO.Descricao</f>
        <v>(abra o arquivo 'Referência 05-Friday.xlsm)</v>
      </c>
      <c r="F19" s="173" t="str">
        <f ca="1">IF(RegimeExecucao="Global","",ORÇAMENTO.Unidade)</f>
        <v/>
      </c>
      <c r="G19" s="124" t="str">
        <f ca="1">IF(RegimeExecucao="Global","",ORÇAMENTO!T19)</f>
        <v/>
      </c>
      <c r="H19" s="124" t="str">
        <f ca="1">IF(RegimeExecucao="Global","",ORÇAMENTO!W19)</f>
        <v/>
      </c>
      <c r="I19" s="127">
        <f ca="1">ORÇAMENTO!X19</f>
        <v>0</v>
      </c>
      <c r="J19" s="376">
        <f ca="1">IF($A19="S",IF(CAIXA.Modo,BM.AFAnterior,BM.MEDAnterior),IF(AND(RegimeExecucao="Global",$I19&gt;0,COUNTIF($AB$13:$AM$13,BM.medicao-1)&gt;0),M19/$I19*100,0))</f>
        <v>0</v>
      </c>
      <c r="K19" s="124">
        <f ca="1">L19-J19</f>
        <v>0</v>
      </c>
      <c r="L19" s="377">
        <f ca="1">IF($A19="S",IF(CAIXA.Modo,BM.AFAcumulado,BM.MEDAcumulado),IF(AND(RegimeExecucao="Global",$I19&gt;0,COUNTIF($AB$13:$AM$13,BM.medicao)&gt;0),O19/$I19*100,0))</f>
        <v>0</v>
      </c>
      <c r="M19" s="378">
        <f ca="1">IF($A19="S",VTOTALBM,IF($A19=0,0,ROUND(SomaAgrupBM,15-13*ORÇAMENTO!$AF$11)))</f>
        <v>0</v>
      </c>
      <c r="N19" s="379">
        <f ca="1">O19-M19</f>
        <v>0</v>
      </c>
      <c r="O19" s="127">
        <f ca="1">IF($A19="S",VTOTALBM,IF($A19=0,0,ROUND(SomaAgrupBM,15-13*ORÇAMENTO!$AF$11)))</f>
        <v>0</v>
      </c>
      <c r="Q19" s="380"/>
      <c r="R19" s="381"/>
      <c r="T19" s="119" t="str">
        <f ca="1">IF($W19&gt;0,$D19,"")</f>
        <v/>
      </c>
      <c r="U19" s="172" t="str">
        <f ca="1">IF($W19&gt;0,$E19,"")</f>
        <v/>
      </c>
      <c r="V19" s="173" t="str">
        <f ca="1">IF(AND($W19&gt;0,RegimeExecucao="Unitário"),$F19,"")</f>
        <v/>
      </c>
      <c r="W19" s="525">
        <f ca="1">IF($Y19&gt;0,CHOOSE(MATCH(RegimeExecucao,{"Unitário","Global"},0),IF($A19="S",$Y19/$X19,""),($Y19/$X19)*100),0)</f>
        <v>0</v>
      </c>
      <c r="X19" s="382" t="str">
        <f ca="1">IF($Y19&gt;0,CHOOSE(MATCH(RegimeExecucao,{"Unitário","Global"},0),IF($A19="S",ROUND($H19,ORÇAMENTO!$AF$10),""),ROUND($I19,ORÇAMENTO!$AF$11)),"")</f>
        <v/>
      </c>
      <c r="Y19" s="382">
        <f ca="1">AO19-O19</f>
        <v>0</v>
      </c>
      <c r="Z19" s="549"/>
      <c r="AB19" s="380"/>
      <c r="AC19" s="503"/>
      <c r="AD19" s="503"/>
      <c r="AE19" s="503"/>
      <c r="AF19" s="503"/>
      <c r="AG19" s="503"/>
      <c r="AH19" s="503"/>
      <c r="AI19" s="503"/>
      <c r="AJ19" s="503"/>
      <c r="AK19" s="503"/>
      <c r="AL19" s="503"/>
      <c r="AM19" s="381"/>
      <c r="AO19">
        <f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t="str">
        <f ca="1">ORÇAMENTO!C20</f>
        <v>S</v>
      </c>
      <c r="B20">
        <f ca="1">ORÇAMENTO!D20</f>
        <v>0</v>
      </c>
      <c r="C20" s="116" t="str">
        <f ca="1">IF(OR($I20&gt;0,$A20=1,$A20=2,$A20=3,$A20=4),"F","")</f>
        <v/>
      </c>
      <c r="D20" s="119" t="str">
        <f ca="1">ORÇAMENTO!O20</f>
        <v>-</v>
      </c>
      <c r="E20" s="172" t="str">
        <f ca="1">ORÇAMENTO.Descricao</f>
        <v>(abra o arquivo 'Referência 05-Friday.xlsm)</v>
      </c>
      <c r="F20" s="173" t="str">
        <f ca="1">IF(RegimeExecucao="Global","",ORÇAMENTO.Unidade)</f>
        <v/>
      </c>
      <c r="G20" s="124" t="str">
        <f ca="1">IF(RegimeExecucao="Global","",ORÇAMENTO!T20)</f>
        <v/>
      </c>
      <c r="H20" s="124" t="str">
        <f ca="1">IF(RegimeExecucao="Global","",ORÇAMENTO!W20)</f>
        <v/>
      </c>
      <c r="I20" s="127">
        <f ca="1">ORÇAMENTO!X20</f>
        <v>0</v>
      </c>
      <c r="J20" s="376">
        <f ca="1">IF($A20="S",IF(CAIXA.Modo,BM.AFAnterior,BM.MEDAnterior),IF(AND(RegimeExecucao="Global",$I20&gt;0,COUNTIF($AB$13:$AM$13,BM.medicao-1)&gt;0),M20/$I20*100,0))</f>
        <v>0</v>
      </c>
      <c r="K20" s="124">
        <f ca="1">L20-J20</f>
        <v>0</v>
      </c>
      <c r="L20" s="377">
        <f ca="1">IF($A20="S",IF(CAIXA.Modo,BM.AFAcumulado,BM.MEDAcumulado),IF(AND(RegimeExecucao="Global",$I20&gt;0,COUNTIF($AB$13:$AM$13,BM.medicao)&gt;0),O20/$I20*100,0))</f>
        <v>0</v>
      </c>
      <c r="M20" s="378">
        <f ca="1">IF($A20="S",VTOTALBM,IF($A20=0,0,ROUND(SomaAgrupBM,15-13*ORÇAMENTO!$AF$11)))</f>
        <v>0</v>
      </c>
      <c r="N20" s="379">
        <f ca="1">O20-M20</f>
        <v>0</v>
      </c>
      <c r="O20" s="127">
        <f ca="1">IF($A20="S",VTOTALBM,IF($A20=0,0,ROUND(SomaAgrupBM,15-13*ORÇAMENTO!$AF$11)))</f>
        <v>0</v>
      </c>
      <c r="Q20" s="380"/>
      <c r="R20" s="381"/>
      <c r="T20" s="119" t="str">
        <f ca="1">IF($W20&gt;0,$D20,"")</f>
        <v/>
      </c>
      <c r="U20" s="172" t="str">
        <f ca="1">IF($W20&gt;0,$E20,"")</f>
        <v/>
      </c>
      <c r="V20" s="173" t="str">
        <f ca="1">IF(AND($W20&gt;0,RegimeExecucao="Unitário"),$F20,"")</f>
        <v/>
      </c>
      <c r="W20" s="525">
        <f ca="1">IF($Y20&gt;0,CHOOSE(MATCH(RegimeExecucao,{"Unitário","Global"},0),IF($A20="S",$Y20/$X20,""),($Y20/$X20)*100),0)</f>
        <v>0</v>
      </c>
      <c r="X20" s="382" t="str">
        <f ca="1">IF($Y20&gt;0,CHOOSE(MATCH(RegimeExecucao,{"Unitário","Global"},0),IF($A20="S",ROUND($H20,ORÇAMENTO!$AF$10),""),ROUND($I20,ORÇAMENTO!$AF$11)),"")</f>
        <v/>
      </c>
      <c r="Y20" s="382">
        <f ca="1">AO20-O20</f>
        <v>0</v>
      </c>
      <c r="Z20" s="549"/>
      <c r="AB20" s="380"/>
      <c r="AC20" s="503"/>
      <c r="AD20" s="503"/>
      <c r="AE20" s="503"/>
      <c r="AF20" s="503"/>
      <c r="AG20" s="503"/>
      <c r="AH20" s="503"/>
      <c r="AI20" s="503"/>
      <c r="AJ20" s="503"/>
      <c r="AK20" s="503"/>
      <c r="AL20" s="503"/>
      <c r="AM20" s="381"/>
      <c r="AO20">
        <f ca="1">IF($A20="S",IF(BM!$I20=0,0,CHOOSE(MATCH(RegimeExecucao,{"Global","Unitário"},0),ROUND(ROUND(BM.MEDAcumulado,15-13*BM!$A$9)/100*BM!$I20,15-13*ORÇAMENTO!$AF$11),ROUND(ROUND(BM.MEDAcumulado,15-13*BM!$A$9)*ROUND(BM!$H20,15-13*ORÇAMENTO!$AF$10),15-13*ORÇAMENTO!$AF$11))),IF($A20=0,0,ROUND(SomaAgrupBM,15-13*ORÇAMENTO!$AF$11)))</f>
        <v>0</v>
      </c>
    </row>
    <row r="21" spans="1:41" ht="25.5" x14ac:dyDescent="0.2">
      <c r="A21" t="str">
        <f ca="1">ORÇAMENTO!C21</f>
        <v>S</v>
      </c>
      <c r="B21">
        <f ca="1">ORÇAMENTO!D21</f>
        <v>0</v>
      </c>
      <c r="C21" s="116" t="str">
        <f ca="1">IF(OR($I21&gt;0,$A21=1,$A21=2,$A21=3,$A21=4),"F","")</f>
        <v/>
      </c>
      <c r="D21" s="119" t="str">
        <f ca="1">ORÇAMENTO!O21</f>
        <v>-</v>
      </c>
      <c r="E21" s="172" t="str">
        <f ca="1">ORÇAMENTO.Descricao</f>
        <v>(abra o arquivo 'Referência 05-Friday.xlsm)</v>
      </c>
      <c r="F21" s="173" t="str">
        <f ca="1">IF(RegimeExecucao="Global","",ORÇAMENTO.Unidade)</f>
        <v/>
      </c>
      <c r="G21" s="124" t="str">
        <f ca="1">IF(RegimeExecucao="Global","",ORÇAMENTO!T21)</f>
        <v/>
      </c>
      <c r="H21" s="124" t="str">
        <f ca="1">IF(RegimeExecucao="Global","",ORÇAMENTO!W21)</f>
        <v/>
      </c>
      <c r="I21" s="127">
        <f ca="1">ORÇAMENTO!X21</f>
        <v>0</v>
      </c>
      <c r="J21" s="376">
        <f ca="1">IF($A21="S",IF(CAIXA.Modo,BM.AFAnterior,BM.MEDAnterior),IF(AND(RegimeExecucao="Global",$I21&gt;0,COUNTIF($AB$13:$AM$13,BM.medicao-1)&gt;0),M21/$I21*100,0))</f>
        <v>0</v>
      </c>
      <c r="K21" s="124">
        <f ca="1">L21-J21</f>
        <v>0</v>
      </c>
      <c r="L21" s="377">
        <f ca="1">IF($A21="S",IF(CAIXA.Modo,BM.AFAcumulado,BM.MEDAcumulado),IF(AND(RegimeExecucao="Global",$I21&gt;0,COUNTIF($AB$13:$AM$13,BM.medicao)&gt;0),O21/$I21*100,0))</f>
        <v>0</v>
      </c>
      <c r="M21" s="378">
        <f ca="1">IF($A21="S",VTOTALBM,IF($A21=0,0,ROUND(SomaAgrupBM,15-13*ORÇAMENTO!$AF$11)))</f>
        <v>0</v>
      </c>
      <c r="N21" s="379">
        <f ca="1">O21-M21</f>
        <v>0</v>
      </c>
      <c r="O21" s="127">
        <f ca="1">IF($A21="S",VTOTALBM,IF($A21=0,0,ROUND(SomaAgrupBM,15-13*ORÇAMENTO!$AF$11)))</f>
        <v>0</v>
      </c>
      <c r="Q21" s="380"/>
      <c r="R21" s="381"/>
      <c r="T21" s="119" t="str">
        <f ca="1">IF($W21&gt;0,$D21,"")</f>
        <v/>
      </c>
      <c r="U21" s="172" t="str">
        <f ca="1">IF($W21&gt;0,$E21,"")</f>
        <v/>
      </c>
      <c r="V21" s="173" t="str">
        <f ca="1">IF(AND($W21&gt;0,RegimeExecucao="Unitário"),$F21,"")</f>
        <v/>
      </c>
      <c r="W21" s="525">
        <f ca="1">IF($Y21&gt;0,CHOOSE(MATCH(RegimeExecucao,{"Unitário","Global"},0),IF($A21="S",$Y21/$X21,""),($Y21/$X21)*100),0)</f>
        <v>0</v>
      </c>
      <c r="X21" s="382" t="str">
        <f ca="1">IF($Y21&gt;0,CHOOSE(MATCH(RegimeExecucao,{"Unitário","Global"},0),IF($A21="S",ROUND($H21,ORÇAMENTO!$AF$10),""),ROUND($I21,ORÇAMENTO!$AF$11)),"")</f>
        <v/>
      </c>
      <c r="Y21" s="382">
        <f ca="1">AO21-O21</f>
        <v>0</v>
      </c>
      <c r="Z21" s="549"/>
      <c r="AB21" s="380"/>
      <c r="AC21" s="503"/>
      <c r="AD21" s="503"/>
      <c r="AE21" s="503"/>
      <c r="AF21" s="503"/>
      <c r="AG21" s="503"/>
      <c r="AH21" s="503"/>
      <c r="AI21" s="503"/>
      <c r="AJ21" s="503"/>
      <c r="AK21" s="503"/>
      <c r="AL21" s="503"/>
      <c r="AM21" s="381"/>
      <c r="AO21">
        <f ca="1">IF($A21="S",IF(BM!$I21=0,0,CHOOSE(MATCH(RegimeExecucao,{"Global","Unitário"},0),ROUND(ROUND(BM.MEDAcumulado,15-13*BM!$A$9)/100*BM!$I21,15-13*ORÇAMENTO!$AF$11),ROUND(ROUND(BM.MEDAcumulado,15-13*BM!$A$9)*ROUND(BM!$H21,15-13*ORÇAMENTO!$AF$10),15-13*ORÇAMENTO!$AF$11))),IF($A21=0,0,ROUND(SomaAgrupBM,15-13*ORÇAMENTO!$AF$11)))</f>
        <v>0</v>
      </c>
    </row>
    <row r="22" spans="1:41" x14ac:dyDescent="0.2">
      <c r="A22">
        <f ca="1">ORÇAMENTO!C22</f>
        <v>2</v>
      </c>
      <c r="B22">
        <f ca="1">ORÇAMENTO!D22</f>
        <v>11</v>
      </c>
      <c r="C22" s="116" t="str">
        <f t="shared" ref="C22:C37" ca="1" si="8">IF(OR($I22&gt;0,$A22=1,$A22=2,$A22=3,$A22=4),"F","")</f>
        <v>F</v>
      </c>
      <c r="D22" s="119" t="str">
        <f ca="1">ORÇAMENTO!O22</f>
        <v>1.2.</v>
      </c>
      <c r="E22" s="172" t="str">
        <f t="shared" ref="E22:E37" si="9">ORÇAMENTO.Descricao</f>
        <v>DRENAGEM</v>
      </c>
      <c r="F22" s="173" t="str">
        <f ca="1">IF(RegimeExecucao="Global","",ORÇAMENTO.Unidade)</f>
        <v/>
      </c>
      <c r="G22" s="124" t="str">
        <f ca="1">IF(RegimeExecucao="Global","",ORÇAMENTO!T22)</f>
        <v/>
      </c>
      <c r="H22" s="124" t="str">
        <f ca="1">IF(RegimeExecucao="Global","",ORÇAMENTO!W22)</f>
        <v/>
      </c>
      <c r="I22" s="127">
        <f ca="1">ORÇAMENTO!X22</f>
        <v>0</v>
      </c>
      <c r="J22" s="376">
        <f ca="1">IF($A22="S",IF(CAIXA.Modo,BM.AFAnterior,BM.MEDAnterior),IF(AND(RegimeExecucao="Global",$I22&gt;0,COUNTIF($AB$13:$AM$13,BM.medicao-1)&gt;0),M22/$I22*100,0))</f>
        <v>0</v>
      </c>
      <c r="K22" s="124">
        <f t="shared" ref="K22:K37" ca="1" si="10">L22-J22</f>
        <v>0</v>
      </c>
      <c r="L22" s="377">
        <f ca="1">IF($A22="S",IF(CAIXA.Modo,BM.AFAcumulado,BM.MEDAcumulado),IF(AND(RegimeExecucao="Global",$I22&gt;0,COUNTIF($AB$13:$AM$13,BM.medicao)&gt;0),O22/$I22*100,0))</f>
        <v>0</v>
      </c>
      <c r="M22" s="378">
        <f ca="1">IF($A22="S",VTOTALBM,IF($A22=0,0,ROUND(SomaAgrupBM,15-13*ORÇAMENTO!$AF$11)))</f>
        <v>0</v>
      </c>
      <c r="N22" s="379">
        <f t="shared" ref="N22:N37" ca="1" si="11">O22-M22</f>
        <v>0</v>
      </c>
      <c r="O22" s="127">
        <f ca="1">IF($A22="S",VTOTALBM,IF($A22=0,0,ROUND(SomaAgrupBM,15-13*ORÇAMENTO!$AF$11)))</f>
        <v>0</v>
      </c>
      <c r="Q22" s="380"/>
      <c r="R22" s="381"/>
      <c r="T22" s="119" t="str">
        <f t="shared" ref="T22:T37" ca="1" si="12">IF($W22&gt;0,$D22,"")</f>
        <v/>
      </c>
      <c r="U22" s="172" t="str">
        <f t="shared" ref="U22:U37" ca="1" si="13">IF($W22&gt;0,$E22,"")</f>
        <v/>
      </c>
      <c r="V22" s="173" t="str">
        <f ca="1">IF(AND($W22&gt;0,RegimeExecucao="Unitário"),$F22,"")</f>
        <v/>
      </c>
      <c r="W22" s="525">
        <f ca="1">IF($Y22&gt;0,CHOOSE(MATCH(RegimeExecucao,{"Unitário","Global"},0),IF($A22="S",$Y22/$X22,""),($Y22/$X22)*100),0)</f>
        <v>0</v>
      </c>
      <c r="X22" s="382" t="str">
        <f ca="1">IF($Y22&gt;0,CHOOSE(MATCH(RegimeExecucao,{"Unitário","Global"},0),IF($A22="S",ROUND($H22,ORÇAMENTO!$AF$10),""),ROUND($I22,ORÇAMENTO!$AF$11)),"")</f>
        <v/>
      </c>
      <c r="Y22" s="382">
        <f t="shared" ref="Y22:Y37" ca="1" si="14">AO22-O22</f>
        <v>0</v>
      </c>
      <c r="Z22" s="549"/>
      <c r="AB22" s="380"/>
      <c r="AC22" s="503"/>
      <c r="AD22" s="503"/>
      <c r="AE22" s="503"/>
      <c r="AF22" s="503"/>
      <c r="AG22" s="503"/>
      <c r="AH22" s="503"/>
      <c r="AI22" s="503"/>
      <c r="AJ22" s="503"/>
      <c r="AK22" s="503"/>
      <c r="AL22" s="503"/>
      <c r="AM22" s="381"/>
      <c r="AO22">
        <f ca="1">IF($A22="S",IF(BM!$I22=0,0,CHOOSE(MATCH(RegimeExecucao,{"Global","Unitário"},0),ROUND(ROUND(BM.MEDAcumulado,15-13*BM!$A$9)/100*BM!$I22,15-13*ORÇAMENTO!$AF$11),ROUND(ROUND(BM.MEDAcumulado,15-13*BM!$A$9)*ROUND(BM!$H22,15-13*ORÇAMENTO!$AF$10),15-13*ORÇAMENTO!$AF$11))),IF($A22=0,0,ROUND(SomaAgrupBM,15-13*ORÇAMENTO!$AF$11)))</f>
        <v>0</v>
      </c>
    </row>
    <row r="23" spans="1:41" ht="63.75" x14ac:dyDescent="0.2">
      <c r="A23" t="str">
        <f ca="1">ORÇAMENTO!C23</f>
        <v>S</v>
      </c>
      <c r="B23">
        <f ca="1">ORÇAMENTO!D23</f>
        <v>0</v>
      </c>
      <c r="C23" s="116" t="str">
        <f t="shared" ca="1" si="8"/>
        <v/>
      </c>
      <c r="D23" s="119" t="str">
        <f ca="1">ORÇAMENTO!O23</f>
        <v>-</v>
      </c>
      <c r="E23" s="172" t="str">
        <f t="shared" ca="1" si="9"/>
        <v>(abra o arquivo 'Referência 05-Friday.xlsm)</v>
      </c>
      <c r="F23" s="173" t="str">
        <f ca="1">IF(RegimeExecucao="Global","",ORÇAMENTO.Unidade)</f>
        <v/>
      </c>
      <c r="G23" s="124" t="str">
        <f ca="1">IF(RegimeExecucao="Global","",ORÇAMENTO!T23)</f>
        <v/>
      </c>
      <c r="H23" s="124" t="str">
        <f ca="1">IF(RegimeExecucao="Global","",ORÇAMENTO!W23)</f>
        <v/>
      </c>
      <c r="I23" s="127">
        <f ca="1">ORÇAMENTO!X23</f>
        <v>0</v>
      </c>
      <c r="J23" s="376">
        <f ca="1">IF($A23="S",IF(CAIXA.Modo,BM.AFAnterior,BM.MEDAnterior),IF(AND(RegimeExecucao="Global",$I23&gt;0,COUNTIF($AB$13:$AM$13,BM.medicao-1)&gt;0),M23/$I23*100,0))</f>
        <v>0</v>
      </c>
      <c r="K23" s="124">
        <f t="shared" ca="1" si="10"/>
        <v>0</v>
      </c>
      <c r="L23" s="377">
        <f ca="1">IF($A23="S",IF(CAIXA.Modo,BM.AFAcumulado,BM.MEDAcumulado),IF(AND(RegimeExecucao="Global",$I23&gt;0,COUNTIF($AB$13:$AM$13,BM.medicao)&gt;0),O23/$I23*100,0))</f>
        <v>0</v>
      </c>
      <c r="M23" s="378">
        <f ca="1">IF($A23="S",VTOTALBM,IF($A23=0,0,ROUND(SomaAgrupBM,15-13*ORÇAMENTO!$AF$11)))</f>
        <v>0</v>
      </c>
      <c r="N23" s="379">
        <f t="shared" ca="1" si="11"/>
        <v>0</v>
      </c>
      <c r="O23" s="127">
        <f ca="1">IF($A23="S",VTOTALBM,IF($A23=0,0,ROUND(SomaAgrupBM,15-13*ORÇAMENTO!$AF$11)))</f>
        <v>0</v>
      </c>
      <c r="Q23" s="380"/>
      <c r="R23" s="381"/>
      <c r="T23" s="119" t="str">
        <f t="shared" ca="1" si="12"/>
        <v/>
      </c>
      <c r="U23" s="172" t="str">
        <f t="shared" ca="1" si="13"/>
        <v/>
      </c>
      <c r="V23" s="173" t="str">
        <f ca="1">IF(AND($W23&gt;0,RegimeExecucao="Unitário"),$F23,"")</f>
        <v/>
      </c>
      <c r="W23" s="525">
        <f ca="1">IF($Y23&gt;0,CHOOSE(MATCH(RegimeExecucao,{"Unitário","Global"},0),IF($A23="S",$Y23/$X23,""),($Y23/$X23)*100),0)</f>
        <v>0</v>
      </c>
      <c r="X23" s="382" t="str">
        <f ca="1">IF($Y23&gt;0,CHOOSE(MATCH(RegimeExecucao,{"Unitário","Global"},0),IF($A23="S",ROUND($H23,ORÇAMENTO!$AF$10),""),ROUND($I23,ORÇAMENTO!$AF$11)),"")</f>
        <v/>
      </c>
      <c r="Y23" s="382">
        <f t="shared" ca="1" si="14"/>
        <v>0</v>
      </c>
      <c r="Z23" s="549"/>
      <c r="AB23" s="380"/>
      <c r="AC23" s="503"/>
      <c r="AD23" s="503"/>
      <c r="AE23" s="503"/>
      <c r="AF23" s="503"/>
      <c r="AG23" s="503"/>
      <c r="AH23" s="503"/>
      <c r="AI23" s="503"/>
      <c r="AJ23" s="503"/>
      <c r="AK23" s="503"/>
      <c r="AL23" s="503"/>
      <c r="AM23" s="381"/>
      <c r="AO23">
        <f ca="1">IF($A23="S",IF(BM!$I23=0,0,CHOOSE(MATCH(RegimeExecucao,{"Global","Unitário"},0),ROUND(ROUND(BM.MEDAcumulado,15-13*BM!$A$9)/100*BM!$I23,15-13*ORÇAMENTO!$AF$11),ROUND(ROUND(BM.MEDAcumulado,15-13*BM!$A$9)*ROUND(BM!$H23,15-13*ORÇAMENTO!$AF$10),15-13*ORÇAMENTO!$AF$11))),IF($A23=0,0,ROUND(SomaAgrupBM,15-13*ORÇAMENTO!$AF$11)))</f>
        <v>0</v>
      </c>
    </row>
    <row r="24" spans="1:41" ht="38.25" x14ac:dyDescent="0.2">
      <c r="A24" t="str">
        <f ca="1">ORÇAMENTO!C24</f>
        <v>S</v>
      </c>
      <c r="B24">
        <f ca="1">ORÇAMENTO!D24</f>
        <v>0</v>
      </c>
      <c r="C24" s="116" t="str">
        <f ca="1">IF(OR($I24&gt;0,$A24=1,$A24=2,$A24=3,$A24=4),"F","")</f>
        <v/>
      </c>
      <c r="D24" s="119" t="str">
        <f ca="1">ORÇAMENTO!O24</f>
        <v>-</v>
      </c>
      <c r="E24" s="172" t="str">
        <f ca="1">ORÇAMENTO.Descricao</f>
        <v>(abra o arquivo 'Referência 05-Friday.xlsm)</v>
      </c>
      <c r="F24" s="173" t="str">
        <f ca="1">IF(RegimeExecucao="Global","",ORÇAMENTO.Unidade)</f>
        <v/>
      </c>
      <c r="G24" s="124" t="str">
        <f ca="1">IF(RegimeExecucao="Global","",ORÇAMENTO!T24)</f>
        <v/>
      </c>
      <c r="H24" s="124" t="str">
        <f ca="1">IF(RegimeExecucao="Global","",ORÇAMENTO!W24)</f>
        <v/>
      </c>
      <c r="I24" s="127">
        <f ca="1">ORÇAMENTO!X24</f>
        <v>0</v>
      </c>
      <c r="J24" s="376">
        <f ca="1">IF($A24="S",IF(CAIXA.Modo,BM.AFAnterior,BM.MEDAnterior),IF(AND(RegimeExecucao="Global",$I24&gt;0,COUNTIF($AB$13:$AM$13,BM.medicao-1)&gt;0),M24/$I24*100,0))</f>
        <v>0</v>
      </c>
      <c r="K24" s="124">
        <f ca="1">L24-J24</f>
        <v>0</v>
      </c>
      <c r="L24" s="377">
        <f ca="1">IF($A24="S",IF(CAIXA.Modo,BM.AFAcumulado,BM.MEDAcumulado),IF(AND(RegimeExecucao="Global",$I24&gt;0,COUNTIF($AB$13:$AM$13,BM.medicao)&gt;0),O24/$I24*100,0))</f>
        <v>0</v>
      </c>
      <c r="M24" s="378">
        <f ca="1">IF($A24="S",VTOTALBM,IF($A24=0,0,ROUND(SomaAgrupBM,15-13*ORÇAMENTO!$AF$11)))</f>
        <v>0</v>
      </c>
      <c r="N24" s="379">
        <f ca="1">O24-M24</f>
        <v>0</v>
      </c>
      <c r="O24" s="127">
        <f ca="1">IF($A24="S",VTOTALBM,IF($A24=0,0,ROUND(SomaAgrupBM,15-13*ORÇAMENTO!$AF$11)))</f>
        <v>0</v>
      </c>
      <c r="Q24" s="380"/>
      <c r="R24" s="381"/>
      <c r="T24" s="119" t="str">
        <f ca="1">IF($W24&gt;0,$D24,"")</f>
        <v/>
      </c>
      <c r="U24" s="172" t="str">
        <f ca="1">IF($W24&gt;0,$E24,"")</f>
        <v/>
      </c>
      <c r="V24" s="173" t="str">
        <f ca="1">IF(AND($W24&gt;0,RegimeExecucao="Unitário"),$F24,"")</f>
        <v/>
      </c>
      <c r="W24" s="525">
        <f ca="1">IF($Y24&gt;0,CHOOSE(MATCH(RegimeExecucao,{"Unitário","Global"},0),IF($A24="S",$Y24/$X24,""),($Y24/$X24)*100),0)</f>
        <v>0</v>
      </c>
      <c r="X24" s="382" t="str">
        <f ca="1">IF($Y24&gt;0,CHOOSE(MATCH(RegimeExecucao,{"Unitário","Global"},0),IF($A24="S",ROUND($H24,ORÇAMENTO!$AF$10),""),ROUND($I24,ORÇAMENTO!$AF$11)),"")</f>
        <v/>
      </c>
      <c r="Y24" s="382">
        <f ca="1">AO24-O24</f>
        <v>0</v>
      </c>
      <c r="Z24" s="549"/>
      <c r="AB24" s="380"/>
      <c r="AC24" s="503"/>
      <c r="AD24" s="503"/>
      <c r="AE24" s="503"/>
      <c r="AF24" s="503"/>
      <c r="AG24" s="503"/>
      <c r="AH24" s="503"/>
      <c r="AI24" s="503"/>
      <c r="AJ24" s="503"/>
      <c r="AK24" s="503"/>
      <c r="AL24" s="503"/>
      <c r="AM24" s="381"/>
      <c r="AO24">
        <f ca="1">IF($A24="S",IF(BM!$I24=0,0,CHOOSE(MATCH(RegimeExecucao,{"Global","Unitário"},0),ROUND(ROUND(BM.MEDAcumulado,15-13*BM!$A$9)/100*BM!$I24,15-13*ORÇAMENTO!$AF$11),ROUND(ROUND(BM.MEDAcumulado,15-13*BM!$A$9)*ROUND(BM!$H24,15-13*ORÇAMENTO!$AF$10),15-13*ORÇAMENTO!$AF$11))),IF($A24=0,0,ROUND(SomaAgrupBM,15-13*ORÇAMENTO!$AF$11)))</f>
        <v>0</v>
      </c>
    </row>
    <row r="25" spans="1:41" ht="38.25" x14ac:dyDescent="0.2">
      <c r="A25" t="str">
        <f ca="1">ORÇAMENTO!C25</f>
        <v>S</v>
      </c>
      <c r="B25">
        <f ca="1">ORÇAMENTO!D25</f>
        <v>0</v>
      </c>
      <c r="C25" s="116" t="str">
        <f ca="1">IF(OR($I25&gt;0,$A25=1,$A25=2,$A25=3,$A25=4),"F","")</f>
        <v/>
      </c>
      <c r="D25" s="119" t="str">
        <f ca="1">ORÇAMENTO!O25</f>
        <v>-</v>
      </c>
      <c r="E25" s="172" t="str">
        <f ca="1">ORÇAMENTO.Descricao</f>
        <v>(abra o arquivo 'Referência 05-Friday.xlsm)</v>
      </c>
      <c r="F25" s="173" t="str">
        <f ca="1">IF(RegimeExecucao="Global","",ORÇAMENTO.Unidade)</f>
        <v/>
      </c>
      <c r="G25" s="124" t="str">
        <f ca="1">IF(RegimeExecucao="Global","",ORÇAMENTO!T25)</f>
        <v/>
      </c>
      <c r="H25" s="124" t="str">
        <f ca="1">IF(RegimeExecucao="Global","",ORÇAMENTO!W25)</f>
        <v/>
      </c>
      <c r="I25" s="127">
        <f ca="1">ORÇAMENTO!X25</f>
        <v>0</v>
      </c>
      <c r="J25" s="376">
        <f ca="1">IF($A25="S",IF(CAIXA.Modo,BM.AFAnterior,BM.MEDAnterior),IF(AND(RegimeExecucao="Global",$I25&gt;0,COUNTIF($AB$13:$AM$13,BM.medicao-1)&gt;0),M25/$I25*100,0))</f>
        <v>0</v>
      </c>
      <c r="K25" s="124">
        <f ca="1">L25-J25</f>
        <v>0</v>
      </c>
      <c r="L25" s="377">
        <f ca="1">IF($A25="S",IF(CAIXA.Modo,BM.AFAcumulado,BM.MEDAcumulado),IF(AND(RegimeExecucao="Global",$I25&gt;0,COUNTIF($AB$13:$AM$13,BM.medicao)&gt;0),O25/$I25*100,0))</f>
        <v>0</v>
      </c>
      <c r="M25" s="378">
        <f ca="1">IF($A25="S",VTOTALBM,IF($A25=0,0,ROUND(SomaAgrupBM,15-13*ORÇAMENTO!$AF$11)))</f>
        <v>0</v>
      </c>
      <c r="N25" s="379">
        <f ca="1">O25-M25</f>
        <v>0</v>
      </c>
      <c r="O25" s="127">
        <f ca="1">IF($A25="S",VTOTALBM,IF($A25=0,0,ROUND(SomaAgrupBM,15-13*ORÇAMENTO!$AF$11)))</f>
        <v>0</v>
      </c>
      <c r="Q25" s="380"/>
      <c r="R25" s="381"/>
      <c r="T25" s="119" t="str">
        <f ca="1">IF($W25&gt;0,$D25,"")</f>
        <v/>
      </c>
      <c r="U25" s="172" t="str">
        <f ca="1">IF($W25&gt;0,$E25,"")</f>
        <v/>
      </c>
      <c r="V25" s="173" t="str">
        <f ca="1">IF(AND($W25&gt;0,RegimeExecucao="Unitário"),$F25,"")</f>
        <v/>
      </c>
      <c r="W25" s="525">
        <f ca="1">IF($Y25&gt;0,CHOOSE(MATCH(RegimeExecucao,{"Unitário","Global"},0),IF($A25="S",$Y25/$X25,""),($Y25/$X25)*100),0)</f>
        <v>0</v>
      </c>
      <c r="X25" s="382" t="str">
        <f ca="1">IF($Y25&gt;0,CHOOSE(MATCH(RegimeExecucao,{"Unitário","Global"},0),IF($A25="S",ROUND($H25,ORÇAMENTO!$AF$10),""),ROUND($I25,ORÇAMENTO!$AF$11)),"")</f>
        <v/>
      </c>
      <c r="Y25" s="382">
        <f ca="1">AO25-O25</f>
        <v>0</v>
      </c>
      <c r="Z25" s="549"/>
      <c r="AB25" s="380"/>
      <c r="AC25" s="503"/>
      <c r="AD25" s="503"/>
      <c r="AE25" s="503"/>
      <c r="AF25" s="503"/>
      <c r="AG25" s="503"/>
      <c r="AH25" s="503"/>
      <c r="AI25" s="503"/>
      <c r="AJ25" s="503"/>
      <c r="AK25" s="503"/>
      <c r="AL25" s="503"/>
      <c r="AM25" s="381"/>
      <c r="AO25">
        <f ca="1">IF($A25="S",IF(BM!$I25=0,0,CHOOSE(MATCH(RegimeExecucao,{"Global","Unitário"},0),ROUND(ROUND(BM.MEDAcumulado,15-13*BM!$A$9)/100*BM!$I25,15-13*ORÇAMENTO!$AF$11),ROUND(ROUND(BM.MEDAcumulado,15-13*BM!$A$9)*ROUND(BM!$H25,15-13*ORÇAMENTO!$AF$10),15-13*ORÇAMENTO!$AF$11))),IF($A25=0,0,ROUND(SomaAgrupBM,15-13*ORÇAMENTO!$AF$11)))</f>
        <v>0</v>
      </c>
    </row>
    <row r="26" spans="1:41" x14ac:dyDescent="0.2">
      <c r="A26" t="str">
        <f ca="1">ORÇAMENTO!C26</f>
        <v>S</v>
      </c>
      <c r="B26">
        <f ca="1">ORÇAMENTO!D26</f>
        <v>0</v>
      </c>
      <c r="C26" s="116" t="str">
        <f t="shared" ca="1" si="8"/>
        <v/>
      </c>
      <c r="D26" s="119" t="str">
        <f ca="1">ORÇAMENTO!O26</f>
        <v>-</v>
      </c>
      <c r="E26" s="172" t="str">
        <f t="shared" ca="1" si="9"/>
        <v>(abra o arquivo 'Referência 05-Friday.xlsm)</v>
      </c>
      <c r="F26" s="173" t="str">
        <f ca="1">IF(RegimeExecucao="Global","",ORÇAMENTO.Unidade)</f>
        <v/>
      </c>
      <c r="G26" s="124" t="str">
        <f ca="1">IF(RegimeExecucao="Global","",ORÇAMENTO!T26)</f>
        <v/>
      </c>
      <c r="H26" s="124" t="str">
        <f ca="1">IF(RegimeExecucao="Global","",ORÇAMENTO!W26)</f>
        <v/>
      </c>
      <c r="I26" s="127">
        <f ca="1">ORÇAMENTO!X26</f>
        <v>0</v>
      </c>
      <c r="J26" s="376">
        <f ca="1">IF($A26="S",IF(CAIXA.Modo,BM.AFAnterior,BM.MEDAnterior),IF(AND(RegimeExecucao="Global",$I26&gt;0,COUNTIF($AB$13:$AM$13,BM.medicao-1)&gt;0),M26/$I26*100,0))</f>
        <v>0</v>
      </c>
      <c r="K26" s="124">
        <f t="shared" ca="1" si="10"/>
        <v>0</v>
      </c>
      <c r="L26" s="377">
        <f ca="1">IF($A26="S",IF(CAIXA.Modo,BM.AFAcumulado,BM.MEDAcumulado),IF(AND(RegimeExecucao="Global",$I26&gt;0,COUNTIF($AB$13:$AM$13,BM.medicao)&gt;0),O26/$I26*100,0))</f>
        <v>0</v>
      </c>
      <c r="M26" s="378">
        <f ca="1">IF($A26="S",VTOTALBM,IF($A26=0,0,ROUND(SomaAgrupBM,15-13*ORÇAMENTO!$AF$11)))</f>
        <v>0</v>
      </c>
      <c r="N26" s="379">
        <f t="shared" ca="1" si="11"/>
        <v>0</v>
      </c>
      <c r="O26" s="127">
        <f ca="1">IF($A26="S",VTOTALBM,IF($A26=0,0,ROUND(SomaAgrupBM,15-13*ORÇAMENTO!$AF$11)))</f>
        <v>0</v>
      </c>
      <c r="Q26" s="380"/>
      <c r="R26" s="381"/>
      <c r="T26" s="119" t="str">
        <f t="shared" ca="1" si="12"/>
        <v/>
      </c>
      <c r="U26" s="172" t="str">
        <f t="shared" ca="1" si="13"/>
        <v/>
      </c>
      <c r="V26" s="173" t="str">
        <f ca="1">IF(AND($W26&gt;0,RegimeExecucao="Unitário"),$F26,"")</f>
        <v/>
      </c>
      <c r="W26" s="525">
        <f ca="1">IF($Y26&gt;0,CHOOSE(MATCH(RegimeExecucao,{"Unitário","Global"},0),IF($A26="S",$Y26/$X26,""),($Y26/$X26)*100),0)</f>
        <v>0</v>
      </c>
      <c r="X26" s="382" t="str">
        <f ca="1">IF($Y26&gt;0,CHOOSE(MATCH(RegimeExecucao,{"Unitário","Global"},0),IF($A26="S",ROUND($H26,ORÇAMENTO!$AF$10),""),ROUND($I26,ORÇAMENTO!$AF$11)),"")</f>
        <v/>
      </c>
      <c r="Y26" s="382">
        <f t="shared" ca="1" si="14"/>
        <v>0</v>
      </c>
      <c r="Z26" s="549"/>
      <c r="AB26" s="380"/>
      <c r="AC26" s="503"/>
      <c r="AD26" s="503"/>
      <c r="AE26" s="503"/>
      <c r="AF26" s="503"/>
      <c r="AG26" s="503"/>
      <c r="AH26" s="503"/>
      <c r="AI26" s="503"/>
      <c r="AJ26" s="503"/>
      <c r="AK26" s="503"/>
      <c r="AL26" s="503"/>
      <c r="AM26" s="381"/>
      <c r="AO26">
        <f ca="1">IF($A26="S",IF(BM!$I26=0,0,CHOOSE(MATCH(RegimeExecucao,{"Global","Unitário"},0),ROUND(ROUND(BM.MEDAcumulado,15-13*BM!$A$9)/100*BM!$I26,15-13*ORÇAMENTO!$AF$11),ROUND(ROUND(BM.MEDAcumulado,15-13*BM!$A$9)*ROUND(BM!$H26,15-13*ORÇAMENTO!$AF$10),15-13*ORÇAMENTO!$AF$11))),IF($A26=0,0,ROUND(SomaAgrupBM,15-13*ORÇAMENTO!$AF$11)))</f>
        <v>0</v>
      </c>
    </row>
    <row r="27" spans="1:41" ht="51" x14ac:dyDescent="0.2">
      <c r="A27" t="str">
        <f ca="1">ORÇAMENTO!C27</f>
        <v>S</v>
      </c>
      <c r="B27">
        <f ca="1">ORÇAMENTO!D27</f>
        <v>0</v>
      </c>
      <c r="C27" s="116" t="str">
        <f t="shared" ca="1" si="8"/>
        <v/>
      </c>
      <c r="D27" s="119" t="str">
        <f ca="1">ORÇAMENTO!O27</f>
        <v>-</v>
      </c>
      <c r="E27" s="172" t="str">
        <f t="shared" ca="1" si="9"/>
        <v>(abra o arquivo 'Referência 05-Friday.xlsm)</v>
      </c>
      <c r="F27" s="173" t="str">
        <f ca="1">IF(RegimeExecucao="Global","",ORÇAMENTO.Unidade)</f>
        <v/>
      </c>
      <c r="G27" s="124" t="str">
        <f ca="1">IF(RegimeExecucao="Global","",ORÇAMENTO!T27)</f>
        <v/>
      </c>
      <c r="H27" s="124" t="str">
        <f ca="1">IF(RegimeExecucao="Global","",ORÇAMENTO!W27)</f>
        <v/>
      </c>
      <c r="I27" s="127">
        <f ca="1">ORÇAMENTO!X27</f>
        <v>0</v>
      </c>
      <c r="J27" s="376">
        <f ca="1">IF($A27="S",IF(CAIXA.Modo,BM.AFAnterior,BM.MEDAnterior),IF(AND(RegimeExecucao="Global",$I27&gt;0,COUNTIF($AB$13:$AM$13,BM.medicao-1)&gt;0),M27/$I27*100,0))</f>
        <v>0</v>
      </c>
      <c r="K27" s="124">
        <f t="shared" ca="1" si="10"/>
        <v>0</v>
      </c>
      <c r="L27" s="377">
        <f ca="1">IF($A27="S",IF(CAIXA.Modo,BM.AFAcumulado,BM.MEDAcumulado),IF(AND(RegimeExecucao="Global",$I27&gt;0,COUNTIF($AB$13:$AM$13,BM.medicao)&gt;0),O27/$I27*100,0))</f>
        <v>0</v>
      </c>
      <c r="M27" s="378">
        <f ca="1">IF($A27="S",VTOTALBM,IF($A27=0,0,ROUND(SomaAgrupBM,15-13*ORÇAMENTO!$AF$11)))</f>
        <v>0</v>
      </c>
      <c r="N27" s="379">
        <f t="shared" ca="1" si="11"/>
        <v>0</v>
      </c>
      <c r="O27" s="127">
        <f ca="1">IF($A27="S",VTOTALBM,IF($A27=0,0,ROUND(SomaAgrupBM,15-13*ORÇAMENTO!$AF$11)))</f>
        <v>0</v>
      </c>
      <c r="Q27" s="380"/>
      <c r="R27" s="381"/>
      <c r="T27" s="119" t="str">
        <f t="shared" ca="1" si="12"/>
        <v/>
      </c>
      <c r="U27" s="172" t="str">
        <f t="shared" ca="1" si="13"/>
        <v/>
      </c>
      <c r="V27" s="173" t="str">
        <f ca="1">IF(AND($W27&gt;0,RegimeExecucao="Unitário"),$F27,"")</f>
        <v/>
      </c>
      <c r="W27" s="525">
        <f ca="1">IF($Y27&gt;0,CHOOSE(MATCH(RegimeExecucao,{"Unitário","Global"},0),IF($A27="S",$Y27/$X27,""),($Y27/$X27)*100),0)</f>
        <v>0</v>
      </c>
      <c r="X27" s="382" t="str">
        <f ca="1">IF($Y27&gt;0,CHOOSE(MATCH(RegimeExecucao,{"Unitário","Global"},0),IF($A27="S",ROUND($H27,ORÇAMENTO!$AF$10),""),ROUND($I27,ORÇAMENTO!$AF$11)),"")</f>
        <v/>
      </c>
      <c r="Y27" s="382">
        <f t="shared" ca="1" si="14"/>
        <v>0</v>
      </c>
      <c r="Z27" s="549"/>
      <c r="AB27" s="380"/>
      <c r="AC27" s="503"/>
      <c r="AD27" s="503"/>
      <c r="AE27" s="503"/>
      <c r="AF27" s="503"/>
      <c r="AG27" s="503"/>
      <c r="AH27" s="503"/>
      <c r="AI27" s="503"/>
      <c r="AJ27" s="503"/>
      <c r="AK27" s="503"/>
      <c r="AL27" s="503"/>
      <c r="AM27" s="381"/>
      <c r="AO27">
        <f ca="1">IF($A27="S",IF(BM!$I27=0,0,CHOOSE(MATCH(RegimeExecucao,{"Global","Unitário"},0),ROUND(ROUND(BM.MEDAcumulado,15-13*BM!$A$9)/100*BM!$I27,15-13*ORÇAMENTO!$AF$11),ROUND(ROUND(BM.MEDAcumulado,15-13*BM!$A$9)*ROUND(BM!$H27,15-13*ORÇAMENTO!$AF$10),15-13*ORÇAMENTO!$AF$11))),IF($A27=0,0,ROUND(SomaAgrupBM,15-13*ORÇAMENTO!$AF$11)))</f>
        <v>0</v>
      </c>
    </row>
    <row r="28" spans="1:41" ht="51" x14ac:dyDescent="0.2">
      <c r="A28" t="str">
        <f ca="1">ORÇAMENTO!C28</f>
        <v>S</v>
      </c>
      <c r="B28">
        <f ca="1">ORÇAMENTO!D28</f>
        <v>0</v>
      </c>
      <c r="C28" s="116" t="str">
        <f t="shared" ca="1" si="8"/>
        <v/>
      </c>
      <c r="D28" s="119" t="str">
        <f ca="1">ORÇAMENTO!O28</f>
        <v>-</v>
      </c>
      <c r="E28" s="172" t="str">
        <f t="shared" ca="1" si="9"/>
        <v>(abra o arquivo 'Referência 05-Friday.xlsm)</v>
      </c>
      <c r="F28" s="173" t="str">
        <f ca="1">IF(RegimeExecucao="Global","",ORÇAMENTO.Unidade)</f>
        <v/>
      </c>
      <c r="G28" s="124" t="str">
        <f ca="1">IF(RegimeExecucao="Global","",ORÇAMENTO!T28)</f>
        <v/>
      </c>
      <c r="H28" s="124" t="str">
        <f ca="1">IF(RegimeExecucao="Global","",ORÇAMENTO!W28)</f>
        <v/>
      </c>
      <c r="I28" s="127">
        <f ca="1">ORÇAMENTO!X28</f>
        <v>0</v>
      </c>
      <c r="J28" s="376">
        <f ca="1">IF($A28="S",IF(CAIXA.Modo,BM.AFAnterior,BM.MEDAnterior),IF(AND(RegimeExecucao="Global",$I28&gt;0,COUNTIF($AB$13:$AM$13,BM.medicao-1)&gt;0),M28/$I28*100,0))</f>
        <v>0</v>
      </c>
      <c r="K28" s="124">
        <f t="shared" ca="1" si="10"/>
        <v>0</v>
      </c>
      <c r="L28" s="377">
        <f ca="1">IF($A28="S",IF(CAIXA.Modo,BM.AFAcumulado,BM.MEDAcumulado),IF(AND(RegimeExecucao="Global",$I28&gt;0,COUNTIF($AB$13:$AM$13,BM.medicao)&gt;0),O28/$I28*100,0))</f>
        <v>0</v>
      </c>
      <c r="M28" s="378">
        <f ca="1">IF($A28="S",VTOTALBM,IF($A28=0,0,ROUND(SomaAgrupBM,15-13*ORÇAMENTO!$AF$11)))</f>
        <v>0</v>
      </c>
      <c r="N28" s="379">
        <f t="shared" ca="1" si="11"/>
        <v>0</v>
      </c>
      <c r="O28" s="127">
        <f ca="1">IF($A28="S",VTOTALBM,IF($A28=0,0,ROUND(SomaAgrupBM,15-13*ORÇAMENTO!$AF$11)))</f>
        <v>0</v>
      </c>
      <c r="Q28" s="380"/>
      <c r="R28" s="381"/>
      <c r="T28" s="119" t="str">
        <f t="shared" ca="1" si="12"/>
        <v/>
      </c>
      <c r="U28" s="172" t="str">
        <f t="shared" ca="1" si="13"/>
        <v/>
      </c>
      <c r="V28" s="173" t="str">
        <f ca="1">IF(AND($W28&gt;0,RegimeExecucao="Unitário"),$F28,"")</f>
        <v/>
      </c>
      <c r="W28" s="525">
        <f ca="1">IF($Y28&gt;0,CHOOSE(MATCH(RegimeExecucao,{"Unitário","Global"},0),IF($A28="S",$Y28/$X28,""),($Y28/$X28)*100),0)</f>
        <v>0</v>
      </c>
      <c r="X28" s="382" t="str">
        <f ca="1">IF($Y28&gt;0,CHOOSE(MATCH(RegimeExecucao,{"Unitário","Global"},0),IF($A28="S",ROUND($H28,ORÇAMENTO!$AF$10),""),ROUND($I28,ORÇAMENTO!$AF$11)),"")</f>
        <v/>
      </c>
      <c r="Y28" s="382">
        <f t="shared" ca="1" si="14"/>
        <v>0</v>
      </c>
      <c r="Z28" s="549"/>
      <c r="AB28" s="380"/>
      <c r="AC28" s="503"/>
      <c r="AD28" s="503"/>
      <c r="AE28" s="503"/>
      <c r="AF28" s="503"/>
      <c r="AG28" s="503"/>
      <c r="AH28" s="503"/>
      <c r="AI28" s="503"/>
      <c r="AJ28" s="503"/>
      <c r="AK28" s="503"/>
      <c r="AL28" s="503"/>
      <c r="AM28" s="381"/>
      <c r="AO28">
        <f ca="1">IF($A28="S",IF(BM!$I28=0,0,CHOOSE(MATCH(RegimeExecucao,{"Global","Unitário"},0),ROUND(ROUND(BM.MEDAcumulado,15-13*BM!$A$9)/100*BM!$I28,15-13*ORÇAMENTO!$AF$11),ROUND(ROUND(BM.MEDAcumulado,15-13*BM!$A$9)*ROUND(BM!$H28,15-13*ORÇAMENTO!$AF$10),15-13*ORÇAMENTO!$AF$11))),IF($A28=0,0,ROUND(SomaAgrupBM,15-13*ORÇAMENTO!$AF$11)))</f>
        <v>0</v>
      </c>
    </row>
    <row r="29" spans="1:41" ht="38.25" x14ac:dyDescent="0.2">
      <c r="A29" t="str">
        <f ca="1">ORÇAMENTO!C29</f>
        <v>S</v>
      </c>
      <c r="B29">
        <f ca="1">ORÇAMENTO!D29</f>
        <v>0</v>
      </c>
      <c r="C29" s="116" t="str">
        <f t="shared" ca="1" si="8"/>
        <v/>
      </c>
      <c r="D29" s="119" t="str">
        <f ca="1">ORÇAMENTO!O29</f>
        <v>-</v>
      </c>
      <c r="E29" s="172" t="str">
        <f t="shared" ca="1" si="9"/>
        <v>(abra o arquivo 'Referência 05-Friday.xlsm)</v>
      </c>
      <c r="F29" s="173" t="str">
        <f ca="1">IF(RegimeExecucao="Global","",ORÇAMENTO.Unidade)</f>
        <v/>
      </c>
      <c r="G29" s="124" t="str">
        <f ca="1">IF(RegimeExecucao="Global","",ORÇAMENTO!T29)</f>
        <v/>
      </c>
      <c r="H29" s="124" t="str">
        <f ca="1">IF(RegimeExecucao="Global","",ORÇAMENTO!W29)</f>
        <v/>
      </c>
      <c r="I29" s="127">
        <f ca="1">ORÇAMENTO!X29</f>
        <v>0</v>
      </c>
      <c r="J29" s="376">
        <f ca="1">IF($A29="S",IF(CAIXA.Modo,BM.AFAnterior,BM.MEDAnterior),IF(AND(RegimeExecucao="Global",$I29&gt;0,COUNTIF($AB$13:$AM$13,BM.medicao-1)&gt;0),M29/$I29*100,0))</f>
        <v>0</v>
      </c>
      <c r="K29" s="124">
        <f t="shared" ca="1" si="10"/>
        <v>0</v>
      </c>
      <c r="L29" s="377">
        <f ca="1">IF($A29="S",IF(CAIXA.Modo,BM.AFAcumulado,BM.MEDAcumulado),IF(AND(RegimeExecucao="Global",$I29&gt;0,COUNTIF($AB$13:$AM$13,BM.medicao)&gt;0),O29/$I29*100,0))</f>
        <v>0</v>
      </c>
      <c r="M29" s="378">
        <f ca="1">IF($A29="S",VTOTALBM,IF($A29=0,0,ROUND(SomaAgrupBM,15-13*ORÇAMENTO!$AF$11)))</f>
        <v>0</v>
      </c>
      <c r="N29" s="379">
        <f t="shared" ca="1" si="11"/>
        <v>0</v>
      </c>
      <c r="O29" s="127">
        <f ca="1">IF($A29="S",VTOTALBM,IF($A29=0,0,ROUND(SomaAgrupBM,15-13*ORÇAMENTO!$AF$11)))</f>
        <v>0</v>
      </c>
      <c r="Q29" s="380"/>
      <c r="R29" s="381"/>
      <c r="T29" s="119" t="str">
        <f t="shared" ca="1" si="12"/>
        <v/>
      </c>
      <c r="U29" s="172" t="str">
        <f t="shared" ca="1" si="13"/>
        <v/>
      </c>
      <c r="V29" s="173" t="str">
        <f ca="1">IF(AND($W29&gt;0,RegimeExecucao="Unitário"),$F29,"")</f>
        <v/>
      </c>
      <c r="W29" s="525">
        <f ca="1">IF($Y29&gt;0,CHOOSE(MATCH(RegimeExecucao,{"Unitário","Global"},0),IF($A29="S",$Y29/$X29,""),($Y29/$X29)*100),0)</f>
        <v>0</v>
      </c>
      <c r="X29" s="382" t="str">
        <f ca="1">IF($Y29&gt;0,CHOOSE(MATCH(RegimeExecucao,{"Unitário","Global"},0),IF($A29="S",ROUND($H29,ORÇAMENTO!$AF$10),""),ROUND($I29,ORÇAMENTO!$AF$11)),"")</f>
        <v/>
      </c>
      <c r="Y29" s="382">
        <f t="shared" ca="1" si="14"/>
        <v>0</v>
      </c>
      <c r="Z29" s="549"/>
      <c r="AB29" s="380"/>
      <c r="AC29" s="503"/>
      <c r="AD29" s="503"/>
      <c r="AE29" s="503"/>
      <c r="AF29" s="503"/>
      <c r="AG29" s="503"/>
      <c r="AH29" s="503"/>
      <c r="AI29" s="503"/>
      <c r="AJ29" s="503"/>
      <c r="AK29" s="503"/>
      <c r="AL29" s="503"/>
      <c r="AM29" s="381"/>
      <c r="AO29">
        <f ca="1">IF($A29="S",IF(BM!$I29=0,0,CHOOSE(MATCH(RegimeExecucao,{"Global","Unitário"},0),ROUND(ROUND(BM.MEDAcumulado,15-13*BM!$A$9)/100*BM!$I29,15-13*ORÇAMENTO!$AF$11),ROUND(ROUND(BM.MEDAcumulado,15-13*BM!$A$9)*ROUND(BM!$H29,15-13*ORÇAMENTO!$AF$10),15-13*ORÇAMENTO!$AF$11))),IF($A29=0,0,ROUND(SomaAgrupBM,15-13*ORÇAMENTO!$AF$11)))</f>
        <v>0</v>
      </c>
    </row>
    <row r="30" spans="1:41" ht="38.25" x14ac:dyDescent="0.2">
      <c r="A30" t="str">
        <f ca="1">ORÇAMENTO!C30</f>
        <v>S</v>
      </c>
      <c r="B30">
        <f ca="1">ORÇAMENTO!D30</f>
        <v>0</v>
      </c>
      <c r="C30" s="116" t="str">
        <f t="shared" ca="1" si="8"/>
        <v/>
      </c>
      <c r="D30" s="119" t="str">
        <f ca="1">ORÇAMENTO!O30</f>
        <v>-</v>
      </c>
      <c r="E30" s="172" t="str">
        <f t="shared" ca="1" si="9"/>
        <v>(abra o arquivo 'Referência 05-Friday.xlsm)</v>
      </c>
      <c r="F30" s="173" t="str">
        <f ca="1">IF(RegimeExecucao="Global","",ORÇAMENTO.Unidade)</f>
        <v/>
      </c>
      <c r="G30" s="124" t="str">
        <f ca="1">IF(RegimeExecucao="Global","",ORÇAMENTO!T30)</f>
        <v/>
      </c>
      <c r="H30" s="124" t="str">
        <f ca="1">IF(RegimeExecucao="Global","",ORÇAMENTO!W30)</f>
        <v/>
      </c>
      <c r="I30" s="127">
        <f ca="1">ORÇAMENTO!X30</f>
        <v>0</v>
      </c>
      <c r="J30" s="376">
        <f ca="1">IF($A30="S",IF(CAIXA.Modo,BM.AFAnterior,BM.MEDAnterior),IF(AND(RegimeExecucao="Global",$I30&gt;0,COUNTIF($AB$13:$AM$13,BM.medicao-1)&gt;0),M30/$I30*100,0))</f>
        <v>0</v>
      </c>
      <c r="K30" s="124">
        <f t="shared" ca="1" si="10"/>
        <v>0</v>
      </c>
      <c r="L30" s="377">
        <f ca="1">IF($A30="S",IF(CAIXA.Modo,BM.AFAcumulado,BM.MEDAcumulado),IF(AND(RegimeExecucao="Global",$I30&gt;0,COUNTIF($AB$13:$AM$13,BM.medicao)&gt;0),O30/$I30*100,0))</f>
        <v>0</v>
      </c>
      <c r="M30" s="378">
        <f ca="1">IF($A30="S",VTOTALBM,IF($A30=0,0,ROUND(SomaAgrupBM,15-13*ORÇAMENTO!$AF$11)))</f>
        <v>0</v>
      </c>
      <c r="N30" s="379">
        <f t="shared" ca="1" si="11"/>
        <v>0</v>
      </c>
      <c r="O30" s="127">
        <f ca="1">IF($A30="S",VTOTALBM,IF($A30=0,0,ROUND(SomaAgrupBM,15-13*ORÇAMENTO!$AF$11)))</f>
        <v>0</v>
      </c>
      <c r="Q30" s="380"/>
      <c r="R30" s="381"/>
      <c r="T30" s="119" t="str">
        <f t="shared" ca="1" si="12"/>
        <v/>
      </c>
      <c r="U30" s="172" t="str">
        <f t="shared" ca="1" si="13"/>
        <v/>
      </c>
      <c r="V30" s="173" t="str">
        <f ca="1">IF(AND($W30&gt;0,RegimeExecucao="Unitário"),$F30,"")</f>
        <v/>
      </c>
      <c r="W30" s="525">
        <f ca="1">IF($Y30&gt;0,CHOOSE(MATCH(RegimeExecucao,{"Unitário","Global"},0),IF($A30="S",$Y30/$X30,""),($Y30/$X30)*100),0)</f>
        <v>0</v>
      </c>
      <c r="X30" s="382" t="str">
        <f ca="1">IF($Y30&gt;0,CHOOSE(MATCH(RegimeExecucao,{"Unitário","Global"},0),IF($A30="S",ROUND($H30,ORÇAMENTO!$AF$10),""),ROUND($I30,ORÇAMENTO!$AF$11)),"")</f>
        <v/>
      </c>
      <c r="Y30" s="382">
        <f t="shared" ca="1" si="14"/>
        <v>0</v>
      </c>
      <c r="Z30" s="549"/>
      <c r="AB30" s="380"/>
      <c r="AC30" s="503"/>
      <c r="AD30" s="503"/>
      <c r="AE30" s="503"/>
      <c r="AF30" s="503"/>
      <c r="AG30" s="503"/>
      <c r="AH30" s="503"/>
      <c r="AI30" s="503"/>
      <c r="AJ30" s="503"/>
      <c r="AK30" s="503"/>
      <c r="AL30" s="503"/>
      <c r="AM30" s="381"/>
      <c r="AO30">
        <f ca="1">IF($A30="S",IF(BM!$I30=0,0,CHOOSE(MATCH(RegimeExecucao,{"Global","Unitário"},0),ROUND(ROUND(BM.MEDAcumulado,15-13*BM!$A$9)/100*BM!$I30,15-13*ORÇAMENTO!$AF$11),ROUND(ROUND(BM.MEDAcumulado,15-13*BM!$A$9)*ROUND(BM!$H30,15-13*ORÇAMENTO!$AF$10),15-13*ORÇAMENTO!$AF$11))),IF($A30=0,0,ROUND(SomaAgrupBM,15-13*ORÇAMENTO!$AF$11)))</f>
        <v>0</v>
      </c>
    </row>
    <row r="31" spans="1:41" ht="25.5" x14ac:dyDescent="0.2">
      <c r="A31" t="str">
        <f ca="1">ORÇAMENTO!C31</f>
        <v>S</v>
      </c>
      <c r="B31">
        <f ca="1">ORÇAMENTO!D31</f>
        <v>0</v>
      </c>
      <c r="C31" s="116" t="str">
        <f t="shared" ca="1" si="8"/>
        <v/>
      </c>
      <c r="D31" s="119" t="str">
        <f ca="1">ORÇAMENTO!O31</f>
        <v>-</v>
      </c>
      <c r="E31" s="172" t="str">
        <f t="shared" ca="1" si="9"/>
        <v>(abra o arquivo 'Referência 05-Friday.xlsm)</v>
      </c>
      <c r="F31" s="173" t="str">
        <f ca="1">IF(RegimeExecucao="Global","",ORÇAMENTO.Unidade)</f>
        <v/>
      </c>
      <c r="G31" s="124" t="str">
        <f ca="1">IF(RegimeExecucao="Global","",ORÇAMENTO!T31)</f>
        <v/>
      </c>
      <c r="H31" s="124" t="str">
        <f ca="1">IF(RegimeExecucao="Global","",ORÇAMENTO!W31)</f>
        <v/>
      </c>
      <c r="I31" s="127">
        <f ca="1">ORÇAMENTO!X31</f>
        <v>0</v>
      </c>
      <c r="J31" s="376">
        <f ca="1">IF($A31="S",IF(CAIXA.Modo,BM.AFAnterior,BM.MEDAnterior),IF(AND(RegimeExecucao="Global",$I31&gt;0,COUNTIF($AB$13:$AM$13,BM.medicao-1)&gt;0),M31/$I31*100,0))</f>
        <v>0</v>
      </c>
      <c r="K31" s="124">
        <f t="shared" ca="1" si="10"/>
        <v>0</v>
      </c>
      <c r="L31" s="377">
        <f ca="1">IF($A31="S",IF(CAIXA.Modo,BM.AFAcumulado,BM.MEDAcumulado),IF(AND(RegimeExecucao="Global",$I31&gt;0,COUNTIF($AB$13:$AM$13,BM.medicao)&gt;0),O31/$I31*100,0))</f>
        <v>0</v>
      </c>
      <c r="M31" s="378">
        <f ca="1">IF($A31="S",VTOTALBM,IF($A31=0,0,ROUND(SomaAgrupBM,15-13*ORÇAMENTO!$AF$11)))</f>
        <v>0</v>
      </c>
      <c r="N31" s="379">
        <f t="shared" ca="1" si="11"/>
        <v>0</v>
      </c>
      <c r="O31" s="127">
        <f ca="1">IF($A31="S",VTOTALBM,IF($A31=0,0,ROUND(SomaAgrupBM,15-13*ORÇAMENTO!$AF$11)))</f>
        <v>0</v>
      </c>
      <c r="Q31" s="380"/>
      <c r="R31" s="381"/>
      <c r="T31" s="119" t="str">
        <f t="shared" ca="1" si="12"/>
        <v/>
      </c>
      <c r="U31" s="172" t="str">
        <f t="shared" ca="1" si="13"/>
        <v/>
      </c>
      <c r="V31" s="173" t="str">
        <f ca="1">IF(AND($W31&gt;0,RegimeExecucao="Unitário"),$F31,"")</f>
        <v/>
      </c>
      <c r="W31" s="525">
        <f ca="1">IF($Y31&gt;0,CHOOSE(MATCH(RegimeExecucao,{"Unitário","Global"},0),IF($A31="S",$Y31/$X31,""),($Y31/$X31)*100),0)</f>
        <v>0</v>
      </c>
      <c r="X31" s="382" t="str">
        <f ca="1">IF($Y31&gt;0,CHOOSE(MATCH(RegimeExecucao,{"Unitário","Global"},0),IF($A31="S",ROUND($H31,ORÇAMENTO!$AF$10),""),ROUND($I31,ORÇAMENTO!$AF$11)),"")</f>
        <v/>
      </c>
      <c r="Y31" s="382">
        <f t="shared" ca="1" si="14"/>
        <v>0</v>
      </c>
      <c r="Z31" s="549"/>
      <c r="AB31" s="380"/>
      <c r="AC31" s="503"/>
      <c r="AD31" s="503"/>
      <c r="AE31" s="503"/>
      <c r="AF31" s="503"/>
      <c r="AG31" s="503"/>
      <c r="AH31" s="503"/>
      <c r="AI31" s="503"/>
      <c r="AJ31" s="503"/>
      <c r="AK31" s="503"/>
      <c r="AL31" s="503"/>
      <c r="AM31" s="381"/>
      <c r="AO31">
        <f ca="1">IF($A31="S",IF(BM!$I31=0,0,CHOOSE(MATCH(RegimeExecucao,{"Global","Unitário"},0),ROUND(ROUND(BM.MEDAcumulado,15-13*BM!$A$9)/100*BM!$I31,15-13*ORÇAMENTO!$AF$11),ROUND(ROUND(BM.MEDAcumulado,15-13*BM!$A$9)*ROUND(BM!$H31,15-13*ORÇAMENTO!$AF$10),15-13*ORÇAMENTO!$AF$11))),IF($A31=0,0,ROUND(SomaAgrupBM,15-13*ORÇAMENTO!$AF$11)))</f>
        <v>0</v>
      </c>
    </row>
    <row r="32" spans="1:41" ht="63.75" x14ac:dyDescent="0.2">
      <c r="A32" t="str">
        <f ca="1">ORÇAMENTO!C32</f>
        <v>S</v>
      </c>
      <c r="B32">
        <f ca="1">ORÇAMENTO!D32</f>
        <v>0</v>
      </c>
      <c r="C32" s="116" t="str">
        <f t="shared" ca="1" si="8"/>
        <v/>
      </c>
      <c r="D32" s="119" t="str">
        <f ca="1">ORÇAMENTO!O32</f>
        <v>-</v>
      </c>
      <c r="E32" s="172" t="str">
        <f t="shared" ca="1" si="9"/>
        <v>(abra o arquivo 'Referência 05-Friday.xlsm)</v>
      </c>
      <c r="F32" s="173" t="str">
        <f ca="1">IF(RegimeExecucao="Global","",ORÇAMENTO.Unidade)</f>
        <v/>
      </c>
      <c r="G32" s="124" t="str">
        <f ca="1">IF(RegimeExecucao="Global","",ORÇAMENTO!T32)</f>
        <v/>
      </c>
      <c r="H32" s="124" t="str">
        <f ca="1">IF(RegimeExecucao="Global","",ORÇAMENTO!W32)</f>
        <v/>
      </c>
      <c r="I32" s="127">
        <f ca="1">ORÇAMENTO!X32</f>
        <v>0</v>
      </c>
      <c r="J32" s="376">
        <f ca="1">IF($A32="S",IF(CAIXA.Modo,BM.AFAnterior,BM.MEDAnterior),IF(AND(RegimeExecucao="Global",$I32&gt;0,COUNTIF($AB$13:$AM$13,BM.medicao-1)&gt;0),M32/$I32*100,0))</f>
        <v>0</v>
      </c>
      <c r="K32" s="124">
        <f t="shared" ca="1" si="10"/>
        <v>0</v>
      </c>
      <c r="L32" s="377">
        <f ca="1">IF($A32="S",IF(CAIXA.Modo,BM.AFAcumulado,BM.MEDAcumulado),IF(AND(RegimeExecucao="Global",$I32&gt;0,COUNTIF($AB$13:$AM$13,BM.medicao)&gt;0),O32/$I32*100,0))</f>
        <v>0</v>
      </c>
      <c r="M32" s="378">
        <f ca="1">IF($A32="S",VTOTALBM,IF($A32=0,0,ROUND(SomaAgrupBM,15-13*ORÇAMENTO!$AF$11)))</f>
        <v>0</v>
      </c>
      <c r="N32" s="379">
        <f t="shared" ca="1" si="11"/>
        <v>0</v>
      </c>
      <c r="O32" s="127">
        <f ca="1">IF($A32="S",VTOTALBM,IF($A32=0,0,ROUND(SomaAgrupBM,15-13*ORÇAMENTO!$AF$11)))</f>
        <v>0</v>
      </c>
      <c r="Q32" s="380"/>
      <c r="R32" s="381"/>
      <c r="T32" s="119" t="str">
        <f t="shared" ca="1" si="12"/>
        <v/>
      </c>
      <c r="U32" s="172" t="str">
        <f t="shared" ca="1" si="13"/>
        <v/>
      </c>
      <c r="V32" s="173" t="str">
        <f ca="1">IF(AND($W32&gt;0,RegimeExecucao="Unitário"),$F32,"")</f>
        <v/>
      </c>
      <c r="W32" s="525">
        <f ca="1">IF($Y32&gt;0,CHOOSE(MATCH(RegimeExecucao,{"Unitário","Global"},0),IF($A32="S",$Y32/$X32,""),($Y32/$X32)*100),0)</f>
        <v>0</v>
      </c>
      <c r="X32" s="382" t="str">
        <f ca="1">IF($Y32&gt;0,CHOOSE(MATCH(RegimeExecucao,{"Unitário","Global"},0),IF($A32="S",ROUND($H32,ORÇAMENTO!$AF$10),""),ROUND($I32,ORÇAMENTO!$AF$11)),"")</f>
        <v/>
      </c>
      <c r="Y32" s="382">
        <f t="shared" ca="1" si="14"/>
        <v>0</v>
      </c>
      <c r="Z32" s="549"/>
      <c r="AB32" s="380"/>
      <c r="AC32" s="503"/>
      <c r="AD32" s="503"/>
      <c r="AE32" s="503"/>
      <c r="AF32" s="503"/>
      <c r="AG32" s="503"/>
      <c r="AH32" s="503"/>
      <c r="AI32" s="503"/>
      <c r="AJ32" s="503"/>
      <c r="AK32" s="503"/>
      <c r="AL32" s="503"/>
      <c r="AM32" s="381"/>
      <c r="AO32">
        <f ca="1">IF($A32="S",IF(BM!$I32=0,0,CHOOSE(MATCH(RegimeExecucao,{"Global","Unitário"},0),ROUND(ROUND(BM.MEDAcumulado,15-13*BM!$A$9)/100*BM!$I32,15-13*ORÇAMENTO!$AF$11),ROUND(ROUND(BM.MEDAcumulado,15-13*BM!$A$9)*ROUND(BM!$H32,15-13*ORÇAMENTO!$AF$10),15-13*ORÇAMENTO!$AF$11))),IF($A32=0,0,ROUND(SomaAgrupBM,15-13*ORÇAMENTO!$AF$11)))</f>
        <v>0</v>
      </c>
    </row>
    <row r="33" spans="1:41" x14ac:dyDescent="0.2">
      <c r="A33">
        <f ca="1">ORÇAMENTO!C33</f>
        <v>2</v>
      </c>
      <c r="B33">
        <f ca="1">ORÇAMENTO!D33</f>
        <v>10</v>
      </c>
      <c r="C33" s="116" t="str">
        <f t="shared" ca="1" si="8"/>
        <v>F</v>
      </c>
      <c r="D33" s="119" t="str">
        <f ca="1">ORÇAMENTO!O33</f>
        <v>1.3.</v>
      </c>
      <c r="E33" s="172" t="str">
        <f t="shared" si="9"/>
        <v>PAVIMENTAÇÃO ASFÁLTICA</v>
      </c>
      <c r="F33" s="173" t="str">
        <f ca="1">IF(RegimeExecucao="Global","",ORÇAMENTO.Unidade)</f>
        <v/>
      </c>
      <c r="G33" s="124" t="str">
        <f ca="1">IF(RegimeExecucao="Global","",ORÇAMENTO!T33)</f>
        <v/>
      </c>
      <c r="H33" s="124" t="str">
        <f ca="1">IF(RegimeExecucao="Global","",ORÇAMENTO!W33)</f>
        <v/>
      </c>
      <c r="I33" s="127">
        <f ca="1">ORÇAMENTO!X33</f>
        <v>0</v>
      </c>
      <c r="J33" s="376">
        <f ca="1">IF($A33="S",IF(CAIXA.Modo,BM.AFAnterior,BM.MEDAnterior),IF(AND(RegimeExecucao="Global",$I33&gt;0,COUNTIF($AB$13:$AM$13,BM.medicao-1)&gt;0),M33/$I33*100,0))</f>
        <v>0</v>
      </c>
      <c r="K33" s="124">
        <f t="shared" ca="1" si="10"/>
        <v>0</v>
      </c>
      <c r="L33" s="377">
        <f ca="1">IF($A33="S",IF(CAIXA.Modo,BM.AFAcumulado,BM.MEDAcumulado),IF(AND(RegimeExecucao="Global",$I33&gt;0,COUNTIF($AB$13:$AM$13,BM.medicao)&gt;0),O33/$I33*100,0))</f>
        <v>0</v>
      </c>
      <c r="M33" s="378">
        <f ca="1">IF($A33="S",VTOTALBM,IF($A33=0,0,ROUND(SomaAgrupBM,15-13*ORÇAMENTO!$AF$11)))</f>
        <v>0</v>
      </c>
      <c r="N33" s="379">
        <f t="shared" ca="1" si="11"/>
        <v>0</v>
      </c>
      <c r="O33" s="127">
        <f ca="1">IF($A33="S",VTOTALBM,IF($A33=0,0,ROUND(SomaAgrupBM,15-13*ORÇAMENTO!$AF$11)))</f>
        <v>0</v>
      </c>
      <c r="Q33" s="380"/>
      <c r="R33" s="381"/>
      <c r="T33" s="119" t="str">
        <f t="shared" ca="1" si="12"/>
        <v/>
      </c>
      <c r="U33" s="172" t="str">
        <f t="shared" ca="1" si="13"/>
        <v/>
      </c>
      <c r="V33" s="173" t="str">
        <f ca="1">IF(AND($W33&gt;0,RegimeExecucao="Unitário"),$F33,"")</f>
        <v/>
      </c>
      <c r="W33" s="525">
        <f ca="1">IF($Y33&gt;0,CHOOSE(MATCH(RegimeExecucao,{"Unitário","Global"},0),IF($A33="S",$Y33/$X33,""),($Y33/$X33)*100),0)</f>
        <v>0</v>
      </c>
      <c r="X33" s="382" t="str">
        <f ca="1">IF($Y33&gt;0,CHOOSE(MATCH(RegimeExecucao,{"Unitário","Global"},0),IF($A33="S",ROUND($H33,ORÇAMENTO!$AF$10),""),ROUND($I33,ORÇAMENTO!$AF$11)),"")</f>
        <v/>
      </c>
      <c r="Y33" s="382">
        <f t="shared" ca="1" si="14"/>
        <v>0</v>
      </c>
      <c r="Z33" s="549"/>
      <c r="AB33" s="380"/>
      <c r="AC33" s="503"/>
      <c r="AD33" s="503"/>
      <c r="AE33" s="503"/>
      <c r="AF33" s="503"/>
      <c r="AG33" s="503"/>
      <c r="AH33" s="503"/>
      <c r="AI33" s="503"/>
      <c r="AJ33" s="503"/>
      <c r="AK33" s="503"/>
      <c r="AL33" s="503"/>
      <c r="AM33" s="381"/>
      <c r="AO33">
        <f ca="1">IF($A33="S",IF(BM!$I33=0,0,CHOOSE(MATCH(RegimeExecucao,{"Global","Unitário"},0),ROUND(ROUND(BM.MEDAcumulado,15-13*BM!$A$9)/100*BM!$I33,15-13*ORÇAMENTO!$AF$11),ROUND(ROUND(BM.MEDAcumulado,15-13*BM!$A$9)*ROUND(BM!$H33,15-13*ORÇAMENTO!$AF$10),15-13*ORÇAMENTO!$AF$11))),IF($A33=0,0,ROUND(SomaAgrupBM,15-13*ORÇAMENTO!$AF$11)))</f>
        <v>0</v>
      </c>
    </row>
    <row r="34" spans="1:41" ht="51" x14ac:dyDescent="0.2">
      <c r="A34" t="str">
        <f ca="1">ORÇAMENTO!C34</f>
        <v>S</v>
      </c>
      <c r="B34">
        <f ca="1">ORÇAMENTO!D34</f>
        <v>0</v>
      </c>
      <c r="C34" s="116" t="str">
        <f t="shared" ca="1" si="8"/>
        <v/>
      </c>
      <c r="D34" s="119" t="str">
        <f ca="1">ORÇAMENTO!O34</f>
        <v>-</v>
      </c>
      <c r="E34" s="172" t="str">
        <f t="shared" ca="1" si="9"/>
        <v>(abra o arquivo 'Referência 05-Friday.xlsm)</v>
      </c>
      <c r="F34" s="173" t="str">
        <f ca="1">IF(RegimeExecucao="Global","",ORÇAMENTO.Unidade)</f>
        <v/>
      </c>
      <c r="G34" s="124" t="str">
        <f ca="1">IF(RegimeExecucao="Global","",ORÇAMENTO!T34)</f>
        <v/>
      </c>
      <c r="H34" s="124" t="str">
        <f ca="1">IF(RegimeExecucao="Global","",ORÇAMENTO!W34)</f>
        <v/>
      </c>
      <c r="I34" s="127">
        <f ca="1">ORÇAMENTO!X34</f>
        <v>0</v>
      </c>
      <c r="J34" s="376">
        <f ca="1">IF($A34="S",IF(CAIXA.Modo,BM.AFAnterior,BM.MEDAnterior),IF(AND(RegimeExecucao="Global",$I34&gt;0,COUNTIF($AB$13:$AM$13,BM.medicao-1)&gt;0),M34/$I34*100,0))</f>
        <v>0</v>
      </c>
      <c r="K34" s="124">
        <f t="shared" ca="1" si="10"/>
        <v>0</v>
      </c>
      <c r="L34" s="377">
        <f ca="1">IF($A34="S",IF(CAIXA.Modo,BM.AFAcumulado,BM.MEDAcumulado),IF(AND(RegimeExecucao="Global",$I34&gt;0,COUNTIF($AB$13:$AM$13,BM.medicao)&gt;0),O34/$I34*100,0))</f>
        <v>0</v>
      </c>
      <c r="M34" s="378">
        <f ca="1">IF($A34="S",VTOTALBM,IF($A34=0,0,ROUND(SomaAgrupBM,15-13*ORÇAMENTO!$AF$11)))</f>
        <v>0</v>
      </c>
      <c r="N34" s="379">
        <f t="shared" ca="1" si="11"/>
        <v>0</v>
      </c>
      <c r="O34" s="127">
        <f ca="1">IF($A34="S",VTOTALBM,IF($A34=0,0,ROUND(SomaAgrupBM,15-13*ORÇAMENTO!$AF$11)))</f>
        <v>0</v>
      </c>
      <c r="Q34" s="380"/>
      <c r="R34" s="381"/>
      <c r="T34" s="119" t="str">
        <f t="shared" ca="1" si="12"/>
        <v/>
      </c>
      <c r="U34" s="172" t="str">
        <f t="shared" ca="1" si="13"/>
        <v/>
      </c>
      <c r="V34" s="173" t="str">
        <f ca="1">IF(AND($W34&gt;0,RegimeExecucao="Unitário"),$F34,"")</f>
        <v/>
      </c>
      <c r="W34" s="525">
        <f ca="1">IF($Y34&gt;0,CHOOSE(MATCH(RegimeExecucao,{"Unitário","Global"},0),IF($A34="S",$Y34/$X34,""),($Y34/$X34)*100),0)</f>
        <v>0</v>
      </c>
      <c r="X34" s="382" t="str">
        <f ca="1">IF($Y34&gt;0,CHOOSE(MATCH(RegimeExecucao,{"Unitário","Global"},0),IF($A34="S",ROUND($H34,ORÇAMENTO!$AF$10),""),ROUND($I34,ORÇAMENTO!$AF$11)),"")</f>
        <v/>
      </c>
      <c r="Y34" s="382">
        <f t="shared" ca="1" si="14"/>
        <v>0</v>
      </c>
      <c r="Z34" s="549"/>
      <c r="AB34" s="380"/>
      <c r="AC34" s="503"/>
      <c r="AD34" s="503"/>
      <c r="AE34" s="503"/>
      <c r="AF34" s="503"/>
      <c r="AG34" s="503"/>
      <c r="AH34" s="503"/>
      <c r="AI34" s="503"/>
      <c r="AJ34" s="503"/>
      <c r="AK34" s="503"/>
      <c r="AL34" s="503"/>
      <c r="AM34" s="381"/>
      <c r="AO34">
        <f ca="1">IF($A34="S",IF(BM!$I34=0,0,CHOOSE(MATCH(RegimeExecucao,{"Global","Unitário"},0),ROUND(ROUND(BM.MEDAcumulado,15-13*BM!$A$9)/100*BM!$I34,15-13*ORÇAMENTO!$AF$11),ROUND(ROUND(BM.MEDAcumulado,15-13*BM!$A$9)*ROUND(BM!$H34,15-13*ORÇAMENTO!$AF$10),15-13*ORÇAMENTO!$AF$11))),IF($A34=0,0,ROUND(SomaAgrupBM,15-13*ORÇAMENTO!$AF$11)))</f>
        <v>0</v>
      </c>
    </row>
    <row r="35" spans="1:41" ht="51" x14ac:dyDescent="0.2">
      <c r="A35" t="str">
        <f ca="1">ORÇAMENTO!C35</f>
        <v>S</v>
      </c>
      <c r="B35">
        <f ca="1">ORÇAMENTO!D35</f>
        <v>0</v>
      </c>
      <c r="C35" s="116" t="str">
        <f ca="1">IF(OR($I35&gt;0,$A35=1,$A35=2,$A35=3,$A35=4),"F","")</f>
        <v/>
      </c>
      <c r="D35" s="119" t="str">
        <f ca="1">ORÇAMENTO!O35</f>
        <v>-</v>
      </c>
      <c r="E35" s="172" t="str">
        <f ca="1">ORÇAMENTO.Descricao</f>
        <v>(abra o arquivo 'Referência 05-Friday.xlsm)</v>
      </c>
      <c r="F35" s="173" t="str">
        <f ca="1">IF(RegimeExecucao="Global","",ORÇAMENTO.Unidade)</f>
        <v/>
      </c>
      <c r="G35" s="124" t="str">
        <f ca="1">IF(RegimeExecucao="Global","",ORÇAMENTO!T35)</f>
        <v/>
      </c>
      <c r="H35" s="124" t="str">
        <f ca="1">IF(RegimeExecucao="Global","",ORÇAMENTO!W35)</f>
        <v/>
      </c>
      <c r="I35" s="127">
        <f ca="1">ORÇAMENTO!X35</f>
        <v>0</v>
      </c>
      <c r="J35" s="376">
        <f ca="1">IF($A35="S",IF(CAIXA.Modo,BM.AFAnterior,BM.MEDAnterior),IF(AND(RegimeExecucao="Global",$I35&gt;0,COUNTIF($AB$13:$AM$13,BM.medicao-1)&gt;0),M35/$I35*100,0))</f>
        <v>0</v>
      </c>
      <c r="K35" s="124">
        <f ca="1">L35-J35</f>
        <v>0</v>
      </c>
      <c r="L35" s="377">
        <f ca="1">IF($A35="S",IF(CAIXA.Modo,BM.AFAcumulado,BM.MEDAcumulado),IF(AND(RegimeExecucao="Global",$I35&gt;0,COUNTIF($AB$13:$AM$13,BM.medicao)&gt;0),O35/$I35*100,0))</f>
        <v>0</v>
      </c>
      <c r="M35" s="378">
        <f ca="1">IF($A35="S",VTOTALBM,IF($A35=0,0,ROUND(SomaAgrupBM,15-13*ORÇAMENTO!$AF$11)))</f>
        <v>0</v>
      </c>
      <c r="N35" s="379">
        <f ca="1">O35-M35</f>
        <v>0</v>
      </c>
      <c r="O35" s="127">
        <f ca="1">IF($A35="S",VTOTALBM,IF($A35=0,0,ROUND(SomaAgrupBM,15-13*ORÇAMENTO!$AF$11)))</f>
        <v>0</v>
      </c>
      <c r="Q35" s="380"/>
      <c r="R35" s="381"/>
      <c r="T35" s="119" t="str">
        <f ca="1">IF($W35&gt;0,$D35,"")</f>
        <v/>
      </c>
      <c r="U35" s="172" t="str">
        <f ca="1">IF($W35&gt;0,$E35,"")</f>
        <v/>
      </c>
      <c r="V35" s="173" t="str">
        <f ca="1">IF(AND($W35&gt;0,RegimeExecucao="Unitário"),$F35,"")</f>
        <v/>
      </c>
      <c r="W35" s="525">
        <f ca="1">IF($Y35&gt;0,CHOOSE(MATCH(RegimeExecucao,{"Unitário","Global"},0),IF($A35="S",$Y35/$X35,""),($Y35/$X35)*100),0)</f>
        <v>0</v>
      </c>
      <c r="X35" s="382" t="str">
        <f ca="1">IF($Y35&gt;0,CHOOSE(MATCH(RegimeExecucao,{"Unitário","Global"},0),IF($A35="S",ROUND($H35,ORÇAMENTO!$AF$10),""),ROUND($I35,ORÇAMENTO!$AF$11)),"")</f>
        <v/>
      </c>
      <c r="Y35" s="382">
        <f ca="1">AO35-O35</f>
        <v>0</v>
      </c>
      <c r="Z35" s="549"/>
      <c r="AB35" s="380"/>
      <c r="AC35" s="503"/>
      <c r="AD35" s="503"/>
      <c r="AE35" s="503"/>
      <c r="AF35" s="503"/>
      <c r="AG35" s="503"/>
      <c r="AH35" s="503"/>
      <c r="AI35" s="503"/>
      <c r="AJ35" s="503"/>
      <c r="AK35" s="503"/>
      <c r="AL35" s="503"/>
      <c r="AM35" s="381"/>
      <c r="AO35">
        <f ca="1">IF($A35="S",IF(BM!$I35=0,0,CHOOSE(MATCH(RegimeExecucao,{"Global","Unitário"},0),ROUND(ROUND(BM.MEDAcumulado,15-13*BM!$A$9)/100*BM!$I35,15-13*ORÇAMENTO!$AF$11),ROUND(ROUND(BM.MEDAcumulado,15-13*BM!$A$9)*ROUND(BM!$H35,15-13*ORÇAMENTO!$AF$10),15-13*ORÇAMENTO!$AF$11))),IF($A35=0,0,ROUND(SomaAgrupBM,15-13*ORÇAMENTO!$AF$11)))</f>
        <v>0</v>
      </c>
    </row>
    <row r="36" spans="1:41" ht="38.25" x14ac:dyDescent="0.2">
      <c r="A36" t="str">
        <f ca="1">ORÇAMENTO!C36</f>
        <v>S</v>
      </c>
      <c r="B36">
        <f ca="1">ORÇAMENTO!D36</f>
        <v>0</v>
      </c>
      <c r="C36" s="116" t="str">
        <f t="shared" ca="1" si="8"/>
        <v/>
      </c>
      <c r="D36" s="119" t="str">
        <f ca="1">ORÇAMENTO!O36</f>
        <v>-</v>
      </c>
      <c r="E36" s="172" t="str">
        <f t="shared" ca="1" si="9"/>
        <v>(abra o arquivo 'Referência 05-Friday.xlsm)</v>
      </c>
      <c r="F36" s="173" t="str">
        <f ca="1">IF(RegimeExecucao="Global","",ORÇAMENTO.Unidade)</f>
        <v/>
      </c>
      <c r="G36" s="124" t="str">
        <f ca="1">IF(RegimeExecucao="Global","",ORÇAMENTO!T36)</f>
        <v/>
      </c>
      <c r="H36" s="124" t="str">
        <f ca="1">IF(RegimeExecucao="Global","",ORÇAMENTO!W36)</f>
        <v/>
      </c>
      <c r="I36" s="127">
        <f ca="1">ORÇAMENTO!X36</f>
        <v>0</v>
      </c>
      <c r="J36" s="376">
        <f ca="1">IF($A36="S",IF(CAIXA.Modo,BM.AFAnterior,BM.MEDAnterior),IF(AND(RegimeExecucao="Global",$I36&gt;0,COUNTIF($AB$13:$AM$13,BM.medicao-1)&gt;0),M36/$I36*100,0))</f>
        <v>0</v>
      </c>
      <c r="K36" s="124">
        <f t="shared" ca="1" si="10"/>
        <v>0</v>
      </c>
      <c r="L36" s="377">
        <f ca="1">IF($A36="S",IF(CAIXA.Modo,BM.AFAcumulado,BM.MEDAcumulado),IF(AND(RegimeExecucao="Global",$I36&gt;0,COUNTIF($AB$13:$AM$13,BM.medicao)&gt;0),O36/$I36*100,0))</f>
        <v>0</v>
      </c>
      <c r="M36" s="378">
        <f ca="1">IF($A36="S",VTOTALBM,IF($A36=0,0,ROUND(SomaAgrupBM,15-13*ORÇAMENTO!$AF$11)))</f>
        <v>0</v>
      </c>
      <c r="N36" s="379">
        <f t="shared" ca="1" si="11"/>
        <v>0</v>
      </c>
      <c r="O36" s="127">
        <f ca="1">IF($A36="S",VTOTALBM,IF($A36=0,0,ROUND(SomaAgrupBM,15-13*ORÇAMENTO!$AF$11)))</f>
        <v>0</v>
      </c>
      <c r="Q36" s="380"/>
      <c r="R36" s="381"/>
      <c r="T36" s="119" t="str">
        <f t="shared" ca="1" si="12"/>
        <v/>
      </c>
      <c r="U36" s="172" t="str">
        <f t="shared" ca="1" si="13"/>
        <v/>
      </c>
      <c r="V36" s="173" t="str">
        <f ca="1">IF(AND($W36&gt;0,RegimeExecucao="Unitário"),$F36,"")</f>
        <v/>
      </c>
      <c r="W36" s="525">
        <f ca="1">IF($Y36&gt;0,CHOOSE(MATCH(RegimeExecucao,{"Unitário","Global"},0),IF($A36="S",$Y36/$X36,""),($Y36/$X36)*100),0)</f>
        <v>0</v>
      </c>
      <c r="X36" s="382" t="str">
        <f ca="1">IF($Y36&gt;0,CHOOSE(MATCH(RegimeExecucao,{"Unitário","Global"},0),IF($A36="S",ROUND($H36,ORÇAMENTO!$AF$10),""),ROUND($I36,ORÇAMENTO!$AF$11)),"")</f>
        <v/>
      </c>
      <c r="Y36" s="382">
        <f t="shared" ca="1" si="14"/>
        <v>0</v>
      </c>
      <c r="Z36" s="549"/>
      <c r="AB36" s="380"/>
      <c r="AC36" s="503"/>
      <c r="AD36" s="503"/>
      <c r="AE36" s="503"/>
      <c r="AF36" s="503"/>
      <c r="AG36" s="503"/>
      <c r="AH36" s="503"/>
      <c r="AI36" s="503"/>
      <c r="AJ36" s="503"/>
      <c r="AK36" s="503"/>
      <c r="AL36" s="503"/>
      <c r="AM36" s="381"/>
      <c r="AO36">
        <f ca="1">IF($A36="S",IF(BM!$I36=0,0,CHOOSE(MATCH(RegimeExecucao,{"Global","Unitário"},0),ROUND(ROUND(BM.MEDAcumulado,15-13*BM!$A$9)/100*BM!$I36,15-13*ORÇAMENTO!$AF$11),ROUND(ROUND(BM.MEDAcumulado,15-13*BM!$A$9)*ROUND(BM!$H36,15-13*ORÇAMENTO!$AF$10),15-13*ORÇAMENTO!$AF$11))),IF($A36=0,0,ROUND(SomaAgrupBM,15-13*ORÇAMENTO!$AF$11)))</f>
        <v>0</v>
      </c>
    </row>
    <row r="37" spans="1:41" ht="25.5" x14ac:dyDescent="0.2">
      <c r="A37" t="str">
        <f ca="1">ORÇAMENTO!C37</f>
        <v>S</v>
      </c>
      <c r="B37">
        <f ca="1">ORÇAMENTO!D37</f>
        <v>0</v>
      </c>
      <c r="C37" s="116" t="str">
        <f t="shared" ca="1" si="8"/>
        <v/>
      </c>
      <c r="D37" s="119" t="str">
        <f ca="1">ORÇAMENTO!O37</f>
        <v>-</v>
      </c>
      <c r="E37" s="172" t="str">
        <f t="shared" ca="1" si="9"/>
        <v>(abra o arquivo 'Referência 05-Friday.xlsm)</v>
      </c>
      <c r="F37" s="173" t="str">
        <f ca="1">IF(RegimeExecucao="Global","",ORÇAMENTO.Unidade)</f>
        <v/>
      </c>
      <c r="G37" s="124" t="str">
        <f ca="1">IF(RegimeExecucao="Global","",ORÇAMENTO!T37)</f>
        <v/>
      </c>
      <c r="H37" s="124" t="str">
        <f ca="1">IF(RegimeExecucao="Global","",ORÇAMENTO!W37)</f>
        <v/>
      </c>
      <c r="I37" s="127">
        <f ca="1">ORÇAMENTO!X37</f>
        <v>0</v>
      </c>
      <c r="J37" s="376">
        <f ca="1">IF($A37="S",IF(CAIXA.Modo,BM.AFAnterior,BM.MEDAnterior),IF(AND(RegimeExecucao="Global",$I37&gt;0,COUNTIF($AB$13:$AM$13,BM.medicao-1)&gt;0),M37/$I37*100,0))</f>
        <v>0</v>
      </c>
      <c r="K37" s="124">
        <f t="shared" ca="1" si="10"/>
        <v>0</v>
      </c>
      <c r="L37" s="377">
        <f ca="1">IF($A37="S",IF(CAIXA.Modo,BM.AFAcumulado,BM.MEDAcumulado),IF(AND(RegimeExecucao="Global",$I37&gt;0,COUNTIF($AB$13:$AM$13,BM.medicao)&gt;0),O37/$I37*100,0))</f>
        <v>0</v>
      </c>
      <c r="M37" s="378">
        <f ca="1">IF($A37="S",VTOTALBM,IF($A37=0,0,ROUND(SomaAgrupBM,15-13*ORÇAMENTO!$AF$11)))</f>
        <v>0</v>
      </c>
      <c r="N37" s="379">
        <f t="shared" ca="1" si="11"/>
        <v>0</v>
      </c>
      <c r="O37" s="127">
        <f ca="1">IF($A37="S",VTOTALBM,IF($A37=0,0,ROUND(SomaAgrupBM,15-13*ORÇAMENTO!$AF$11)))</f>
        <v>0</v>
      </c>
      <c r="Q37" s="380"/>
      <c r="R37" s="381"/>
      <c r="T37" s="119" t="str">
        <f t="shared" ca="1" si="12"/>
        <v/>
      </c>
      <c r="U37" s="172" t="str">
        <f t="shared" ca="1" si="13"/>
        <v/>
      </c>
      <c r="V37" s="173" t="str">
        <f ca="1">IF(AND($W37&gt;0,RegimeExecucao="Unitário"),$F37,"")</f>
        <v/>
      </c>
      <c r="W37" s="525">
        <f ca="1">IF($Y37&gt;0,CHOOSE(MATCH(RegimeExecucao,{"Unitário","Global"},0),IF($A37="S",$Y37/$X37,""),($Y37/$X37)*100),0)</f>
        <v>0</v>
      </c>
      <c r="X37" s="382" t="str">
        <f ca="1">IF($Y37&gt;0,CHOOSE(MATCH(RegimeExecucao,{"Unitário","Global"},0),IF($A37="S",ROUND($H37,ORÇAMENTO!$AF$10),""),ROUND($I37,ORÇAMENTO!$AF$11)),"")</f>
        <v/>
      </c>
      <c r="Y37" s="382">
        <f t="shared" ca="1" si="14"/>
        <v>0</v>
      </c>
      <c r="Z37" s="549"/>
      <c r="AB37" s="380"/>
      <c r="AC37" s="503"/>
      <c r="AD37" s="503"/>
      <c r="AE37" s="503"/>
      <c r="AF37" s="503"/>
      <c r="AG37" s="503"/>
      <c r="AH37" s="503"/>
      <c r="AI37" s="503"/>
      <c r="AJ37" s="503"/>
      <c r="AK37" s="503"/>
      <c r="AL37" s="503"/>
      <c r="AM37" s="381"/>
      <c r="AO37">
        <f ca="1">IF($A37="S",IF(BM!$I37=0,0,CHOOSE(MATCH(RegimeExecucao,{"Global","Unitário"},0),ROUND(ROUND(BM.MEDAcumulado,15-13*BM!$A$9)/100*BM!$I37,15-13*ORÇAMENTO!$AF$11),ROUND(ROUND(BM.MEDAcumulado,15-13*BM!$A$9)*ROUND(BM!$H37,15-13*ORÇAMENTO!$AF$10),15-13*ORÇAMENTO!$AF$11))),IF($A37=0,0,ROUND(SomaAgrupBM,15-13*ORÇAMENTO!$AF$11)))</f>
        <v>0</v>
      </c>
    </row>
    <row r="38" spans="1:41" x14ac:dyDescent="0.2">
      <c r="A38" t="str">
        <f ca="1">ORÇAMENTO!C38</f>
        <v>S</v>
      </c>
      <c r="B38">
        <f ca="1">ORÇAMENTO!D38</f>
        <v>0</v>
      </c>
      <c r="C38" s="116" t="str">
        <f ca="1">IF(OR($I38&gt;0,$A38=1,$A38=2,$A38=3,$A38=4),"F","")</f>
        <v/>
      </c>
      <c r="D38" s="119" t="str">
        <f ca="1">ORÇAMENTO!O38</f>
        <v>-</v>
      </c>
      <c r="E38" s="172" t="str">
        <f ca="1">ORÇAMENTO.Descricao</f>
        <v>(abra o arquivo 'Referência 05-Friday.xlsm)</v>
      </c>
      <c r="F38" s="173" t="str">
        <f ca="1">IF(RegimeExecucao="Global","",ORÇAMENTO.Unidade)</f>
        <v/>
      </c>
      <c r="G38" s="124" t="str">
        <f ca="1">IF(RegimeExecucao="Global","",ORÇAMENTO!T38)</f>
        <v/>
      </c>
      <c r="H38" s="124" t="str">
        <f ca="1">IF(RegimeExecucao="Global","",ORÇAMENTO!W38)</f>
        <v/>
      </c>
      <c r="I38" s="127">
        <f ca="1">ORÇAMENTO!X38</f>
        <v>0</v>
      </c>
      <c r="J38" s="376">
        <f ca="1">IF($A38="S",IF(CAIXA.Modo,BM.AFAnterior,BM.MEDAnterior),IF(AND(RegimeExecucao="Global",$I38&gt;0,COUNTIF($AB$13:$AM$13,BM.medicao-1)&gt;0),M38/$I38*100,0))</f>
        <v>0</v>
      </c>
      <c r="K38" s="124">
        <f ca="1">L38-J38</f>
        <v>0</v>
      </c>
      <c r="L38" s="377">
        <f ca="1">IF($A38="S",IF(CAIXA.Modo,BM.AFAcumulado,BM.MEDAcumulado),IF(AND(RegimeExecucao="Global",$I38&gt;0,COUNTIF($AB$13:$AM$13,BM.medicao)&gt;0),O38/$I38*100,0))</f>
        <v>0</v>
      </c>
      <c r="M38" s="378">
        <f ca="1">IF($A38="S",VTOTALBM,IF($A38=0,0,ROUND(SomaAgrupBM,15-13*ORÇAMENTO!$AF$11)))</f>
        <v>0</v>
      </c>
      <c r="N38" s="379">
        <f ca="1">O38-M38</f>
        <v>0</v>
      </c>
      <c r="O38" s="127">
        <f ca="1">IF($A38="S",VTOTALBM,IF($A38=0,0,ROUND(SomaAgrupBM,15-13*ORÇAMENTO!$AF$11)))</f>
        <v>0</v>
      </c>
      <c r="Q38" s="380"/>
      <c r="R38" s="381"/>
      <c r="T38" s="119" t="str">
        <f ca="1">IF($W38&gt;0,$D38,"")</f>
        <v/>
      </c>
      <c r="U38" s="172" t="str">
        <f ca="1">IF($W38&gt;0,$E38,"")</f>
        <v/>
      </c>
      <c r="V38" s="173" t="str">
        <f ca="1">IF(AND($W38&gt;0,RegimeExecucao="Unitário"),$F38,"")</f>
        <v/>
      </c>
      <c r="W38" s="525">
        <f ca="1">IF($Y38&gt;0,CHOOSE(MATCH(RegimeExecucao,{"Unitário","Global"},0),IF($A38="S",$Y38/$X38,""),($Y38/$X38)*100),0)</f>
        <v>0</v>
      </c>
      <c r="X38" s="382" t="str">
        <f ca="1">IF($Y38&gt;0,CHOOSE(MATCH(RegimeExecucao,{"Unitário","Global"},0),IF($A38="S",ROUND($H38,ORÇAMENTO!$AF$10),""),ROUND($I38,ORÇAMENTO!$AF$11)),"")</f>
        <v/>
      </c>
      <c r="Y38" s="382">
        <f ca="1">AO38-O38</f>
        <v>0</v>
      </c>
      <c r="Z38" s="549"/>
      <c r="AB38" s="380"/>
      <c r="AC38" s="503"/>
      <c r="AD38" s="503"/>
      <c r="AE38" s="503"/>
      <c r="AF38" s="503"/>
      <c r="AG38" s="503"/>
      <c r="AH38" s="503"/>
      <c r="AI38" s="503"/>
      <c r="AJ38" s="503"/>
      <c r="AK38" s="503"/>
      <c r="AL38" s="503"/>
      <c r="AM38" s="381"/>
      <c r="AO38">
        <f ca="1">IF($A38="S",IF(BM!$I38=0,0,CHOOSE(MATCH(RegimeExecucao,{"Global","Unitário"},0),ROUND(ROUND(BM.MEDAcumulado,15-13*BM!$A$9)/100*BM!$I38,15-13*ORÇAMENTO!$AF$11),ROUND(ROUND(BM.MEDAcumulado,15-13*BM!$A$9)*ROUND(BM!$H38,15-13*ORÇAMENTO!$AF$10),15-13*ORÇAMENTO!$AF$11))),IF($A38=0,0,ROUND(SomaAgrupBM,15-13*ORÇAMENTO!$AF$11)))</f>
        <v>0</v>
      </c>
    </row>
    <row r="39" spans="1:41" x14ac:dyDescent="0.2">
      <c r="A39" t="str">
        <f ca="1">ORÇAMENTO!C39</f>
        <v>S</v>
      </c>
      <c r="B39">
        <f ca="1">ORÇAMENTO!D39</f>
        <v>0</v>
      </c>
      <c r="C39" s="116" t="str">
        <f ca="1">IF(OR($I39&gt;0,$A39=1,$A39=2,$A39=3,$A39=4),"F","")</f>
        <v/>
      </c>
      <c r="D39" s="119" t="str">
        <f ca="1">ORÇAMENTO!O39</f>
        <v>-</v>
      </c>
      <c r="E39" s="172" t="str">
        <f ca="1">ORÇAMENTO.Descricao</f>
        <v>(abra o arquivo 'Referência 05-Friday.xlsm)</v>
      </c>
      <c r="F39" s="173" t="str">
        <f ca="1">IF(RegimeExecucao="Global","",ORÇAMENTO.Unidade)</f>
        <v/>
      </c>
      <c r="G39" s="124" t="str">
        <f ca="1">IF(RegimeExecucao="Global","",ORÇAMENTO!T39)</f>
        <v/>
      </c>
      <c r="H39" s="124" t="str">
        <f ca="1">IF(RegimeExecucao="Global","",ORÇAMENTO!W39)</f>
        <v/>
      </c>
      <c r="I39" s="127">
        <f ca="1">ORÇAMENTO!X39</f>
        <v>0</v>
      </c>
      <c r="J39" s="376">
        <f ca="1">IF($A39="S",IF(CAIXA.Modo,BM.AFAnterior,BM.MEDAnterior),IF(AND(RegimeExecucao="Global",$I39&gt;0,COUNTIF($AB$13:$AM$13,BM.medicao-1)&gt;0),M39/$I39*100,0))</f>
        <v>0</v>
      </c>
      <c r="K39" s="124">
        <f ca="1">L39-J39</f>
        <v>0</v>
      </c>
      <c r="L39" s="377">
        <f ca="1">IF($A39="S",IF(CAIXA.Modo,BM.AFAcumulado,BM.MEDAcumulado),IF(AND(RegimeExecucao="Global",$I39&gt;0,COUNTIF($AB$13:$AM$13,BM.medicao)&gt;0),O39/$I39*100,0))</f>
        <v>0</v>
      </c>
      <c r="M39" s="378">
        <f ca="1">IF($A39="S",VTOTALBM,IF($A39=0,0,ROUND(SomaAgrupBM,15-13*ORÇAMENTO!$AF$11)))</f>
        <v>0</v>
      </c>
      <c r="N39" s="379">
        <f ca="1">O39-M39</f>
        <v>0</v>
      </c>
      <c r="O39" s="127">
        <f ca="1">IF($A39="S",VTOTALBM,IF($A39=0,0,ROUND(SomaAgrupBM,15-13*ORÇAMENTO!$AF$11)))</f>
        <v>0</v>
      </c>
      <c r="Q39" s="380"/>
      <c r="R39" s="381"/>
      <c r="T39" s="119" t="str">
        <f ca="1">IF($W39&gt;0,$D39,"")</f>
        <v/>
      </c>
      <c r="U39" s="172" t="str">
        <f ca="1">IF($W39&gt;0,$E39,"")</f>
        <v/>
      </c>
      <c r="V39" s="173" t="str">
        <f ca="1">IF(AND($W39&gt;0,RegimeExecucao="Unitário"),$F39,"")</f>
        <v/>
      </c>
      <c r="W39" s="525">
        <f ca="1">IF($Y39&gt;0,CHOOSE(MATCH(RegimeExecucao,{"Unitário","Global"},0),IF($A39="S",$Y39/$X39,""),($Y39/$X39)*100),0)</f>
        <v>0</v>
      </c>
      <c r="X39" s="382" t="str">
        <f ca="1">IF($Y39&gt;0,CHOOSE(MATCH(RegimeExecucao,{"Unitário","Global"},0),IF($A39="S",ROUND($H39,ORÇAMENTO!$AF$10),""),ROUND($I39,ORÇAMENTO!$AF$11)),"")</f>
        <v/>
      </c>
      <c r="Y39" s="382">
        <f ca="1">AO39-O39</f>
        <v>0</v>
      </c>
      <c r="Z39" s="549"/>
      <c r="AB39" s="380"/>
      <c r="AC39" s="503"/>
      <c r="AD39" s="503"/>
      <c r="AE39" s="503"/>
      <c r="AF39" s="503"/>
      <c r="AG39" s="503"/>
      <c r="AH39" s="503"/>
      <c r="AI39" s="503"/>
      <c r="AJ39" s="503"/>
      <c r="AK39" s="503"/>
      <c r="AL39" s="503"/>
      <c r="AM39" s="381"/>
      <c r="AO39">
        <f ca="1">IF($A39="S",IF(BM!$I39=0,0,CHOOSE(MATCH(RegimeExecucao,{"Global","Unitário"},0),ROUND(ROUND(BM.MEDAcumulado,15-13*BM!$A$9)/100*BM!$I39,15-13*ORÇAMENTO!$AF$11),ROUND(ROUND(BM.MEDAcumulado,15-13*BM!$A$9)*ROUND(BM!$H39,15-13*ORÇAMENTO!$AF$10),15-13*ORÇAMENTO!$AF$11))),IF($A39=0,0,ROUND(SomaAgrupBM,15-13*ORÇAMENTO!$AF$11)))</f>
        <v>0</v>
      </c>
    </row>
    <row r="40" spans="1:41" ht="38.25" x14ac:dyDescent="0.2">
      <c r="A40" t="str">
        <f ca="1">ORÇAMENTO!C40</f>
        <v>S</v>
      </c>
      <c r="B40">
        <f ca="1">ORÇAMENTO!D40</f>
        <v>0</v>
      </c>
      <c r="C40" s="116" t="str">
        <f ca="1">IF(OR($I40&gt;0,$A40=1,$A40=2,$A40=3,$A40=4),"F","")</f>
        <v/>
      </c>
      <c r="D40" s="119" t="str">
        <f ca="1">ORÇAMENTO!O40</f>
        <v>-</v>
      </c>
      <c r="E40" s="172" t="str">
        <f ca="1">ORÇAMENTO.Descricao</f>
        <v>(abra o arquivo 'Referência 05-Friday.xlsm)</v>
      </c>
      <c r="F40" s="173" t="str">
        <f ca="1">IF(RegimeExecucao="Global","",ORÇAMENTO.Unidade)</f>
        <v/>
      </c>
      <c r="G40" s="124" t="str">
        <f ca="1">IF(RegimeExecucao="Global","",ORÇAMENTO!T40)</f>
        <v/>
      </c>
      <c r="H40" s="124" t="str">
        <f ca="1">IF(RegimeExecucao="Global","",ORÇAMENTO!W40)</f>
        <v/>
      </c>
      <c r="I40" s="127">
        <f ca="1">ORÇAMENTO!X40</f>
        <v>0</v>
      </c>
      <c r="J40" s="376">
        <f ca="1">IF($A40="S",IF(CAIXA.Modo,BM.AFAnterior,BM.MEDAnterior),IF(AND(RegimeExecucao="Global",$I40&gt;0,COUNTIF($AB$13:$AM$13,BM.medicao-1)&gt;0),M40/$I40*100,0))</f>
        <v>0</v>
      </c>
      <c r="K40" s="124">
        <f ca="1">L40-J40</f>
        <v>0</v>
      </c>
      <c r="L40" s="377">
        <f ca="1">IF($A40="S",IF(CAIXA.Modo,BM.AFAcumulado,BM.MEDAcumulado),IF(AND(RegimeExecucao="Global",$I40&gt;0,COUNTIF($AB$13:$AM$13,BM.medicao)&gt;0),O40/$I40*100,0))</f>
        <v>0</v>
      </c>
      <c r="M40" s="378">
        <f ca="1">IF($A40="S",VTOTALBM,IF($A40=0,0,ROUND(SomaAgrupBM,15-13*ORÇAMENTO!$AF$11)))</f>
        <v>0</v>
      </c>
      <c r="N40" s="379">
        <f ca="1">O40-M40</f>
        <v>0</v>
      </c>
      <c r="O40" s="127">
        <f ca="1">IF($A40="S",VTOTALBM,IF($A40=0,0,ROUND(SomaAgrupBM,15-13*ORÇAMENTO!$AF$11)))</f>
        <v>0</v>
      </c>
      <c r="Q40" s="380"/>
      <c r="R40" s="381"/>
      <c r="T40" s="119" t="str">
        <f ca="1">IF($W40&gt;0,$D40,"")</f>
        <v/>
      </c>
      <c r="U40" s="172" t="str">
        <f ca="1">IF($W40&gt;0,$E40,"")</f>
        <v/>
      </c>
      <c r="V40" s="173" t="str">
        <f ca="1">IF(AND($W40&gt;0,RegimeExecucao="Unitário"),$F40,"")</f>
        <v/>
      </c>
      <c r="W40" s="525">
        <f ca="1">IF($Y40&gt;0,CHOOSE(MATCH(RegimeExecucao,{"Unitário","Global"},0),IF($A40="S",$Y40/$X40,""),($Y40/$X40)*100),0)</f>
        <v>0</v>
      </c>
      <c r="X40" s="382" t="str">
        <f ca="1">IF($Y40&gt;0,CHOOSE(MATCH(RegimeExecucao,{"Unitário","Global"},0),IF($A40="S",ROUND($H40,ORÇAMENTO!$AF$10),""),ROUND($I40,ORÇAMENTO!$AF$11)),"")</f>
        <v/>
      </c>
      <c r="Y40" s="382">
        <f ca="1">AO40-O40</f>
        <v>0</v>
      </c>
      <c r="Z40" s="549"/>
      <c r="AB40" s="380"/>
      <c r="AC40" s="503"/>
      <c r="AD40" s="503"/>
      <c r="AE40" s="503"/>
      <c r="AF40" s="503"/>
      <c r="AG40" s="503"/>
      <c r="AH40" s="503"/>
      <c r="AI40" s="503"/>
      <c r="AJ40" s="503"/>
      <c r="AK40" s="503"/>
      <c r="AL40" s="503"/>
      <c r="AM40" s="381"/>
      <c r="AO40">
        <f ca="1">IF($A40="S",IF(BM!$I40=0,0,CHOOSE(MATCH(RegimeExecucao,{"Global","Unitário"},0),ROUND(ROUND(BM.MEDAcumulado,15-13*BM!$A$9)/100*BM!$I40,15-13*ORÇAMENTO!$AF$11),ROUND(ROUND(BM.MEDAcumulado,15-13*BM!$A$9)*ROUND(BM!$H40,15-13*ORÇAMENTO!$AF$10),15-13*ORÇAMENTO!$AF$11))),IF($A40=0,0,ROUND(SomaAgrupBM,15-13*ORÇAMENTO!$AF$11)))</f>
        <v>0</v>
      </c>
    </row>
    <row r="41" spans="1:41" ht="25.5" x14ac:dyDescent="0.2">
      <c r="A41" t="str">
        <f ca="1">ORÇAMENTO!C41</f>
        <v>S</v>
      </c>
      <c r="B41">
        <f ca="1">ORÇAMENTO!D41</f>
        <v>0</v>
      </c>
      <c r="C41" s="116" t="str">
        <f ca="1">IF(OR($I41&gt;0,$A41=1,$A41=2,$A41=3,$A41=4),"F","")</f>
        <v/>
      </c>
      <c r="D41" s="119" t="str">
        <f ca="1">ORÇAMENTO!O41</f>
        <v>-</v>
      </c>
      <c r="E41" s="172" t="str">
        <f ca="1">ORÇAMENTO.Descricao</f>
        <v>(abra o arquivo 'Referência 05-Friday.xlsm)</v>
      </c>
      <c r="F41" s="173" t="str">
        <f ca="1">IF(RegimeExecucao="Global","",ORÇAMENTO.Unidade)</f>
        <v/>
      </c>
      <c r="G41" s="124" t="str">
        <f ca="1">IF(RegimeExecucao="Global","",ORÇAMENTO!T41)</f>
        <v/>
      </c>
      <c r="H41" s="124" t="str">
        <f ca="1">IF(RegimeExecucao="Global","",ORÇAMENTO!W41)</f>
        <v/>
      </c>
      <c r="I41" s="127">
        <f ca="1">ORÇAMENTO!X41</f>
        <v>0</v>
      </c>
      <c r="J41" s="376">
        <f ca="1">IF($A41="S",IF(CAIXA.Modo,BM.AFAnterior,BM.MEDAnterior),IF(AND(RegimeExecucao="Global",$I41&gt;0,COUNTIF($AB$13:$AM$13,BM.medicao-1)&gt;0),M41/$I41*100,0))</f>
        <v>0</v>
      </c>
      <c r="K41" s="124">
        <f ca="1">L41-J41</f>
        <v>0</v>
      </c>
      <c r="L41" s="377">
        <f ca="1">IF($A41="S",IF(CAIXA.Modo,BM.AFAcumulado,BM.MEDAcumulado),IF(AND(RegimeExecucao="Global",$I41&gt;0,COUNTIF($AB$13:$AM$13,BM.medicao)&gt;0),O41/$I41*100,0))</f>
        <v>0</v>
      </c>
      <c r="M41" s="378">
        <f ca="1">IF($A41="S",VTOTALBM,IF($A41=0,0,ROUND(SomaAgrupBM,15-13*ORÇAMENTO!$AF$11)))</f>
        <v>0</v>
      </c>
      <c r="N41" s="379">
        <f ca="1">O41-M41</f>
        <v>0</v>
      </c>
      <c r="O41" s="127">
        <f ca="1">IF($A41="S",VTOTALBM,IF($A41=0,0,ROUND(SomaAgrupBM,15-13*ORÇAMENTO!$AF$11)))</f>
        <v>0</v>
      </c>
      <c r="Q41" s="380"/>
      <c r="R41" s="381"/>
      <c r="T41" s="119" t="str">
        <f ca="1">IF($W41&gt;0,$D41,"")</f>
        <v/>
      </c>
      <c r="U41" s="172" t="str">
        <f ca="1">IF($W41&gt;0,$E41,"")</f>
        <v/>
      </c>
      <c r="V41" s="173" t="str">
        <f ca="1">IF(AND($W41&gt;0,RegimeExecucao="Unitário"),$F41,"")</f>
        <v/>
      </c>
      <c r="W41" s="525">
        <f ca="1">IF($Y41&gt;0,CHOOSE(MATCH(RegimeExecucao,{"Unitário","Global"},0),IF($A41="S",$Y41/$X41,""),($Y41/$X41)*100),0)</f>
        <v>0</v>
      </c>
      <c r="X41" s="382" t="str">
        <f ca="1">IF($Y41&gt;0,CHOOSE(MATCH(RegimeExecucao,{"Unitário","Global"},0),IF($A41="S",ROUND($H41,ORÇAMENTO!$AF$10),""),ROUND($I41,ORÇAMENTO!$AF$11)),"")</f>
        <v/>
      </c>
      <c r="Y41" s="382">
        <f ca="1">AO41-O41</f>
        <v>0</v>
      </c>
      <c r="Z41" s="549"/>
      <c r="AB41" s="380"/>
      <c r="AC41" s="503"/>
      <c r="AD41" s="503"/>
      <c r="AE41" s="503"/>
      <c r="AF41" s="503"/>
      <c r="AG41" s="503"/>
      <c r="AH41" s="503"/>
      <c r="AI41" s="503"/>
      <c r="AJ41" s="503"/>
      <c r="AK41" s="503"/>
      <c r="AL41" s="503"/>
      <c r="AM41" s="381"/>
      <c r="AO41">
        <f ca="1">IF($A41="S",IF(BM!$I41=0,0,CHOOSE(MATCH(RegimeExecucao,{"Global","Unitário"},0),ROUND(ROUND(BM.MEDAcumulado,15-13*BM!$A$9)/100*BM!$I41,15-13*ORÇAMENTO!$AF$11),ROUND(ROUND(BM.MEDAcumulado,15-13*BM!$A$9)*ROUND(BM!$H41,15-13*ORÇAMENTO!$AF$10),15-13*ORÇAMENTO!$AF$11))),IF($A41=0,0,ROUND(SomaAgrupBM,15-13*ORÇAMENTO!$AF$11)))</f>
        <v>0</v>
      </c>
    </row>
    <row r="42" spans="1:41" x14ac:dyDescent="0.2">
      <c r="A42" t="str">
        <f ca="1">ORÇAMENTO!C42</f>
        <v>S</v>
      </c>
      <c r="B42">
        <f ca="1">ORÇAMENTO!D42</f>
        <v>0</v>
      </c>
      <c r="C42" s="116" t="str">
        <f ca="1">IF(OR($I42&gt;0,$A42=1,$A42=2,$A42=3,$A42=4),"F","")</f>
        <v/>
      </c>
      <c r="D42" s="119" t="str">
        <f ca="1">ORÇAMENTO!O42</f>
        <v>-</v>
      </c>
      <c r="E42" s="172" t="str">
        <f ca="1">ORÇAMENTO.Descricao</f>
        <v>(abra o arquivo 'Referência 05-Friday.xlsm)</v>
      </c>
      <c r="F42" s="173" t="str">
        <f ca="1">IF(RegimeExecucao="Global","",ORÇAMENTO.Unidade)</f>
        <v/>
      </c>
      <c r="G42" s="124" t="str">
        <f ca="1">IF(RegimeExecucao="Global","",ORÇAMENTO!T42)</f>
        <v/>
      </c>
      <c r="H42" s="124" t="str">
        <f ca="1">IF(RegimeExecucao="Global","",ORÇAMENTO!W42)</f>
        <v/>
      </c>
      <c r="I42" s="127">
        <f ca="1">ORÇAMENTO!X42</f>
        <v>0</v>
      </c>
      <c r="J42" s="376">
        <f ca="1">IF($A42="S",IF(CAIXA.Modo,BM.AFAnterior,BM.MEDAnterior),IF(AND(RegimeExecucao="Global",$I42&gt;0,COUNTIF($AB$13:$AM$13,BM.medicao-1)&gt;0),M42/$I42*100,0))</f>
        <v>0</v>
      </c>
      <c r="K42" s="124">
        <f ca="1">L42-J42</f>
        <v>0</v>
      </c>
      <c r="L42" s="377">
        <f ca="1">IF($A42="S",IF(CAIXA.Modo,BM.AFAcumulado,BM.MEDAcumulado),IF(AND(RegimeExecucao="Global",$I42&gt;0,COUNTIF($AB$13:$AM$13,BM.medicao)&gt;0),O42/$I42*100,0))</f>
        <v>0</v>
      </c>
      <c r="M42" s="378">
        <f ca="1">IF($A42="S",VTOTALBM,IF($A42=0,0,ROUND(SomaAgrupBM,15-13*ORÇAMENTO!$AF$11)))</f>
        <v>0</v>
      </c>
      <c r="N42" s="379">
        <f ca="1">O42-M42</f>
        <v>0</v>
      </c>
      <c r="O42" s="127">
        <f ca="1">IF($A42="S",VTOTALBM,IF($A42=0,0,ROUND(SomaAgrupBM,15-13*ORÇAMENTO!$AF$11)))</f>
        <v>0</v>
      </c>
      <c r="Q42" s="380"/>
      <c r="R42" s="381"/>
      <c r="T42" s="119" t="str">
        <f ca="1">IF($W42&gt;0,$D42,"")</f>
        <v/>
      </c>
      <c r="U42" s="172" t="str">
        <f ca="1">IF($W42&gt;0,$E42,"")</f>
        <v/>
      </c>
      <c r="V42" s="173" t="str">
        <f ca="1">IF(AND($W42&gt;0,RegimeExecucao="Unitário"),$F42,"")</f>
        <v/>
      </c>
      <c r="W42" s="525">
        <f ca="1">IF($Y42&gt;0,CHOOSE(MATCH(RegimeExecucao,{"Unitário","Global"},0),IF($A42="S",$Y42/$X42,""),($Y42/$X42)*100),0)</f>
        <v>0</v>
      </c>
      <c r="X42" s="382" t="str">
        <f ca="1">IF($Y42&gt;0,CHOOSE(MATCH(RegimeExecucao,{"Unitário","Global"},0),IF($A42="S",ROUND($H42,ORÇAMENTO!$AF$10),""),ROUND($I42,ORÇAMENTO!$AF$11)),"")</f>
        <v/>
      </c>
      <c r="Y42" s="382">
        <f ca="1">AO42-O42</f>
        <v>0</v>
      </c>
      <c r="Z42" s="549"/>
      <c r="AB42" s="380"/>
      <c r="AC42" s="503"/>
      <c r="AD42" s="503"/>
      <c r="AE42" s="503"/>
      <c r="AF42" s="503"/>
      <c r="AG42" s="503"/>
      <c r="AH42" s="503"/>
      <c r="AI42" s="503"/>
      <c r="AJ42" s="503"/>
      <c r="AK42" s="503"/>
      <c r="AL42" s="503"/>
      <c r="AM42" s="381"/>
      <c r="AO42">
        <f ca="1">IF($A42="S",IF(BM!$I42=0,0,CHOOSE(MATCH(RegimeExecucao,{"Global","Unitário"},0),ROUND(ROUND(BM.MEDAcumulado,15-13*BM!$A$9)/100*BM!$I42,15-13*ORÇAMENTO!$AF$11),ROUND(ROUND(BM.MEDAcumulado,15-13*BM!$A$9)*ROUND(BM!$H42,15-13*ORÇAMENTO!$AF$10),15-13*ORÇAMENTO!$AF$11))),IF($A42=0,0,ROUND(SomaAgrupBM,15-13*ORÇAMENTO!$AF$11)))</f>
        <v>0</v>
      </c>
    </row>
    <row r="43" spans="1:41" x14ac:dyDescent="0.2">
      <c r="A43">
        <f ca="1">ORÇAMENTO!C43</f>
        <v>2</v>
      </c>
      <c r="B43">
        <f ca="1">ORÇAMENTO!D43</f>
        <v>4</v>
      </c>
      <c r="C43" s="116" t="str">
        <f t="shared" ref="C43:C49" ca="1" si="15">IF(OR($I43&gt;0,$A43=1,$A43=2,$A43=3,$A43=4),"F","")</f>
        <v>F</v>
      </c>
      <c r="D43" s="119" t="str">
        <f ca="1">ORÇAMENTO!O43</f>
        <v>1.4.</v>
      </c>
      <c r="E43" s="172" t="str">
        <f t="shared" ref="E43:E49" si="16">ORÇAMENTO.Descricao</f>
        <v>PASSEIO E ACESSIBILIDADE</v>
      </c>
      <c r="F43" s="173" t="str">
        <f ca="1">IF(RegimeExecucao="Global","",ORÇAMENTO.Unidade)</f>
        <v/>
      </c>
      <c r="G43" s="124" t="str">
        <f ca="1">IF(RegimeExecucao="Global","",ORÇAMENTO!T43)</f>
        <v/>
      </c>
      <c r="H43" s="124" t="str">
        <f ca="1">IF(RegimeExecucao="Global","",ORÇAMENTO!W43)</f>
        <v/>
      </c>
      <c r="I43" s="127">
        <f ca="1">ORÇAMENTO!X43</f>
        <v>0</v>
      </c>
      <c r="J43" s="376">
        <f ca="1">IF($A43="S",IF(CAIXA.Modo,BM.AFAnterior,BM.MEDAnterior),IF(AND(RegimeExecucao="Global",$I43&gt;0,COUNTIF($AB$13:$AM$13,BM.medicao-1)&gt;0),M43/$I43*100,0))</f>
        <v>0</v>
      </c>
      <c r="K43" s="124">
        <f t="shared" ref="K43:K49" ca="1" si="17">L43-J43</f>
        <v>0</v>
      </c>
      <c r="L43" s="377">
        <f ca="1">IF($A43="S",IF(CAIXA.Modo,BM.AFAcumulado,BM.MEDAcumulado),IF(AND(RegimeExecucao="Global",$I43&gt;0,COUNTIF($AB$13:$AM$13,BM.medicao)&gt;0),O43/$I43*100,0))</f>
        <v>0</v>
      </c>
      <c r="M43" s="378">
        <f ca="1">IF($A43="S",VTOTALBM,IF($A43=0,0,ROUND(SomaAgrupBM,15-13*ORÇAMENTO!$AF$11)))</f>
        <v>0</v>
      </c>
      <c r="N43" s="379">
        <f t="shared" ref="N43:N49" ca="1" si="18">O43-M43</f>
        <v>0</v>
      </c>
      <c r="O43" s="127">
        <f ca="1">IF($A43="S",VTOTALBM,IF($A43=0,0,ROUND(SomaAgrupBM,15-13*ORÇAMENTO!$AF$11)))</f>
        <v>0</v>
      </c>
      <c r="Q43" s="380"/>
      <c r="R43" s="381"/>
      <c r="T43" s="119" t="str">
        <f t="shared" ref="T43:T49" ca="1" si="19">IF($W43&gt;0,$D43,"")</f>
        <v/>
      </c>
      <c r="U43" s="172" t="str">
        <f t="shared" ref="U43:U49" ca="1" si="20">IF($W43&gt;0,$E43,"")</f>
        <v/>
      </c>
      <c r="V43" s="173" t="str">
        <f ca="1">IF(AND($W43&gt;0,RegimeExecucao="Unitário"),$F43,"")</f>
        <v/>
      </c>
      <c r="W43" s="525">
        <f ca="1">IF($Y43&gt;0,CHOOSE(MATCH(RegimeExecucao,{"Unitário","Global"},0),IF($A43="S",$Y43/$X43,""),($Y43/$X43)*100),0)</f>
        <v>0</v>
      </c>
      <c r="X43" s="382" t="str">
        <f ca="1">IF($Y43&gt;0,CHOOSE(MATCH(RegimeExecucao,{"Unitário","Global"},0),IF($A43="S",ROUND($H43,ORÇAMENTO!$AF$10),""),ROUND($I43,ORÇAMENTO!$AF$11)),"")</f>
        <v/>
      </c>
      <c r="Y43" s="382">
        <f t="shared" ref="Y43:Y49" ca="1" si="21">AO43-O43</f>
        <v>0</v>
      </c>
      <c r="Z43" s="549"/>
      <c r="AB43" s="380"/>
      <c r="AC43" s="503"/>
      <c r="AD43" s="503"/>
      <c r="AE43" s="503"/>
      <c r="AF43" s="503"/>
      <c r="AG43" s="503"/>
      <c r="AH43" s="503"/>
      <c r="AI43" s="503"/>
      <c r="AJ43" s="503"/>
      <c r="AK43" s="503"/>
      <c r="AL43" s="503"/>
      <c r="AM43" s="381"/>
      <c r="AO43">
        <f ca="1">IF($A43="S",IF(BM!$I43=0,0,CHOOSE(MATCH(RegimeExecucao,{"Global","Unitário"},0),ROUND(ROUND(BM.MEDAcumulado,15-13*BM!$A$9)/100*BM!$I43,15-13*ORÇAMENTO!$AF$11),ROUND(ROUND(BM.MEDAcumulado,15-13*BM!$A$9)*ROUND(BM!$H43,15-13*ORÇAMENTO!$AF$10),15-13*ORÇAMENTO!$AF$11))),IF($A43=0,0,ROUND(SomaAgrupBM,15-13*ORÇAMENTO!$AF$11)))</f>
        <v>0</v>
      </c>
    </row>
    <row r="44" spans="1:41" ht="38.25" x14ac:dyDescent="0.2">
      <c r="A44" t="str">
        <f ca="1">ORÇAMENTO!C44</f>
        <v>S</v>
      </c>
      <c r="B44">
        <f ca="1">ORÇAMENTO!D44</f>
        <v>0</v>
      </c>
      <c r="C44" s="116" t="str">
        <f t="shared" ca="1" si="15"/>
        <v/>
      </c>
      <c r="D44" s="119" t="str">
        <f ca="1">ORÇAMENTO!O44</f>
        <v>-</v>
      </c>
      <c r="E44" s="172" t="str">
        <f t="shared" ca="1" si="16"/>
        <v>(abra o arquivo 'Referência 05-Friday.xlsm)</v>
      </c>
      <c r="F44" s="173" t="str">
        <f ca="1">IF(RegimeExecucao="Global","",ORÇAMENTO.Unidade)</f>
        <v/>
      </c>
      <c r="G44" s="124" t="str">
        <f ca="1">IF(RegimeExecucao="Global","",ORÇAMENTO!T44)</f>
        <v/>
      </c>
      <c r="H44" s="124" t="str">
        <f ca="1">IF(RegimeExecucao="Global","",ORÇAMENTO!W44)</f>
        <v/>
      </c>
      <c r="I44" s="127">
        <f ca="1">ORÇAMENTO!X44</f>
        <v>0</v>
      </c>
      <c r="J44" s="376">
        <f ca="1">IF($A44="S",IF(CAIXA.Modo,BM.AFAnterior,BM.MEDAnterior),IF(AND(RegimeExecucao="Global",$I44&gt;0,COUNTIF($AB$13:$AM$13,BM.medicao-1)&gt;0),M44/$I44*100,0))</f>
        <v>0</v>
      </c>
      <c r="K44" s="124">
        <f t="shared" ca="1" si="17"/>
        <v>0</v>
      </c>
      <c r="L44" s="377">
        <f ca="1">IF($A44="S",IF(CAIXA.Modo,BM.AFAcumulado,BM.MEDAcumulado),IF(AND(RegimeExecucao="Global",$I44&gt;0,COUNTIF($AB$13:$AM$13,BM.medicao)&gt;0),O44/$I44*100,0))</f>
        <v>0</v>
      </c>
      <c r="M44" s="378">
        <f ca="1">IF($A44="S",VTOTALBM,IF($A44=0,0,ROUND(SomaAgrupBM,15-13*ORÇAMENTO!$AF$11)))</f>
        <v>0</v>
      </c>
      <c r="N44" s="379">
        <f t="shared" ca="1" si="18"/>
        <v>0</v>
      </c>
      <c r="O44" s="127">
        <f ca="1">IF($A44="S",VTOTALBM,IF($A44=0,0,ROUND(SomaAgrupBM,15-13*ORÇAMENTO!$AF$11)))</f>
        <v>0</v>
      </c>
      <c r="Q44" s="380"/>
      <c r="R44" s="381"/>
      <c r="T44" s="119" t="str">
        <f t="shared" ca="1" si="19"/>
        <v/>
      </c>
      <c r="U44" s="172" t="str">
        <f t="shared" ca="1" si="20"/>
        <v/>
      </c>
      <c r="V44" s="173" t="str">
        <f ca="1">IF(AND($W44&gt;0,RegimeExecucao="Unitário"),$F44,"")</f>
        <v/>
      </c>
      <c r="W44" s="525">
        <f ca="1">IF($Y44&gt;0,CHOOSE(MATCH(RegimeExecucao,{"Unitário","Global"},0),IF($A44="S",$Y44/$X44,""),($Y44/$X44)*100),0)</f>
        <v>0</v>
      </c>
      <c r="X44" s="382" t="str">
        <f ca="1">IF($Y44&gt;0,CHOOSE(MATCH(RegimeExecucao,{"Unitário","Global"},0),IF($A44="S",ROUND($H44,ORÇAMENTO!$AF$10),""),ROUND($I44,ORÇAMENTO!$AF$11)),"")</f>
        <v/>
      </c>
      <c r="Y44" s="382">
        <f t="shared" ca="1" si="21"/>
        <v>0</v>
      </c>
      <c r="Z44" s="549"/>
      <c r="AB44" s="380"/>
      <c r="AC44" s="503"/>
      <c r="AD44" s="503"/>
      <c r="AE44" s="503"/>
      <c r="AF44" s="503"/>
      <c r="AG44" s="503"/>
      <c r="AH44" s="503"/>
      <c r="AI44" s="503"/>
      <c r="AJ44" s="503"/>
      <c r="AK44" s="503"/>
      <c r="AL44" s="503"/>
      <c r="AM44" s="381"/>
      <c r="AO44">
        <f ca="1">IF($A44="S",IF(BM!$I44=0,0,CHOOSE(MATCH(RegimeExecucao,{"Global","Unitário"},0),ROUND(ROUND(BM.MEDAcumulado,15-13*BM!$A$9)/100*BM!$I44,15-13*ORÇAMENTO!$AF$11),ROUND(ROUND(BM.MEDAcumulado,15-13*BM!$A$9)*ROUND(BM!$H44,15-13*ORÇAMENTO!$AF$10),15-13*ORÇAMENTO!$AF$11))),IF($A44=0,0,ROUND(SomaAgrupBM,15-13*ORÇAMENTO!$AF$11)))</f>
        <v>0</v>
      </c>
    </row>
    <row r="45" spans="1:41" ht="25.5" x14ac:dyDescent="0.2">
      <c r="A45" t="str">
        <f ca="1">ORÇAMENTO!C45</f>
        <v>S</v>
      </c>
      <c r="B45">
        <f ca="1">ORÇAMENTO!D45</f>
        <v>0</v>
      </c>
      <c r="C45" s="116" t="str">
        <f ca="1">IF(OR($I45&gt;0,$A45=1,$A45=2,$A45=3,$A45=4),"F","")</f>
        <v/>
      </c>
      <c r="D45" s="119" t="str">
        <f ca="1">ORÇAMENTO!O45</f>
        <v>-</v>
      </c>
      <c r="E45" s="172" t="str">
        <f ca="1">ORÇAMENTO.Descricao</f>
        <v>(abra o arquivo 'Referência 05-Friday.xlsm)</v>
      </c>
      <c r="F45" s="173" t="str">
        <f ca="1">IF(RegimeExecucao="Global","",ORÇAMENTO.Unidade)</f>
        <v/>
      </c>
      <c r="G45" s="124" t="str">
        <f ca="1">IF(RegimeExecucao="Global","",ORÇAMENTO!T45)</f>
        <v/>
      </c>
      <c r="H45" s="124" t="str">
        <f ca="1">IF(RegimeExecucao="Global","",ORÇAMENTO!W45)</f>
        <v/>
      </c>
      <c r="I45" s="127">
        <f ca="1">ORÇAMENTO!X45</f>
        <v>0</v>
      </c>
      <c r="J45" s="376">
        <f ca="1">IF($A45="S",IF(CAIXA.Modo,BM.AFAnterior,BM.MEDAnterior),IF(AND(RegimeExecucao="Global",$I45&gt;0,COUNTIF($AB$13:$AM$13,BM.medicao-1)&gt;0),M45/$I45*100,0))</f>
        <v>0</v>
      </c>
      <c r="K45" s="124">
        <f ca="1">L45-J45</f>
        <v>0</v>
      </c>
      <c r="L45" s="377">
        <f ca="1">IF($A45="S",IF(CAIXA.Modo,BM.AFAcumulado,BM.MEDAcumulado),IF(AND(RegimeExecucao="Global",$I45&gt;0,COUNTIF($AB$13:$AM$13,BM.medicao)&gt;0),O45/$I45*100,0))</f>
        <v>0</v>
      </c>
      <c r="M45" s="378">
        <f ca="1">IF($A45="S",VTOTALBM,IF($A45=0,0,ROUND(SomaAgrupBM,15-13*ORÇAMENTO!$AF$11)))</f>
        <v>0</v>
      </c>
      <c r="N45" s="379">
        <f ca="1">O45-M45</f>
        <v>0</v>
      </c>
      <c r="O45" s="127">
        <f ca="1">IF($A45="S",VTOTALBM,IF($A45=0,0,ROUND(SomaAgrupBM,15-13*ORÇAMENTO!$AF$11)))</f>
        <v>0</v>
      </c>
      <c r="Q45" s="380"/>
      <c r="R45" s="381"/>
      <c r="T45" s="119" t="str">
        <f ca="1">IF($W45&gt;0,$D45,"")</f>
        <v/>
      </c>
      <c r="U45" s="172" t="str">
        <f ca="1">IF($W45&gt;0,$E45,"")</f>
        <v/>
      </c>
      <c r="V45" s="173" t="str">
        <f ca="1">IF(AND($W45&gt;0,RegimeExecucao="Unitário"),$F45,"")</f>
        <v/>
      </c>
      <c r="W45" s="525">
        <f ca="1">IF($Y45&gt;0,CHOOSE(MATCH(RegimeExecucao,{"Unitário","Global"},0),IF($A45="S",$Y45/$X45,""),($Y45/$X45)*100),0)</f>
        <v>0</v>
      </c>
      <c r="X45" s="382" t="str">
        <f ca="1">IF($Y45&gt;0,CHOOSE(MATCH(RegimeExecucao,{"Unitário","Global"},0),IF($A45="S",ROUND($H45,ORÇAMENTO!$AF$10),""),ROUND($I45,ORÇAMENTO!$AF$11)),"")</f>
        <v/>
      </c>
      <c r="Y45" s="382">
        <f ca="1">AO45-O45</f>
        <v>0</v>
      </c>
      <c r="Z45" s="549"/>
      <c r="AB45" s="380"/>
      <c r="AC45" s="503"/>
      <c r="AD45" s="503"/>
      <c r="AE45" s="503"/>
      <c r="AF45" s="503"/>
      <c r="AG45" s="503"/>
      <c r="AH45" s="503"/>
      <c r="AI45" s="503"/>
      <c r="AJ45" s="503"/>
      <c r="AK45" s="503"/>
      <c r="AL45" s="503"/>
      <c r="AM45" s="381"/>
      <c r="AO45">
        <f ca="1">IF($A45="S",IF(BM!$I45=0,0,CHOOSE(MATCH(RegimeExecucao,{"Global","Unitário"},0),ROUND(ROUND(BM.MEDAcumulado,15-13*BM!$A$9)/100*BM!$I45,15-13*ORÇAMENTO!$AF$11),ROUND(ROUND(BM.MEDAcumulado,15-13*BM!$A$9)*ROUND(BM!$H45,15-13*ORÇAMENTO!$AF$10),15-13*ORÇAMENTO!$AF$11))),IF($A45=0,0,ROUND(SomaAgrupBM,15-13*ORÇAMENTO!$AF$11)))</f>
        <v>0</v>
      </c>
    </row>
    <row r="46" spans="1:41" x14ac:dyDescent="0.2">
      <c r="A46" t="str">
        <f ca="1">ORÇAMENTO!C46</f>
        <v>S</v>
      </c>
      <c r="B46">
        <f ca="1">ORÇAMENTO!D46</f>
        <v>0</v>
      </c>
      <c r="C46" s="116" t="str">
        <f ca="1">IF(OR($I46&gt;0,$A46=1,$A46=2,$A46=3,$A46=4),"F","")</f>
        <v/>
      </c>
      <c r="D46" s="119" t="str">
        <f ca="1">ORÇAMENTO!O46</f>
        <v>-</v>
      </c>
      <c r="E46" s="172" t="str">
        <f ca="1">ORÇAMENTO.Descricao</f>
        <v>(abra o arquivo 'Referência 05-Friday.xlsm)</v>
      </c>
      <c r="F46" s="173" t="str">
        <f ca="1">IF(RegimeExecucao="Global","",ORÇAMENTO.Unidade)</f>
        <v/>
      </c>
      <c r="G46" s="124" t="str">
        <f ca="1">IF(RegimeExecucao="Global","",ORÇAMENTO!T46)</f>
        <v/>
      </c>
      <c r="H46" s="124" t="str">
        <f ca="1">IF(RegimeExecucao="Global","",ORÇAMENTO!W46)</f>
        <v/>
      </c>
      <c r="I46" s="127">
        <f ca="1">ORÇAMENTO!X46</f>
        <v>0</v>
      </c>
      <c r="J46" s="376">
        <f ca="1">IF($A46="S",IF(CAIXA.Modo,BM.AFAnterior,BM.MEDAnterior),IF(AND(RegimeExecucao="Global",$I46&gt;0,COUNTIF($AB$13:$AM$13,BM.medicao-1)&gt;0),M46/$I46*100,0))</f>
        <v>0</v>
      </c>
      <c r="K46" s="124">
        <f ca="1">L46-J46</f>
        <v>0</v>
      </c>
      <c r="L46" s="377">
        <f ca="1">IF($A46="S",IF(CAIXA.Modo,BM.AFAcumulado,BM.MEDAcumulado),IF(AND(RegimeExecucao="Global",$I46&gt;0,COUNTIF($AB$13:$AM$13,BM.medicao)&gt;0),O46/$I46*100,0))</f>
        <v>0</v>
      </c>
      <c r="M46" s="378">
        <f ca="1">IF($A46="S",VTOTALBM,IF($A46=0,0,ROUND(SomaAgrupBM,15-13*ORÇAMENTO!$AF$11)))</f>
        <v>0</v>
      </c>
      <c r="N46" s="379">
        <f ca="1">O46-M46</f>
        <v>0</v>
      </c>
      <c r="O46" s="127">
        <f ca="1">IF($A46="S",VTOTALBM,IF($A46=0,0,ROUND(SomaAgrupBM,15-13*ORÇAMENTO!$AF$11)))</f>
        <v>0</v>
      </c>
      <c r="Q46" s="380"/>
      <c r="R46" s="381"/>
      <c r="T46" s="119" t="str">
        <f ca="1">IF($W46&gt;0,$D46,"")</f>
        <v/>
      </c>
      <c r="U46" s="172" t="str">
        <f ca="1">IF($W46&gt;0,$E46,"")</f>
        <v/>
      </c>
      <c r="V46" s="173" t="str">
        <f ca="1">IF(AND($W46&gt;0,RegimeExecucao="Unitário"),$F46,"")</f>
        <v/>
      </c>
      <c r="W46" s="525">
        <f ca="1">IF($Y46&gt;0,CHOOSE(MATCH(RegimeExecucao,{"Unitário","Global"},0),IF($A46="S",$Y46/$X46,""),($Y46/$X46)*100),0)</f>
        <v>0</v>
      </c>
      <c r="X46" s="382" t="str">
        <f ca="1">IF($Y46&gt;0,CHOOSE(MATCH(RegimeExecucao,{"Unitário","Global"},0),IF($A46="S",ROUND($H46,ORÇAMENTO!$AF$10),""),ROUND($I46,ORÇAMENTO!$AF$11)),"")</f>
        <v/>
      </c>
      <c r="Y46" s="382">
        <f ca="1">AO46-O46</f>
        <v>0</v>
      </c>
      <c r="Z46" s="549"/>
      <c r="AB46" s="380"/>
      <c r="AC46" s="503"/>
      <c r="AD46" s="503"/>
      <c r="AE46" s="503"/>
      <c r="AF46" s="503"/>
      <c r="AG46" s="503"/>
      <c r="AH46" s="503"/>
      <c r="AI46" s="503"/>
      <c r="AJ46" s="503"/>
      <c r="AK46" s="503"/>
      <c r="AL46" s="503"/>
      <c r="AM46" s="381"/>
      <c r="AO46">
        <f ca="1">IF($A46="S",IF(BM!$I46=0,0,CHOOSE(MATCH(RegimeExecucao,{"Global","Unitário"},0),ROUND(ROUND(BM.MEDAcumulado,15-13*BM!$A$9)/100*BM!$I46,15-13*ORÇAMENTO!$AF$11),ROUND(ROUND(BM.MEDAcumulado,15-13*BM!$A$9)*ROUND(BM!$H46,15-13*ORÇAMENTO!$AF$10),15-13*ORÇAMENTO!$AF$11))),IF($A46=0,0,ROUND(SomaAgrupBM,15-13*ORÇAMENTO!$AF$11)))</f>
        <v>0</v>
      </c>
    </row>
    <row r="47" spans="1:41" x14ac:dyDescent="0.2">
      <c r="A47">
        <f ca="1">ORÇAMENTO!C47</f>
        <v>2</v>
      </c>
      <c r="B47">
        <f ca="1">ORÇAMENTO!D47</f>
        <v>4</v>
      </c>
      <c r="C47" s="116" t="str">
        <f t="shared" ca="1" si="15"/>
        <v>F</v>
      </c>
      <c r="D47" s="119" t="str">
        <f ca="1">ORÇAMENTO!O47</f>
        <v>1.5.</v>
      </c>
      <c r="E47" s="172" t="str">
        <f t="shared" ca="1" si="16"/>
        <v>SINALIZAÇÃO</v>
      </c>
      <c r="F47" s="173" t="str">
        <f ca="1">IF(RegimeExecucao="Global","",ORÇAMENTO.Unidade)</f>
        <v/>
      </c>
      <c r="G47" s="124" t="str">
        <f ca="1">IF(RegimeExecucao="Global","",ORÇAMENTO!T47)</f>
        <v/>
      </c>
      <c r="H47" s="124" t="str">
        <f ca="1">IF(RegimeExecucao="Global","",ORÇAMENTO!W47)</f>
        <v/>
      </c>
      <c r="I47" s="127">
        <f ca="1">ORÇAMENTO!X47</f>
        <v>0</v>
      </c>
      <c r="J47" s="376">
        <f ca="1">IF($A47="S",IF(CAIXA.Modo,BM.AFAnterior,BM.MEDAnterior),IF(AND(RegimeExecucao="Global",$I47&gt;0,COUNTIF($AB$13:$AM$13,BM.medicao-1)&gt;0),M47/$I47*100,0))</f>
        <v>0</v>
      </c>
      <c r="K47" s="124">
        <f t="shared" ca="1" si="17"/>
        <v>0</v>
      </c>
      <c r="L47" s="377">
        <f ca="1">IF($A47="S",IF(CAIXA.Modo,BM.AFAcumulado,BM.MEDAcumulado),IF(AND(RegimeExecucao="Global",$I47&gt;0,COUNTIF($AB$13:$AM$13,BM.medicao)&gt;0),O47/$I47*100,0))</f>
        <v>0</v>
      </c>
      <c r="M47" s="378">
        <f ca="1">IF($A47="S",VTOTALBM,IF($A47=0,0,ROUND(SomaAgrupBM,15-13*ORÇAMENTO!$AF$11)))</f>
        <v>0</v>
      </c>
      <c r="N47" s="379">
        <f t="shared" ca="1" si="18"/>
        <v>0</v>
      </c>
      <c r="O47" s="127">
        <f ca="1">IF($A47="S",VTOTALBM,IF($A47=0,0,ROUND(SomaAgrupBM,15-13*ORÇAMENTO!$AF$11)))</f>
        <v>0</v>
      </c>
      <c r="Q47" s="380"/>
      <c r="R47" s="381"/>
      <c r="T47" s="119" t="str">
        <f t="shared" ca="1" si="19"/>
        <v/>
      </c>
      <c r="U47" s="172" t="str">
        <f t="shared" ca="1" si="20"/>
        <v/>
      </c>
      <c r="V47" s="173" t="str">
        <f ca="1">IF(AND($W47&gt;0,RegimeExecucao="Unitário"),$F47,"")</f>
        <v/>
      </c>
      <c r="W47" s="525">
        <f ca="1">IF($Y47&gt;0,CHOOSE(MATCH(RegimeExecucao,{"Unitário","Global"},0),IF($A47="S",$Y47/$X47,""),($Y47/$X47)*100),0)</f>
        <v>0</v>
      </c>
      <c r="X47" s="382" t="str">
        <f ca="1">IF($Y47&gt;0,CHOOSE(MATCH(RegimeExecucao,{"Unitário","Global"},0),IF($A47="S",ROUND($H47,ORÇAMENTO!$AF$10),""),ROUND($I47,ORÇAMENTO!$AF$11)),"")</f>
        <v/>
      </c>
      <c r="Y47" s="382">
        <f t="shared" ca="1" si="21"/>
        <v>0</v>
      </c>
      <c r="Z47" s="549"/>
      <c r="AB47" s="380"/>
      <c r="AC47" s="503"/>
      <c r="AD47" s="503"/>
      <c r="AE47" s="503"/>
      <c r="AF47" s="503"/>
      <c r="AG47" s="503"/>
      <c r="AH47" s="503"/>
      <c r="AI47" s="503"/>
      <c r="AJ47" s="503"/>
      <c r="AK47" s="503"/>
      <c r="AL47" s="503"/>
      <c r="AM47" s="381"/>
      <c r="AO47">
        <f ca="1">IF($A47="S",IF(BM!$I47=0,0,CHOOSE(MATCH(RegimeExecucao,{"Global","Unitário"},0),ROUND(ROUND(BM.MEDAcumulado,15-13*BM!$A$9)/100*BM!$I47,15-13*ORÇAMENTO!$AF$11),ROUND(ROUND(BM.MEDAcumulado,15-13*BM!$A$9)*ROUND(BM!$H47,15-13*ORÇAMENTO!$AF$10),15-13*ORÇAMENTO!$AF$11))),IF($A47=0,0,ROUND(SomaAgrupBM,15-13*ORÇAMENTO!$AF$11)))</f>
        <v>0</v>
      </c>
    </row>
    <row r="48" spans="1:41" ht="38.25" x14ac:dyDescent="0.2">
      <c r="A48" t="str">
        <f ca="1">ORÇAMENTO!C48</f>
        <v>S</v>
      </c>
      <c r="B48">
        <f ca="1">ORÇAMENTO!D48</f>
        <v>0</v>
      </c>
      <c r="C48" s="116" t="str">
        <f t="shared" ca="1" si="15"/>
        <v/>
      </c>
      <c r="D48" s="119" t="str">
        <f ca="1">ORÇAMENTO!O48</f>
        <v>-</v>
      </c>
      <c r="E48" s="172" t="str">
        <f t="shared" ca="1" si="16"/>
        <v>(abra o arquivo 'Referência 05-Friday.xlsm)</v>
      </c>
      <c r="F48" s="173" t="str">
        <f ca="1">IF(RegimeExecucao="Global","",ORÇAMENTO.Unidade)</f>
        <v/>
      </c>
      <c r="G48" s="124" t="str">
        <f ca="1">IF(RegimeExecucao="Global","",ORÇAMENTO!T48)</f>
        <v/>
      </c>
      <c r="H48" s="124" t="str">
        <f ca="1">IF(RegimeExecucao="Global","",ORÇAMENTO!W48)</f>
        <v/>
      </c>
      <c r="I48" s="127">
        <f ca="1">ORÇAMENTO!X48</f>
        <v>0</v>
      </c>
      <c r="J48" s="376">
        <f ca="1">IF($A48="S",IF(CAIXA.Modo,BM.AFAnterior,BM.MEDAnterior),IF(AND(RegimeExecucao="Global",$I48&gt;0,COUNTIF($AB$13:$AM$13,BM.medicao-1)&gt;0),M48/$I48*100,0))</f>
        <v>0</v>
      </c>
      <c r="K48" s="124">
        <f t="shared" ca="1" si="17"/>
        <v>0</v>
      </c>
      <c r="L48" s="377">
        <f ca="1">IF($A48="S",IF(CAIXA.Modo,BM.AFAcumulado,BM.MEDAcumulado),IF(AND(RegimeExecucao="Global",$I48&gt;0,COUNTIF($AB$13:$AM$13,BM.medicao)&gt;0),O48/$I48*100,0))</f>
        <v>0</v>
      </c>
      <c r="M48" s="378">
        <f ca="1">IF($A48="S",VTOTALBM,IF($A48=0,0,ROUND(SomaAgrupBM,15-13*ORÇAMENTO!$AF$11)))</f>
        <v>0</v>
      </c>
      <c r="N48" s="379">
        <f t="shared" ca="1" si="18"/>
        <v>0</v>
      </c>
      <c r="O48" s="127">
        <f ca="1">IF($A48="S",VTOTALBM,IF($A48=0,0,ROUND(SomaAgrupBM,15-13*ORÇAMENTO!$AF$11)))</f>
        <v>0</v>
      </c>
      <c r="Q48" s="380"/>
      <c r="R48" s="381"/>
      <c r="T48" s="119" t="str">
        <f t="shared" ca="1" si="19"/>
        <v/>
      </c>
      <c r="U48" s="172" t="str">
        <f t="shared" ca="1" si="20"/>
        <v/>
      </c>
      <c r="V48" s="173" t="str">
        <f ca="1">IF(AND($W48&gt;0,RegimeExecucao="Unitário"),$F48,"")</f>
        <v/>
      </c>
      <c r="W48" s="525">
        <f ca="1">IF($Y48&gt;0,CHOOSE(MATCH(RegimeExecucao,{"Unitário","Global"},0),IF($A48="S",$Y48/$X48,""),($Y48/$X48)*100),0)</f>
        <v>0</v>
      </c>
      <c r="X48" s="382" t="str">
        <f ca="1">IF($Y48&gt;0,CHOOSE(MATCH(RegimeExecucao,{"Unitário","Global"},0),IF($A48="S",ROUND($H48,ORÇAMENTO!$AF$10),""),ROUND($I48,ORÇAMENTO!$AF$11)),"")</f>
        <v/>
      </c>
      <c r="Y48" s="382">
        <f t="shared" ca="1" si="21"/>
        <v>0</v>
      </c>
      <c r="Z48" s="549"/>
      <c r="AB48" s="380"/>
      <c r="AC48" s="503"/>
      <c r="AD48" s="503"/>
      <c r="AE48" s="503"/>
      <c r="AF48" s="503"/>
      <c r="AG48" s="503"/>
      <c r="AH48" s="503"/>
      <c r="AI48" s="503"/>
      <c r="AJ48" s="503"/>
      <c r="AK48" s="503"/>
      <c r="AL48" s="503"/>
      <c r="AM48" s="381"/>
      <c r="AO48">
        <f ca="1">IF($A48="S",IF(BM!$I48=0,0,CHOOSE(MATCH(RegimeExecucao,{"Global","Unitário"},0),ROUND(ROUND(BM.MEDAcumulado,15-13*BM!$A$9)/100*BM!$I48,15-13*ORÇAMENTO!$AF$11),ROUND(ROUND(BM.MEDAcumulado,15-13*BM!$A$9)*ROUND(BM!$H48,15-13*ORÇAMENTO!$AF$10),15-13*ORÇAMENTO!$AF$11))),IF($A48=0,0,ROUND(SomaAgrupBM,15-13*ORÇAMENTO!$AF$11)))</f>
        <v>0</v>
      </c>
    </row>
    <row r="49" spans="1:41" ht="25.5" x14ac:dyDescent="0.2">
      <c r="A49" t="str">
        <f ca="1">ORÇAMENTO!C49</f>
        <v>S</v>
      </c>
      <c r="B49">
        <f ca="1">ORÇAMENTO!D49</f>
        <v>0</v>
      </c>
      <c r="C49" s="116" t="str">
        <f t="shared" ca="1" si="15"/>
        <v/>
      </c>
      <c r="D49" s="119" t="str">
        <f ca="1">ORÇAMENTO!O49</f>
        <v>-</v>
      </c>
      <c r="E49" s="172" t="str">
        <f t="shared" ca="1" si="16"/>
        <v>(abra o arquivo 'Referência 05-Friday.xlsm)</v>
      </c>
      <c r="F49" s="173" t="str">
        <f ca="1">IF(RegimeExecucao="Global","",ORÇAMENTO.Unidade)</f>
        <v/>
      </c>
      <c r="G49" s="124" t="str">
        <f ca="1">IF(RegimeExecucao="Global","",ORÇAMENTO!T49)</f>
        <v/>
      </c>
      <c r="H49" s="124" t="str">
        <f ca="1">IF(RegimeExecucao="Global","",ORÇAMENTO!W49)</f>
        <v/>
      </c>
      <c r="I49" s="127">
        <f ca="1">ORÇAMENTO!X49</f>
        <v>0</v>
      </c>
      <c r="J49" s="376">
        <f ca="1">IF($A49="S",IF(CAIXA.Modo,BM.AFAnterior,BM.MEDAnterior),IF(AND(RegimeExecucao="Global",$I49&gt;0,COUNTIF($AB$13:$AM$13,BM.medicao-1)&gt;0),M49/$I49*100,0))</f>
        <v>0</v>
      </c>
      <c r="K49" s="124">
        <f t="shared" ca="1" si="17"/>
        <v>0</v>
      </c>
      <c r="L49" s="377">
        <f ca="1">IF($A49="S",IF(CAIXA.Modo,BM.AFAcumulado,BM.MEDAcumulado),IF(AND(RegimeExecucao="Global",$I49&gt;0,COUNTIF($AB$13:$AM$13,BM.medicao)&gt;0),O49/$I49*100,0))</f>
        <v>0</v>
      </c>
      <c r="M49" s="378">
        <f ca="1">IF($A49="S",VTOTALBM,IF($A49=0,0,ROUND(SomaAgrupBM,15-13*ORÇAMENTO!$AF$11)))</f>
        <v>0</v>
      </c>
      <c r="N49" s="379">
        <f t="shared" ca="1" si="18"/>
        <v>0</v>
      </c>
      <c r="O49" s="127">
        <f ca="1">IF($A49="S",VTOTALBM,IF($A49=0,0,ROUND(SomaAgrupBM,15-13*ORÇAMENTO!$AF$11)))</f>
        <v>0</v>
      </c>
      <c r="Q49" s="380"/>
      <c r="R49" s="381"/>
      <c r="T49" s="119" t="str">
        <f t="shared" ca="1" si="19"/>
        <v/>
      </c>
      <c r="U49" s="172" t="str">
        <f t="shared" ca="1" si="20"/>
        <v/>
      </c>
      <c r="V49" s="173" t="str">
        <f ca="1">IF(AND($W49&gt;0,RegimeExecucao="Unitário"),$F49,"")</f>
        <v/>
      </c>
      <c r="W49" s="525">
        <f ca="1">IF($Y49&gt;0,CHOOSE(MATCH(RegimeExecucao,{"Unitário","Global"},0),IF($A49="S",$Y49/$X49,""),($Y49/$X49)*100),0)</f>
        <v>0</v>
      </c>
      <c r="X49" s="382" t="str">
        <f ca="1">IF($Y49&gt;0,CHOOSE(MATCH(RegimeExecucao,{"Unitário","Global"},0),IF($A49="S",ROUND($H49,ORÇAMENTO!$AF$10),""),ROUND($I49,ORÇAMENTO!$AF$11)),"")</f>
        <v/>
      </c>
      <c r="Y49" s="382">
        <f t="shared" ca="1" si="21"/>
        <v>0</v>
      </c>
      <c r="Z49" s="549"/>
      <c r="AB49" s="380"/>
      <c r="AC49" s="503"/>
      <c r="AD49" s="503"/>
      <c r="AE49" s="503"/>
      <c r="AF49" s="503"/>
      <c r="AG49" s="503"/>
      <c r="AH49" s="503"/>
      <c r="AI49" s="503"/>
      <c r="AJ49" s="503"/>
      <c r="AK49" s="503"/>
      <c r="AL49" s="503"/>
      <c r="AM49" s="381"/>
      <c r="AO49">
        <f ca="1">IF($A49="S",IF(BM!$I49=0,0,CHOOSE(MATCH(RegimeExecucao,{"Global","Unitário"},0),ROUND(ROUND(BM.MEDAcumulado,15-13*BM!$A$9)/100*BM!$I49,15-13*ORÇAMENTO!$AF$11),ROUND(ROUND(BM.MEDAcumulado,15-13*BM!$A$9)*ROUND(BM!$H49,15-13*ORÇAMENTO!$AF$10),15-13*ORÇAMENTO!$AF$11))),IF($A49=0,0,ROUND(SomaAgrupBM,15-13*ORÇAMENTO!$AF$11)))</f>
        <v>0</v>
      </c>
    </row>
    <row r="50" spans="1:41" ht="25.5" x14ac:dyDescent="0.2">
      <c r="A50" t="str">
        <f ca="1">ORÇAMENTO!C50</f>
        <v>S</v>
      </c>
      <c r="B50">
        <f ca="1">ORÇAMENTO!D50</f>
        <v>0</v>
      </c>
      <c r="C50" s="116" t="str">
        <f ca="1">IF(OR($I50&gt;0,$A50=1,$A50=2,$A50=3,$A50=4),"F","")</f>
        <v/>
      </c>
      <c r="D50" s="119" t="str">
        <f ca="1">ORÇAMENTO!O50</f>
        <v>-</v>
      </c>
      <c r="E50" s="172" t="str">
        <f ca="1">ORÇAMENTO.Descricao</f>
        <v>(abra o arquivo 'Referência 05-Friday.xlsm)</v>
      </c>
      <c r="F50" s="173" t="str">
        <f ca="1">IF(RegimeExecucao="Global","",ORÇAMENTO.Unidade)</f>
        <v/>
      </c>
      <c r="G50" s="124" t="str">
        <f ca="1">IF(RegimeExecucao="Global","",ORÇAMENTO!T50)</f>
        <v/>
      </c>
      <c r="H50" s="124" t="str">
        <f ca="1">IF(RegimeExecucao="Global","",ORÇAMENTO!W50)</f>
        <v/>
      </c>
      <c r="I50" s="127">
        <f ca="1">ORÇAMENTO!X50</f>
        <v>0</v>
      </c>
      <c r="J50" s="376">
        <f ca="1">IF($A50="S",IF(CAIXA.Modo,BM.AFAnterior,BM.MEDAnterior),IF(AND(RegimeExecucao="Global",$I50&gt;0,COUNTIF($AB$13:$AM$13,BM.medicao-1)&gt;0),M50/$I50*100,0))</f>
        <v>0</v>
      </c>
      <c r="K50" s="124">
        <f ca="1">L50-J50</f>
        <v>0</v>
      </c>
      <c r="L50" s="377">
        <f ca="1">IF($A50="S",IF(CAIXA.Modo,BM.AFAcumulado,BM.MEDAcumulado),IF(AND(RegimeExecucao="Global",$I50&gt;0,COUNTIF($AB$13:$AM$13,BM.medicao)&gt;0),O50/$I50*100,0))</f>
        <v>0</v>
      </c>
      <c r="M50" s="378">
        <f ca="1">IF($A50="S",VTOTALBM,IF($A50=0,0,ROUND(SomaAgrupBM,15-13*ORÇAMENTO!$AF$11)))</f>
        <v>0</v>
      </c>
      <c r="N50" s="379">
        <f ca="1">O50-M50</f>
        <v>0</v>
      </c>
      <c r="O50" s="127">
        <f ca="1">IF($A50="S",VTOTALBM,IF($A50=0,0,ROUND(SomaAgrupBM,15-13*ORÇAMENTO!$AF$11)))</f>
        <v>0</v>
      </c>
      <c r="Q50" s="380"/>
      <c r="R50" s="381"/>
      <c r="T50" s="119" t="str">
        <f ca="1">IF($W50&gt;0,$D50,"")</f>
        <v/>
      </c>
      <c r="U50" s="172" t="str">
        <f ca="1">IF($W50&gt;0,$E50,"")</f>
        <v/>
      </c>
      <c r="V50" s="173" t="str">
        <f ca="1">IF(AND($W50&gt;0,RegimeExecucao="Unitário"),$F50,"")</f>
        <v/>
      </c>
      <c r="W50" s="525">
        <f ca="1">IF($Y50&gt;0,CHOOSE(MATCH(RegimeExecucao,{"Unitário","Global"},0),IF($A50="S",$Y50/$X50,""),($Y50/$X50)*100),0)</f>
        <v>0</v>
      </c>
      <c r="X50" s="382" t="str">
        <f ca="1">IF($Y50&gt;0,CHOOSE(MATCH(RegimeExecucao,{"Unitário","Global"},0),IF($A50="S",ROUND($H50,ORÇAMENTO!$AF$10),""),ROUND($I50,ORÇAMENTO!$AF$11)),"")</f>
        <v/>
      </c>
      <c r="Y50" s="382">
        <f ca="1">AO50-O50</f>
        <v>0</v>
      </c>
      <c r="Z50" s="549"/>
      <c r="AB50" s="380"/>
      <c r="AC50" s="503"/>
      <c r="AD50" s="503"/>
      <c r="AE50" s="503"/>
      <c r="AF50" s="503"/>
      <c r="AG50" s="503"/>
      <c r="AH50" s="503"/>
      <c r="AI50" s="503"/>
      <c r="AJ50" s="503"/>
      <c r="AK50" s="503"/>
      <c r="AL50" s="503"/>
      <c r="AM50" s="381"/>
      <c r="AO50">
        <f ca="1">IF($A50="S",IF(BM!$I50=0,0,CHOOSE(MATCH(RegimeExecucao,{"Global","Unitário"},0),ROUND(ROUND(BM.MEDAcumulado,15-13*BM!$A$9)/100*BM!$I50,15-13*ORÇAMENTO!$AF$11),ROUND(ROUND(BM.MEDAcumulado,15-13*BM!$A$9)*ROUND(BM!$H50,15-13*ORÇAMENTO!$AF$10),15-13*ORÇAMENTO!$AF$11))),IF($A50=0,0,ROUND(SomaAgrupBM,15-13*ORÇAMENTO!$AF$11)))</f>
        <v>0</v>
      </c>
    </row>
    <row r="51" spans="1:41" ht="5.0999999999999996" customHeight="1" x14ac:dyDescent="0.2">
      <c r="C51" s="116" t="s">
        <v>245</v>
      </c>
      <c r="D51" s="471"/>
      <c r="E51" s="472"/>
      <c r="F51" s="472"/>
      <c r="G51" s="472"/>
      <c r="H51" s="472"/>
      <c r="I51" s="473"/>
      <c r="J51" s="471"/>
      <c r="K51" s="472"/>
      <c r="L51" s="473"/>
      <c r="M51" s="500"/>
      <c r="N51" s="501"/>
      <c r="O51" s="502"/>
      <c r="Q51" s="471"/>
      <c r="R51" s="473"/>
      <c r="T51" s="471"/>
      <c r="U51" s="472"/>
      <c r="V51" s="472"/>
      <c r="W51" s="472"/>
      <c r="X51" s="472"/>
      <c r="Y51" s="472"/>
      <c r="Z51" s="473"/>
      <c r="AB51" s="471"/>
      <c r="AC51" s="472"/>
      <c r="AD51" s="472"/>
      <c r="AE51" s="472"/>
      <c r="AF51" s="472"/>
      <c r="AG51" s="472"/>
      <c r="AH51" s="472"/>
      <c r="AI51" s="472"/>
      <c r="AJ51" s="472"/>
      <c r="AK51" s="472"/>
      <c r="AL51" s="472"/>
      <c r="AM51" s="473"/>
    </row>
    <row r="53" spans="1:41" ht="14.25" x14ac:dyDescent="0.2">
      <c r="D53" s="722" t="s">
        <v>186</v>
      </c>
      <c r="E53" s="722"/>
      <c r="F53" s="722"/>
      <c r="G53" s="722"/>
      <c r="H53" s="722"/>
      <c r="I53" s="722"/>
      <c r="J53" s="722"/>
      <c r="K53" s="722"/>
      <c r="L53" s="722"/>
      <c r="M53" s="722"/>
      <c r="N53" s="722"/>
      <c r="O53" s="722"/>
      <c r="T53" s="723" t="s">
        <v>351</v>
      </c>
      <c r="U53" s="723"/>
      <c r="V53" s="723"/>
      <c r="W53" s="723"/>
      <c r="X53" s="723"/>
      <c r="Y53" s="723"/>
      <c r="Z53" s="723"/>
    </row>
    <row r="54" spans="1:41" ht="12.75" customHeight="1" x14ac:dyDescent="0.2">
      <c r="D54" s="642"/>
      <c r="E54" s="642"/>
      <c r="F54" s="642"/>
      <c r="G54" s="642"/>
      <c r="H54" s="642"/>
      <c r="I54" s="642"/>
      <c r="J54" s="642"/>
      <c r="K54" s="642"/>
      <c r="L54" s="642"/>
      <c r="M54" s="642"/>
      <c r="N54" s="642"/>
      <c r="O54" s="642"/>
      <c r="T54" s="724"/>
      <c r="U54" s="724"/>
      <c r="V54" s="724"/>
      <c r="W54" s="724"/>
      <c r="X54" s="724"/>
      <c r="Y54" s="724"/>
      <c r="Z54" s="724"/>
    </row>
    <row r="55" spans="1:41" ht="12.75" customHeight="1" x14ac:dyDescent="0.2">
      <c r="D55" s="642"/>
      <c r="E55" s="642"/>
      <c r="F55" s="642"/>
      <c r="G55" s="642"/>
      <c r="H55" s="642"/>
      <c r="I55" s="642"/>
      <c r="J55" s="642"/>
      <c r="K55" s="642"/>
      <c r="L55" s="642"/>
      <c r="M55" s="642"/>
      <c r="N55" s="642"/>
      <c r="O55" s="642"/>
      <c r="T55" s="724"/>
      <c r="U55" s="724"/>
      <c r="V55" s="724"/>
      <c r="W55" s="724"/>
      <c r="X55" s="724"/>
      <c r="Y55" s="724"/>
      <c r="Z55" s="724"/>
    </row>
    <row r="56" spans="1:41" ht="12.75" customHeight="1" x14ac:dyDescent="0.2">
      <c r="D56" s="642"/>
      <c r="E56" s="642"/>
      <c r="F56" s="642"/>
      <c r="G56" s="642"/>
      <c r="H56" s="642"/>
      <c r="I56" s="642"/>
      <c r="J56" s="642"/>
      <c r="K56" s="642"/>
      <c r="L56" s="642"/>
      <c r="M56" s="642"/>
      <c r="N56" s="642"/>
      <c r="O56" s="642"/>
      <c r="T56" s="724"/>
      <c r="U56" s="724"/>
      <c r="V56" s="724"/>
      <c r="W56" s="724"/>
      <c r="X56" s="724"/>
      <c r="Y56" s="724"/>
      <c r="Z56" s="724"/>
    </row>
    <row r="57" spans="1:41" ht="14.25" x14ac:dyDescent="0.2">
      <c r="D57" s="512"/>
      <c r="E57" s="512"/>
      <c r="F57" s="512"/>
      <c r="G57" s="512"/>
      <c r="H57" s="512"/>
      <c r="I57" s="512"/>
      <c r="J57" s="512"/>
      <c r="K57" s="512"/>
      <c r="L57" s="512"/>
      <c r="M57" s="512"/>
      <c r="N57" s="512"/>
      <c r="O57" s="512"/>
    </row>
    <row r="58" spans="1:41" ht="15" customHeight="1" x14ac:dyDescent="0.25">
      <c r="D58" s="643"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Preço total; Medição.</v>
      </c>
      <c r="E58" s="643"/>
      <c r="F58" s="643"/>
      <c r="G58" s="643"/>
      <c r="H58" s="643"/>
      <c r="I58" s="643"/>
      <c r="J58" s="643"/>
      <c r="K58" s="643"/>
      <c r="L58" s="643"/>
    </row>
    <row r="59" spans="1:41" x14ac:dyDescent="0.2">
      <c r="D59" s="720"/>
      <c r="E59" s="720"/>
      <c r="F59" s="720"/>
      <c r="G59" s="720"/>
      <c r="H59" s="720"/>
      <c r="I59" s="720"/>
    </row>
    <row r="60" spans="1:41" x14ac:dyDescent="0.2">
      <c r="D60" s="718"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60" s="718"/>
      <c r="F60" s="718"/>
      <c r="G60" s="718"/>
      <c r="H60" s="718"/>
      <c r="I60" s="718"/>
      <c r="J60" s="718"/>
      <c r="K60" s="718"/>
      <c r="L60" s="718"/>
      <c r="M60" s="718"/>
      <c r="N60" s="718"/>
      <c r="O60" s="718"/>
    </row>
    <row r="61" spans="1:41" ht="39.950000000000003" customHeight="1" x14ac:dyDescent="0.2">
      <c r="E61" s="144" t="str">
        <f>Import.Município</f>
        <v>BENTO GONÇALVES/RS</v>
      </c>
      <c r="J61" s="719"/>
      <c r="K61" s="719"/>
      <c r="L61" s="719"/>
      <c r="M61" s="719"/>
      <c r="W61" s="719"/>
      <c r="X61" s="719"/>
      <c r="Y61" s="719"/>
      <c r="Z61" s="719"/>
    </row>
    <row r="62" spans="1:41" x14ac:dyDescent="0.2">
      <c r="E62" s="10" t="s">
        <v>187</v>
      </c>
      <c r="J62" s="195" t="s">
        <v>300</v>
      </c>
      <c r="W62" s="195" t="s">
        <v>352</v>
      </c>
    </row>
    <row r="63" spans="1:41" x14ac:dyDescent="0.2">
      <c r="J63" s="78" t="s">
        <v>108</v>
      </c>
      <c r="K63" s="311" t="str">
        <f t="array" ref="K63:K66">Import.RespFiscalização</f>
        <v>SERVIDOR A DEFINIR</v>
      </c>
      <c r="L63" s="79"/>
      <c r="W63" s="78" t="s">
        <v>108</v>
      </c>
      <c r="X63" s="717"/>
      <c r="Y63" s="717"/>
      <c r="Z63" s="717"/>
    </row>
    <row r="64" spans="1:41" x14ac:dyDescent="0.2">
      <c r="E64" s="530">
        <f>DADOS!$F$48</f>
        <v>45719</v>
      </c>
      <c r="J64" s="78" t="s">
        <v>127</v>
      </c>
      <c r="K64" s="311" t="str">
        <v>NÃO DEFINIDO</v>
      </c>
      <c r="L64" s="79"/>
      <c r="W64" s="78" t="s">
        <v>353</v>
      </c>
      <c r="X64" s="717"/>
      <c r="Y64" s="717"/>
      <c r="Z64" s="717"/>
    </row>
    <row r="65" spans="5:26" x14ac:dyDescent="0.2">
      <c r="E65" s="146" t="s">
        <v>188</v>
      </c>
      <c r="J65" s="78" t="s">
        <v>109</v>
      </c>
      <c r="K65" s="311">
        <v>0</v>
      </c>
      <c r="L65" s="79"/>
      <c r="W65" s="78" t="s">
        <v>109</v>
      </c>
      <c r="X65" s="717"/>
      <c r="Y65" s="717"/>
      <c r="Z65" s="717"/>
    </row>
    <row r="66" spans="5:26" x14ac:dyDescent="0.2">
      <c r="J66" s="78" t="s">
        <v>110</v>
      </c>
      <c r="K66" s="13">
        <v>0</v>
      </c>
      <c r="W66" s="78"/>
      <c r="X66" s="13"/>
    </row>
  </sheetData>
  <sheetProtection algorithmName="SHA-512" hashValue="uD7SWhskTZB8b9JJfXMp2X/2hSbTpzV6sVd2zFvu3XNn3UZLE8fW2gfZRk6zNlTZ8Hksmwf94DSwNq85V3vDGA==" saltValue="XSKR/68wXS+lkuQSiXXpQA==" spinCount="100000" sheet="1" objects="1" scenarios="1" autoFilter="0"/>
  <autoFilter ref="C15:C51" xr:uid="{00000000-0009-0000-0000-00000B000000}"/>
  <mergeCells count="35">
    <mergeCell ref="D5:E5"/>
    <mergeCell ref="F5:H5"/>
    <mergeCell ref="J5:N5"/>
    <mergeCell ref="A3:B3"/>
    <mergeCell ref="D4:E4"/>
    <mergeCell ref="F4:H4"/>
    <mergeCell ref="J4:N4"/>
    <mergeCell ref="C8:C12"/>
    <mergeCell ref="F8:H8"/>
    <mergeCell ref="I8:L8"/>
    <mergeCell ref="M8:N8"/>
    <mergeCell ref="E10:I11"/>
    <mergeCell ref="N10:O11"/>
    <mergeCell ref="AB11:AM11"/>
    <mergeCell ref="J12:L12"/>
    <mergeCell ref="M12:O12"/>
    <mergeCell ref="Q12:R12"/>
    <mergeCell ref="F7:H7"/>
    <mergeCell ref="I7:L7"/>
    <mergeCell ref="M7:N7"/>
    <mergeCell ref="T11:U11"/>
    <mergeCell ref="D58:L58"/>
    <mergeCell ref="D59:I59"/>
    <mergeCell ref="AB15:AM15"/>
    <mergeCell ref="D53:O53"/>
    <mergeCell ref="T53:Z53"/>
    <mergeCell ref="D54:O56"/>
    <mergeCell ref="T54:Z56"/>
    <mergeCell ref="D15:E15"/>
    <mergeCell ref="X65:Z65"/>
    <mergeCell ref="D60:O60"/>
    <mergeCell ref="J61:M61"/>
    <mergeCell ref="W61:Z61"/>
    <mergeCell ref="X63:Z63"/>
    <mergeCell ref="X64:Z64"/>
  </mergeCells>
  <phoneticPr fontId="38" type="noConversion"/>
  <conditionalFormatting sqref="D14:O14 T14:Z14 D16:O16 T16:Z16 T36:Z37 D36:O37 D43:O44 T43:Z44 D22:O23 T22:Z23 T26:Z34 D26:O34">
    <cfRule type="expression" dxfId="102" priority="4893" stopIfTrue="1">
      <formula>OR(ACOMPANHAMENTO="PLE",TIPOORCAMENTO="Proposto",$L14&lt;0,AND($L14&gt;100,RegimeExecucao="Global"),$O14&gt;$I14,$O14&lt;0)</formula>
    </cfRule>
    <cfRule type="expression" dxfId="101" priority="4894" stopIfTrue="1">
      <formula>$A14=1</formula>
    </cfRule>
    <cfRule type="expression" dxfId="100" priority="4895" stopIfTrue="1">
      <formula>$A14&lt;&gt;"S"</formula>
    </cfRule>
  </conditionalFormatting>
  <conditionalFormatting sqref="Q14:R14 AB14:AM14 Q16:R16 AB16:AM16 AB36:AM37 Q36:R37 Q43:R44 AB43:AM44 Q22:R23 AB22:AM23 AB26:AM34 Q26:R34">
    <cfRule type="expression" dxfId="99" priority="4896" stopIfTrue="1">
      <formula>$A14=1</formula>
    </cfRule>
    <cfRule type="expression" dxfId="98" priority="4897" stopIfTrue="1">
      <formula>$A14&lt;&gt;"S"</formula>
    </cfRule>
  </conditionalFormatting>
  <conditionalFormatting sqref="E2">
    <cfRule type="expression" dxfId="97" priority="4898" stopIfTrue="1">
      <formula>Import.RegimeExecução="(SELECIONAR)"</formula>
    </cfRule>
  </conditionalFormatting>
  <conditionalFormatting sqref="F13:H13">
    <cfRule type="expression" dxfId="96" priority="4899" stopIfTrue="1">
      <formula>RegimeExecucao="Global"</formula>
    </cfRule>
  </conditionalFormatting>
  <conditionalFormatting sqref="D15:O15">
    <cfRule type="expression" dxfId="95" priority="4900" stopIfTrue="1">
      <formula>OR(ACOMPANHAMENTO="PLE",TIPOORCAMENTO="Proposto")</formula>
    </cfRule>
  </conditionalFormatting>
  <conditionalFormatting sqref="AB13">
    <cfRule type="cellIs" dxfId="94" priority="4901" stopIfTrue="1" operator="notEqual">
      <formula>1</formula>
    </cfRule>
  </conditionalFormatting>
  <conditionalFormatting sqref="D17:O17 T17:Z17">
    <cfRule type="expression" dxfId="93" priority="321" stopIfTrue="1">
      <formula>OR(ACOMPANHAMENTO="PLE",TIPOORCAMENTO="Proposto",$L17&lt;0,AND($L17&gt;100,RegimeExecucao="Global"),$O17&gt;$I17,$O17&lt;0)</formula>
    </cfRule>
    <cfRule type="expression" dxfId="92" priority="322" stopIfTrue="1">
      <formula>$A17=1</formula>
    </cfRule>
    <cfRule type="expression" dxfId="91" priority="323" stopIfTrue="1">
      <formula>$A17&lt;&gt;"S"</formula>
    </cfRule>
  </conditionalFormatting>
  <conditionalFormatting sqref="Q17:R17 AB17:AM17">
    <cfRule type="expression" dxfId="90" priority="324" stopIfTrue="1">
      <formula>$A17=1</formula>
    </cfRule>
    <cfRule type="expression" dxfId="89" priority="325" stopIfTrue="1">
      <formula>$A17&lt;&gt;"S"</formula>
    </cfRule>
  </conditionalFormatting>
  <conditionalFormatting sqref="D19:O19 T19:Z19">
    <cfRule type="expression" dxfId="88" priority="306" stopIfTrue="1">
      <formula>OR(ACOMPANHAMENTO="PLE",TIPOORCAMENTO="Proposto",$L19&lt;0,AND($L19&gt;100,RegimeExecucao="Global"),$O19&gt;$I19,$O19&lt;0)</formula>
    </cfRule>
    <cfRule type="expression" dxfId="87" priority="307" stopIfTrue="1">
      <formula>$A19=1</formula>
    </cfRule>
    <cfRule type="expression" dxfId="86" priority="308" stopIfTrue="1">
      <formula>$A19&lt;&gt;"S"</formula>
    </cfRule>
  </conditionalFormatting>
  <conditionalFormatting sqref="Q19:R19 AB19:AM19">
    <cfRule type="expression" dxfId="85" priority="309" stopIfTrue="1">
      <formula>$A19=1</formula>
    </cfRule>
    <cfRule type="expression" dxfId="84" priority="310" stopIfTrue="1">
      <formula>$A19&lt;&gt;"S"</formula>
    </cfRule>
  </conditionalFormatting>
  <conditionalFormatting sqref="D18:O18 T18:Z18">
    <cfRule type="expression" dxfId="83" priority="201" stopIfTrue="1">
      <formula>OR(ACOMPANHAMENTO="PLE",TIPOORCAMENTO="Proposto",$L18&lt;0,AND($L18&gt;100,RegimeExecucao="Global"),$O18&gt;$I18,$O18&lt;0)</formula>
    </cfRule>
    <cfRule type="expression" dxfId="82" priority="202" stopIfTrue="1">
      <formula>$A18=1</formula>
    </cfRule>
    <cfRule type="expression" dxfId="81" priority="203" stopIfTrue="1">
      <formula>$A18&lt;&gt;"S"</formula>
    </cfRule>
  </conditionalFormatting>
  <conditionalFormatting sqref="Q18:R18 AB18:AM18">
    <cfRule type="expression" dxfId="80" priority="204" stopIfTrue="1">
      <formula>$A18=1</formula>
    </cfRule>
    <cfRule type="expression" dxfId="79" priority="205" stopIfTrue="1">
      <formula>$A18&lt;&gt;"S"</formula>
    </cfRule>
  </conditionalFormatting>
  <conditionalFormatting sqref="D35:O35 T35:Z35">
    <cfRule type="expression" dxfId="78" priority="186" stopIfTrue="1">
      <formula>OR(ACOMPANHAMENTO="PLE",TIPOORCAMENTO="Proposto",$L35&lt;0,AND($L35&gt;100,RegimeExecucao="Global"),$O35&gt;$I35,$O35&lt;0)</formula>
    </cfRule>
    <cfRule type="expression" dxfId="77" priority="187" stopIfTrue="1">
      <formula>$A35=1</formula>
    </cfRule>
    <cfRule type="expression" dxfId="76" priority="188" stopIfTrue="1">
      <formula>$A35&lt;&gt;"S"</formula>
    </cfRule>
  </conditionalFormatting>
  <conditionalFormatting sqref="Q35:R35 AB35:AM35">
    <cfRule type="expression" dxfId="75" priority="189" stopIfTrue="1">
      <formula>$A35=1</formula>
    </cfRule>
    <cfRule type="expression" dxfId="74" priority="190" stopIfTrue="1">
      <formula>$A35&lt;&gt;"S"</formula>
    </cfRule>
  </conditionalFormatting>
  <conditionalFormatting sqref="D21:O21 T21:Z21">
    <cfRule type="expression" dxfId="73" priority="141" stopIfTrue="1">
      <formula>OR(ACOMPANHAMENTO="PLE",TIPOORCAMENTO="Proposto",$L21&lt;0,AND($L21&gt;100,RegimeExecucao="Global"),$O21&gt;$I21,$O21&lt;0)</formula>
    </cfRule>
    <cfRule type="expression" dxfId="72" priority="142" stopIfTrue="1">
      <formula>$A21=1</formula>
    </cfRule>
    <cfRule type="expression" dxfId="71" priority="143" stopIfTrue="1">
      <formula>$A21&lt;&gt;"S"</formula>
    </cfRule>
  </conditionalFormatting>
  <conditionalFormatting sqref="Q21:R21 AB21:AM21">
    <cfRule type="expression" dxfId="70" priority="144" stopIfTrue="1">
      <formula>$A21=1</formula>
    </cfRule>
    <cfRule type="expression" dxfId="69" priority="145" stopIfTrue="1">
      <formula>$A21&lt;&gt;"S"</formula>
    </cfRule>
  </conditionalFormatting>
  <conditionalFormatting sqref="D40:O40 T40:Z40">
    <cfRule type="expression" dxfId="68" priority="131" stopIfTrue="1">
      <formula>OR(ACOMPANHAMENTO="PLE",TIPOORCAMENTO="Proposto",$L40&lt;0,AND($L40&gt;100,RegimeExecucao="Global"),$O40&gt;$I40,$O40&lt;0)</formula>
    </cfRule>
    <cfRule type="expression" dxfId="67" priority="132" stopIfTrue="1">
      <formula>$A40=1</formula>
    </cfRule>
    <cfRule type="expression" dxfId="66" priority="133" stopIfTrue="1">
      <formula>$A40&lt;&gt;"S"</formula>
    </cfRule>
  </conditionalFormatting>
  <conditionalFormatting sqref="Q40:R40 AB40:AM40">
    <cfRule type="expression" dxfId="65" priority="134" stopIfTrue="1">
      <formula>$A40=1</formula>
    </cfRule>
    <cfRule type="expression" dxfId="64" priority="135" stopIfTrue="1">
      <formula>$A40&lt;&gt;"S"</formula>
    </cfRule>
  </conditionalFormatting>
  <conditionalFormatting sqref="D47:O49 T47:Z49">
    <cfRule type="expression" dxfId="63" priority="111" stopIfTrue="1">
      <formula>OR(ACOMPANHAMENTO="PLE",TIPOORCAMENTO="Proposto",$L47&lt;0,AND($L47&gt;100,RegimeExecucao="Global"),$O47&gt;$I47,$O47&lt;0)</formula>
    </cfRule>
    <cfRule type="expression" dxfId="62" priority="112" stopIfTrue="1">
      <formula>$A47=1</formula>
    </cfRule>
    <cfRule type="expression" dxfId="61" priority="113" stopIfTrue="1">
      <formula>$A47&lt;&gt;"S"</formula>
    </cfRule>
  </conditionalFormatting>
  <conditionalFormatting sqref="Q47:R49 AB47:AM49">
    <cfRule type="expression" dxfId="60" priority="114" stopIfTrue="1">
      <formula>$A47=1</formula>
    </cfRule>
    <cfRule type="expression" dxfId="59" priority="115" stopIfTrue="1">
      <formula>$A47&lt;&gt;"S"</formula>
    </cfRule>
  </conditionalFormatting>
  <conditionalFormatting sqref="D20:O20 T20:Z20">
    <cfRule type="expression" dxfId="58" priority="76" stopIfTrue="1">
      <formula>OR(ACOMPANHAMENTO="PLE",TIPOORCAMENTO="Proposto",$L20&lt;0,AND($L20&gt;100,RegimeExecucao="Global"),$O20&gt;$I20,$O20&lt;0)</formula>
    </cfRule>
    <cfRule type="expression" dxfId="57" priority="77" stopIfTrue="1">
      <formula>$A20=1</formula>
    </cfRule>
    <cfRule type="expression" dxfId="56" priority="78" stopIfTrue="1">
      <formula>$A20&lt;&gt;"S"</formula>
    </cfRule>
  </conditionalFormatting>
  <conditionalFormatting sqref="Q20:R20 AB20:AM20">
    <cfRule type="expression" dxfId="55" priority="79" stopIfTrue="1">
      <formula>$A20=1</formula>
    </cfRule>
    <cfRule type="expression" dxfId="54" priority="80" stopIfTrue="1">
      <formula>$A20&lt;&gt;"S"</formula>
    </cfRule>
  </conditionalFormatting>
  <conditionalFormatting sqref="D24:O24 T24:Z24">
    <cfRule type="expression" dxfId="53" priority="56" stopIfTrue="1">
      <formula>OR(ACOMPANHAMENTO="PLE",TIPOORCAMENTO="Proposto",$L24&lt;0,AND($L24&gt;100,RegimeExecucao="Global"),$O24&gt;$I24,$O24&lt;0)</formula>
    </cfRule>
    <cfRule type="expression" dxfId="52" priority="57" stopIfTrue="1">
      <formula>$A24=1</formula>
    </cfRule>
    <cfRule type="expression" dxfId="51" priority="58" stopIfTrue="1">
      <formula>$A24&lt;&gt;"S"</formula>
    </cfRule>
  </conditionalFormatting>
  <conditionalFormatting sqref="Q24:R24 AB24:AM24">
    <cfRule type="expression" dxfId="50" priority="59" stopIfTrue="1">
      <formula>$A24=1</formula>
    </cfRule>
    <cfRule type="expression" dxfId="49" priority="60" stopIfTrue="1">
      <formula>$A24&lt;&gt;"S"</formula>
    </cfRule>
  </conditionalFormatting>
  <conditionalFormatting sqref="D25:O25 T25:Z25">
    <cfRule type="expression" dxfId="48" priority="51" stopIfTrue="1">
      <formula>OR(ACOMPANHAMENTO="PLE",TIPOORCAMENTO="Proposto",$L25&lt;0,AND($L25&gt;100,RegimeExecucao="Global"),$O25&gt;$I25,$O25&lt;0)</formula>
    </cfRule>
    <cfRule type="expression" dxfId="47" priority="52" stopIfTrue="1">
      <formula>$A25=1</formula>
    </cfRule>
    <cfRule type="expression" dxfId="46" priority="53" stopIfTrue="1">
      <formula>$A25&lt;&gt;"S"</formula>
    </cfRule>
  </conditionalFormatting>
  <conditionalFormatting sqref="Q25:R25 AB25:AM25">
    <cfRule type="expression" dxfId="45" priority="54" stopIfTrue="1">
      <formula>$A25=1</formula>
    </cfRule>
    <cfRule type="expression" dxfId="44" priority="55" stopIfTrue="1">
      <formula>$A25&lt;&gt;"S"</formula>
    </cfRule>
  </conditionalFormatting>
  <conditionalFormatting sqref="D46:O46 T46:Z46">
    <cfRule type="expression" dxfId="43" priority="46" stopIfTrue="1">
      <formula>OR(ACOMPANHAMENTO="PLE",TIPOORCAMENTO="Proposto",$L46&lt;0,AND($L46&gt;100,RegimeExecucao="Global"),$O46&gt;$I46,$O46&lt;0)</formula>
    </cfRule>
    <cfRule type="expression" dxfId="42" priority="47" stopIfTrue="1">
      <formula>$A46=1</formula>
    </cfRule>
    <cfRule type="expression" dxfId="41" priority="48" stopIfTrue="1">
      <formula>$A46&lt;&gt;"S"</formula>
    </cfRule>
  </conditionalFormatting>
  <conditionalFormatting sqref="Q46:R46 AB46:AM46">
    <cfRule type="expression" dxfId="40" priority="49" stopIfTrue="1">
      <formula>$A46=1</formula>
    </cfRule>
    <cfRule type="expression" dxfId="39" priority="50" stopIfTrue="1">
      <formula>$A46&lt;&gt;"S"</formula>
    </cfRule>
  </conditionalFormatting>
  <conditionalFormatting sqref="D41:O41 T41:Z41">
    <cfRule type="expression" dxfId="38" priority="31" stopIfTrue="1">
      <formula>OR(ACOMPANHAMENTO="PLE",TIPOORCAMENTO="Proposto",$L41&lt;0,AND($L41&gt;100,RegimeExecucao="Global"),$O41&gt;$I41,$O41&lt;0)</formula>
    </cfRule>
    <cfRule type="expression" dxfId="37" priority="32" stopIfTrue="1">
      <formula>$A41=1</formula>
    </cfRule>
    <cfRule type="expression" dxfId="36" priority="33" stopIfTrue="1">
      <formula>$A41&lt;&gt;"S"</formula>
    </cfRule>
  </conditionalFormatting>
  <conditionalFormatting sqref="Q41:R41 AB41:AM41">
    <cfRule type="expression" dxfId="35" priority="34" stopIfTrue="1">
      <formula>$A41=1</formula>
    </cfRule>
    <cfRule type="expression" dxfId="34" priority="35" stopIfTrue="1">
      <formula>$A41&lt;&gt;"S"</formula>
    </cfRule>
  </conditionalFormatting>
  <conditionalFormatting sqref="D50:O50 T50:Z50">
    <cfRule type="expression" dxfId="33" priority="26" stopIfTrue="1">
      <formula>OR(ACOMPANHAMENTO="PLE",TIPOORCAMENTO="Proposto",$L50&lt;0,AND($L50&gt;100,RegimeExecucao="Global"),$O50&gt;$I50,$O50&lt;0)</formula>
    </cfRule>
    <cfRule type="expression" dxfId="32" priority="27" stopIfTrue="1">
      <formula>$A50=1</formula>
    </cfRule>
    <cfRule type="expression" dxfId="31" priority="28" stopIfTrue="1">
      <formula>$A50&lt;&gt;"S"</formula>
    </cfRule>
  </conditionalFormatting>
  <conditionalFormatting sqref="Q50:R50 AB50:AM50">
    <cfRule type="expression" dxfId="30" priority="29" stopIfTrue="1">
      <formula>$A50=1</formula>
    </cfRule>
    <cfRule type="expression" dxfId="29" priority="30" stopIfTrue="1">
      <formula>$A50&lt;&gt;"S"</formula>
    </cfRule>
  </conditionalFormatting>
  <conditionalFormatting sqref="D38:O38 T38:Z38">
    <cfRule type="expression" dxfId="28" priority="21" stopIfTrue="1">
      <formula>OR(ACOMPANHAMENTO="PLE",TIPOORCAMENTO="Proposto",$L38&lt;0,AND($L38&gt;100,RegimeExecucao="Global"),$O38&gt;$I38,$O38&lt;0)</formula>
    </cfRule>
    <cfRule type="expression" dxfId="27" priority="22" stopIfTrue="1">
      <formula>$A38=1</formula>
    </cfRule>
    <cfRule type="expression" dxfId="26" priority="23" stopIfTrue="1">
      <formula>$A38&lt;&gt;"S"</formula>
    </cfRule>
  </conditionalFormatting>
  <conditionalFormatting sqref="Q38:R38 AB38:AM38">
    <cfRule type="expression" dxfId="25" priority="24" stopIfTrue="1">
      <formula>$A38=1</formula>
    </cfRule>
    <cfRule type="expression" dxfId="24" priority="25" stopIfTrue="1">
      <formula>$A38&lt;&gt;"S"</formula>
    </cfRule>
  </conditionalFormatting>
  <conditionalFormatting sqref="D45:O45 T45:Z45">
    <cfRule type="expression" dxfId="23" priority="16" stopIfTrue="1">
      <formula>OR(ACOMPANHAMENTO="PLE",TIPOORCAMENTO="Proposto",$L45&lt;0,AND($L45&gt;100,RegimeExecucao="Global"),$O45&gt;$I45,$O45&lt;0)</formula>
    </cfRule>
    <cfRule type="expression" dxfId="22" priority="17" stopIfTrue="1">
      <formula>$A45=1</formula>
    </cfRule>
    <cfRule type="expression" dxfId="21" priority="18" stopIfTrue="1">
      <formula>$A45&lt;&gt;"S"</formula>
    </cfRule>
  </conditionalFormatting>
  <conditionalFormatting sqref="Q45:R45 AB45:AM45">
    <cfRule type="expression" dxfId="20" priority="19" stopIfTrue="1">
      <formula>$A45=1</formula>
    </cfRule>
    <cfRule type="expression" dxfId="19" priority="20" stopIfTrue="1">
      <formula>$A45&lt;&gt;"S"</formula>
    </cfRule>
  </conditionalFormatting>
  <conditionalFormatting sqref="D39:O39 T39:Z39">
    <cfRule type="expression" dxfId="18" priority="11" stopIfTrue="1">
      <formula>OR(ACOMPANHAMENTO="PLE",TIPOORCAMENTO="Proposto",$L39&lt;0,AND($L39&gt;100,RegimeExecucao="Global"),$O39&gt;$I39,$O39&lt;0)</formula>
    </cfRule>
    <cfRule type="expression" dxfId="17" priority="12" stopIfTrue="1">
      <formula>$A39=1</formula>
    </cfRule>
    <cfRule type="expression" dxfId="16" priority="13" stopIfTrue="1">
      <formula>$A39&lt;&gt;"S"</formula>
    </cfRule>
  </conditionalFormatting>
  <conditionalFormatting sqref="Q39:R39 AB39:AM39">
    <cfRule type="expression" dxfId="15" priority="14" stopIfTrue="1">
      <formula>$A39=1</formula>
    </cfRule>
    <cfRule type="expression" dxfId="14" priority="15" stopIfTrue="1">
      <formula>$A39&lt;&gt;"S"</formula>
    </cfRule>
  </conditionalFormatting>
  <conditionalFormatting sqref="D42:O42 T42:Z42">
    <cfRule type="expression" dxfId="13" priority="1" stopIfTrue="1">
      <formula>OR(ACOMPANHAMENTO="PLE",TIPOORCAMENTO="Proposto",$L42&lt;0,AND($L42&gt;100,RegimeExecucao="Global"),$O42&gt;$I42,$O42&lt;0)</formula>
    </cfRule>
    <cfRule type="expression" dxfId="12" priority="2" stopIfTrue="1">
      <formula>$A42=1</formula>
    </cfRule>
    <cfRule type="expression" dxfId="11" priority="3" stopIfTrue="1">
      <formula>$A42&lt;&gt;"S"</formula>
    </cfRule>
  </conditionalFormatting>
  <conditionalFormatting sqref="Q42:R42 AB42:AM42">
    <cfRule type="expression" dxfId="10" priority="4" stopIfTrue="1">
      <formula>$A42=1</formula>
    </cfRule>
    <cfRule type="expression" dxfId="9" priority="5" stopIfTrue="1">
      <formula>$A42&lt;&gt;"S"</formula>
    </cfRule>
  </conditionalFormatting>
  <dataValidations count="4">
    <dataValidation type="list" allowBlank="1" showErrorMessage="1" sqref="Z14 Z16:Z50"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50"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50"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59" firstPageNumber="0" fitToHeight="0" orientation="landscape" r:id="rId1"/>
  <headerFooter alignWithMargins="0">
    <oddHeader>&amp;C&amp;14I</oddHeader>
    <oddFooter>&amp;LPMv3.07&amp;R&amp;P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activeCell="D1" sqref="D1"/>
      <selection pane="topRight" activeCell="G1" sqref="G1"/>
      <selection pane="bottomLeft" activeCell="D14" sqref="D14"/>
      <selection pane="bottomRight"/>
    </sheetView>
  </sheetViews>
  <sheetFormatPr defaultRowHeight="12.75" x14ac:dyDescent="0.2"/>
  <cols>
    <col min="1" max="3" width="9.140625" hidden="1" customWidth="1"/>
    <col min="4" max="4" width="3.7109375" customWidth="1"/>
    <col min="5" max="5" width="7.7109375" customWidth="1"/>
    <col min="6" max="6" width="35.7109375" customWidth="1"/>
    <col min="7" max="7" width="15.7109375" customWidth="1"/>
    <col min="8" max="8" width="12.7109375" customWidth="1"/>
    <col min="9" max="9" width="7.7109375" customWidth="1"/>
    <col min="10" max="10" width="16.7109375" customWidth="1"/>
    <col min="11" max="11" width="5.7109375" customWidth="1"/>
    <col min="12" max="15" width="16.7109375" customWidth="1"/>
    <col min="16" max="16" width="11.7109375" customWidth="1"/>
    <col min="17" max="21" width="9.140625" hidden="1" customWidth="1"/>
    <col min="22" max="22" width="12.140625" hidden="1" customWidth="1"/>
    <col min="23" max="24" width="5.7109375" customWidth="1"/>
    <col min="25" max="26" width="16.7109375" customWidth="1"/>
    <col min="27" max="27" width="1.7109375" customWidth="1"/>
    <col min="29" max="41" width="9.140625" hidden="1" customWidth="1"/>
  </cols>
  <sheetData>
    <row r="1" spans="1:41" ht="30" customHeight="1" x14ac:dyDescent="0.2">
      <c r="F1" s="389" t="str">
        <f>CONCATENATE("RRE - RELATÓRIO RESUMO DO EMPREENDIMENTO - ",IF(CAIXA.Modo,"CAIXA","TOMADOR"))</f>
        <v>RRE - RELATÓRIO RESUMO DO EMPREENDIMENTO - TOMADOR</v>
      </c>
      <c r="H1" s="8"/>
      <c r="I1" s="8"/>
      <c r="P1" s="570" t="s">
        <v>456</v>
      </c>
      <c r="AD1" s="390" t="s">
        <v>354</v>
      </c>
      <c r="AE1" s="391" t="s">
        <v>355</v>
      </c>
    </row>
    <row r="2" spans="1:41" x14ac:dyDescent="0.2">
      <c r="AC2" s="392" t="str">
        <f>J25</f>
        <v>Repasse</v>
      </c>
      <c r="AD2" s="393">
        <f ca="1">AD6-AD4-AD3</f>
        <v>0</v>
      </c>
      <c r="AE2" s="393">
        <f ca="1">AE6-AE4-AE3</f>
        <v>0</v>
      </c>
    </row>
    <row r="3" spans="1:41" x14ac:dyDescent="0.2">
      <c r="E3" s="633" t="s">
        <v>147</v>
      </c>
      <c r="F3" s="633"/>
      <c r="G3" s="633"/>
      <c r="H3" s="633"/>
      <c r="I3" s="622" t="s">
        <v>146</v>
      </c>
      <c r="J3" s="622"/>
      <c r="K3" s="622"/>
      <c r="L3" s="89" t="s">
        <v>432</v>
      </c>
      <c r="M3" s="152"/>
      <c r="O3" s="394"/>
      <c r="P3" s="314" t="s">
        <v>209</v>
      </c>
      <c r="R3" s="152"/>
      <c r="S3" s="152"/>
      <c r="T3" s="152"/>
      <c r="U3" s="152"/>
      <c r="AC3" s="392" t="s">
        <v>169</v>
      </c>
      <c r="AD3" s="393">
        <f ca="1">SUM(T13:OFFSET(T24,-1,0))</f>
        <v>0</v>
      </c>
      <c r="AE3" s="393">
        <f ca="1">IF(OR($O$28&lt;$M$28,$M$26&gt;$AD$3),MIN($M$26,$L$26),MIN($AD$3,$N$28-$N$27+$M$26))</f>
        <v>0</v>
      </c>
    </row>
    <row r="4" spans="1:41" ht="12.75" customHeight="1" x14ac:dyDescent="0.2">
      <c r="E4" s="638" t="str">
        <f>Import.Proponente</f>
        <v>MUNICIPIO DE BENTO GONÇALVES</v>
      </c>
      <c r="F4" s="638"/>
      <c r="G4" s="638"/>
      <c r="H4" s="638"/>
      <c r="I4" s="625">
        <f>Import.CR</f>
        <v>0</v>
      </c>
      <c r="J4" s="625"/>
      <c r="K4" s="625"/>
      <c r="L4" s="57">
        <f>Import.TransfereGOV</f>
        <v>0</v>
      </c>
      <c r="M4" s="730" t="s">
        <v>305</v>
      </c>
      <c r="N4" s="731"/>
      <c r="O4" s="732"/>
      <c r="P4" s="395" t="str">
        <f>import.recurso</f>
        <v>(SELECIONAR)</v>
      </c>
      <c r="R4" s="152"/>
      <c r="S4" s="152"/>
      <c r="T4" s="394"/>
      <c r="U4" s="394"/>
      <c r="AC4" s="392" t="s">
        <v>356</v>
      </c>
      <c r="AD4" s="393">
        <f ca="1">SUM(U13:OFFSET(U24,-1,0))</f>
        <v>0</v>
      </c>
      <c r="AE4" s="393">
        <f ca="1">IF(OR($O$28&lt;$M$28,$M$27&gt;$AD$4),MIN($M$27,$L$27),MIN($AD$4,$N$28+$M$27))</f>
        <v>0</v>
      </c>
    </row>
    <row r="5" spans="1:41" ht="5.0999999999999996" customHeight="1" x14ac:dyDescent="0.2">
      <c r="H5" s="317"/>
      <c r="I5" s="317"/>
      <c r="J5" s="317"/>
      <c r="K5" s="317"/>
      <c r="L5" s="317"/>
      <c r="M5" s="396"/>
      <c r="N5" s="305"/>
      <c r="O5" s="4"/>
      <c r="R5" s="152"/>
      <c r="S5" s="152"/>
      <c r="T5" s="152"/>
      <c r="U5" s="152"/>
    </row>
    <row r="6" spans="1:41" ht="12.75" customHeight="1" x14ac:dyDescent="0.2">
      <c r="E6" s="622" t="s">
        <v>201</v>
      </c>
      <c r="F6" s="622"/>
      <c r="G6" s="622"/>
      <c r="H6" s="622"/>
      <c r="I6" s="757" t="s">
        <v>304</v>
      </c>
      <c r="J6" s="757"/>
      <c r="K6" s="757"/>
      <c r="L6" s="757"/>
      <c r="M6" s="56" t="str">
        <f>IF(import.recurso="FGTS","FINANCIAMENTO","REPASSE")</f>
        <v>REPASSE</v>
      </c>
      <c r="N6" s="98" t="s">
        <v>306</v>
      </c>
      <c r="O6" s="56" t="s">
        <v>307</v>
      </c>
      <c r="P6" s="153" t="s">
        <v>357</v>
      </c>
      <c r="R6" s="152"/>
      <c r="S6" s="152"/>
      <c r="T6" s="152"/>
      <c r="U6" s="152"/>
      <c r="AC6" s="392" t="s">
        <v>358</v>
      </c>
      <c r="AD6" s="393">
        <f ca="1">$O$28</f>
        <v>0</v>
      </c>
      <c r="AE6" s="393">
        <f ca="1">AD6</f>
        <v>0</v>
      </c>
    </row>
    <row r="7" spans="1:41" ht="12.75" customHeight="1" x14ac:dyDescent="0.2">
      <c r="D7" s="615" t="s">
        <v>208</v>
      </c>
      <c r="E7" s="625" t="str">
        <f>Import.Apelido</f>
        <v>RUA MIGUEL A DA ROLT</v>
      </c>
      <c r="F7" s="625"/>
      <c r="G7" s="625"/>
      <c r="H7" s="625"/>
      <c r="I7" s="754" t="str">
        <f>Import.Município</f>
        <v>BENTO GONÇALVES/RS</v>
      </c>
      <c r="J7" s="754"/>
      <c r="K7" s="754"/>
      <c r="L7" s="754"/>
      <c r="M7" s="397">
        <f>Import.Repasse</f>
        <v>0</v>
      </c>
      <c r="N7" s="398">
        <f>Import.Contrapartida</f>
        <v>0</v>
      </c>
      <c r="O7" s="397">
        <f>M7+N7</f>
        <v>0</v>
      </c>
      <c r="P7" s="478">
        <f>IF(ACOMPANHAMENTO="PLE",PLE.Medicao,BM.medicao)</f>
        <v>1</v>
      </c>
      <c r="R7" s="152"/>
      <c r="S7" s="152"/>
      <c r="T7" s="152"/>
      <c r="U7" s="152"/>
    </row>
    <row r="8" spans="1:41" x14ac:dyDescent="0.2">
      <c r="D8" s="615"/>
      <c r="E8" s="94"/>
      <c r="F8" s="94"/>
      <c r="G8" s="94"/>
      <c r="H8" s="94"/>
      <c r="I8" s="94"/>
      <c r="J8" s="94"/>
      <c r="K8" s="94"/>
      <c r="L8" s="94"/>
      <c r="M8" s="94"/>
      <c r="N8" s="94"/>
      <c r="O8" s="94"/>
      <c r="P8" s="94"/>
      <c r="R8" s="152"/>
      <c r="S8" s="152"/>
      <c r="T8" s="152"/>
      <c r="U8" s="152"/>
    </row>
    <row r="9" spans="1:41" ht="12.75" customHeight="1" x14ac:dyDescent="0.2">
      <c r="D9" s="615"/>
      <c r="G9" s="755" t="s">
        <v>359</v>
      </c>
      <c r="H9" s="755"/>
      <c r="I9" s="755" t="s">
        <v>360</v>
      </c>
      <c r="J9" s="755"/>
      <c r="K9" s="399"/>
      <c r="L9" s="756" t="s">
        <v>311</v>
      </c>
      <c r="M9" s="400" t="s">
        <v>314</v>
      </c>
      <c r="N9" s="318" t="s">
        <v>237</v>
      </c>
      <c r="P9" s="401"/>
      <c r="R9" s="152"/>
      <c r="S9" s="152"/>
      <c r="T9" s="152"/>
      <c r="U9" s="152"/>
      <c r="V9" s="7" t="s">
        <v>361</v>
      </c>
    </row>
    <row r="10" spans="1:41" ht="12.75" customHeight="1" x14ac:dyDescent="0.2">
      <c r="D10" s="615"/>
      <c r="G10" s="627" t="str">
        <f ca="1">IF(J10="-","-",IF($P$24&lt;J10,"Atrasada",IF($P$24&gt;J10,"Adiantada","Normal")))</f>
        <v>Normal</v>
      </c>
      <c r="H10" s="627"/>
      <c r="I10" s="402">
        <f>DATE(YEAR($L$35),MONTH($L$35),1)</f>
        <v>45717</v>
      </c>
      <c r="J10" s="403">
        <f>IF($I$10&lt;DATE(YEAR(CRONO!$T$13),MONTH(CRONO!$T$13),1),0,IF($I$10&gt;CRONO!$AE$13,1,INDEX(CRONO!$S$38:$AG$38,MATCH(RRE!$I$10,CRONO!$S$13:$AG$13,0))))</f>
        <v>0</v>
      </c>
      <c r="K10" s="399"/>
      <c r="L10" s="756"/>
      <c r="M10" s="404">
        <f ca="1">QCI!L10</f>
        <v>0</v>
      </c>
      <c r="N10" s="320">
        <f ca="1">QCI!M10</f>
        <v>0</v>
      </c>
      <c r="P10" s="401"/>
      <c r="R10" s="152"/>
      <c r="S10" s="152"/>
      <c r="T10" s="152"/>
      <c r="U10" s="152"/>
      <c r="AC10" s="751" t="s">
        <v>362</v>
      </c>
      <c r="AD10" s="751"/>
      <c r="AE10" s="751"/>
      <c r="AF10" s="751"/>
      <c r="AG10" s="751"/>
      <c r="AH10" s="751"/>
      <c r="AJ10" s="751" t="s">
        <v>4</v>
      </c>
      <c r="AK10" s="751"/>
      <c r="AL10" s="751"/>
      <c r="AM10" s="751"/>
      <c r="AN10" s="751"/>
      <c r="AO10" s="751"/>
    </row>
    <row r="11" spans="1:41" ht="20.100000000000001" customHeight="1" x14ac:dyDescent="0.2">
      <c r="D11" s="615"/>
      <c r="M11" s="520" t="str">
        <f>IF(CAIXA.Modo,"Valores Aferidos (R$)","Valores Medidos (R$)")</f>
        <v>Valores Medidos (R$)</v>
      </c>
      <c r="N11" s="520"/>
      <c r="O11" s="520"/>
      <c r="R11" s="405"/>
      <c r="S11" s="405"/>
      <c r="T11" s="520"/>
      <c r="U11" s="520"/>
      <c r="V11" s="517" t="s">
        <v>402</v>
      </c>
      <c r="Y11" s="752" t="str">
        <f>IF(CAIXA.Modo,"Valores Aferidos (R$)","Valores Medidos (R$)")</f>
        <v>Valores Medidos (R$)</v>
      </c>
      <c r="Z11" s="752"/>
      <c r="AC11" s="753" t="s">
        <v>363</v>
      </c>
      <c r="AD11" s="753"/>
      <c r="AE11" s="753"/>
      <c r="AF11" s="753" t="s">
        <v>364</v>
      </c>
      <c r="AG11" s="753"/>
      <c r="AH11" s="753"/>
      <c r="AJ11" s="753" t="s">
        <v>363</v>
      </c>
      <c r="AK11" s="753"/>
      <c r="AL11" s="753"/>
      <c r="AM11" s="753" t="s">
        <v>364</v>
      </c>
      <c r="AN11" s="753"/>
      <c r="AO11" s="753"/>
    </row>
    <row r="12" spans="1:41" hidden="1" x14ac:dyDescent="0.2">
      <c r="A12" t="e">
        <f ca="1">MATCH(E12,ORÇAMENTO!$E$15:$E$51,0)-1</f>
        <v>#N/A</v>
      </c>
      <c r="B12" t="e">
        <f ca="1">IF(ISERROR($A12),NA(),OFFSET(ORÇAMENTO!$D$15,$A12,0))</f>
        <v>#N/A</v>
      </c>
      <c r="C12" t="str">
        <f ca="1">QCI!B12</f>
        <v>Branco</v>
      </c>
      <c r="D12" t="str">
        <f ca="1">IF(L12&gt;0,"F","")</f>
        <v/>
      </c>
      <c r="E12" s="321">
        <f>QCI!D12</f>
        <v>-1</v>
      </c>
      <c r="F12" s="406" t="str">
        <f ca="1">QCI!G12</f>
        <v/>
      </c>
      <c r="G12" s="407">
        <f>QCI!H12</f>
        <v>0</v>
      </c>
      <c r="H12" s="322">
        <f>QCI!I12</f>
        <v>0</v>
      </c>
      <c r="I12" s="322" t="str">
        <f ca="1">QCI!J12</f>
        <v/>
      </c>
      <c r="J12" s="408" t="str">
        <f ca="1">QCI!K12</f>
        <v/>
      </c>
      <c r="K12" s="409" t="str">
        <f ca="1">IF($C12="Automático",IF(ACOMPANHAMENTO="BM",BM.medicao,PLE.Medicao),IF(ISBLANK($X12),"",$X12))</f>
        <v/>
      </c>
      <c r="L12" s="326">
        <f ca="1">QCI!$O12</f>
        <v>0</v>
      </c>
      <c r="M12" s="323">
        <f ca="1">ROUND(IF(C12="Automático",AE12+AL12,Y12),2)</f>
        <v>0</v>
      </c>
      <c r="N12" s="324">
        <f ca="1">O12-M12</f>
        <v>0</v>
      </c>
      <c r="O12" s="325">
        <f ca="1">ROUND(IF(C12="Automático",AH12+AO12,Z12),2)</f>
        <v>0</v>
      </c>
      <c r="P12" s="411">
        <f ca="1">O12/(L12+10^-12)</f>
        <v>0</v>
      </c>
      <c r="R12" s="410">
        <f ca="1">ROUND(IF($C12="Automático",AC12+AJ12,$Y12*IF(ISERROR(QCI!$AA12/QCI!$O12),0,QCI!$AA12/QCI!$O12)),2)</f>
        <v>0</v>
      </c>
      <c r="S12" s="410">
        <f ca="1">ROUND(IF($C12="Automático",AD12+AK12,$Y12*IF(ISERROR(QCI!$AB12/QCI!$O12),0,QCI!$AB12/QCI!$O12)),2)</f>
        <v>0</v>
      </c>
      <c r="T12" s="410">
        <f ca="1">ROUND(IF($C12="Automático",AF12+AM12,$Z12*IF(ISERROR(QCI!$AA12/QCI!$O12),0,QCI!$AA12/QCI!$O12)),2)</f>
        <v>0</v>
      </c>
      <c r="U12" s="410">
        <f ca="1">ROUND(IF($C12="Automático",AG12+AN12,$Z12*IF(ISERROR(QCI!$AB12/QCI!$O12),0,QCI!$AB12/QCI!$O12)),2)</f>
        <v>0</v>
      </c>
      <c r="V12" s="518" t="str">
        <f ca="1">IF(AND($L12&gt;0,$J12&lt;&gt;0,$J12&lt;&gt;"",COUNTIF($J12:$J$13,$J12)=1),OFFSET(V12,-1,0)+1,OFFSET(V12,-1,0))</f>
        <v>Lista CTEFs</v>
      </c>
      <c r="X12" s="597"/>
      <c r="Y12" s="327"/>
      <c r="Z12" s="329"/>
      <c r="AC12" s="198" t="e">
        <f ca="1">IF(ACOMPANHAMENTO&lt;&gt;"PLE",0,SUMPRODUCT((OFFSET(CÁLCULO!$AX$15:$BH$15,$A12,0,$B12)&lt;=(PLE.Medicao-1))*OFFSET(CÁLCULO!$AB$15:$AL$15,$A12,0,$B12)*OFFSET(ORÇAMENTO!$AA$15,$A12,0,$B12)/(OFFSET(ORÇAMENTO!$X$15,$A12,0,$B12)+10^-12))+IF(AUTOEVENTO="Manual",SUMPRODUCT((OFFSET(CÁLCULO!$M$15,$A12,0,$B12)=1)*OFFSET(ORÇAMENTO!$AA$15,$A12,0,$B12)*(PLE!$AE$9-PLE!$Y$9)),0))</f>
        <v>#N/A</v>
      </c>
      <c r="AD12" s="198" t="e">
        <f ca="1">IF(ACOMPANHAMENTO&lt;&gt;"PLE",0,SUMPRODUCT((OFFSET(CÁLCULO!$AX$15:$BH$15,$A12,0,$B12)&lt;=(PLE.Medicao-1))*OFFSET(CÁLCULO!$AB$15:$AL$15,$A12,0,$B12)*OFFSET(ORÇAMENTO!$AB$15,$A12,0,$B12)/(OFFSET(ORÇAMENTO!$X$15,$A12,0,$B12)+10^-12))+IF(AUTOEVENTO="Manual",SUMPRODUCT((OFFSET(CÁLCULO!$M$15,$A12,0,$B12)=1)*OFFSET(ORÇAMENTO!$AB$15,$A12,0,$B12)*(PLE!$AE$9-PLE!$Y$9)),0))</f>
        <v>#N/A</v>
      </c>
      <c r="AE12" s="198" t="e">
        <f ca="1">ROUND(IF(ACOMPANHAMENTO&lt;&gt;"PLE",0,SUMIF(OFFSET(CÁLCULO!$AX$15:$BH$15,$A12,0,$B12),"&lt;="&amp;(PLE.Medicao-1),OFFSET(CÁLCULO!$AB$15:$AL$15,$A12,0,$B12))+IF(AUTOEVENTO="Manual",SUMIF(OFFSET(CÁLCULO!$M$15,$A12,0,$B12),1,OFFSET(ORÇAMENTO!$X$15,$A12,0,$B12))*(PLE!$AE$9-PLE!$Y$9),0)),2)</f>
        <v>#N/A</v>
      </c>
      <c r="AF12" s="198" t="e">
        <f ca="1">IF(ACOMPANHAMENTO&lt;&gt;"PLE",0,SUMPRODUCT((OFFSET(CÁLCULO!$AX$15:$BH$15,$A12,0,$B12)&lt;=PLE.Medicao)*OFFSET(CÁLCULO!$AB$15:$AL$15,$A12,0,$B12)*OFFSET(ORÇAMENTO!$AA$15,$A12,0,$B12)/(OFFSET(ORÇAMENTO!$X$15,$A12,0,$B12)+10^-12))+IF(AUTOEVENTO="Manual",SUMPRODUCT((OFFSET(CÁLCULO!$M$15,$A12,0,$B12)=1)*OFFSET(ORÇAMENTO!$AA$15,$A12,0,$B12)*PLE!$AE$9),0))</f>
        <v>#N/A</v>
      </c>
      <c r="AG12" s="198" t="e">
        <f ca="1">IF(ACOMPANHAMENTO&lt;&gt;"PLE",0,SUMPRODUCT((OFFSET(CÁLCULO!$AX$15:$BH$15,$A12,0,$B12)&lt;=PLE.Medicao)*OFFSET(CÁLCULO!$AB$15:$AL$15,$A12,0,$B12)*OFFSET(ORÇAMENTO!$AB$15,$A12,0,$B12)/(OFFSET(ORÇAMENTO!$X$15,$A12,0,$B12)+10^-12))+IF(AUTOEVENTO="Manual",SUMPRODUCT((OFFSET(CÁLCULO!$M$15,$A12,0,$B12)=1)*OFFSET(ORÇAMENTO!$AB$15,$A12,0,$B12)*PLE!$AE$9),0))</f>
        <v>#N/A</v>
      </c>
      <c r="AH12" s="198" t="e">
        <f ca="1">ROUND(IF(ACOMPANHAMENTO&lt;&gt;"PLE",0,SUMIF(OFFSET(CÁLCULO!$AX$15:$BH$15,$A12,0,$B12),"&lt;="&amp;PLE.Medicao,OFFSET(CÁLCULO!$AB$15:$AL$15,$A12,0,$B12))+IF(AUTOEVENTO="Manual",SUMIF(OFFSET(CÁLCULO!$M$15,$A12,0,$B12),1,OFFSET(ORÇAMENTO!$X$15,$A12,0,$B12))*PLE!$AE$9,0)),2)</f>
        <v>#N/A</v>
      </c>
      <c r="AJ12" s="198">
        <f ca="1">IF(ACOMPANHAMENTO&lt;&gt;"BM",0,SUMPRODUCT(OFFSET(BM!$M$15,$A12,0,$B12)*(OFFSET(BM!$A$15,$A12,0,$B12)="S")*OFFSET(ORÇAMENTO!AA$15,$A12,0,$B12)/(OFFSET(ORÇAMENTO!$X$15,$A12,0,$B12)+10^-12)))</f>
        <v>0</v>
      </c>
      <c r="AK12" s="198">
        <f ca="1">IF(ACOMPANHAMENTO&lt;&gt;"BM",0,SUMPRODUCT(OFFSET(BM!$M$15,$A12,0,$B12)*(OFFSET(BM!$A$15,$A12,0,$B12)="S")*OFFSET(ORÇAMENTO!AB$15,$A12,0,$B12)/(OFFSET(ORÇAMENTO!$X$15,$A12,0,$B12)+10^-12)))</f>
        <v>0</v>
      </c>
      <c r="AL12" s="198">
        <f ca="1">IF(ACOMPANHAMENTO&lt;&gt;"BM",0,OFFSET(BM!$M$15,$A12,0))</f>
        <v>0</v>
      </c>
      <c r="AM12" s="198">
        <f ca="1">IF(ACOMPANHAMENTO&lt;&gt;"BM",0,SUMPRODUCT(OFFSET(BM!$O$15,$A12,0,$B12)*(OFFSET(BM!$A$15,$A12,0,$B12)="S")*OFFSET(ORÇAMENTO!AA$15,$A12,0,$B12)/(OFFSET(ORÇAMENTO!$X$15,$A12,0,$B12)+10^-12)))</f>
        <v>0</v>
      </c>
      <c r="AN12" s="198">
        <f ca="1">IF(ACOMPANHAMENTO&lt;&gt;"BM",0,SUMPRODUCT(OFFSET(BM!$O$15,$A12,0,$B12)*(OFFSET(BM!$A$15,$A12,0,$B12)="S")*OFFSET(ORÇAMENTO!AB$15,$A12,0,$B12)/(OFFSET(ORÇAMENTO!$X$15,$A12,0,$B12)+10^-12)))</f>
        <v>0</v>
      </c>
      <c r="AO12" s="198">
        <f ca="1">IF(ACOMPANHAMENTO&lt;&gt;"BM",0,OFFSET(BM!$O$15,$A12,0))</f>
        <v>0</v>
      </c>
    </row>
    <row r="13" spans="1:41" ht="39.950000000000003" customHeight="1" x14ac:dyDescent="0.2">
      <c r="A13" s="331" t="s">
        <v>365</v>
      </c>
      <c r="B13" s="10" t="s">
        <v>220</v>
      </c>
      <c r="C13" s="331" t="s">
        <v>316</v>
      </c>
      <c r="D13" s="108" t="s">
        <v>216</v>
      </c>
      <c r="E13" s="109" t="s">
        <v>194</v>
      </c>
      <c r="F13" s="109" t="s">
        <v>319</v>
      </c>
      <c r="G13" s="109" t="s">
        <v>161</v>
      </c>
      <c r="H13" s="109" t="s">
        <v>202</v>
      </c>
      <c r="I13" s="109" t="s">
        <v>320</v>
      </c>
      <c r="J13" s="109" t="s">
        <v>321</v>
      </c>
      <c r="K13" s="332" t="s">
        <v>366</v>
      </c>
      <c r="L13" s="109" t="s">
        <v>367</v>
      </c>
      <c r="M13" s="332" t="s">
        <v>363</v>
      </c>
      <c r="N13" s="333" t="s">
        <v>370</v>
      </c>
      <c r="O13" s="334" t="s">
        <v>364</v>
      </c>
      <c r="P13" s="109" t="s">
        <v>373</v>
      </c>
      <c r="R13" s="412" t="s">
        <v>368</v>
      </c>
      <c r="S13" s="412" t="s">
        <v>369</v>
      </c>
      <c r="T13" s="412" t="s">
        <v>371</v>
      </c>
      <c r="U13" s="412" t="s">
        <v>372</v>
      </c>
      <c r="V13" s="519"/>
      <c r="X13" s="332" t="s">
        <v>366</v>
      </c>
      <c r="Y13" s="168" t="s">
        <v>363</v>
      </c>
      <c r="Z13" s="169" t="s">
        <v>364</v>
      </c>
      <c r="AC13" s="111" t="s">
        <v>169</v>
      </c>
      <c r="AD13" s="111" t="s">
        <v>356</v>
      </c>
      <c r="AE13" s="111" t="s">
        <v>358</v>
      </c>
      <c r="AF13" s="111" t="s">
        <v>169</v>
      </c>
      <c r="AG13" s="111" t="s">
        <v>356</v>
      </c>
      <c r="AH13" s="111" t="s">
        <v>358</v>
      </c>
      <c r="AJ13" s="111" t="s">
        <v>169</v>
      </c>
      <c r="AK13" s="111" t="s">
        <v>356</v>
      </c>
      <c r="AL13" s="111" t="s">
        <v>358</v>
      </c>
      <c r="AM13" s="111" t="s">
        <v>169</v>
      </c>
      <c r="AN13" s="111" t="s">
        <v>356</v>
      </c>
      <c r="AO13" s="111" t="s">
        <v>358</v>
      </c>
    </row>
    <row r="14" spans="1:41" x14ac:dyDescent="0.2">
      <c r="A14">
        <f ca="1">MATCH(E14,ORÇAMENTO!$E$15:$E$51,0)-1</f>
        <v>1</v>
      </c>
      <c r="B14">
        <f ca="1">IF(ISERROR($A14),NA(),OFFSET(ORÇAMENTO!$D$15,$A14,0))</f>
        <v>35</v>
      </c>
      <c r="C14" t="str">
        <f ca="1">QCI!B14</f>
        <v>Automático</v>
      </c>
      <c r="D14" t="str">
        <f t="shared" ref="D14:D22" ca="1" si="0">IF(L14&gt;0,"F","")</f>
        <v/>
      </c>
      <c r="E14" s="321">
        <f>QCI!D14</f>
        <v>1</v>
      </c>
      <c r="F14" s="406" t="str">
        <f ca="1">QCI!G14</f>
        <v>RUA MIGUEL A DA ROLT</v>
      </c>
      <c r="G14" s="407">
        <f>QCI!H14</f>
        <v>0</v>
      </c>
      <c r="H14" s="322">
        <f>QCI!I14</f>
        <v>0</v>
      </c>
      <c r="I14" s="322" t="str">
        <f ca="1">QCI!J14</f>
        <v/>
      </c>
      <c r="J14" s="408">
        <f ca="1">QCI!K14</f>
        <v>0</v>
      </c>
      <c r="K14" s="409">
        <f ca="1">IF($C14="Automático",IF(ACOMPANHAMENTO="BM",BM.medicao,PLE.Medicao),IF(ISBLANK($X14),"",$X14))</f>
        <v>1</v>
      </c>
      <c r="L14" s="326">
        <f ca="1">QCI!$O14</f>
        <v>0</v>
      </c>
      <c r="M14" s="323">
        <f t="shared" ref="M14:M22" ca="1" si="1">ROUND(IF(C14="Automático",AE14+AL14,Y14),2)</f>
        <v>0</v>
      </c>
      <c r="N14" s="324">
        <f t="shared" ref="N14:N22" ca="1" si="2">O14-M14</f>
        <v>0</v>
      </c>
      <c r="O14" s="325">
        <f t="shared" ref="O14:O22" ca="1" si="3">ROUND(IF(C14="Automático",AH14+AO14,Z14),2)</f>
        <v>0</v>
      </c>
      <c r="P14" s="411">
        <f t="shared" ref="P14:P22" ca="1" si="4">O14/(L14+10^-12)</f>
        <v>0</v>
      </c>
      <c r="R14" s="410">
        <f ca="1">ROUND(IF($C14="Automático",AC14+AJ14,$Y14*IF(ISERROR(QCI!$AA14/QCI!$O14),0,QCI!$AA14/QCI!$O14)),2)</f>
        <v>0</v>
      </c>
      <c r="S14" s="410">
        <f ca="1">ROUND(IF($C14="Automático",AD14+AK14,$Y14*IF(ISERROR(QCI!$AB14/QCI!$O14),0,QCI!$AB14/QCI!$O14)),2)</f>
        <v>0</v>
      </c>
      <c r="T14" s="410">
        <f ca="1">ROUND(IF($C14="Automático",AF14+AM14,$Z14*IF(ISERROR(QCI!$AA14/QCI!$O14),0,QCI!$AA14/QCI!$O14)),2)</f>
        <v>0</v>
      </c>
      <c r="U14" s="410">
        <f ca="1">ROUND(IF($C14="Automático",AG14+AN14,$Z14*IF(ISERROR(QCI!$AB14/QCI!$O14),0,QCI!$AB14/QCI!$O14)),2)</f>
        <v>0</v>
      </c>
      <c r="V14" s="518">
        <f ca="1">IF(AND($L14&gt;0,$J14&lt;&gt;0,$J14&lt;&gt;"",COUNTIF($J$13:$J14,$J14)=1),OFFSET(V14,-1,0)+1,OFFSET(V14,-1,0))</f>
        <v>0</v>
      </c>
      <c r="X14" s="597"/>
      <c r="Y14" s="327"/>
      <c r="Z14" s="329"/>
      <c r="AC14" s="198">
        <f ca="1">IF(ACOMPANHAMENTO&lt;&gt;"PLE",0,SUMPRODUCT((OFFSET(CÁLCULO!$AX$15:$BH$15,$A14,0,$B14)&lt;=(PLE.Medicao-1))*OFFSET(CÁLCULO!$AB$15:$AL$15,$A14,0,$B14)*OFFSET(ORÇAMENTO!$AA$15,$A14,0,$B14)/(OFFSET(ORÇAMENTO!$X$15,$A14,0,$B14)+10^-12))+IF(AUTOEVENTO="Manual",SUMPRODUCT((OFFSET(CÁLCULO!$M$15,$A14,0,$B14)=1)*OFFSET(ORÇAMENTO!$AA$15,$A14,0,$B14)*(PLE!$AE$9-PLE!$Y$9)),0))</f>
        <v>0</v>
      </c>
      <c r="AD14" s="198">
        <f ca="1">IF(ACOMPANHAMENTO&lt;&gt;"PLE",0,SUMPRODUCT((OFFSET(CÁLCULO!$AX$15:$BH$15,$A14,0,$B14)&lt;=(PLE.Medicao-1))*OFFSET(CÁLCULO!$AB$15:$AL$15,$A14,0,$B14)*OFFSET(ORÇAMENTO!$AB$15,$A14,0,$B14)/(OFFSET(ORÇAMENTO!$X$15,$A14,0,$B14)+10^-12))+IF(AUTOEVENTO="Manual",SUMPRODUCT((OFFSET(CÁLCULO!$M$15,$A14,0,$B14)=1)*OFFSET(ORÇAMENTO!$AB$15,$A14,0,$B14)*(PLE!$AE$9-PLE!$Y$9)),0))</f>
        <v>0</v>
      </c>
      <c r="AE14" s="198">
        <f ca="1">ROUND(IF(ACOMPANHAMENTO&lt;&gt;"PLE",0,SUMIF(OFFSET(CÁLCULO!$AX$15:$BH$15,$A14,0,$B14),"&lt;="&amp;(PLE.Medicao-1),OFFSET(CÁLCULO!$AB$15:$AL$15,$A14,0,$B14))+IF(AUTOEVENTO="Manual",SUMIF(OFFSET(CÁLCULO!$M$15,$A14,0,$B14),1,OFFSET(ORÇAMENTO!$X$15,$A14,0,$B14))*(PLE!$AE$9-PLE!$Y$9),0)),2)</f>
        <v>0</v>
      </c>
      <c r="AF14" s="198">
        <f ca="1">IF(ACOMPANHAMENTO&lt;&gt;"PLE",0,SUMPRODUCT((OFFSET(CÁLCULO!$AX$15:$BH$15,$A14,0,$B14)&lt;=PLE.Medicao)*OFFSET(CÁLCULO!$AB$15:$AL$15,$A14,0,$B14)*OFFSET(ORÇAMENTO!$AA$15,$A14,0,$B14)/(OFFSET(ORÇAMENTO!$X$15,$A14,0,$B14)+10^-12))+IF(AUTOEVENTO="Manual",SUMPRODUCT((OFFSET(CÁLCULO!$M$15,$A14,0,$B14)=1)*OFFSET(ORÇAMENTO!$AA$15,$A14,0,$B14)*PLE!$AE$9),0))</f>
        <v>0</v>
      </c>
      <c r="AG14" s="198">
        <f ca="1">IF(ACOMPANHAMENTO&lt;&gt;"PLE",0,SUMPRODUCT((OFFSET(CÁLCULO!$AX$15:$BH$15,$A14,0,$B14)&lt;=PLE.Medicao)*OFFSET(CÁLCULO!$AB$15:$AL$15,$A14,0,$B14)*OFFSET(ORÇAMENTO!$AB$15,$A14,0,$B14)/(OFFSET(ORÇAMENTO!$X$15,$A14,0,$B14)+10^-12))+IF(AUTOEVENTO="Manual",SUMPRODUCT((OFFSET(CÁLCULO!$M$15,$A14,0,$B14)=1)*OFFSET(ORÇAMENTO!$AB$15,$A14,0,$B14)*PLE!$AE$9),0))</f>
        <v>0</v>
      </c>
      <c r="AH14" s="198">
        <f ca="1">ROUND(IF(ACOMPANHAMENTO&lt;&gt;"PLE",0,SUMIF(OFFSET(CÁLCULO!$AX$15:$BH$15,$A14,0,$B14),"&lt;="&amp;PLE.Medicao,OFFSET(CÁLCULO!$AB$15:$AL$15,$A14,0,$B14))+IF(AUTOEVENTO="Manual",SUMIF(OFFSET(CÁLCULO!$M$15,$A14,0,$B14),1,OFFSET(ORÇAMENTO!$X$15,$A14,0,$B14))*PLE!$AE$9,0)),2)</f>
        <v>0</v>
      </c>
      <c r="AJ14" s="198">
        <f ca="1">IF(ACOMPANHAMENTO&lt;&gt;"BM",0,SUMPRODUCT(OFFSET(BM!$M$15,$A14,0,$B14)*(OFFSET(BM!$A$15,$A14,0,$B14)="S")*OFFSET(ORÇAMENTO!AA$15,$A14,0,$B14)/(OFFSET(ORÇAMENTO!$X$15,$A14,0,$B14)+10^-12)))</f>
        <v>0</v>
      </c>
      <c r="AK14" s="198">
        <f ca="1">IF(ACOMPANHAMENTO&lt;&gt;"BM",0,SUMPRODUCT(OFFSET(BM!$M$15,$A14,0,$B14)*(OFFSET(BM!$A$15,$A14,0,$B14)="S")*OFFSET(ORÇAMENTO!AB$15,$A14,0,$B14)/(OFFSET(ORÇAMENTO!$X$15,$A14,0,$B14)+10^-12)))</f>
        <v>0</v>
      </c>
      <c r="AL14" s="198">
        <f ca="1">IF(ACOMPANHAMENTO&lt;&gt;"BM",0,OFFSET(BM!$M$15,$A14,0))</f>
        <v>0</v>
      </c>
      <c r="AM14" s="198">
        <f ca="1">IF(ACOMPANHAMENTO&lt;&gt;"BM",0,SUMPRODUCT(OFFSET(BM!$O$15,$A14,0,$B14)*(OFFSET(BM!$A$15,$A14,0,$B14)="S")*OFFSET(ORÇAMENTO!AA$15,$A14,0,$B14)/(OFFSET(ORÇAMENTO!$X$15,$A14,0,$B14)+10^-12)))</f>
        <v>0</v>
      </c>
      <c r="AN14" s="198">
        <f ca="1">IF(ACOMPANHAMENTO&lt;&gt;"BM",0,SUMPRODUCT(OFFSET(BM!$O$15,$A14,0,$B14)*(OFFSET(BM!$A$15,$A14,0,$B14)="S")*OFFSET(ORÇAMENTO!AB$15,$A14,0,$B14)/(OFFSET(ORÇAMENTO!$X$15,$A14,0,$B14)+10^-12)))</f>
        <v>0</v>
      </c>
      <c r="AO14" s="198">
        <f ca="1">IF(ACOMPANHAMENTO&lt;&gt;"BM",0,OFFSET(BM!$O$15,$A14,0))</f>
        <v>0</v>
      </c>
    </row>
    <row r="15" spans="1:41" x14ac:dyDescent="0.2">
      <c r="A15" t="e">
        <f ca="1">MATCH(E15,ORÇAMENTO!$E$15:$E$51,0)-1</f>
        <v>#N/A</v>
      </c>
      <c r="B15" t="e">
        <f ca="1">IF(ISERROR($A15),NA(),OFFSET(ORÇAMENTO!$D$15,$A15,0))</f>
        <v>#N/A</v>
      </c>
      <c r="C15" t="str">
        <f ca="1">QCI!B15</f>
        <v>Branco</v>
      </c>
      <c r="D15" t="str">
        <f t="shared" ca="1" si="0"/>
        <v/>
      </c>
      <c r="E15" s="321">
        <f>QCI!D15</f>
        <v>2</v>
      </c>
      <c r="F15" s="406" t="str">
        <f ca="1">QCI!G15</f>
        <v/>
      </c>
      <c r="G15" s="407">
        <f>QCI!H15</f>
        <v>0</v>
      </c>
      <c r="H15" s="322">
        <f>QCI!I15</f>
        <v>0</v>
      </c>
      <c r="I15" s="322" t="str">
        <f ca="1">QCI!J15</f>
        <v/>
      </c>
      <c r="J15" s="408" t="str">
        <f ca="1">QCI!K15</f>
        <v/>
      </c>
      <c r="K15" s="409" t="str">
        <f ca="1">IF($C15="Automático",IF(ACOMPANHAMENTO="BM",BM.medicao,PLE.Medicao),IF(ISBLANK($X15),"",$X15))</f>
        <v/>
      </c>
      <c r="L15" s="326">
        <f ca="1">QCI!$O15</f>
        <v>0</v>
      </c>
      <c r="M15" s="323">
        <f t="shared" ca="1" si="1"/>
        <v>0</v>
      </c>
      <c r="N15" s="324">
        <f t="shared" ca="1" si="2"/>
        <v>0</v>
      </c>
      <c r="O15" s="325">
        <f t="shared" ca="1" si="3"/>
        <v>0</v>
      </c>
      <c r="P15" s="411">
        <f t="shared" ca="1" si="4"/>
        <v>0</v>
      </c>
      <c r="R15" s="410">
        <f ca="1">ROUND(IF($C15="Automático",AC15+AJ15,$Y15*IF(ISERROR(QCI!$AA15/QCI!$O15),0,QCI!$AA15/QCI!$O15)),2)</f>
        <v>0</v>
      </c>
      <c r="S15" s="410">
        <f ca="1">ROUND(IF($C15="Automático",AD15+AK15,$Y15*IF(ISERROR(QCI!$AB15/QCI!$O15),0,QCI!$AB15/QCI!$O15)),2)</f>
        <v>0</v>
      </c>
      <c r="T15" s="410">
        <f ca="1">ROUND(IF($C15="Automático",AF15+AM15,$Z15*IF(ISERROR(QCI!$AA15/QCI!$O15),0,QCI!$AA15/QCI!$O15)),2)</f>
        <v>0</v>
      </c>
      <c r="U15" s="410">
        <f ca="1">ROUND(IF($C15="Automático",AG15+AN15,$Z15*IF(ISERROR(QCI!$AB15/QCI!$O15),0,QCI!$AB15/QCI!$O15)),2)</f>
        <v>0</v>
      </c>
      <c r="V15" s="518">
        <f ca="1">IF(AND($L15&gt;0,$J15&lt;&gt;0,$J15&lt;&gt;"",COUNTIF($J$13:$J15,$J15)=1),OFFSET(V15,-1,0)+1,OFFSET(V15,-1,0))</f>
        <v>0</v>
      </c>
      <c r="X15" s="597"/>
      <c r="Y15" s="327"/>
      <c r="Z15" s="329"/>
      <c r="AC15" s="198" t="e">
        <f ca="1">IF(ACOMPANHAMENTO&lt;&gt;"PLE",0,SUMPRODUCT((OFFSET(CÁLCULO!$AX$15:$BH$15,$A15,0,$B15)&lt;=(PLE.Medicao-1))*OFFSET(CÁLCULO!$AB$15:$AL$15,$A15,0,$B15)*OFFSET(ORÇAMENTO!$AA$15,$A15,0,$B15)/(OFFSET(ORÇAMENTO!$X$15,$A15,0,$B15)+10^-12))+IF(AUTOEVENTO="Manual",SUMPRODUCT((OFFSET(CÁLCULO!$M$15,$A15,0,$B15)=1)*OFFSET(ORÇAMENTO!$AA$15,$A15,0,$B15)*(PLE!$AE$9-PLE!$Y$9)),0))</f>
        <v>#N/A</v>
      </c>
      <c r="AD15" s="198" t="e">
        <f ca="1">IF(ACOMPANHAMENTO&lt;&gt;"PLE",0,SUMPRODUCT((OFFSET(CÁLCULO!$AX$15:$BH$15,$A15,0,$B15)&lt;=(PLE.Medicao-1))*OFFSET(CÁLCULO!$AB$15:$AL$15,$A15,0,$B15)*OFFSET(ORÇAMENTO!$AB$15,$A15,0,$B15)/(OFFSET(ORÇAMENTO!$X$15,$A15,0,$B15)+10^-12))+IF(AUTOEVENTO="Manual",SUMPRODUCT((OFFSET(CÁLCULO!$M$15,$A15,0,$B15)=1)*OFFSET(ORÇAMENTO!$AB$15,$A15,0,$B15)*(PLE!$AE$9-PLE!$Y$9)),0))</f>
        <v>#N/A</v>
      </c>
      <c r="AE15" s="198" t="e">
        <f ca="1">ROUND(IF(ACOMPANHAMENTO&lt;&gt;"PLE",0,SUMIF(OFFSET(CÁLCULO!$AX$15:$BH$15,$A15,0,$B15),"&lt;="&amp;(PLE.Medicao-1),OFFSET(CÁLCULO!$AB$15:$AL$15,$A15,0,$B15))+IF(AUTOEVENTO="Manual",SUMIF(OFFSET(CÁLCULO!$M$15,$A15,0,$B15),1,OFFSET(ORÇAMENTO!$X$15,$A15,0,$B15))*(PLE!$AE$9-PLE!$Y$9),0)),2)</f>
        <v>#N/A</v>
      </c>
      <c r="AF15" s="198" t="e">
        <f ca="1">IF(ACOMPANHAMENTO&lt;&gt;"PLE",0,SUMPRODUCT((OFFSET(CÁLCULO!$AX$15:$BH$15,$A15,0,$B15)&lt;=PLE.Medicao)*OFFSET(CÁLCULO!$AB$15:$AL$15,$A15,0,$B15)*OFFSET(ORÇAMENTO!$AA$15,$A15,0,$B15)/(OFFSET(ORÇAMENTO!$X$15,$A15,0,$B15)+10^-12))+IF(AUTOEVENTO="Manual",SUMPRODUCT((OFFSET(CÁLCULO!$M$15,$A15,0,$B15)=1)*OFFSET(ORÇAMENTO!$AA$15,$A15,0,$B15)*PLE!$AE$9),0))</f>
        <v>#N/A</v>
      </c>
      <c r="AG15" s="198" t="e">
        <f ca="1">IF(ACOMPANHAMENTO&lt;&gt;"PLE",0,SUMPRODUCT((OFFSET(CÁLCULO!$AX$15:$BH$15,$A15,0,$B15)&lt;=PLE.Medicao)*OFFSET(CÁLCULO!$AB$15:$AL$15,$A15,0,$B15)*OFFSET(ORÇAMENTO!$AB$15,$A15,0,$B15)/(OFFSET(ORÇAMENTO!$X$15,$A15,0,$B15)+10^-12))+IF(AUTOEVENTO="Manual",SUMPRODUCT((OFFSET(CÁLCULO!$M$15,$A15,0,$B15)=1)*OFFSET(ORÇAMENTO!$AB$15,$A15,0,$B15)*PLE!$AE$9),0))</f>
        <v>#N/A</v>
      </c>
      <c r="AH15" s="198" t="e">
        <f ca="1">ROUND(IF(ACOMPANHAMENTO&lt;&gt;"PLE",0,SUMIF(OFFSET(CÁLCULO!$AX$15:$BH$15,$A15,0,$B15),"&lt;="&amp;PLE.Medicao,OFFSET(CÁLCULO!$AB$15:$AL$15,$A15,0,$B15))+IF(AUTOEVENTO="Manual",SUMIF(OFFSET(CÁLCULO!$M$15,$A15,0,$B15),1,OFFSET(ORÇAMENTO!$X$15,$A15,0,$B15))*PLE!$AE$9,0)),2)</f>
        <v>#N/A</v>
      </c>
      <c r="AJ15" s="198">
        <f ca="1">IF(ACOMPANHAMENTO&lt;&gt;"BM",0,SUMPRODUCT(OFFSET(BM!$M$15,$A15,0,$B15)*(OFFSET(BM!$A$15,$A15,0,$B15)="S")*OFFSET(ORÇAMENTO!AA$15,$A15,0,$B15)/(OFFSET(ORÇAMENTO!$X$15,$A15,0,$B15)+10^-12)))</f>
        <v>0</v>
      </c>
      <c r="AK15" s="198">
        <f ca="1">IF(ACOMPANHAMENTO&lt;&gt;"BM",0,SUMPRODUCT(OFFSET(BM!$M$15,$A15,0,$B15)*(OFFSET(BM!$A$15,$A15,0,$B15)="S")*OFFSET(ORÇAMENTO!AB$15,$A15,0,$B15)/(OFFSET(ORÇAMENTO!$X$15,$A15,0,$B15)+10^-12)))</f>
        <v>0</v>
      </c>
      <c r="AL15" s="198">
        <f ca="1">IF(ACOMPANHAMENTO&lt;&gt;"BM",0,OFFSET(BM!$M$15,$A15,0))</f>
        <v>0</v>
      </c>
      <c r="AM15" s="198">
        <f ca="1">IF(ACOMPANHAMENTO&lt;&gt;"BM",0,SUMPRODUCT(OFFSET(BM!$O$15,$A15,0,$B15)*(OFFSET(BM!$A$15,$A15,0,$B15)="S")*OFFSET(ORÇAMENTO!AA$15,$A15,0,$B15)/(OFFSET(ORÇAMENTO!$X$15,$A15,0,$B15)+10^-12)))</f>
        <v>0</v>
      </c>
      <c r="AN15" s="198">
        <f ca="1">IF(ACOMPANHAMENTO&lt;&gt;"BM",0,SUMPRODUCT(OFFSET(BM!$O$15,$A15,0,$B15)*(OFFSET(BM!$A$15,$A15,0,$B15)="S")*OFFSET(ORÇAMENTO!AB$15,$A15,0,$B15)/(OFFSET(ORÇAMENTO!$X$15,$A15,0,$B15)+10^-12)))</f>
        <v>0</v>
      </c>
      <c r="AO15" s="198">
        <f ca="1">IF(ACOMPANHAMENTO&lt;&gt;"BM",0,OFFSET(BM!$O$15,$A15,0))</f>
        <v>0</v>
      </c>
    </row>
    <row r="16" spans="1:41" x14ac:dyDescent="0.2">
      <c r="A16" t="e">
        <f ca="1">MATCH(E16,ORÇAMENTO!$E$15:$E$51,0)-1</f>
        <v>#N/A</v>
      </c>
      <c r="B16" t="e">
        <f ca="1">IF(ISERROR($A16),NA(),OFFSET(ORÇAMENTO!$D$15,$A16,0))</f>
        <v>#N/A</v>
      </c>
      <c r="C16" t="str">
        <f ca="1">QCI!B16</f>
        <v>Branco</v>
      </c>
      <c r="D16" t="str">
        <f t="shared" ca="1" si="0"/>
        <v/>
      </c>
      <c r="E16" s="321">
        <f>QCI!D16</f>
        <v>3</v>
      </c>
      <c r="F16" s="406" t="str">
        <f ca="1">QCI!G16</f>
        <v/>
      </c>
      <c r="G16" s="407">
        <f>QCI!H16</f>
        <v>0</v>
      </c>
      <c r="H16" s="322">
        <f>QCI!I16</f>
        <v>0</v>
      </c>
      <c r="I16" s="322" t="str">
        <f ca="1">QCI!J16</f>
        <v/>
      </c>
      <c r="J16" s="408" t="str">
        <f ca="1">QCI!K16</f>
        <v/>
      </c>
      <c r="K16" s="409" t="str">
        <f ca="1">IF($C16="Automático",IF(ACOMPANHAMENTO="BM",BM.medicao,PLE.Medicao),IF(ISBLANK($X16),"",$X16))</f>
        <v/>
      </c>
      <c r="L16" s="326">
        <f ca="1">QCI!$O16</f>
        <v>0</v>
      </c>
      <c r="M16" s="323">
        <f t="shared" ca="1" si="1"/>
        <v>0</v>
      </c>
      <c r="N16" s="324">
        <f t="shared" ca="1" si="2"/>
        <v>0</v>
      </c>
      <c r="O16" s="325">
        <f t="shared" ca="1" si="3"/>
        <v>0</v>
      </c>
      <c r="P16" s="411">
        <f t="shared" ca="1" si="4"/>
        <v>0</v>
      </c>
      <c r="R16" s="410">
        <f ca="1">ROUND(IF($C16="Automático",AC16+AJ16,$Y16*IF(ISERROR(QCI!$AA16/QCI!$O16),0,QCI!$AA16/QCI!$O16)),2)</f>
        <v>0</v>
      </c>
      <c r="S16" s="410">
        <f ca="1">ROUND(IF($C16="Automático",AD16+AK16,$Y16*IF(ISERROR(QCI!$AB16/QCI!$O16),0,QCI!$AB16/QCI!$O16)),2)</f>
        <v>0</v>
      </c>
      <c r="T16" s="410">
        <f ca="1">ROUND(IF($C16="Automático",AF16+AM16,$Z16*IF(ISERROR(QCI!$AA16/QCI!$O16),0,QCI!$AA16/QCI!$O16)),2)</f>
        <v>0</v>
      </c>
      <c r="U16" s="410">
        <f ca="1">ROUND(IF($C16="Automático",AG16+AN16,$Z16*IF(ISERROR(QCI!$AB16/QCI!$O16),0,QCI!$AB16/QCI!$O16)),2)</f>
        <v>0</v>
      </c>
      <c r="V16" s="518">
        <f ca="1">IF(AND($L16&gt;0,$J16&lt;&gt;0,$J16&lt;&gt;"",COUNTIF($J$13:$J16,$J16)=1),OFFSET(V16,-1,0)+1,OFFSET(V16,-1,0))</f>
        <v>0</v>
      </c>
      <c r="X16" s="597"/>
      <c r="Y16" s="327"/>
      <c r="Z16" s="329"/>
      <c r="AC16" s="198" t="e">
        <f ca="1">IF(ACOMPANHAMENTO&lt;&gt;"PLE",0,SUMPRODUCT((OFFSET(CÁLCULO!$AX$15:$BH$15,$A16,0,$B16)&lt;=(PLE.Medicao-1))*OFFSET(CÁLCULO!$AB$15:$AL$15,$A16,0,$B16)*OFFSET(ORÇAMENTO!$AA$15,$A16,0,$B16)/(OFFSET(ORÇAMENTO!$X$15,$A16,0,$B16)+10^-12))+IF(AUTOEVENTO="Manual",SUMPRODUCT((OFFSET(CÁLCULO!$M$15,$A16,0,$B16)=1)*OFFSET(ORÇAMENTO!$AA$15,$A16,0,$B16)*(PLE!$AE$9-PLE!$Y$9)),0))</f>
        <v>#N/A</v>
      </c>
      <c r="AD16" s="198" t="e">
        <f ca="1">IF(ACOMPANHAMENTO&lt;&gt;"PLE",0,SUMPRODUCT((OFFSET(CÁLCULO!$AX$15:$BH$15,$A16,0,$B16)&lt;=(PLE.Medicao-1))*OFFSET(CÁLCULO!$AB$15:$AL$15,$A16,0,$B16)*OFFSET(ORÇAMENTO!$AB$15,$A16,0,$B16)/(OFFSET(ORÇAMENTO!$X$15,$A16,0,$B16)+10^-12))+IF(AUTOEVENTO="Manual",SUMPRODUCT((OFFSET(CÁLCULO!$M$15,$A16,0,$B16)=1)*OFFSET(ORÇAMENTO!$AB$15,$A16,0,$B16)*(PLE!$AE$9-PLE!$Y$9)),0))</f>
        <v>#N/A</v>
      </c>
      <c r="AE16" s="198" t="e">
        <f ca="1">ROUND(IF(ACOMPANHAMENTO&lt;&gt;"PLE",0,SUMIF(OFFSET(CÁLCULO!$AX$15:$BH$15,$A16,0,$B16),"&lt;="&amp;(PLE.Medicao-1),OFFSET(CÁLCULO!$AB$15:$AL$15,$A16,0,$B16))+IF(AUTOEVENTO="Manual",SUMIF(OFFSET(CÁLCULO!$M$15,$A16,0,$B16),1,OFFSET(ORÇAMENTO!$X$15,$A16,0,$B16))*(PLE!$AE$9-PLE!$Y$9),0)),2)</f>
        <v>#N/A</v>
      </c>
      <c r="AF16" s="198" t="e">
        <f ca="1">IF(ACOMPANHAMENTO&lt;&gt;"PLE",0,SUMPRODUCT((OFFSET(CÁLCULO!$AX$15:$BH$15,$A16,0,$B16)&lt;=PLE.Medicao)*OFFSET(CÁLCULO!$AB$15:$AL$15,$A16,0,$B16)*OFFSET(ORÇAMENTO!$AA$15,$A16,0,$B16)/(OFFSET(ORÇAMENTO!$X$15,$A16,0,$B16)+10^-12))+IF(AUTOEVENTO="Manual",SUMPRODUCT((OFFSET(CÁLCULO!$M$15,$A16,0,$B16)=1)*OFFSET(ORÇAMENTO!$AA$15,$A16,0,$B16)*PLE!$AE$9),0))</f>
        <v>#N/A</v>
      </c>
      <c r="AG16" s="198" t="e">
        <f ca="1">IF(ACOMPANHAMENTO&lt;&gt;"PLE",0,SUMPRODUCT((OFFSET(CÁLCULO!$AX$15:$BH$15,$A16,0,$B16)&lt;=PLE.Medicao)*OFFSET(CÁLCULO!$AB$15:$AL$15,$A16,0,$B16)*OFFSET(ORÇAMENTO!$AB$15,$A16,0,$B16)/(OFFSET(ORÇAMENTO!$X$15,$A16,0,$B16)+10^-12))+IF(AUTOEVENTO="Manual",SUMPRODUCT((OFFSET(CÁLCULO!$M$15,$A16,0,$B16)=1)*OFFSET(ORÇAMENTO!$AB$15,$A16,0,$B16)*PLE!$AE$9),0))</f>
        <v>#N/A</v>
      </c>
      <c r="AH16" s="198" t="e">
        <f ca="1">ROUND(IF(ACOMPANHAMENTO&lt;&gt;"PLE",0,SUMIF(OFFSET(CÁLCULO!$AX$15:$BH$15,$A16,0,$B16),"&lt;="&amp;PLE.Medicao,OFFSET(CÁLCULO!$AB$15:$AL$15,$A16,0,$B16))+IF(AUTOEVENTO="Manual",SUMIF(OFFSET(CÁLCULO!$M$15,$A16,0,$B16),1,OFFSET(ORÇAMENTO!$X$15,$A16,0,$B16))*PLE!$AE$9,0)),2)</f>
        <v>#N/A</v>
      </c>
      <c r="AJ16" s="198">
        <f ca="1">IF(ACOMPANHAMENTO&lt;&gt;"BM",0,SUMPRODUCT(OFFSET(BM!$M$15,$A16,0,$B16)*(OFFSET(BM!$A$15,$A16,0,$B16)="S")*OFFSET(ORÇAMENTO!AA$15,$A16,0,$B16)/(OFFSET(ORÇAMENTO!$X$15,$A16,0,$B16)+10^-12)))</f>
        <v>0</v>
      </c>
      <c r="AK16" s="198">
        <f ca="1">IF(ACOMPANHAMENTO&lt;&gt;"BM",0,SUMPRODUCT(OFFSET(BM!$M$15,$A16,0,$B16)*(OFFSET(BM!$A$15,$A16,0,$B16)="S")*OFFSET(ORÇAMENTO!AB$15,$A16,0,$B16)/(OFFSET(ORÇAMENTO!$X$15,$A16,0,$B16)+10^-12)))</f>
        <v>0</v>
      </c>
      <c r="AL16" s="198">
        <f ca="1">IF(ACOMPANHAMENTO&lt;&gt;"BM",0,OFFSET(BM!$M$15,$A16,0))</f>
        <v>0</v>
      </c>
      <c r="AM16" s="198">
        <f ca="1">IF(ACOMPANHAMENTO&lt;&gt;"BM",0,SUMPRODUCT(OFFSET(BM!$O$15,$A16,0,$B16)*(OFFSET(BM!$A$15,$A16,0,$B16)="S")*OFFSET(ORÇAMENTO!AA$15,$A16,0,$B16)/(OFFSET(ORÇAMENTO!$X$15,$A16,0,$B16)+10^-12)))</f>
        <v>0</v>
      </c>
      <c r="AN16" s="198">
        <f ca="1">IF(ACOMPANHAMENTO&lt;&gt;"BM",0,SUMPRODUCT(OFFSET(BM!$O$15,$A16,0,$B16)*(OFFSET(BM!$A$15,$A16,0,$B16)="S")*OFFSET(ORÇAMENTO!AB$15,$A16,0,$B16)/(OFFSET(ORÇAMENTO!$X$15,$A16,0,$B16)+10^-12)))</f>
        <v>0</v>
      </c>
      <c r="AO16" s="198">
        <f ca="1">IF(ACOMPANHAMENTO&lt;&gt;"BM",0,OFFSET(BM!$O$15,$A16,0))</f>
        <v>0</v>
      </c>
    </row>
    <row r="17" spans="1:41" x14ac:dyDescent="0.2">
      <c r="A17" t="e">
        <f ca="1">MATCH(E17,ORÇAMENTO!$E$15:$E$51,0)-1</f>
        <v>#N/A</v>
      </c>
      <c r="B17" t="e">
        <f ca="1">IF(ISERROR($A17),NA(),OFFSET(ORÇAMENTO!$D$15,$A17,0))</f>
        <v>#N/A</v>
      </c>
      <c r="C17" t="str">
        <f ca="1">QCI!B17</f>
        <v>Branco</v>
      </c>
      <c r="D17" t="str">
        <f t="shared" ca="1" si="0"/>
        <v/>
      </c>
      <c r="E17" s="321">
        <f>QCI!D17</f>
        <v>4</v>
      </c>
      <c r="F17" s="406" t="str">
        <f ca="1">QCI!G17</f>
        <v/>
      </c>
      <c r="G17" s="407">
        <f>QCI!H17</f>
        <v>0</v>
      </c>
      <c r="H17" s="322">
        <f>QCI!I17</f>
        <v>0</v>
      </c>
      <c r="I17" s="322" t="str">
        <f ca="1">QCI!J17</f>
        <v/>
      </c>
      <c r="J17" s="408" t="str">
        <f ca="1">QCI!K17</f>
        <v/>
      </c>
      <c r="K17" s="409" t="str">
        <f ca="1">IF($C17="Automático",IF(ACOMPANHAMENTO="BM",BM.medicao,PLE.Medicao),IF(ISBLANK($X17),"",$X17))</f>
        <v/>
      </c>
      <c r="L17" s="326">
        <f ca="1">QCI!$O17</f>
        <v>0</v>
      </c>
      <c r="M17" s="323">
        <f t="shared" ca="1" si="1"/>
        <v>0</v>
      </c>
      <c r="N17" s="324">
        <f t="shared" ca="1" si="2"/>
        <v>0</v>
      </c>
      <c r="O17" s="325">
        <f t="shared" ca="1" si="3"/>
        <v>0</v>
      </c>
      <c r="P17" s="411">
        <f t="shared" ca="1" si="4"/>
        <v>0</v>
      </c>
      <c r="R17" s="410">
        <f ca="1">ROUND(IF($C17="Automático",AC17+AJ17,$Y17*IF(ISERROR(QCI!$AA17/QCI!$O17),0,QCI!$AA17/QCI!$O17)),2)</f>
        <v>0</v>
      </c>
      <c r="S17" s="410">
        <f ca="1">ROUND(IF($C17="Automático",AD17+AK17,$Y17*IF(ISERROR(QCI!$AB17/QCI!$O17),0,QCI!$AB17/QCI!$O17)),2)</f>
        <v>0</v>
      </c>
      <c r="T17" s="410">
        <f ca="1">ROUND(IF($C17="Automático",AF17+AM17,$Z17*IF(ISERROR(QCI!$AA17/QCI!$O17),0,QCI!$AA17/QCI!$O17)),2)</f>
        <v>0</v>
      </c>
      <c r="U17" s="410">
        <f ca="1">ROUND(IF($C17="Automático",AG17+AN17,$Z17*IF(ISERROR(QCI!$AB17/QCI!$O17),0,QCI!$AB17/QCI!$O17)),2)</f>
        <v>0</v>
      </c>
      <c r="V17" s="518">
        <f ca="1">IF(AND($L17&gt;0,$J17&lt;&gt;0,$J17&lt;&gt;"",COUNTIF($J$13:$J17,$J17)=1),OFFSET(V17,-1,0)+1,OFFSET(V17,-1,0))</f>
        <v>0</v>
      </c>
      <c r="X17" s="597"/>
      <c r="Y17" s="327"/>
      <c r="Z17" s="329"/>
      <c r="AC17" s="198" t="e">
        <f ca="1">IF(ACOMPANHAMENTO&lt;&gt;"PLE",0,SUMPRODUCT((OFFSET(CÁLCULO!$AX$15:$BH$15,$A17,0,$B17)&lt;=(PLE.Medicao-1))*OFFSET(CÁLCULO!$AB$15:$AL$15,$A17,0,$B17)*OFFSET(ORÇAMENTO!$AA$15,$A17,0,$B17)/(OFFSET(ORÇAMENTO!$X$15,$A17,0,$B17)+10^-12))+IF(AUTOEVENTO="Manual",SUMPRODUCT((OFFSET(CÁLCULO!$M$15,$A17,0,$B17)=1)*OFFSET(ORÇAMENTO!$AA$15,$A17,0,$B17)*(PLE!$AE$9-PLE!$Y$9)),0))</f>
        <v>#N/A</v>
      </c>
      <c r="AD17" s="198" t="e">
        <f ca="1">IF(ACOMPANHAMENTO&lt;&gt;"PLE",0,SUMPRODUCT((OFFSET(CÁLCULO!$AX$15:$BH$15,$A17,0,$B17)&lt;=(PLE.Medicao-1))*OFFSET(CÁLCULO!$AB$15:$AL$15,$A17,0,$B17)*OFFSET(ORÇAMENTO!$AB$15,$A17,0,$B17)/(OFFSET(ORÇAMENTO!$X$15,$A17,0,$B17)+10^-12))+IF(AUTOEVENTO="Manual",SUMPRODUCT((OFFSET(CÁLCULO!$M$15,$A17,0,$B17)=1)*OFFSET(ORÇAMENTO!$AB$15,$A17,0,$B17)*(PLE!$AE$9-PLE!$Y$9)),0))</f>
        <v>#N/A</v>
      </c>
      <c r="AE17" s="198" t="e">
        <f ca="1">ROUND(IF(ACOMPANHAMENTO&lt;&gt;"PLE",0,SUMIF(OFFSET(CÁLCULO!$AX$15:$BH$15,$A17,0,$B17),"&lt;="&amp;(PLE.Medicao-1),OFFSET(CÁLCULO!$AB$15:$AL$15,$A17,0,$B17))+IF(AUTOEVENTO="Manual",SUMIF(OFFSET(CÁLCULO!$M$15,$A17,0,$B17),1,OFFSET(ORÇAMENTO!$X$15,$A17,0,$B17))*(PLE!$AE$9-PLE!$Y$9),0)),2)</f>
        <v>#N/A</v>
      </c>
      <c r="AF17" s="198" t="e">
        <f ca="1">IF(ACOMPANHAMENTO&lt;&gt;"PLE",0,SUMPRODUCT((OFFSET(CÁLCULO!$AX$15:$BH$15,$A17,0,$B17)&lt;=PLE.Medicao)*OFFSET(CÁLCULO!$AB$15:$AL$15,$A17,0,$B17)*OFFSET(ORÇAMENTO!$AA$15,$A17,0,$B17)/(OFFSET(ORÇAMENTO!$X$15,$A17,0,$B17)+10^-12))+IF(AUTOEVENTO="Manual",SUMPRODUCT((OFFSET(CÁLCULO!$M$15,$A17,0,$B17)=1)*OFFSET(ORÇAMENTO!$AA$15,$A17,0,$B17)*PLE!$AE$9),0))</f>
        <v>#N/A</v>
      </c>
      <c r="AG17" s="198" t="e">
        <f ca="1">IF(ACOMPANHAMENTO&lt;&gt;"PLE",0,SUMPRODUCT((OFFSET(CÁLCULO!$AX$15:$BH$15,$A17,0,$B17)&lt;=PLE.Medicao)*OFFSET(CÁLCULO!$AB$15:$AL$15,$A17,0,$B17)*OFFSET(ORÇAMENTO!$AB$15,$A17,0,$B17)/(OFFSET(ORÇAMENTO!$X$15,$A17,0,$B17)+10^-12))+IF(AUTOEVENTO="Manual",SUMPRODUCT((OFFSET(CÁLCULO!$M$15,$A17,0,$B17)=1)*OFFSET(ORÇAMENTO!$AB$15,$A17,0,$B17)*PLE!$AE$9),0))</f>
        <v>#N/A</v>
      </c>
      <c r="AH17" s="198" t="e">
        <f ca="1">ROUND(IF(ACOMPANHAMENTO&lt;&gt;"PLE",0,SUMIF(OFFSET(CÁLCULO!$AX$15:$BH$15,$A17,0,$B17),"&lt;="&amp;PLE.Medicao,OFFSET(CÁLCULO!$AB$15:$AL$15,$A17,0,$B17))+IF(AUTOEVENTO="Manual",SUMIF(OFFSET(CÁLCULO!$M$15,$A17,0,$B17),1,OFFSET(ORÇAMENTO!$X$15,$A17,0,$B17))*PLE!$AE$9,0)),2)</f>
        <v>#N/A</v>
      </c>
      <c r="AJ17" s="198">
        <f ca="1">IF(ACOMPANHAMENTO&lt;&gt;"BM",0,SUMPRODUCT(OFFSET(BM!$M$15,$A17,0,$B17)*(OFFSET(BM!$A$15,$A17,0,$B17)="S")*OFFSET(ORÇAMENTO!AA$15,$A17,0,$B17)/(OFFSET(ORÇAMENTO!$X$15,$A17,0,$B17)+10^-12)))</f>
        <v>0</v>
      </c>
      <c r="AK17" s="198">
        <f ca="1">IF(ACOMPANHAMENTO&lt;&gt;"BM",0,SUMPRODUCT(OFFSET(BM!$M$15,$A17,0,$B17)*(OFFSET(BM!$A$15,$A17,0,$B17)="S")*OFFSET(ORÇAMENTO!AB$15,$A17,0,$B17)/(OFFSET(ORÇAMENTO!$X$15,$A17,0,$B17)+10^-12)))</f>
        <v>0</v>
      </c>
      <c r="AL17" s="198">
        <f ca="1">IF(ACOMPANHAMENTO&lt;&gt;"BM",0,OFFSET(BM!$M$15,$A17,0))</f>
        <v>0</v>
      </c>
      <c r="AM17" s="198">
        <f ca="1">IF(ACOMPANHAMENTO&lt;&gt;"BM",0,SUMPRODUCT(OFFSET(BM!$O$15,$A17,0,$B17)*(OFFSET(BM!$A$15,$A17,0,$B17)="S")*OFFSET(ORÇAMENTO!AA$15,$A17,0,$B17)/(OFFSET(ORÇAMENTO!$X$15,$A17,0,$B17)+10^-12)))</f>
        <v>0</v>
      </c>
      <c r="AN17" s="198">
        <f ca="1">IF(ACOMPANHAMENTO&lt;&gt;"BM",0,SUMPRODUCT(OFFSET(BM!$O$15,$A17,0,$B17)*(OFFSET(BM!$A$15,$A17,0,$B17)="S")*OFFSET(ORÇAMENTO!AB$15,$A17,0,$B17)/(OFFSET(ORÇAMENTO!$X$15,$A17,0,$B17)+10^-12)))</f>
        <v>0</v>
      </c>
      <c r="AO17" s="198">
        <f ca="1">IF(ACOMPANHAMENTO&lt;&gt;"BM",0,OFFSET(BM!$O$15,$A17,0))</f>
        <v>0</v>
      </c>
    </row>
    <row r="18" spans="1:41" x14ac:dyDescent="0.2">
      <c r="A18" t="e">
        <f ca="1">MATCH(E18,ORÇAMENTO!$E$15:$E$51,0)-1</f>
        <v>#N/A</v>
      </c>
      <c r="B18" t="e">
        <f ca="1">IF(ISERROR($A18),NA(),OFFSET(ORÇAMENTO!$D$15,$A18,0))</f>
        <v>#N/A</v>
      </c>
      <c r="C18" t="str">
        <f ca="1">QCI!B18</f>
        <v>Branco</v>
      </c>
      <c r="D18" t="str">
        <f t="shared" ca="1" si="0"/>
        <v/>
      </c>
      <c r="E18" s="321">
        <f>QCI!D18</f>
        <v>5</v>
      </c>
      <c r="F18" s="406" t="str">
        <f ca="1">QCI!G18</f>
        <v/>
      </c>
      <c r="G18" s="407">
        <f>QCI!H18</f>
        <v>0</v>
      </c>
      <c r="H18" s="322">
        <f>QCI!I18</f>
        <v>0</v>
      </c>
      <c r="I18" s="322" t="str">
        <f ca="1">QCI!J18</f>
        <v/>
      </c>
      <c r="J18" s="408" t="str">
        <f ca="1">QCI!K18</f>
        <v/>
      </c>
      <c r="K18" s="409" t="str">
        <f ca="1">IF($C18="Automático",IF(ACOMPANHAMENTO="BM",BM.medicao,PLE.Medicao),IF(ISBLANK($X18),"",$X18))</f>
        <v/>
      </c>
      <c r="L18" s="326">
        <f ca="1">QCI!$O18</f>
        <v>0</v>
      </c>
      <c r="M18" s="323">
        <f t="shared" ca="1" si="1"/>
        <v>0</v>
      </c>
      <c r="N18" s="324">
        <f t="shared" ca="1" si="2"/>
        <v>0</v>
      </c>
      <c r="O18" s="325">
        <f t="shared" ca="1" si="3"/>
        <v>0</v>
      </c>
      <c r="P18" s="411">
        <f t="shared" ca="1" si="4"/>
        <v>0</v>
      </c>
      <c r="R18" s="410">
        <f ca="1">ROUND(IF($C18="Automático",AC18+AJ18,$Y18*IF(ISERROR(QCI!$AA18/QCI!$O18),0,QCI!$AA18/QCI!$O18)),2)</f>
        <v>0</v>
      </c>
      <c r="S18" s="410">
        <f ca="1">ROUND(IF($C18="Automático",AD18+AK18,$Y18*IF(ISERROR(QCI!$AB18/QCI!$O18),0,QCI!$AB18/QCI!$O18)),2)</f>
        <v>0</v>
      </c>
      <c r="T18" s="410">
        <f ca="1">ROUND(IF($C18="Automático",AF18+AM18,$Z18*IF(ISERROR(QCI!$AA18/QCI!$O18),0,QCI!$AA18/QCI!$O18)),2)</f>
        <v>0</v>
      </c>
      <c r="U18" s="410">
        <f ca="1">ROUND(IF($C18="Automático",AG18+AN18,$Z18*IF(ISERROR(QCI!$AB18/QCI!$O18),0,QCI!$AB18/QCI!$O18)),2)</f>
        <v>0</v>
      </c>
      <c r="V18" s="518">
        <f ca="1">IF(AND($L18&gt;0,$J18&lt;&gt;0,$J18&lt;&gt;"",COUNTIF($J$13:$J18,$J18)=1),OFFSET(V18,-1,0)+1,OFFSET(V18,-1,0))</f>
        <v>0</v>
      </c>
      <c r="X18" s="597"/>
      <c r="Y18" s="327"/>
      <c r="Z18" s="329"/>
      <c r="AC18" s="198" t="e">
        <f ca="1">IF(ACOMPANHAMENTO&lt;&gt;"PLE",0,SUMPRODUCT((OFFSET(CÁLCULO!$AX$15:$BH$15,$A18,0,$B18)&lt;=(PLE.Medicao-1))*OFFSET(CÁLCULO!$AB$15:$AL$15,$A18,0,$B18)*OFFSET(ORÇAMENTO!$AA$15,$A18,0,$B18)/(OFFSET(ORÇAMENTO!$X$15,$A18,0,$B18)+10^-12))+IF(AUTOEVENTO="Manual",SUMPRODUCT((OFFSET(CÁLCULO!$M$15,$A18,0,$B18)=1)*OFFSET(ORÇAMENTO!$AA$15,$A18,0,$B18)*(PLE!$AE$9-PLE!$Y$9)),0))</f>
        <v>#N/A</v>
      </c>
      <c r="AD18" s="198" t="e">
        <f ca="1">IF(ACOMPANHAMENTO&lt;&gt;"PLE",0,SUMPRODUCT((OFFSET(CÁLCULO!$AX$15:$BH$15,$A18,0,$B18)&lt;=(PLE.Medicao-1))*OFFSET(CÁLCULO!$AB$15:$AL$15,$A18,0,$B18)*OFFSET(ORÇAMENTO!$AB$15,$A18,0,$B18)/(OFFSET(ORÇAMENTO!$X$15,$A18,0,$B18)+10^-12))+IF(AUTOEVENTO="Manual",SUMPRODUCT((OFFSET(CÁLCULO!$M$15,$A18,0,$B18)=1)*OFFSET(ORÇAMENTO!$AB$15,$A18,0,$B18)*(PLE!$AE$9-PLE!$Y$9)),0))</f>
        <v>#N/A</v>
      </c>
      <c r="AE18" s="198" t="e">
        <f ca="1">ROUND(IF(ACOMPANHAMENTO&lt;&gt;"PLE",0,SUMIF(OFFSET(CÁLCULO!$AX$15:$BH$15,$A18,0,$B18),"&lt;="&amp;(PLE.Medicao-1),OFFSET(CÁLCULO!$AB$15:$AL$15,$A18,0,$B18))+IF(AUTOEVENTO="Manual",SUMIF(OFFSET(CÁLCULO!$M$15,$A18,0,$B18),1,OFFSET(ORÇAMENTO!$X$15,$A18,0,$B18))*(PLE!$AE$9-PLE!$Y$9),0)),2)</f>
        <v>#N/A</v>
      </c>
      <c r="AF18" s="198" t="e">
        <f ca="1">IF(ACOMPANHAMENTO&lt;&gt;"PLE",0,SUMPRODUCT((OFFSET(CÁLCULO!$AX$15:$BH$15,$A18,0,$B18)&lt;=PLE.Medicao)*OFFSET(CÁLCULO!$AB$15:$AL$15,$A18,0,$B18)*OFFSET(ORÇAMENTO!$AA$15,$A18,0,$B18)/(OFFSET(ORÇAMENTO!$X$15,$A18,0,$B18)+10^-12))+IF(AUTOEVENTO="Manual",SUMPRODUCT((OFFSET(CÁLCULO!$M$15,$A18,0,$B18)=1)*OFFSET(ORÇAMENTO!$AA$15,$A18,0,$B18)*PLE!$AE$9),0))</f>
        <v>#N/A</v>
      </c>
      <c r="AG18" s="198" t="e">
        <f ca="1">IF(ACOMPANHAMENTO&lt;&gt;"PLE",0,SUMPRODUCT((OFFSET(CÁLCULO!$AX$15:$BH$15,$A18,0,$B18)&lt;=PLE.Medicao)*OFFSET(CÁLCULO!$AB$15:$AL$15,$A18,0,$B18)*OFFSET(ORÇAMENTO!$AB$15,$A18,0,$B18)/(OFFSET(ORÇAMENTO!$X$15,$A18,0,$B18)+10^-12))+IF(AUTOEVENTO="Manual",SUMPRODUCT((OFFSET(CÁLCULO!$M$15,$A18,0,$B18)=1)*OFFSET(ORÇAMENTO!$AB$15,$A18,0,$B18)*PLE!$AE$9),0))</f>
        <v>#N/A</v>
      </c>
      <c r="AH18" s="198" t="e">
        <f ca="1">ROUND(IF(ACOMPANHAMENTO&lt;&gt;"PLE",0,SUMIF(OFFSET(CÁLCULO!$AX$15:$BH$15,$A18,0,$B18),"&lt;="&amp;PLE.Medicao,OFFSET(CÁLCULO!$AB$15:$AL$15,$A18,0,$B18))+IF(AUTOEVENTO="Manual",SUMIF(OFFSET(CÁLCULO!$M$15,$A18,0,$B18),1,OFFSET(ORÇAMENTO!$X$15,$A18,0,$B18))*PLE!$AE$9,0)),2)</f>
        <v>#N/A</v>
      </c>
      <c r="AJ18" s="198">
        <f ca="1">IF(ACOMPANHAMENTO&lt;&gt;"BM",0,SUMPRODUCT(OFFSET(BM!$M$15,$A18,0,$B18)*(OFFSET(BM!$A$15,$A18,0,$B18)="S")*OFFSET(ORÇAMENTO!AA$15,$A18,0,$B18)/(OFFSET(ORÇAMENTO!$X$15,$A18,0,$B18)+10^-12)))</f>
        <v>0</v>
      </c>
      <c r="AK18" s="198">
        <f ca="1">IF(ACOMPANHAMENTO&lt;&gt;"BM",0,SUMPRODUCT(OFFSET(BM!$M$15,$A18,0,$B18)*(OFFSET(BM!$A$15,$A18,0,$B18)="S")*OFFSET(ORÇAMENTO!AB$15,$A18,0,$B18)/(OFFSET(ORÇAMENTO!$X$15,$A18,0,$B18)+10^-12)))</f>
        <v>0</v>
      </c>
      <c r="AL18" s="198">
        <f ca="1">IF(ACOMPANHAMENTO&lt;&gt;"BM",0,OFFSET(BM!$M$15,$A18,0))</f>
        <v>0</v>
      </c>
      <c r="AM18" s="198">
        <f ca="1">IF(ACOMPANHAMENTO&lt;&gt;"BM",0,SUMPRODUCT(OFFSET(BM!$O$15,$A18,0,$B18)*(OFFSET(BM!$A$15,$A18,0,$B18)="S")*OFFSET(ORÇAMENTO!AA$15,$A18,0,$B18)/(OFFSET(ORÇAMENTO!$X$15,$A18,0,$B18)+10^-12)))</f>
        <v>0</v>
      </c>
      <c r="AN18" s="198">
        <f ca="1">IF(ACOMPANHAMENTO&lt;&gt;"BM",0,SUMPRODUCT(OFFSET(BM!$O$15,$A18,0,$B18)*(OFFSET(BM!$A$15,$A18,0,$B18)="S")*OFFSET(ORÇAMENTO!AB$15,$A18,0,$B18)/(OFFSET(ORÇAMENTO!$X$15,$A18,0,$B18)+10^-12)))</f>
        <v>0</v>
      </c>
      <c r="AO18" s="198">
        <f ca="1">IF(ACOMPANHAMENTO&lt;&gt;"BM",0,OFFSET(BM!$O$15,$A18,0))</f>
        <v>0</v>
      </c>
    </row>
    <row r="19" spans="1:41" x14ac:dyDescent="0.2">
      <c r="A19" t="e">
        <f ca="1">MATCH(E19,ORÇAMENTO!$E$15:$E$51,0)-1</f>
        <v>#N/A</v>
      </c>
      <c r="B19" t="e">
        <f ca="1">IF(ISERROR($A19),NA(),OFFSET(ORÇAMENTO!$D$15,$A19,0))</f>
        <v>#N/A</v>
      </c>
      <c r="C19" t="str">
        <f ca="1">QCI!B19</f>
        <v>Branco</v>
      </c>
      <c r="D19" t="str">
        <f t="shared" ca="1" si="0"/>
        <v/>
      </c>
      <c r="E19" s="321">
        <f>QCI!D19</f>
        <v>6</v>
      </c>
      <c r="F19" s="406" t="str">
        <f ca="1">QCI!G19</f>
        <v/>
      </c>
      <c r="G19" s="407">
        <f>QCI!H19</f>
        <v>0</v>
      </c>
      <c r="H19" s="322">
        <f>QCI!I19</f>
        <v>0</v>
      </c>
      <c r="I19" s="322" t="str">
        <f ca="1">QCI!J19</f>
        <v/>
      </c>
      <c r="J19" s="408" t="str">
        <f ca="1">QCI!K19</f>
        <v/>
      </c>
      <c r="K19" s="409" t="str">
        <f ca="1">IF($C19="Automático",IF(ACOMPANHAMENTO="BM",BM.medicao,PLE.Medicao),IF(ISBLANK($X19),"",$X19))</f>
        <v/>
      </c>
      <c r="L19" s="326">
        <f ca="1">QCI!$O19</f>
        <v>0</v>
      </c>
      <c r="M19" s="323">
        <f t="shared" ca="1" si="1"/>
        <v>0</v>
      </c>
      <c r="N19" s="324">
        <f t="shared" ca="1" si="2"/>
        <v>0</v>
      </c>
      <c r="O19" s="325">
        <f t="shared" ca="1" si="3"/>
        <v>0</v>
      </c>
      <c r="P19" s="411">
        <f t="shared" ca="1" si="4"/>
        <v>0</v>
      </c>
      <c r="R19" s="410">
        <f ca="1">ROUND(IF($C19="Automático",AC19+AJ19,$Y19*IF(ISERROR(QCI!$AA19/QCI!$O19),0,QCI!$AA19/QCI!$O19)),2)</f>
        <v>0</v>
      </c>
      <c r="S19" s="410">
        <f ca="1">ROUND(IF($C19="Automático",AD19+AK19,$Y19*IF(ISERROR(QCI!$AB19/QCI!$O19),0,QCI!$AB19/QCI!$O19)),2)</f>
        <v>0</v>
      </c>
      <c r="T19" s="410">
        <f ca="1">ROUND(IF($C19="Automático",AF19+AM19,$Z19*IF(ISERROR(QCI!$AA19/QCI!$O19),0,QCI!$AA19/QCI!$O19)),2)</f>
        <v>0</v>
      </c>
      <c r="U19" s="410">
        <f ca="1">ROUND(IF($C19="Automático",AG19+AN19,$Z19*IF(ISERROR(QCI!$AB19/QCI!$O19),0,QCI!$AB19/QCI!$O19)),2)</f>
        <v>0</v>
      </c>
      <c r="V19" s="518">
        <f ca="1">IF(AND($L19&gt;0,$J19&lt;&gt;0,$J19&lt;&gt;"",COUNTIF($J$13:$J19,$J19)=1),OFFSET(V19,-1,0)+1,OFFSET(V19,-1,0))</f>
        <v>0</v>
      </c>
      <c r="X19" s="597"/>
      <c r="Y19" s="327"/>
      <c r="Z19" s="329"/>
      <c r="AC19" s="198" t="e">
        <f ca="1">IF(ACOMPANHAMENTO&lt;&gt;"PLE",0,SUMPRODUCT((OFFSET(CÁLCULO!$AX$15:$BH$15,$A19,0,$B19)&lt;=(PLE.Medicao-1))*OFFSET(CÁLCULO!$AB$15:$AL$15,$A19,0,$B19)*OFFSET(ORÇAMENTO!$AA$15,$A19,0,$B19)/(OFFSET(ORÇAMENTO!$X$15,$A19,0,$B19)+10^-12))+IF(AUTOEVENTO="Manual",SUMPRODUCT((OFFSET(CÁLCULO!$M$15,$A19,0,$B19)=1)*OFFSET(ORÇAMENTO!$AA$15,$A19,0,$B19)*(PLE!$AE$9-PLE!$Y$9)),0))</f>
        <v>#N/A</v>
      </c>
      <c r="AD19" s="198" t="e">
        <f ca="1">IF(ACOMPANHAMENTO&lt;&gt;"PLE",0,SUMPRODUCT((OFFSET(CÁLCULO!$AX$15:$BH$15,$A19,0,$B19)&lt;=(PLE.Medicao-1))*OFFSET(CÁLCULO!$AB$15:$AL$15,$A19,0,$B19)*OFFSET(ORÇAMENTO!$AB$15,$A19,0,$B19)/(OFFSET(ORÇAMENTO!$X$15,$A19,0,$B19)+10^-12))+IF(AUTOEVENTO="Manual",SUMPRODUCT((OFFSET(CÁLCULO!$M$15,$A19,0,$B19)=1)*OFFSET(ORÇAMENTO!$AB$15,$A19,0,$B19)*(PLE!$AE$9-PLE!$Y$9)),0))</f>
        <v>#N/A</v>
      </c>
      <c r="AE19" s="198" t="e">
        <f ca="1">ROUND(IF(ACOMPANHAMENTO&lt;&gt;"PLE",0,SUMIF(OFFSET(CÁLCULO!$AX$15:$BH$15,$A19,0,$B19),"&lt;="&amp;(PLE.Medicao-1),OFFSET(CÁLCULO!$AB$15:$AL$15,$A19,0,$B19))+IF(AUTOEVENTO="Manual",SUMIF(OFFSET(CÁLCULO!$M$15,$A19,0,$B19),1,OFFSET(ORÇAMENTO!$X$15,$A19,0,$B19))*(PLE!$AE$9-PLE!$Y$9),0)),2)</f>
        <v>#N/A</v>
      </c>
      <c r="AF19" s="198" t="e">
        <f ca="1">IF(ACOMPANHAMENTO&lt;&gt;"PLE",0,SUMPRODUCT((OFFSET(CÁLCULO!$AX$15:$BH$15,$A19,0,$B19)&lt;=PLE.Medicao)*OFFSET(CÁLCULO!$AB$15:$AL$15,$A19,0,$B19)*OFFSET(ORÇAMENTO!$AA$15,$A19,0,$B19)/(OFFSET(ORÇAMENTO!$X$15,$A19,0,$B19)+10^-12))+IF(AUTOEVENTO="Manual",SUMPRODUCT((OFFSET(CÁLCULO!$M$15,$A19,0,$B19)=1)*OFFSET(ORÇAMENTO!$AA$15,$A19,0,$B19)*PLE!$AE$9),0))</f>
        <v>#N/A</v>
      </c>
      <c r="AG19" s="198" t="e">
        <f ca="1">IF(ACOMPANHAMENTO&lt;&gt;"PLE",0,SUMPRODUCT((OFFSET(CÁLCULO!$AX$15:$BH$15,$A19,0,$B19)&lt;=PLE.Medicao)*OFFSET(CÁLCULO!$AB$15:$AL$15,$A19,0,$B19)*OFFSET(ORÇAMENTO!$AB$15,$A19,0,$B19)/(OFFSET(ORÇAMENTO!$X$15,$A19,0,$B19)+10^-12))+IF(AUTOEVENTO="Manual",SUMPRODUCT((OFFSET(CÁLCULO!$M$15,$A19,0,$B19)=1)*OFFSET(ORÇAMENTO!$AB$15,$A19,0,$B19)*PLE!$AE$9),0))</f>
        <v>#N/A</v>
      </c>
      <c r="AH19" s="198" t="e">
        <f ca="1">ROUND(IF(ACOMPANHAMENTO&lt;&gt;"PLE",0,SUMIF(OFFSET(CÁLCULO!$AX$15:$BH$15,$A19,0,$B19),"&lt;="&amp;PLE.Medicao,OFFSET(CÁLCULO!$AB$15:$AL$15,$A19,0,$B19))+IF(AUTOEVENTO="Manual",SUMIF(OFFSET(CÁLCULO!$M$15,$A19,0,$B19),1,OFFSET(ORÇAMENTO!$X$15,$A19,0,$B19))*PLE!$AE$9,0)),2)</f>
        <v>#N/A</v>
      </c>
      <c r="AJ19" s="198">
        <f ca="1">IF(ACOMPANHAMENTO&lt;&gt;"BM",0,SUMPRODUCT(OFFSET(BM!$M$15,$A19,0,$B19)*(OFFSET(BM!$A$15,$A19,0,$B19)="S")*OFFSET(ORÇAMENTO!AA$15,$A19,0,$B19)/(OFFSET(ORÇAMENTO!$X$15,$A19,0,$B19)+10^-12)))</f>
        <v>0</v>
      </c>
      <c r="AK19" s="198">
        <f ca="1">IF(ACOMPANHAMENTO&lt;&gt;"BM",0,SUMPRODUCT(OFFSET(BM!$M$15,$A19,0,$B19)*(OFFSET(BM!$A$15,$A19,0,$B19)="S")*OFFSET(ORÇAMENTO!AB$15,$A19,0,$B19)/(OFFSET(ORÇAMENTO!$X$15,$A19,0,$B19)+10^-12)))</f>
        <v>0</v>
      </c>
      <c r="AL19" s="198">
        <f ca="1">IF(ACOMPANHAMENTO&lt;&gt;"BM",0,OFFSET(BM!$M$15,$A19,0))</f>
        <v>0</v>
      </c>
      <c r="AM19" s="198">
        <f ca="1">IF(ACOMPANHAMENTO&lt;&gt;"BM",0,SUMPRODUCT(OFFSET(BM!$O$15,$A19,0,$B19)*(OFFSET(BM!$A$15,$A19,0,$B19)="S")*OFFSET(ORÇAMENTO!AA$15,$A19,0,$B19)/(OFFSET(ORÇAMENTO!$X$15,$A19,0,$B19)+10^-12)))</f>
        <v>0</v>
      </c>
      <c r="AN19" s="198">
        <f ca="1">IF(ACOMPANHAMENTO&lt;&gt;"BM",0,SUMPRODUCT(OFFSET(BM!$O$15,$A19,0,$B19)*(OFFSET(BM!$A$15,$A19,0,$B19)="S")*OFFSET(ORÇAMENTO!AB$15,$A19,0,$B19)/(OFFSET(ORÇAMENTO!$X$15,$A19,0,$B19)+10^-12)))</f>
        <v>0</v>
      </c>
      <c r="AO19" s="198">
        <f ca="1">IF(ACOMPANHAMENTO&lt;&gt;"BM",0,OFFSET(BM!$O$15,$A19,0))</f>
        <v>0</v>
      </c>
    </row>
    <row r="20" spans="1:41" x14ac:dyDescent="0.2">
      <c r="A20" t="e">
        <f ca="1">MATCH(E20,ORÇAMENTO!$E$15:$E$51,0)-1</f>
        <v>#N/A</v>
      </c>
      <c r="B20" t="e">
        <f ca="1">IF(ISERROR($A20),NA(),OFFSET(ORÇAMENTO!$D$15,$A20,0))</f>
        <v>#N/A</v>
      </c>
      <c r="C20" t="str">
        <f ca="1">QCI!B20</f>
        <v>Branco</v>
      </c>
      <c r="D20" t="str">
        <f t="shared" ca="1" si="0"/>
        <v/>
      </c>
      <c r="E20" s="321">
        <f>QCI!D20</f>
        <v>7</v>
      </c>
      <c r="F20" s="406" t="str">
        <f ca="1">QCI!G20</f>
        <v/>
      </c>
      <c r="G20" s="407">
        <f>QCI!H20</f>
        <v>0</v>
      </c>
      <c r="H20" s="322">
        <f>QCI!I20</f>
        <v>0</v>
      </c>
      <c r="I20" s="322" t="str">
        <f ca="1">QCI!J20</f>
        <v/>
      </c>
      <c r="J20" s="408" t="str">
        <f ca="1">QCI!K20</f>
        <v/>
      </c>
      <c r="K20" s="409" t="str">
        <f ca="1">IF($C20="Automático",IF(ACOMPANHAMENTO="BM",BM.medicao,PLE.Medicao),IF(ISBLANK($X20),"",$X20))</f>
        <v/>
      </c>
      <c r="L20" s="326">
        <f ca="1">QCI!$O20</f>
        <v>0</v>
      </c>
      <c r="M20" s="323">
        <f t="shared" ca="1" si="1"/>
        <v>0</v>
      </c>
      <c r="N20" s="324">
        <f t="shared" ca="1" si="2"/>
        <v>0</v>
      </c>
      <c r="O20" s="325">
        <f t="shared" ca="1" si="3"/>
        <v>0</v>
      </c>
      <c r="P20" s="411">
        <f t="shared" ca="1" si="4"/>
        <v>0</v>
      </c>
      <c r="R20" s="410">
        <f ca="1">ROUND(IF($C20="Automático",AC20+AJ20,$Y20*IF(ISERROR(QCI!$AA20/QCI!$O20),0,QCI!$AA20/QCI!$O20)),2)</f>
        <v>0</v>
      </c>
      <c r="S20" s="410">
        <f ca="1">ROUND(IF($C20="Automático",AD20+AK20,$Y20*IF(ISERROR(QCI!$AB20/QCI!$O20),0,QCI!$AB20/QCI!$O20)),2)</f>
        <v>0</v>
      </c>
      <c r="T20" s="410">
        <f ca="1">ROUND(IF($C20="Automático",AF20+AM20,$Z20*IF(ISERROR(QCI!$AA20/QCI!$O20),0,QCI!$AA20/QCI!$O20)),2)</f>
        <v>0</v>
      </c>
      <c r="U20" s="410">
        <f ca="1">ROUND(IF($C20="Automático",AG20+AN20,$Z20*IF(ISERROR(QCI!$AB20/QCI!$O20),0,QCI!$AB20/QCI!$O20)),2)</f>
        <v>0</v>
      </c>
      <c r="V20" s="518">
        <f ca="1">IF(AND($L20&gt;0,$J20&lt;&gt;0,$J20&lt;&gt;"",COUNTIF($J$13:$J20,$J20)=1),OFFSET(V20,-1,0)+1,OFFSET(V20,-1,0))</f>
        <v>0</v>
      </c>
      <c r="X20" s="597"/>
      <c r="Y20" s="327"/>
      <c r="Z20" s="329"/>
      <c r="AC20" s="198" t="e">
        <f ca="1">IF(ACOMPANHAMENTO&lt;&gt;"PLE",0,SUMPRODUCT((OFFSET(CÁLCULO!$AX$15:$BH$15,$A20,0,$B20)&lt;=(PLE.Medicao-1))*OFFSET(CÁLCULO!$AB$15:$AL$15,$A20,0,$B20)*OFFSET(ORÇAMENTO!$AA$15,$A20,0,$B20)/(OFFSET(ORÇAMENTO!$X$15,$A20,0,$B20)+10^-12))+IF(AUTOEVENTO="Manual",SUMPRODUCT((OFFSET(CÁLCULO!$M$15,$A20,0,$B20)=1)*OFFSET(ORÇAMENTO!$AA$15,$A20,0,$B20)*(PLE!$AE$9-PLE!$Y$9)),0))</f>
        <v>#N/A</v>
      </c>
      <c r="AD20" s="198" t="e">
        <f ca="1">IF(ACOMPANHAMENTO&lt;&gt;"PLE",0,SUMPRODUCT((OFFSET(CÁLCULO!$AX$15:$BH$15,$A20,0,$B20)&lt;=(PLE.Medicao-1))*OFFSET(CÁLCULO!$AB$15:$AL$15,$A20,0,$B20)*OFFSET(ORÇAMENTO!$AB$15,$A20,0,$B20)/(OFFSET(ORÇAMENTO!$X$15,$A20,0,$B20)+10^-12))+IF(AUTOEVENTO="Manual",SUMPRODUCT((OFFSET(CÁLCULO!$M$15,$A20,0,$B20)=1)*OFFSET(ORÇAMENTO!$AB$15,$A20,0,$B20)*(PLE!$AE$9-PLE!$Y$9)),0))</f>
        <v>#N/A</v>
      </c>
      <c r="AE20" s="198" t="e">
        <f ca="1">ROUND(IF(ACOMPANHAMENTO&lt;&gt;"PLE",0,SUMIF(OFFSET(CÁLCULO!$AX$15:$BH$15,$A20,0,$B20),"&lt;="&amp;(PLE.Medicao-1),OFFSET(CÁLCULO!$AB$15:$AL$15,$A20,0,$B20))+IF(AUTOEVENTO="Manual",SUMIF(OFFSET(CÁLCULO!$M$15,$A20,0,$B20),1,OFFSET(ORÇAMENTO!$X$15,$A20,0,$B20))*(PLE!$AE$9-PLE!$Y$9),0)),2)</f>
        <v>#N/A</v>
      </c>
      <c r="AF20" s="198" t="e">
        <f ca="1">IF(ACOMPANHAMENTO&lt;&gt;"PLE",0,SUMPRODUCT((OFFSET(CÁLCULO!$AX$15:$BH$15,$A20,0,$B20)&lt;=PLE.Medicao)*OFFSET(CÁLCULO!$AB$15:$AL$15,$A20,0,$B20)*OFFSET(ORÇAMENTO!$AA$15,$A20,0,$B20)/(OFFSET(ORÇAMENTO!$X$15,$A20,0,$B20)+10^-12))+IF(AUTOEVENTO="Manual",SUMPRODUCT((OFFSET(CÁLCULO!$M$15,$A20,0,$B20)=1)*OFFSET(ORÇAMENTO!$AA$15,$A20,0,$B20)*PLE!$AE$9),0))</f>
        <v>#N/A</v>
      </c>
      <c r="AG20" s="198" t="e">
        <f ca="1">IF(ACOMPANHAMENTO&lt;&gt;"PLE",0,SUMPRODUCT((OFFSET(CÁLCULO!$AX$15:$BH$15,$A20,0,$B20)&lt;=PLE.Medicao)*OFFSET(CÁLCULO!$AB$15:$AL$15,$A20,0,$B20)*OFFSET(ORÇAMENTO!$AB$15,$A20,0,$B20)/(OFFSET(ORÇAMENTO!$X$15,$A20,0,$B20)+10^-12))+IF(AUTOEVENTO="Manual",SUMPRODUCT((OFFSET(CÁLCULO!$M$15,$A20,0,$B20)=1)*OFFSET(ORÇAMENTO!$AB$15,$A20,0,$B20)*PLE!$AE$9),0))</f>
        <v>#N/A</v>
      </c>
      <c r="AH20" s="198" t="e">
        <f ca="1">ROUND(IF(ACOMPANHAMENTO&lt;&gt;"PLE",0,SUMIF(OFFSET(CÁLCULO!$AX$15:$BH$15,$A20,0,$B20),"&lt;="&amp;PLE.Medicao,OFFSET(CÁLCULO!$AB$15:$AL$15,$A20,0,$B20))+IF(AUTOEVENTO="Manual",SUMIF(OFFSET(CÁLCULO!$M$15,$A20,0,$B20),1,OFFSET(ORÇAMENTO!$X$15,$A20,0,$B20))*PLE!$AE$9,0)),2)</f>
        <v>#N/A</v>
      </c>
      <c r="AJ20" s="198">
        <f ca="1">IF(ACOMPANHAMENTO&lt;&gt;"BM",0,SUMPRODUCT(OFFSET(BM!$M$15,$A20,0,$B20)*(OFFSET(BM!$A$15,$A20,0,$B20)="S")*OFFSET(ORÇAMENTO!AA$15,$A20,0,$B20)/(OFFSET(ORÇAMENTO!$X$15,$A20,0,$B20)+10^-12)))</f>
        <v>0</v>
      </c>
      <c r="AK20" s="198">
        <f ca="1">IF(ACOMPANHAMENTO&lt;&gt;"BM",0,SUMPRODUCT(OFFSET(BM!$M$15,$A20,0,$B20)*(OFFSET(BM!$A$15,$A20,0,$B20)="S")*OFFSET(ORÇAMENTO!AB$15,$A20,0,$B20)/(OFFSET(ORÇAMENTO!$X$15,$A20,0,$B20)+10^-12)))</f>
        <v>0</v>
      </c>
      <c r="AL20" s="198">
        <f ca="1">IF(ACOMPANHAMENTO&lt;&gt;"BM",0,OFFSET(BM!$M$15,$A20,0))</f>
        <v>0</v>
      </c>
      <c r="AM20" s="198">
        <f ca="1">IF(ACOMPANHAMENTO&lt;&gt;"BM",0,SUMPRODUCT(OFFSET(BM!$O$15,$A20,0,$B20)*(OFFSET(BM!$A$15,$A20,0,$B20)="S")*OFFSET(ORÇAMENTO!AA$15,$A20,0,$B20)/(OFFSET(ORÇAMENTO!$X$15,$A20,0,$B20)+10^-12)))</f>
        <v>0</v>
      </c>
      <c r="AN20" s="198">
        <f ca="1">IF(ACOMPANHAMENTO&lt;&gt;"BM",0,SUMPRODUCT(OFFSET(BM!$O$15,$A20,0,$B20)*(OFFSET(BM!$A$15,$A20,0,$B20)="S")*OFFSET(ORÇAMENTO!AB$15,$A20,0,$B20)/(OFFSET(ORÇAMENTO!$X$15,$A20,0,$B20)+10^-12)))</f>
        <v>0</v>
      </c>
      <c r="AO20" s="198">
        <f ca="1">IF(ACOMPANHAMENTO&lt;&gt;"BM",0,OFFSET(BM!$O$15,$A20,0))</f>
        <v>0</v>
      </c>
    </row>
    <row r="21" spans="1:41" x14ac:dyDescent="0.2">
      <c r="A21" t="e">
        <f ca="1">MATCH(E21,ORÇAMENTO!$E$15:$E$51,0)-1</f>
        <v>#N/A</v>
      </c>
      <c r="B21" t="e">
        <f ca="1">IF(ISERROR($A21),NA(),OFFSET(ORÇAMENTO!$D$15,$A21,0))</f>
        <v>#N/A</v>
      </c>
      <c r="C21" t="str">
        <f ca="1">QCI!B21</f>
        <v>Branco</v>
      </c>
      <c r="D21" t="str">
        <f t="shared" ca="1" si="0"/>
        <v/>
      </c>
      <c r="E21" s="321">
        <f>QCI!D21</f>
        <v>8</v>
      </c>
      <c r="F21" s="406" t="str">
        <f ca="1">QCI!G21</f>
        <v/>
      </c>
      <c r="G21" s="407">
        <f>QCI!H21</f>
        <v>0</v>
      </c>
      <c r="H21" s="322">
        <f>QCI!I21</f>
        <v>0</v>
      </c>
      <c r="I21" s="322" t="str">
        <f ca="1">QCI!J21</f>
        <v/>
      </c>
      <c r="J21" s="408" t="str">
        <f ca="1">QCI!K21</f>
        <v/>
      </c>
      <c r="K21" s="409" t="str">
        <f ca="1">IF($C21="Automático",IF(ACOMPANHAMENTO="BM",BM.medicao,PLE.Medicao),IF(ISBLANK($X21),"",$X21))</f>
        <v/>
      </c>
      <c r="L21" s="326">
        <f ca="1">QCI!$O21</f>
        <v>0</v>
      </c>
      <c r="M21" s="323">
        <f t="shared" ca="1" si="1"/>
        <v>0</v>
      </c>
      <c r="N21" s="324">
        <f t="shared" ca="1" si="2"/>
        <v>0</v>
      </c>
      <c r="O21" s="325">
        <f t="shared" ca="1" si="3"/>
        <v>0</v>
      </c>
      <c r="P21" s="411">
        <f t="shared" ca="1" si="4"/>
        <v>0</v>
      </c>
      <c r="R21" s="410">
        <f ca="1">ROUND(IF($C21="Automático",AC21+AJ21,$Y21*IF(ISERROR(QCI!$AA21/QCI!$O21),0,QCI!$AA21/QCI!$O21)),2)</f>
        <v>0</v>
      </c>
      <c r="S21" s="410">
        <f ca="1">ROUND(IF($C21="Automático",AD21+AK21,$Y21*IF(ISERROR(QCI!$AB21/QCI!$O21),0,QCI!$AB21/QCI!$O21)),2)</f>
        <v>0</v>
      </c>
      <c r="T21" s="410">
        <f ca="1">ROUND(IF($C21="Automático",AF21+AM21,$Z21*IF(ISERROR(QCI!$AA21/QCI!$O21),0,QCI!$AA21/QCI!$O21)),2)</f>
        <v>0</v>
      </c>
      <c r="U21" s="410">
        <f ca="1">ROUND(IF($C21="Automático",AG21+AN21,$Z21*IF(ISERROR(QCI!$AB21/QCI!$O21),0,QCI!$AB21/QCI!$O21)),2)</f>
        <v>0</v>
      </c>
      <c r="V21" s="518">
        <f ca="1">IF(AND($L21&gt;0,$J21&lt;&gt;0,$J21&lt;&gt;"",COUNTIF($J$13:$J21,$J21)=1),OFFSET(V21,-1,0)+1,OFFSET(V21,-1,0))</f>
        <v>0</v>
      </c>
      <c r="X21" s="597"/>
      <c r="Y21" s="327"/>
      <c r="Z21" s="329"/>
      <c r="AC21" s="198" t="e">
        <f ca="1">IF(ACOMPANHAMENTO&lt;&gt;"PLE",0,SUMPRODUCT((OFFSET(CÁLCULO!$AX$15:$BH$15,$A21,0,$B21)&lt;=(PLE.Medicao-1))*OFFSET(CÁLCULO!$AB$15:$AL$15,$A21,0,$B21)*OFFSET(ORÇAMENTO!$AA$15,$A21,0,$B21)/(OFFSET(ORÇAMENTO!$X$15,$A21,0,$B21)+10^-12))+IF(AUTOEVENTO="Manual",SUMPRODUCT((OFFSET(CÁLCULO!$M$15,$A21,0,$B21)=1)*OFFSET(ORÇAMENTO!$AA$15,$A21,0,$B21)*(PLE!$AE$9-PLE!$Y$9)),0))</f>
        <v>#N/A</v>
      </c>
      <c r="AD21" s="198" t="e">
        <f ca="1">IF(ACOMPANHAMENTO&lt;&gt;"PLE",0,SUMPRODUCT((OFFSET(CÁLCULO!$AX$15:$BH$15,$A21,0,$B21)&lt;=(PLE.Medicao-1))*OFFSET(CÁLCULO!$AB$15:$AL$15,$A21,0,$B21)*OFFSET(ORÇAMENTO!$AB$15,$A21,0,$B21)/(OFFSET(ORÇAMENTO!$X$15,$A21,0,$B21)+10^-12))+IF(AUTOEVENTO="Manual",SUMPRODUCT((OFFSET(CÁLCULO!$M$15,$A21,0,$B21)=1)*OFFSET(ORÇAMENTO!$AB$15,$A21,0,$B21)*(PLE!$AE$9-PLE!$Y$9)),0))</f>
        <v>#N/A</v>
      </c>
      <c r="AE21" s="198" t="e">
        <f ca="1">ROUND(IF(ACOMPANHAMENTO&lt;&gt;"PLE",0,SUMIF(OFFSET(CÁLCULO!$AX$15:$BH$15,$A21,0,$B21),"&lt;="&amp;(PLE.Medicao-1),OFFSET(CÁLCULO!$AB$15:$AL$15,$A21,0,$B21))+IF(AUTOEVENTO="Manual",SUMIF(OFFSET(CÁLCULO!$M$15,$A21,0,$B21),1,OFFSET(ORÇAMENTO!$X$15,$A21,0,$B21))*(PLE!$AE$9-PLE!$Y$9),0)),2)</f>
        <v>#N/A</v>
      </c>
      <c r="AF21" s="198" t="e">
        <f ca="1">IF(ACOMPANHAMENTO&lt;&gt;"PLE",0,SUMPRODUCT((OFFSET(CÁLCULO!$AX$15:$BH$15,$A21,0,$B21)&lt;=PLE.Medicao)*OFFSET(CÁLCULO!$AB$15:$AL$15,$A21,0,$B21)*OFFSET(ORÇAMENTO!$AA$15,$A21,0,$B21)/(OFFSET(ORÇAMENTO!$X$15,$A21,0,$B21)+10^-12))+IF(AUTOEVENTO="Manual",SUMPRODUCT((OFFSET(CÁLCULO!$M$15,$A21,0,$B21)=1)*OFFSET(ORÇAMENTO!$AA$15,$A21,0,$B21)*PLE!$AE$9),0))</f>
        <v>#N/A</v>
      </c>
      <c r="AG21" s="198" t="e">
        <f ca="1">IF(ACOMPANHAMENTO&lt;&gt;"PLE",0,SUMPRODUCT((OFFSET(CÁLCULO!$AX$15:$BH$15,$A21,0,$B21)&lt;=PLE.Medicao)*OFFSET(CÁLCULO!$AB$15:$AL$15,$A21,0,$B21)*OFFSET(ORÇAMENTO!$AB$15,$A21,0,$B21)/(OFFSET(ORÇAMENTO!$X$15,$A21,0,$B21)+10^-12))+IF(AUTOEVENTO="Manual",SUMPRODUCT((OFFSET(CÁLCULO!$M$15,$A21,0,$B21)=1)*OFFSET(ORÇAMENTO!$AB$15,$A21,0,$B21)*PLE!$AE$9),0))</f>
        <v>#N/A</v>
      </c>
      <c r="AH21" s="198" t="e">
        <f ca="1">ROUND(IF(ACOMPANHAMENTO&lt;&gt;"PLE",0,SUMIF(OFFSET(CÁLCULO!$AX$15:$BH$15,$A21,0,$B21),"&lt;="&amp;PLE.Medicao,OFFSET(CÁLCULO!$AB$15:$AL$15,$A21,0,$B21))+IF(AUTOEVENTO="Manual",SUMIF(OFFSET(CÁLCULO!$M$15,$A21,0,$B21),1,OFFSET(ORÇAMENTO!$X$15,$A21,0,$B21))*PLE!$AE$9,0)),2)</f>
        <v>#N/A</v>
      </c>
      <c r="AJ21" s="198">
        <f ca="1">IF(ACOMPANHAMENTO&lt;&gt;"BM",0,SUMPRODUCT(OFFSET(BM!$M$15,$A21,0,$B21)*(OFFSET(BM!$A$15,$A21,0,$B21)="S")*OFFSET(ORÇAMENTO!AA$15,$A21,0,$B21)/(OFFSET(ORÇAMENTO!$X$15,$A21,0,$B21)+10^-12)))</f>
        <v>0</v>
      </c>
      <c r="AK21" s="198">
        <f ca="1">IF(ACOMPANHAMENTO&lt;&gt;"BM",0,SUMPRODUCT(OFFSET(BM!$M$15,$A21,0,$B21)*(OFFSET(BM!$A$15,$A21,0,$B21)="S")*OFFSET(ORÇAMENTO!AB$15,$A21,0,$B21)/(OFFSET(ORÇAMENTO!$X$15,$A21,0,$B21)+10^-12)))</f>
        <v>0</v>
      </c>
      <c r="AL21" s="198">
        <f ca="1">IF(ACOMPANHAMENTO&lt;&gt;"BM",0,OFFSET(BM!$M$15,$A21,0))</f>
        <v>0</v>
      </c>
      <c r="AM21" s="198">
        <f ca="1">IF(ACOMPANHAMENTO&lt;&gt;"BM",0,SUMPRODUCT(OFFSET(BM!$O$15,$A21,0,$B21)*(OFFSET(BM!$A$15,$A21,0,$B21)="S")*OFFSET(ORÇAMENTO!AA$15,$A21,0,$B21)/(OFFSET(ORÇAMENTO!$X$15,$A21,0,$B21)+10^-12)))</f>
        <v>0</v>
      </c>
      <c r="AN21" s="198">
        <f ca="1">IF(ACOMPANHAMENTO&lt;&gt;"BM",0,SUMPRODUCT(OFFSET(BM!$O$15,$A21,0,$B21)*(OFFSET(BM!$A$15,$A21,0,$B21)="S")*OFFSET(ORÇAMENTO!AB$15,$A21,0,$B21)/(OFFSET(ORÇAMENTO!$X$15,$A21,0,$B21)+10^-12)))</f>
        <v>0</v>
      </c>
      <c r="AO21" s="198">
        <f ca="1">IF(ACOMPANHAMENTO&lt;&gt;"BM",0,OFFSET(BM!$O$15,$A21,0))</f>
        <v>0</v>
      </c>
    </row>
    <row r="22" spans="1:41" x14ac:dyDescent="0.2">
      <c r="A22" t="e">
        <f ca="1">MATCH(E22,ORÇAMENTO!$E$15:$E$51,0)-1</f>
        <v>#N/A</v>
      </c>
      <c r="B22" t="e">
        <f ca="1">IF(ISERROR($A22),NA(),OFFSET(ORÇAMENTO!$D$15,$A22,0))</f>
        <v>#N/A</v>
      </c>
      <c r="C22" t="str">
        <f ca="1">QCI!B22</f>
        <v>Branco</v>
      </c>
      <c r="D22" t="str">
        <f t="shared" ca="1" si="0"/>
        <v/>
      </c>
      <c r="E22" s="321">
        <f>QCI!D22</f>
        <v>9</v>
      </c>
      <c r="F22" s="406" t="str">
        <f ca="1">QCI!G22</f>
        <v/>
      </c>
      <c r="G22" s="407">
        <f>QCI!H22</f>
        <v>0</v>
      </c>
      <c r="H22" s="322">
        <f>QCI!I22</f>
        <v>0</v>
      </c>
      <c r="I22" s="322" t="str">
        <f ca="1">QCI!J22</f>
        <v/>
      </c>
      <c r="J22" s="408" t="str">
        <f ca="1">QCI!K22</f>
        <v/>
      </c>
      <c r="K22" s="409" t="str">
        <f ca="1">IF($C22="Automático",IF(ACOMPANHAMENTO="BM",BM.medicao,PLE.Medicao),IF(ISBLANK($X22),"",$X22))</f>
        <v/>
      </c>
      <c r="L22" s="326">
        <f ca="1">QCI!$O22</f>
        <v>0</v>
      </c>
      <c r="M22" s="323">
        <f t="shared" ca="1" si="1"/>
        <v>0</v>
      </c>
      <c r="N22" s="324">
        <f t="shared" ca="1" si="2"/>
        <v>0</v>
      </c>
      <c r="O22" s="325">
        <f t="shared" ca="1" si="3"/>
        <v>0</v>
      </c>
      <c r="P22" s="411">
        <f t="shared" ca="1" si="4"/>
        <v>0</v>
      </c>
      <c r="R22" s="410">
        <f ca="1">ROUND(IF($C22="Automático",AC22+AJ22,$Y22*IF(ISERROR(QCI!$AA22/QCI!$O22),0,QCI!$AA22/QCI!$O22)),2)</f>
        <v>0</v>
      </c>
      <c r="S22" s="410">
        <f ca="1">ROUND(IF($C22="Automático",AD22+AK22,$Y22*IF(ISERROR(QCI!$AB22/QCI!$O22),0,QCI!$AB22/QCI!$O22)),2)</f>
        <v>0</v>
      </c>
      <c r="T22" s="410">
        <f ca="1">ROUND(IF($C22="Automático",AF22+AM22,$Z22*IF(ISERROR(QCI!$AA22/QCI!$O22),0,QCI!$AA22/QCI!$O22)),2)</f>
        <v>0</v>
      </c>
      <c r="U22" s="410">
        <f ca="1">ROUND(IF($C22="Automático",AG22+AN22,$Z22*IF(ISERROR(QCI!$AB22/QCI!$O22),0,QCI!$AB22/QCI!$O22)),2)</f>
        <v>0</v>
      </c>
      <c r="V22" s="518">
        <f ca="1">IF(AND($L22&gt;0,$J22&lt;&gt;0,$J22&lt;&gt;"",COUNTIF($J$13:$J22,$J22)=1),OFFSET(V22,-1,0)+1,OFFSET(V22,-1,0))</f>
        <v>0</v>
      </c>
      <c r="X22" s="597"/>
      <c r="Y22" s="327"/>
      <c r="Z22" s="329"/>
      <c r="AC22" s="198" t="e">
        <f ca="1">IF(ACOMPANHAMENTO&lt;&gt;"PLE",0,SUMPRODUCT((OFFSET(CÁLCULO!$AX$15:$BH$15,$A22,0,$B22)&lt;=(PLE.Medicao-1))*OFFSET(CÁLCULO!$AB$15:$AL$15,$A22,0,$B22)*OFFSET(ORÇAMENTO!$AA$15,$A22,0,$B22)/(OFFSET(ORÇAMENTO!$X$15,$A22,0,$B22)+10^-12))+IF(AUTOEVENTO="Manual",SUMPRODUCT((OFFSET(CÁLCULO!$M$15,$A22,0,$B22)=1)*OFFSET(ORÇAMENTO!$AA$15,$A22,0,$B22)*(PLE!$AE$9-PLE!$Y$9)),0))</f>
        <v>#N/A</v>
      </c>
      <c r="AD22" s="198" t="e">
        <f ca="1">IF(ACOMPANHAMENTO&lt;&gt;"PLE",0,SUMPRODUCT((OFFSET(CÁLCULO!$AX$15:$BH$15,$A22,0,$B22)&lt;=(PLE.Medicao-1))*OFFSET(CÁLCULO!$AB$15:$AL$15,$A22,0,$B22)*OFFSET(ORÇAMENTO!$AB$15,$A22,0,$B22)/(OFFSET(ORÇAMENTO!$X$15,$A22,0,$B22)+10^-12))+IF(AUTOEVENTO="Manual",SUMPRODUCT((OFFSET(CÁLCULO!$M$15,$A22,0,$B22)=1)*OFFSET(ORÇAMENTO!$AB$15,$A22,0,$B22)*(PLE!$AE$9-PLE!$Y$9)),0))</f>
        <v>#N/A</v>
      </c>
      <c r="AE22" s="198" t="e">
        <f ca="1">ROUND(IF(ACOMPANHAMENTO&lt;&gt;"PLE",0,SUMIF(OFFSET(CÁLCULO!$AX$15:$BH$15,$A22,0,$B22),"&lt;="&amp;(PLE.Medicao-1),OFFSET(CÁLCULO!$AB$15:$AL$15,$A22,0,$B22))+IF(AUTOEVENTO="Manual",SUMIF(OFFSET(CÁLCULO!$M$15,$A22,0,$B22),1,OFFSET(ORÇAMENTO!$X$15,$A22,0,$B22))*(PLE!$AE$9-PLE!$Y$9),0)),2)</f>
        <v>#N/A</v>
      </c>
      <c r="AF22" s="198" t="e">
        <f ca="1">IF(ACOMPANHAMENTO&lt;&gt;"PLE",0,SUMPRODUCT((OFFSET(CÁLCULO!$AX$15:$BH$15,$A22,0,$B22)&lt;=PLE.Medicao)*OFFSET(CÁLCULO!$AB$15:$AL$15,$A22,0,$B22)*OFFSET(ORÇAMENTO!$AA$15,$A22,0,$B22)/(OFFSET(ORÇAMENTO!$X$15,$A22,0,$B22)+10^-12))+IF(AUTOEVENTO="Manual",SUMPRODUCT((OFFSET(CÁLCULO!$M$15,$A22,0,$B22)=1)*OFFSET(ORÇAMENTO!$AA$15,$A22,0,$B22)*PLE!$AE$9),0))</f>
        <v>#N/A</v>
      </c>
      <c r="AG22" s="198" t="e">
        <f ca="1">IF(ACOMPANHAMENTO&lt;&gt;"PLE",0,SUMPRODUCT((OFFSET(CÁLCULO!$AX$15:$BH$15,$A22,0,$B22)&lt;=PLE.Medicao)*OFFSET(CÁLCULO!$AB$15:$AL$15,$A22,0,$B22)*OFFSET(ORÇAMENTO!$AB$15,$A22,0,$B22)/(OFFSET(ORÇAMENTO!$X$15,$A22,0,$B22)+10^-12))+IF(AUTOEVENTO="Manual",SUMPRODUCT((OFFSET(CÁLCULO!$M$15,$A22,0,$B22)=1)*OFFSET(ORÇAMENTO!$AB$15,$A22,0,$B22)*PLE!$AE$9),0))</f>
        <v>#N/A</v>
      </c>
      <c r="AH22" s="198" t="e">
        <f ca="1">ROUND(IF(ACOMPANHAMENTO&lt;&gt;"PLE",0,SUMIF(OFFSET(CÁLCULO!$AX$15:$BH$15,$A22,0,$B22),"&lt;="&amp;PLE.Medicao,OFFSET(CÁLCULO!$AB$15:$AL$15,$A22,0,$B22))+IF(AUTOEVENTO="Manual",SUMIF(OFFSET(CÁLCULO!$M$15,$A22,0,$B22),1,OFFSET(ORÇAMENTO!$X$15,$A22,0,$B22))*PLE!$AE$9,0)),2)</f>
        <v>#N/A</v>
      </c>
      <c r="AJ22" s="198">
        <f ca="1">IF(ACOMPANHAMENTO&lt;&gt;"BM",0,SUMPRODUCT(OFFSET(BM!$M$15,$A22,0,$B22)*(OFFSET(BM!$A$15,$A22,0,$B22)="S")*OFFSET(ORÇAMENTO!AA$15,$A22,0,$B22)/(OFFSET(ORÇAMENTO!$X$15,$A22,0,$B22)+10^-12)))</f>
        <v>0</v>
      </c>
      <c r="AK22" s="198">
        <f ca="1">IF(ACOMPANHAMENTO&lt;&gt;"BM",0,SUMPRODUCT(OFFSET(BM!$M$15,$A22,0,$B22)*(OFFSET(BM!$A$15,$A22,0,$B22)="S")*OFFSET(ORÇAMENTO!AB$15,$A22,0,$B22)/(OFFSET(ORÇAMENTO!$X$15,$A22,0,$B22)+10^-12)))</f>
        <v>0</v>
      </c>
      <c r="AL22" s="198">
        <f ca="1">IF(ACOMPANHAMENTO&lt;&gt;"BM",0,OFFSET(BM!$M$15,$A22,0))</f>
        <v>0</v>
      </c>
      <c r="AM22" s="198">
        <f ca="1">IF(ACOMPANHAMENTO&lt;&gt;"BM",0,SUMPRODUCT(OFFSET(BM!$O$15,$A22,0,$B22)*(OFFSET(BM!$A$15,$A22,0,$B22)="S")*OFFSET(ORÇAMENTO!AA$15,$A22,0,$B22)/(OFFSET(ORÇAMENTO!$X$15,$A22,0,$B22)+10^-12)))</f>
        <v>0</v>
      </c>
      <c r="AN22" s="198">
        <f ca="1">IF(ACOMPANHAMENTO&lt;&gt;"BM",0,SUMPRODUCT(OFFSET(BM!$O$15,$A22,0,$B22)*(OFFSET(BM!$A$15,$A22,0,$B22)="S")*OFFSET(ORÇAMENTO!AB$15,$A22,0,$B22)/(OFFSET(ORÇAMENTO!$X$15,$A22,0,$B22)+10^-12)))</f>
        <v>0</v>
      </c>
      <c r="AO22" s="198">
        <f ca="1">IF(ACOMPANHAMENTO&lt;&gt;"BM",0,OFFSET(BM!$O$15,$A22,0))</f>
        <v>0</v>
      </c>
    </row>
    <row r="23" spans="1:41" x14ac:dyDescent="0.2">
      <c r="A23" t="e">
        <f ca="1">MATCH(E23,ORÇAMENTO!$E$15:$E$51,0)-1</f>
        <v>#N/A</v>
      </c>
      <c r="B23" t="e">
        <f ca="1">IF(ISERROR($A23),NA(),OFFSET(ORÇAMENTO!$D$15,$A23,0))</f>
        <v>#N/A</v>
      </c>
      <c r="C23" t="str">
        <f ca="1">QCI!B23</f>
        <v>Branco</v>
      </c>
      <c r="D23" t="str">
        <f ca="1">IF(L23&gt;0,"F","")</f>
        <v/>
      </c>
      <c r="E23" s="321">
        <f>QCI!D23</f>
        <v>10</v>
      </c>
      <c r="F23" s="406" t="str">
        <f ca="1">QCI!G23</f>
        <v/>
      </c>
      <c r="G23" s="407">
        <f>QCI!H23</f>
        <v>0</v>
      </c>
      <c r="H23" s="322">
        <f>QCI!I23</f>
        <v>0</v>
      </c>
      <c r="I23" s="322" t="str">
        <f ca="1">QCI!J23</f>
        <v/>
      </c>
      <c r="J23" s="408" t="str">
        <f ca="1">QCI!K23</f>
        <v/>
      </c>
      <c r="K23" s="409" t="str">
        <f ca="1">IF($C23="Automático",IF(ACOMPANHAMENTO="BM",BM.medicao,PLE.Medicao),IF(ISBLANK($X23),"",$X23))</f>
        <v/>
      </c>
      <c r="L23" s="326">
        <f ca="1">QCI!$O23</f>
        <v>0</v>
      </c>
      <c r="M23" s="323">
        <f ca="1">ROUND(IF(C23="Automático",AE23+AL23,Y23),2)</f>
        <v>0</v>
      </c>
      <c r="N23" s="324">
        <f ca="1">O23-M23</f>
        <v>0</v>
      </c>
      <c r="O23" s="325">
        <f ca="1">ROUND(IF(C23="Automático",AH23+AO23,Z23),2)</f>
        <v>0</v>
      </c>
      <c r="P23" s="411">
        <f ca="1">O23/(L23+10^-12)</f>
        <v>0</v>
      </c>
      <c r="R23" s="410">
        <f ca="1">ROUND(IF($C23="Automático",AC23+AJ23,$Y23*IF(ISERROR(QCI!$AA23/QCI!$O23),0,QCI!$AA23/QCI!$O23)),2)</f>
        <v>0</v>
      </c>
      <c r="S23" s="410">
        <f ca="1">ROUND(IF($C23="Automático",AD23+AK23,$Y23*IF(ISERROR(QCI!$AB23/QCI!$O23),0,QCI!$AB23/QCI!$O23)),2)</f>
        <v>0</v>
      </c>
      <c r="T23" s="410">
        <f ca="1">ROUND(IF($C23="Automático",AF23+AM23,$Z23*IF(ISERROR(QCI!$AA23/QCI!$O23),0,QCI!$AA23/QCI!$O23)),2)</f>
        <v>0</v>
      </c>
      <c r="U23" s="410">
        <f ca="1">ROUND(IF($C23="Automático",AG23+AN23,$Z23*IF(ISERROR(QCI!$AB23/QCI!$O23),0,QCI!$AB23/QCI!$O23)),2)</f>
        <v>0</v>
      </c>
      <c r="V23" s="518">
        <f ca="1">IF(AND($L23&gt;0,$J23&lt;&gt;0,$J23&lt;&gt;"",COUNTIF($J$13:$J23,$J23)=1),OFFSET(V23,-1,0)+1,OFFSET(V23,-1,0))</f>
        <v>0</v>
      </c>
      <c r="X23" s="597"/>
      <c r="Y23" s="327"/>
      <c r="Z23" s="329"/>
      <c r="AC23" s="198" t="e">
        <f ca="1">IF(ACOMPANHAMENTO&lt;&gt;"PLE",0,SUMPRODUCT((OFFSET(CÁLCULO!$AX$15:$BH$15,$A23,0,$B23)&lt;=(PLE.Medicao-1))*OFFSET(CÁLCULO!$AB$15:$AL$15,$A23,0,$B23)*OFFSET(ORÇAMENTO!$AA$15,$A23,0,$B23)/(OFFSET(ORÇAMENTO!$X$15,$A23,0,$B23)+10^-12))+IF(AUTOEVENTO="Manual",SUMPRODUCT((OFFSET(CÁLCULO!$M$15,$A23,0,$B23)=1)*OFFSET(ORÇAMENTO!$AA$15,$A23,0,$B23)*(PLE!$AE$9-PLE!$Y$9)),0))</f>
        <v>#N/A</v>
      </c>
      <c r="AD23" s="198" t="e">
        <f ca="1">IF(ACOMPANHAMENTO&lt;&gt;"PLE",0,SUMPRODUCT((OFFSET(CÁLCULO!$AX$15:$BH$15,$A23,0,$B23)&lt;=(PLE.Medicao-1))*OFFSET(CÁLCULO!$AB$15:$AL$15,$A23,0,$B23)*OFFSET(ORÇAMENTO!$AB$15,$A23,0,$B23)/(OFFSET(ORÇAMENTO!$X$15,$A23,0,$B23)+10^-12))+IF(AUTOEVENTO="Manual",SUMPRODUCT((OFFSET(CÁLCULO!$M$15,$A23,0,$B23)=1)*OFFSET(ORÇAMENTO!$AB$15,$A23,0,$B23)*(PLE!$AE$9-PLE!$Y$9)),0))</f>
        <v>#N/A</v>
      </c>
      <c r="AE23" s="198" t="e">
        <f ca="1">ROUND(IF(ACOMPANHAMENTO&lt;&gt;"PLE",0,SUMIF(OFFSET(CÁLCULO!$AX$15:$BH$15,$A23,0,$B23),"&lt;="&amp;(PLE.Medicao-1),OFFSET(CÁLCULO!$AB$15:$AL$15,$A23,0,$B23))+IF(AUTOEVENTO="Manual",SUMIF(OFFSET(CÁLCULO!$M$15,$A23,0,$B23),1,OFFSET(ORÇAMENTO!$X$15,$A23,0,$B23))*(PLE!$AE$9-PLE!$Y$9),0)),2)</f>
        <v>#N/A</v>
      </c>
      <c r="AF23" s="198" t="e">
        <f ca="1">IF(ACOMPANHAMENTO&lt;&gt;"PLE",0,SUMPRODUCT((OFFSET(CÁLCULO!$AX$15:$BH$15,$A23,0,$B23)&lt;=PLE.Medicao)*OFFSET(CÁLCULO!$AB$15:$AL$15,$A23,0,$B23)*OFFSET(ORÇAMENTO!$AA$15,$A23,0,$B23)/(OFFSET(ORÇAMENTO!$X$15,$A23,0,$B23)+10^-12))+IF(AUTOEVENTO="Manual",SUMPRODUCT((OFFSET(CÁLCULO!$M$15,$A23,0,$B23)=1)*OFFSET(ORÇAMENTO!$AA$15,$A23,0,$B23)*PLE!$AE$9),0))</f>
        <v>#N/A</v>
      </c>
      <c r="AG23" s="198" t="e">
        <f ca="1">IF(ACOMPANHAMENTO&lt;&gt;"PLE",0,SUMPRODUCT((OFFSET(CÁLCULO!$AX$15:$BH$15,$A23,0,$B23)&lt;=PLE.Medicao)*OFFSET(CÁLCULO!$AB$15:$AL$15,$A23,0,$B23)*OFFSET(ORÇAMENTO!$AB$15,$A23,0,$B23)/(OFFSET(ORÇAMENTO!$X$15,$A23,0,$B23)+10^-12))+IF(AUTOEVENTO="Manual",SUMPRODUCT((OFFSET(CÁLCULO!$M$15,$A23,0,$B23)=1)*OFFSET(ORÇAMENTO!$AB$15,$A23,0,$B23)*PLE!$AE$9),0))</f>
        <v>#N/A</v>
      </c>
      <c r="AH23" s="198" t="e">
        <f ca="1">ROUND(IF(ACOMPANHAMENTO&lt;&gt;"PLE",0,SUMIF(OFFSET(CÁLCULO!$AX$15:$BH$15,$A23,0,$B23),"&lt;="&amp;PLE.Medicao,OFFSET(CÁLCULO!$AB$15:$AL$15,$A23,0,$B23))+IF(AUTOEVENTO="Manual",SUMIF(OFFSET(CÁLCULO!$M$15,$A23,0,$B23),1,OFFSET(ORÇAMENTO!$X$15,$A23,0,$B23))*PLE!$AE$9,0)),2)</f>
        <v>#N/A</v>
      </c>
      <c r="AJ23" s="198">
        <f ca="1">IF(ACOMPANHAMENTO&lt;&gt;"BM",0,SUMPRODUCT(OFFSET(BM!$M$15,$A23,0,$B23)*(OFFSET(BM!$A$15,$A23,0,$B23)="S")*OFFSET(ORÇAMENTO!AA$15,$A23,0,$B23)/(OFFSET(ORÇAMENTO!$X$15,$A23,0,$B23)+10^-12)))</f>
        <v>0</v>
      </c>
      <c r="AK23" s="198">
        <f ca="1">IF(ACOMPANHAMENTO&lt;&gt;"BM",0,SUMPRODUCT(OFFSET(BM!$M$15,$A23,0,$B23)*(OFFSET(BM!$A$15,$A23,0,$B23)="S")*OFFSET(ORÇAMENTO!AB$15,$A23,0,$B23)/(OFFSET(ORÇAMENTO!$X$15,$A23,0,$B23)+10^-12)))</f>
        <v>0</v>
      </c>
      <c r="AL23" s="198">
        <f ca="1">IF(ACOMPANHAMENTO&lt;&gt;"BM",0,OFFSET(BM!$M$15,$A23,0))</f>
        <v>0</v>
      </c>
      <c r="AM23" s="198">
        <f ca="1">IF(ACOMPANHAMENTO&lt;&gt;"BM",0,SUMPRODUCT(OFFSET(BM!$O$15,$A23,0,$B23)*(OFFSET(BM!$A$15,$A23,0,$B23)="S")*OFFSET(ORÇAMENTO!AA$15,$A23,0,$B23)/(OFFSET(ORÇAMENTO!$X$15,$A23,0,$B23)+10^-12)))</f>
        <v>0</v>
      </c>
      <c r="AN23" s="198">
        <f ca="1">IF(ACOMPANHAMENTO&lt;&gt;"BM",0,SUMPRODUCT(OFFSET(BM!$O$15,$A23,0,$B23)*(OFFSET(BM!$A$15,$A23,0,$B23)="S")*OFFSET(ORÇAMENTO!AB$15,$A23,0,$B23)/(OFFSET(ORÇAMENTO!$X$15,$A23,0,$B23)+10^-12)))</f>
        <v>0</v>
      </c>
      <c r="AO23" s="198">
        <f ca="1">IF(ACOMPANHAMENTO&lt;&gt;"BM",0,OFFSET(BM!$O$15,$A23,0))</f>
        <v>0</v>
      </c>
    </row>
    <row r="24" spans="1:41" ht="12.95" customHeight="1" x14ac:dyDescent="0.2">
      <c r="D24" t="s">
        <v>245</v>
      </c>
      <c r="E24" s="1"/>
      <c r="F24" s="1"/>
      <c r="G24" s="1"/>
      <c r="H24" s="1"/>
      <c r="I24" s="2"/>
      <c r="J24" s="739" t="s">
        <v>374</v>
      </c>
      <c r="K24" s="740"/>
      <c r="L24" s="413">
        <f ca="1">IF(ISERROR(L28/$L28),0,ROUND(L28/$L28,4))</f>
        <v>0</v>
      </c>
      <c r="M24" s="415">
        <f ca="1">IF(ISERROR(M28/$L28),0,ROUND(M28/$L28,4))</f>
        <v>0</v>
      </c>
      <c r="N24" s="414">
        <f ca="1">IF(ISERROR(N28/$L28),0,ROUND(N28/$L28,4))</f>
        <v>0</v>
      </c>
      <c r="O24" s="416">
        <f ca="1">IF(ISERROR(O28/$L28),0,ROUND(O28/$L28,4))</f>
        <v>0</v>
      </c>
      <c r="P24" s="741">
        <f ca="1">O28/(L28+10^-12)</f>
        <v>0</v>
      </c>
      <c r="X24" s="345"/>
      <c r="Y24" s="347"/>
      <c r="Z24" s="348"/>
    </row>
    <row r="25" spans="1:41" ht="12.95" customHeight="1" x14ac:dyDescent="0.2">
      <c r="D25" t="s">
        <v>245</v>
      </c>
      <c r="I25" s="4"/>
      <c r="J25" s="742" t="str">
        <f>IF(import.recurso="FGTS","Financiamento","Repasse")</f>
        <v>Repasse</v>
      </c>
      <c r="K25" s="743"/>
      <c r="L25" s="326">
        <f ca="1">QCI!L24</f>
        <v>0</v>
      </c>
      <c r="M25" s="323">
        <f ca="1">M28-M27-M26</f>
        <v>0</v>
      </c>
      <c r="N25" s="324">
        <f ca="1">O25-M25</f>
        <v>0</v>
      </c>
      <c r="O25" s="325">
        <f ca="1">O28-O27-O26</f>
        <v>0</v>
      </c>
      <c r="P25" s="741"/>
      <c r="X25" s="417"/>
      <c r="Y25" s="418" t="s">
        <v>375</v>
      </c>
      <c r="Z25" s="419" t="s">
        <v>376</v>
      </c>
      <c r="AC25" s="420" t="s">
        <v>377</v>
      </c>
      <c r="AD25" s="420" t="s">
        <v>378</v>
      </c>
    </row>
    <row r="26" spans="1:41" ht="12.95" customHeight="1" x14ac:dyDescent="0.2">
      <c r="D26" t="s">
        <v>245</v>
      </c>
      <c r="I26" s="4"/>
      <c r="J26" s="744" t="s">
        <v>379</v>
      </c>
      <c r="K26" s="745"/>
      <c r="L26" s="421">
        <f ca="1">QCI!M24</f>
        <v>0</v>
      </c>
      <c r="M26" s="422">
        <f ca="1">ROUND(IF(OFFSET($X$26,0,1)&lt;&gt;"",OFFSET($X$26,0,1),SUM(R13:OFFSET(R24,-1,0))),2)</f>
        <v>0</v>
      </c>
      <c r="N26" s="423">
        <f ca="1">O26-M26</f>
        <v>0</v>
      </c>
      <c r="O26" s="424">
        <f ca="1">IF(OFFSET($X$26,0,2)&lt;&gt;"",OFFSET($X$26,0,2),$AE$3)</f>
        <v>0</v>
      </c>
      <c r="P26" s="741"/>
      <c r="X26" s="425" t="s">
        <v>169</v>
      </c>
      <c r="Y26" s="513"/>
      <c r="Z26" s="514"/>
      <c r="AC26" s="426">
        <f ca="1">MIN($L26,$O$28-OFFSET($X$27,0,1))</f>
        <v>0</v>
      </c>
      <c r="AD26" s="426">
        <f ca="1">MIN($L26,$O$28-OFFSET($X$27,0,2))</f>
        <v>0</v>
      </c>
    </row>
    <row r="27" spans="1:41" ht="12.95" customHeight="1" x14ac:dyDescent="0.2">
      <c r="D27" t="s">
        <v>245</v>
      </c>
      <c r="I27" s="4"/>
      <c r="J27" s="746" t="s">
        <v>356</v>
      </c>
      <c r="K27" s="747"/>
      <c r="L27" s="427">
        <f ca="1">QCI!N24</f>
        <v>0</v>
      </c>
      <c r="M27" s="428">
        <f ca="1">ROUND(IF(OFFSET($X$27,0,1)&lt;&gt;"",OFFSET($X$27,0,1),SUM(S13:OFFSET(S24,-1,0))),2)</f>
        <v>0</v>
      </c>
      <c r="N27" s="429">
        <f ca="1">O27-M27</f>
        <v>0</v>
      </c>
      <c r="O27" s="430">
        <f ca="1">IF(OFFSET($X$27,0,2)&lt;&gt;"",OFFSET($X$27,0,2),$AE$4)</f>
        <v>0</v>
      </c>
      <c r="P27" s="741"/>
      <c r="X27" s="431" t="s">
        <v>276</v>
      </c>
      <c r="Y27" s="515"/>
      <c r="Z27" s="516"/>
      <c r="AC27" s="426">
        <f ca="1">MIN($L27,$O$28-OFFSET($X$26,0,1))</f>
        <v>0</v>
      </c>
      <c r="AD27" s="426">
        <f ca="1">MIN($L27,$O$28-OFFSET($X$26,0,2))</f>
        <v>0</v>
      </c>
    </row>
    <row r="28" spans="1:41" ht="15" x14ac:dyDescent="0.2">
      <c r="D28" t="s">
        <v>245</v>
      </c>
      <c r="I28" s="4"/>
      <c r="J28" s="748" t="s">
        <v>358</v>
      </c>
      <c r="K28" s="749"/>
      <c r="L28" s="432">
        <f ca="1">SUM(L13:OFFSET(L24,-1,0))</f>
        <v>0</v>
      </c>
      <c r="M28" s="433">
        <f ca="1">ROUND(SUM(M13:OFFSET(M24,-1,0)),2)</f>
        <v>0</v>
      </c>
      <c r="N28" s="434">
        <f ca="1">O28-M28</f>
        <v>0</v>
      </c>
      <c r="O28" s="435">
        <f ca="1">SUM(O13:OFFSET(O24,-1,0))</f>
        <v>0</v>
      </c>
      <c r="P28" s="741"/>
      <c r="X28" s="357"/>
      <c r="Y28" s="359"/>
      <c r="Z28" s="360"/>
    </row>
    <row r="29" spans="1:41" x14ac:dyDescent="0.2">
      <c r="O29" s="750" t="str">
        <f ca="1">"Acumulado Anterior:  "&amp;TEXT($M$28/($L$28+10^-12),"0,00%")</f>
        <v>Acumulado Anterior:  000%</v>
      </c>
      <c r="P29" s="750"/>
    </row>
    <row r="30" spans="1:41" ht="14.25" x14ac:dyDescent="0.2">
      <c r="E30" s="141" t="s">
        <v>186</v>
      </c>
      <c r="P30" s="463"/>
    </row>
    <row r="31" spans="1:41" ht="12.75" customHeight="1" x14ac:dyDescent="0.2">
      <c r="E31" s="733"/>
      <c r="F31" s="734"/>
      <c r="G31" s="734"/>
      <c r="H31" s="734"/>
      <c r="I31" s="734"/>
      <c r="J31" s="734"/>
      <c r="K31" s="734"/>
      <c r="L31" s="734"/>
      <c r="M31" s="734"/>
      <c r="N31" s="734"/>
      <c r="O31" s="734"/>
      <c r="P31" s="735"/>
    </row>
    <row r="32" spans="1:41" ht="12.75" customHeight="1" x14ac:dyDescent="0.2">
      <c r="E32" s="733"/>
      <c r="F32" s="734"/>
      <c r="G32" s="734"/>
      <c r="H32" s="734"/>
      <c r="I32" s="734"/>
      <c r="J32" s="734"/>
      <c r="K32" s="734"/>
      <c r="L32" s="734"/>
      <c r="M32" s="734"/>
      <c r="N32" s="734"/>
      <c r="O32" s="734"/>
      <c r="P32" s="735"/>
      <c r="Y32" s="436"/>
      <c r="Z32" s="436"/>
    </row>
    <row r="33" spans="5:16" ht="12.75" customHeight="1" x14ac:dyDescent="0.2">
      <c r="E33" s="736"/>
      <c r="F33" s="737"/>
      <c r="G33" s="737"/>
      <c r="H33" s="737"/>
      <c r="I33" s="737"/>
      <c r="J33" s="737"/>
      <c r="K33" s="737"/>
      <c r="L33" s="737"/>
      <c r="M33" s="737"/>
      <c r="N33" s="737"/>
      <c r="O33" s="737"/>
      <c r="P33" s="738"/>
    </row>
    <row r="35" spans="5:16" ht="15" x14ac:dyDescent="0.2">
      <c r="E35" s="644" t="str">
        <f>Import.Município</f>
        <v>BENTO GONÇALVES/RS</v>
      </c>
      <c r="F35" s="644"/>
      <c r="G35" s="644"/>
      <c r="I35" s="437"/>
      <c r="L35" s="674">
        <f>DADOS!$F$48</f>
        <v>45719</v>
      </c>
      <c r="M35" s="674"/>
      <c r="N35" s="674"/>
      <c r="O35" s="674"/>
    </row>
    <row r="36" spans="5:16" x14ac:dyDescent="0.2">
      <c r="E36" s="10" t="s">
        <v>187</v>
      </c>
      <c r="L36" s="10" t="s">
        <v>188</v>
      </c>
    </row>
    <row r="38" spans="5:16" x14ac:dyDescent="0.2">
      <c r="E38" s="194"/>
      <c r="F38" s="194"/>
      <c r="G38" s="194"/>
      <c r="L38" s="194"/>
      <c r="M38" s="194"/>
      <c r="N38" s="194"/>
      <c r="O38" s="194"/>
    </row>
    <row r="39" spans="5:16" x14ac:dyDescent="0.2">
      <c r="E39" s="438" t="str">
        <f>IF(CAIXA.Modo,"Responsável Gerencial CAIXA","Representante Tomador")</f>
        <v>Representante Tomador</v>
      </c>
      <c r="F39" s="7"/>
      <c r="L39" s="438" t="str">
        <f>IF(CAIXA.Modo,"Responsável Técnico CAIXA","Responsável Técnico pela Fiscalização")</f>
        <v>Responsável Técnico pela Fiscalização</v>
      </c>
    </row>
    <row r="40" spans="5:16" x14ac:dyDescent="0.2">
      <c r="E40" s="78" t="s">
        <v>108</v>
      </c>
      <c r="F40" s="311">
        <f>IF(CAIXA.Modo,DADOS!F60,DADOS!F28)</f>
        <v>0</v>
      </c>
      <c r="L40" s="78" t="s">
        <v>108</v>
      </c>
      <c r="M40" s="718" t="str">
        <f>IF(CAIXA.Modo,BM!X63,DADOS!F51)</f>
        <v>SERVIDOR A DEFINIR</v>
      </c>
      <c r="N40" s="718"/>
      <c r="O40" s="718"/>
    </row>
    <row r="41" spans="5:16" x14ac:dyDescent="0.2">
      <c r="E41" s="78" t="str">
        <f>IF(CAIXA.Modo,"Função:","Cargo:")</f>
        <v>Cargo:</v>
      </c>
      <c r="F41" s="311">
        <f>IF(CAIXA.Modo,DADOS!F61,DADOS!F29)</f>
        <v>0</v>
      </c>
      <c r="L41" s="78" t="str">
        <f>IF(CAIXA.Modo,"Matrícula:","Profissão:")</f>
        <v>Profissão:</v>
      </c>
      <c r="M41" s="718" t="str">
        <f>IF(CAIXA.Modo,BM!X64,DADOS!F52)</f>
        <v>NÃO DEFINIDO</v>
      </c>
      <c r="N41" s="718"/>
      <c r="O41" s="718"/>
    </row>
    <row r="42" spans="5:16" x14ac:dyDescent="0.2">
      <c r="L42" s="78" t="s">
        <v>109</v>
      </c>
      <c r="M42" s="718">
        <f>IF(CAIXA.Modo,BM!X65,DADOS!F53)</f>
        <v>0</v>
      </c>
      <c r="N42" s="718"/>
      <c r="O42" s="718"/>
    </row>
    <row r="43" spans="5:16" x14ac:dyDescent="0.2">
      <c r="L43" s="78" t="str">
        <f>IF(CAIXA.Modo,"","ART/RRT:")</f>
        <v>ART/RRT:</v>
      </c>
      <c r="M43" s="13">
        <f>IF(CAIXA.Modo,"",DADOS!F54)</f>
        <v>0</v>
      </c>
    </row>
    <row r="45" spans="5:16" x14ac:dyDescent="0.2">
      <c r="E45" s="194"/>
      <c r="F45" s="194"/>
      <c r="G45" s="194"/>
      <c r="L45" s="194"/>
      <c r="M45" s="194"/>
      <c r="N45" s="194"/>
      <c r="O45" s="194"/>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8" t="s">
        <v>108</v>
      </c>
      <c r="F47" s="717"/>
      <c r="G47" s="717"/>
      <c r="L47" s="78" t="s">
        <v>108</v>
      </c>
      <c r="M47" s="717"/>
      <c r="N47" s="717"/>
      <c r="O47" s="717"/>
    </row>
    <row r="48" spans="5:16" x14ac:dyDescent="0.2">
      <c r="E48" s="78" t="str">
        <f>IF(CAIXA.Modo,"Função:","Cargo:")</f>
        <v>Cargo:</v>
      </c>
      <c r="F48" s="717"/>
      <c r="G48" s="717"/>
      <c r="L48" s="78" t="str">
        <f>IF(CAIXA.Modo,"Função:","Cargo:")</f>
        <v>Cargo:</v>
      </c>
      <c r="M48" s="717"/>
      <c r="N48" s="717"/>
      <c r="O48" s="717"/>
    </row>
    <row r="49" spans="5:15" x14ac:dyDescent="0.2">
      <c r="E49" s="78" t="str">
        <f>IF(CAIXA.Modo,"Matr:","")</f>
        <v/>
      </c>
      <c r="F49" s="717"/>
      <c r="G49" s="717"/>
      <c r="L49" s="78" t="str">
        <f>IF(CAIXA.Modo,"Matrícula:","")</f>
        <v/>
      </c>
      <c r="M49" s="717"/>
      <c r="N49" s="717"/>
      <c r="O49" s="717"/>
    </row>
  </sheetData>
  <sheetProtection algorithmName="SHA-512" hashValue="uIowYIFusPMWoibtEet/hR4HgmFvH3I4rQ8b8HBkUphsuw1LhteDhas58NjyVGSgk+Sxfvm7L59UgycjKCHHnQ==" saltValue="HzbbhWVxw1+nb37pf0R09Q=="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8" priority="154" stopIfTrue="1">
      <formula>OR($C12="Automático",$C12="Branco")</formula>
    </cfRule>
  </conditionalFormatting>
  <conditionalFormatting sqref="F49:G49 M49:O49">
    <cfRule type="expression" dxfId="7" priority="155" stopIfTrue="1">
      <formula>CAIXA.Modo=FALSE</formula>
    </cfRule>
  </conditionalFormatting>
  <conditionalFormatting sqref="M12 M25:M28 O12 O25:O28">
    <cfRule type="cellIs" dxfId="6" priority="156" stopIfTrue="1" operator="notBetween">
      <formula>0</formula>
      <formula>$L12</formula>
    </cfRule>
  </conditionalFormatting>
  <conditionalFormatting sqref="M10:N10">
    <cfRule type="cellIs" dxfId="5" priority="157" stopIfTrue="1" operator="lessThan">
      <formula>0</formula>
    </cfRule>
  </conditionalFormatting>
  <conditionalFormatting sqref="X14:Z22">
    <cfRule type="expression" dxfId="4" priority="3" stopIfTrue="1">
      <formula>OR($C14="Automático",$C14="Branco")</formula>
    </cfRule>
  </conditionalFormatting>
  <conditionalFormatting sqref="M14:M22 O14:O22">
    <cfRule type="cellIs" dxfId="3" priority="4" stopIfTrue="1" operator="notBetween">
      <formula>0</formula>
      <formula>$L14</formula>
    </cfRule>
  </conditionalFormatting>
  <conditionalFormatting sqref="X23:Z23">
    <cfRule type="expression" dxfId="2" priority="1" stopIfTrue="1">
      <formula>OR($C23="Automático",$C23="Branco")</formula>
    </cfRule>
  </conditionalFormatting>
  <conditionalFormatting sqref="M23 O23">
    <cfRule type="cellIs" dxfId="1" priority="2" stopIfTrue="1" operator="notBetween">
      <formula>0</formula>
      <formula>$L23</formula>
    </cfRule>
  </conditionalFormatting>
  <dataValidations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&amp;LPMv3.07&amp;R&amp;P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7109375" customWidth="1"/>
    <col min="3" max="3" width="6.7109375" customWidth="1"/>
    <col min="4" max="5" width="20.7109375" customWidth="1"/>
    <col min="6" max="6" width="8.7109375" customWidth="1"/>
    <col min="7" max="7" width="12.7109375" customWidth="1"/>
    <col min="8" max="8" width="20.7109375" customWidth="1"/>
    <col min="10" max="10" width="14.140625" customWidth="1"/>
  </cols>
  <sheetData>
    <row r="1" spans="2:13" x14ac:dyDescent="0.2">
      <c r="B1" s="775"/>
      <c r="C1" s="775"/>
      <c r="D1" s="50"/>
      <c r="E1" s="50"/>
      <c r="F1" s="50"/>
      <c r="G1" s="53" t="s">
        <v>140</v>
      </c>
    </row>
    <row r="2" spans="2:13" x14ac:dyDescent="0.2">
      <c r="B2" s="775"/>
      <c r="C2" s="775"/>
      <c r="D2" s="50"/>
      <c r="E2" s="50"/>
      <c r="F2" s="50"/>
      <c r="G2" s="12" t="s">
        <v>380</v>
      </c>
    </row>
    <row r="3" spans="2:13" ht="26.1" customHeight="1" x14ac:dyDescent="0.2">
      <c r="B3" s="775"/>
      <c r="C3" s="775"/>
      <c r="D3" s="50"/>
      <c r="E3" s="50"/>
      <c r="F3" s="50"/>
      <c r="G3" s="439"/>
    </row>
    <row r="4" spans="2:13" ht="12.75" customHeight="1" x14ac:dyDescent="0.2">
      <c r="B4" s="775"/>
      <c r="C4" s="775"/>
      <c r="D4" s="50"/>
      <c r="E4" s="50"/>
      <c r="F4" s="50"/>
      <c r="G4" s="50"/>
    </row>
    <row r="6" spans="2:13" x14ac:dyDescent="0.2">
      <c r="B6" s="440" t="s">
        <v>381</v>
      </c>
      <c r="C6" s="773"/>
      <c r="D6" s="773"/>
      <c r="E6" s="440"/>
      <c r="F6" s="440"/>
      <c r="G6" s="50"/>
      <c r="J6" s="10"/>
    </row>
    <row r="7" spans="2:13" x14ac:dyDescent="0.2">
      <c r="B7" s="50"/>
      <c r="C7" s="50"/>
      <c r="D7" s="50"/>
      <c r="E7" s="50"/>
      <c r="F7" s="50"/>
      <c r="G7" s="50"/>
    </row>
    <row r="8" spans="2:13" x14ac:dyDescent="0.2">
      <c r="B8" s="774" t="str">
        <f>CONCATENATE(RRE!$E$35,", ",TEXT(RRE!$L$35,"dd"" de ""mmmm"" de ""aaaa"))</f>
        <v>BENTO GONÇALVES/RS, 03 de March de Monday</v>
      </c>
      <c r="C8" s="774"/>
      <c r="D8" s="774"/>
      <c r="E8" s="774"/>
      <c r="F8" s="774"/>
      <c r="G8" s="774"/>
      <c r="H8" s="441"/>
      <c r="J8" s="441"/>
      <c r="K8" s="441"/>
      <c r="L8" s="441"/>
      <c r="M8" s="441"/>
    </row>
    <row r="9" spans="2:13" x14ac:dyDescent="0.2">
      <c r="B9" s="442" t="s">
        <v>382</v>
      </c>
      <c r="C9" s="50"/>
      <c r="D9" s="50"/>
      <c r="G9" s="50"/>
      <c r="H9" s="441"/>
      <c r="J9" s="441"/>
      <c r="K9" s="441"/>
      <c r="L9" s="441"/>
      <c r="M9" s="441"/>
    </row>
    <row r="10" spans="2:13" x14ac:dyDescent="0.2">
      <c r="B10" s="768" t="s">
        <v>383</v>
      </c>
      <c r="C10" s="768"/>
      <c r="D10" s="768"/>
      <c r="G10" s="50"/>
      <c r="H10" s="441"/>
      <c r="J10" s="441"/>
      <c r="K10" s="441"/>
      <c r="L10" s="441"/>
      <c r="M10" s="441"/>
    </row>
    <row r="11" spans="2:13" x14ac:dyDescent="0.2">
      <c r="B11" s="443" t="s">
        <v>401</v>
      </c>
      <c r="C11" s="717"/>
      <c r="D11" s="717"/>
      <c r="G11" s="50"/>
      <c r="H11" s="441"/>
      <c r="J11" s="441"/>
      <c r="K11" s="441"/>
      <c r="L11" s="441"/>
      <c r="M11" s="441"/>
    </row>
    <row r="12" spans="2:13" x14ac:dyDescent="0.2">
      <c r="B12" s="444"/>
      <c r="C12" s="444"/>
      <c r="D12" s="444"/>
      <c r="E12" s="444"/>
      <c r="F12" s="444"/>
      <c r="G12" s="50"/>
      <c r="H12" s="441"/>
      <c r="J12" s="441"/>
      <c r="K12" s="441"/>
      <c r="L12" s="441"/>
      <c r="M12" s="441"/>
    </row>
    <row r="13" spans="2:13" x14ac:dyDescent="0.2">
      <c r="B13" s="50"/>
      <c r="C13" s="50"/>
      <c r="D13" s="50"/>
      <c r="E13" s="50"/>
      <c r="F13" s="50"/>
      <c r="G13" s="50"/>
    </row>
    <row r="14" spans="2:13" x14ac:dyDescent="0.2">
      <c r="B14" s="442" t="s">
        <v>384</v>
      </c>
      <c r="C14" s="768" t="str">
        <f ca="1">CONCATENATE(RRE.Numero,"ª"," Solicitação de ",IF(import.recurso="OGU","Desbloqueio","Desembolso")," de Recursos.")</f>
        <v>1ª Solicitação de Desembolso de Recursos.</v>
      </c>
      <c r="D14" s="768"/>
      <c r="E14" s="768"/>
      <c r="F14" s="768"/>
      <c r="G14" s="768"/>
    </row>
    <row r="15" spans="2:13" ht="12.75" customHeight="1" x14ac:dyDescent="0.2">
      <c r="B15" s="442" t="s">
        <v>385</v>
      </c>
      <c r="C15" s="769" t="str">
        <f>CONCATENATE("Contrato de ",IF(import.recurso="OGU","Repasse","Financiamento")," - Operação nº ",Import.CR,IF(Import.TransfereGOV="","",CONCATENATE(" - TransfereGOV nº ",Import.TransfereGOV)))</f>
        <v xml:space="preserve">Contrato de Financiamento - Operação nº </v>
      </c>
      <c r="D15" s="769"/>
      <c r="E15" s="769"/>
      <c r="F15" s="769"/>
      <c r="G15" s="769"/>
    </row>
    <row r="16" spans="2:13" x14ac:dyDescent="0.2">
      <c r="B16" s="442"/>
      <c r="C16" s="769"/>
      <c r="D16" s="769"/>
      <c r="E16" s="769"/>
      <c r="F16" s="769"/>
      <c r="G16" s="769"/>
    </row>
    <row r="17" spans="2:7" x14ac:dyDescent="0.2">
      <c r="B17" s="50"/>
      <c r="C17" s="50"/>
      <c r="D17" s="50"/>
      <c r="E17" s="50"/>
      <c r="F17" s="50"/>
      <c r="G17" s="50"/>
    </row>
    <row r="18" spans="2:7" ht="12.75" customHeight="1" x14ac:dyDescent="0.2">
      <c r="B18" s="311" t="s">
        <v>386</v>
      </c>
      <c r="C18" s="770" t="str">
        <f>Import.DescLote</f>
        <v>PAVIMENTAÇÃO ASFÁLTICA</v>
      </c>
      <c r="D18" s="770"/>
      <c r="E18" s="770"/>
      <c r="F18" s="770"/>
      <c r="G18" s="770"/>
    </row>
    <row r="19" spans="2:7" ht="12.75" customHeight="1" x14ac:dyDescent="0.2">
      <c r="B19" s="766" t="s">
        <v>387</v>
      </c>
      <c r="C19" s="767" t="str">
        <f>Import.Proponente</f>
        <v>MUNICIPIO DE BENTO GONÇALVES</v>
      </c>
      <c r="D19" s="767"/>
      <c r="E19" s="767"/>
      <c r="F19" s="767"/>
      <c r="G19" s="767"/>
    </row>
    <row r="20" spans="2:7" x14ac:dyDescent="0.2">
      <c r="B20" s="766"/>
      <c r="C20" s="767"/>
      <c r="D20" s="767"/>
      <c r="E20" s="767"/>
      <c r="F20" s="767"/>
      <c r="G20" s="767"/>
    </row>
    <row r="21" spans="2:7" x14ac:dyDescent="0.2">
      <c r="B21" s="50"/>
      <c r="C21" s="50"/>
      <c r="D21" s="50"/>
      <c r="E21" s="50"/>
      <c r="F21" s="50"/>
      <c r="G21" s="50"/>
    </row>
    <row r="22" spans="2:7" x14ac:dyDescent="0.2">
      <c r="B22" t="str">
        <f>IF(B11="GIGOV","Senhor Gerente","Senhor Superintendente")</f>
        <v>Senhor Gerente</v>
      </c>
      <c r="D22" s="50"/>
      <c r="E22" s="50"/>
      <c r="F22" s="50"/>
      <c r="G22" s="50"/>
    </row>
    <row r="23" spans="2:7" x14ac:dyDescent="0.2">
      <c r="B23" s="50"/>
      <c r="C23" s="50"/>
      <c r="D23" s="50"/>
      <c r="E23" s="50"/>
      <c r="F23" s="50"/>
      <c r="G23" s="50"/>
    </row>
    <row r="24" spans="2:7" ht="12.75" customHeight="1" x14ac:dyDescent="0.2">
      <c r="B24" s="770"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770"/>
      <c r="D24" s="770"/>
      <c r="E24" s="770"/>
      <c r="F24" s="770"/>
      <c r="G24" s="770"/>
    </row>
    <row r="25" spans="2:7" x14ac:dyDescent="0.2">
      <c r="B25" s="770"/>
      <c r="C25" s="770"/>
      <c r="D25" s="770"/>
      <c r="E25" s="770"/>
      <c r="F25" s="770"/>
      <c r="G25" s="770"/>
    </row>
    <row r="26" spans="2:7" x14ac:dyDescent="0.2">
      <c r="B26" s="770"/>
      <c r="C26" s="770"/>
      <c r="D26" s="770"/>
      <c r="E26" s="770"/>
      <c r="F26" s="770"/>
      <c r="G26" s="770"/>
    </row>
    <row r="27" spans="2:7" x14ac:dyDescent="0.2">
      <c r="B27" s="50"/>
      <c r="C27" s="50"/>
      <c r="D27" s="50"/>
      <c r="E27" s="50"/>
      <c r="F27" s="50"/>
      <c r="G27" s="50"/>
    </row>
    <row r="28" spans="2:7" ht="12.75" customHeight="1" x14ac:dyDescent="0.2">
      <c r="B28" s="765"/>
      <c r="C28" s="765"/>
      <c r="D28" s="771" t="s">
        <v>388</v>
      </c>
      <c r="E28" s="771" t="str">
        <f ca="1">"Evolução da "&amp;RRE.Numero&amp;"ª Medição"</f>
        <v>Evolução da 1ª Medição</v>
      </c>
      <c r="F28" s="772" t="s">
        <v>389</v>
      </c>
      <c r="G28" s="772"/>
    </row>
    <row r="29" spans="2:7" x14ac:dyDescent="0.2">
      <c r="B29" s="765"/>
      <c r="C29" s="765"/>
      <c r="D29" s="771"/>
      <c r="E29" s="771"/>
      <c r="F29" s="772"/>
      <c r="G29" s="772"/>
    </row>
    <row r="30" spans="2:7" x14ac:dyDescent="0.2">
      <c r="B30" s="760" t="str">
        <f>IF(import.recurso="FGTS","Financiamento:","Repasse:")</f>
        <v>Repasse:</v>
      </c>
      <c r="C30" s="760"/>
      <c r="D30" s="445">
        <f ca="1">RRE!L25</f>
        <v>0</v>
      </c>
      <c r="E30" s="445">
        <f ca="1">RRE!N25</f>
        <v>0</v>
      </c>
      <c r="F30" s="761">
        <f ca="1">RRE!O25</f>
        <v>0</v>
      </c>
      <c r="G30" s="761"/>
    </row>
    <row r="31" spans="2:7" x14ac:dyDescent="0.2">
      <c r="B31" s="760" t="s">
        <v>390</v>
      </c>
      <c r="C31" s="760"/>
      <c r="D31" s="445">
        <f ca="1">RRE!L26</f>
        <v>0</v>
      </c>
      <c r="E31" s="445">
        <f ca="1">RRE!N26</f>
        <v>0</v>
      </c>
      <c r="F31" s="761">
        <f ca="1">RRE!O26</f>
        <v>0</v>
      </c>
      <c r="G31" s="761"/>
    </row>
    <row r="32" spans="2:7" x14ac:dyDescent="0.2">
      <c r="B32" s="760" t="s">
        <v>283</v>
      </c>
      <c r="C32" s="760"/>
      <c r="D32" s="445">
        <f ca="1">RRE!L27</f>
        <v>0</v>
      </c>
      <c r="E32" s="445">
        <f ca="1">RRE!N27</f>
        <v>0</v>
      </c>
      <c r="F32" s="761">
        <f ca="1">RRE!O27</f>
        <v>0</v>
      </c>
      <c r="G32" s="761"/>
    </row>
    <row r="33" spans="2:7" x14ac:dyDescent="0.2">
      <c r="B33" s="760" t="s">
        <v>284</v>
      </c>
      <c r="C33" s="760"/>
      <c r="D33" s="445">
        <f ca="1">RRE!L28</f>
        <v>0</v>
      </c>
      <c r="E33" s="445">
        <f ca="1">RRE!N28</f>
        <v>0</v>
      </c>
      <c r="F33" s="761">
        <f ca="1">RRE!O28</f>
        <v>0</v>
      </c>
      <c r="G33" s="761"/>
    </row>
    <row r="34" spans="2:7" x14ac:dyDescent="0.2">
      <c r="B34" s="762" t="s">
        <v>391</v>
      </c>
      <c r="C34" s="762"/>
      <c r="D34" s="446" t="s">
        <v>166</v>
      </c>
      <c r="E34" s="447">
        <f ca="1">RRE!$N$28/(RRE!$L$28+10^-12)</f>
        <v>0</v>
      </c>
      <c r="F34" s="763">
        <f ca="1">RRE!P24</f>
        <v>0</v>
      </c>
      <c r="G34" s="763"/>
    </row>
    <row r="35" spans="2:7" x14ac:dyDescent="0.2">
      <c r="B35" s="195"/>
      <c r="C35" s="50"/>
      <c r="D35" s="50"/>
      <c r="E35" s="50"/>
      <c r="F35" s="50"/>
      <c r="G35" s="50"/>
    </row>
    <row r="36" spans="2:7" x14ac:dyDescent="0.2">
      <c r="B36" s="195"/>
      <c r="C36" s="195"/>
      <c r="D36" s="195"/>
      <c r="E36" s="195"/>
      <c r="F36" s="195"/>
      <c r="G36" s="50"/>
    </row>
    <row r="37" spans="2:7" x14ac:dyDescent="0.2">
      <c r="B37" s="764" t="str">
        <f ca="1">IF(RRE.Numero&gt;1,"2. Encaminhamos ainda a documentação relativa à prestação de contas da etapa físico-financeira anterior.","")</f>
        <v/>
      </c>
      <c r="C37" s="764"/>
      <c r="D37" s="764"/>
      <c r="E37" s="764"/>
      <c r="F37" s="764"/>
      <c r="G37" s="764"/>
    </row>
    <row r="38" spans="2:7" x14ac:dyDescent="0.2">
      <c r="B38" s="764"/>
      <c r="C38" s="764"/>
      <c r="D38" s="764"/>
      <c r="E38" s="764"/>
      <c r="F38" s="764"/>
      <c r="G38" s="764"/>
    </row>
    <row r="39" spans="2:7" ht="12.75" customHeight="1" x14ac:dyDescent="0.2">
      <c r="B39" s="764" t="str">
        <f ca="1">IF(AND(RRE.Numero&gt;1,NOT(ISBLANK(Import.TransfereGOV))),"3. Na oportunidade, informamos que a execução financeira da parcela anterior está devidamente comprovada no TransfereGOV.","")</f>
        <v/>
      </c>
      <c r="C39" s="764"/>
      <c r="D39" s="764"/>
      <c r="E39" s="764"/>
      <c r="F39" s="764"/>
      <c r="G39" s="764"/>
    </row>
    <row r="40" spans="2:7" x14ac:dyDescent="0.2">
      <c r="B40" s="764"/>
      <c r="C40" s="764"/>
      <c r="D40" s="764"/>
      <c r="E40" s="764"/>
      <c r="F40" s="764"/>
      <c r="G40" s="764"/>
    </row>
    <row r="41" spans="2:7" x14ac:dyDescent="0.2">
      <c r="B41" s="448"/>
      <c r="C41" s="443"/>
      <c r="D41" s="443"/>
      <c r="E41" s="443"/>
      <c r="F41" s="443"/>
      <c r="G41" s="443"/>
    </row>
    <row r="42" spans="2:7" ht="12.75" customHeight="1" x14ac:dyDescent="0.2">
      <c r="B42" s="764"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764"/>
      <c r="D42" s="764"/>
      <c r="E42" s="764"/>
      <c r="F42" s="764"/>
      <c r="G42" s="764"/>
    </row>
    <row r="43" spans="2:7" x14ac:dyDescent="0.2">
      <c r="B43" s="764"/>
      <c r="C43" s="764"/>
      <c r="D43" s="764"/>
      <c r="E43" s="764"/>
      <c r="F43" s="764"/>
      <c r="G43" s="764"/>
    </row>
    <row r="44" spans="2:7" x14ac:dyDescent="0.2">
      <c r="B44" s="764"/>
      <c r="C44" s="764"/>
      <c r="D44" s="764"/>
      <c r="E44" s="764"/>
      <c r="F44" s="764"/>
      <c r="G44" s="764"/>
    </row>
    <row r="45" spans="2:7" x14ac:dyDescent="0.2">
      <c r="B45" s="764"/>
      <c r="C45" s="764"/>
      <c r="D45" s="764"/>
      <c r="E45" s="764"/>
      <c r="F45" s="764"/>
      <c r="G45" s="764"/>
    </row>
    <row r="46" spans="2:7" x14ac:dyDescent="0.2">
      <c r="B46" s="764"/>
      <c r="C46" s="764"/>
      <c r="D46" s="764"/>
      <c r="E46" s="764"/>
      <c r="F46" s="764"/>
      <c r="G46" s="764"/>
    </row>
    <row r="47" spans="2:7" x14ac:dyDescent="0.2">
      <c r="G47" s="317"/>
    </row>
    <row r="48" spans="2:7" x14ac:dyDescent="0.2">
      <c r="G48" s="317"/>
    </row>
    <row r="49" spans="2:7" x14ac:dyDescent="0.2">
      <c r="B49" s="50" t="s">
        <v>392</v>
      </c>
      <c r="G49" s="317"/>
    </row>
    <row r="50" spans="2:7" x14ac:dyDescent="0.2">
      <c r="B50" s="317"/>
      <c r="C50" s="317"/>
      <c r="D50" s="317"/>
      <c r="E50" s="317"/>
      <c r="F50" s="317"/>
      <c r="G50" s="317"/>
    </row>
    <row r="51" spans="2:7" x14ac:dyDescent="0.2">
      <c r="B51" s="50"/>
      <c r="C51" s="50"/>
      <c r="D51" s="50"/>
      <c r="E51" s="50"/>
      <c r="F51" s="50"/>
      <c r="G51" s="50"/>
    </row>
    <row r="52" spans="2:7" x14ac:dyDescent="0.2">
      <c r="B52" s="50"/>
      <c r="C52" s="50"/>
      <c r="D52" s="50"/>
      <c r="E52" s="50"/>
      <c r="F52" s="50"/>
      <c r="G52" s="50"/>
    </row>
    <row r="53" spans="2:7" x14ac:dyDescent="0.2">
      <c r="B53" s="449"/>
      <c r="C53" s="449"/>
      <c r="D53" s="449"/>
      <c r="E53" s="50"/>
      <c r="F53" s="50"/>
      <c r="G53" s="50"/>
    </row>
    <row r="54" spans="2:7" x14ac:dyDescent="0.2">
      <c r="B54" s="758">
        <f>DADOS!$F$28</f>
        <v>0</v>
      </c>
      <c r="C54" s="758"/>
      <c r="D54" s="758"/>
      <c r="E54" s="758"/>
      <c r="F54" s="758"/>
      <c r="G54" s="758"/>
    </row>
    <row r="55" spans="2:7" x14ac:dyDescent="0.2">
      <c r="B55" s="758">
        <f>DADOS!$F$29</f>
        <v>0</v>
      </c>
      <c r="C55" s="758"/>
      <c r="D55" s="758"/>
      <c r="E55" s="758"/>
      <c r="F55" s="758"/>
      <c r="G55" s="758"/>
    </row>
    <row r="56" spans="2:7" x14ac:dyDescent="0.2">
      <c r="B56" s="759"/>
      <c r="C56" s="759"/>
      <c r="D56" s="759"/>
      <c r="E56" s="759"/>
      <c r="F56" s="759"/>
      <c r="G56" s="759"/>
    </row>
  </sheetData>
  <sheetProtection algorithmName="SHA-512" hashValue="xQo8BnejMh6DPAnD7OSLYFziqf8NmIrKSDoi3LK0EkB772Wy21xkegCpB0cdGy47AgnMcV2bLD/LSP96+quLTw==" saltValue="6LCZG4g8WQtSKRefc2mlfg=="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0"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&amp;LPMv3.07&amp;R&amp;P / &amp;N</oddFooter>
  </headerFooter>
  <drawing r:id="rId2"/>
</worksheet>
</file>

<file path=docProps/app.xml><?xml version="1.0" encoding="utf-8"?>
<Properties xmlns="http://schemas.openxmlformats.org/officeDocument/2006/extended-properties" xmlns:vt="http://schemas.openxmlformats.org/officeDocument/2006/docPropsVTypes">
  <TotalTime>143</TotalTime>
  <Application>Microsoft Excel</Application>
  <DocSecurity>0</DocSecurity>
  <ScaleCrop>false</ScaleCrop>
  <HeadingPairs>
    <vt:vector size="4" baseType="variant">
      <vt:variant>
        <vt:lpstr>Worksheets</vt:lpstr>
      </vt:variant>
      <vt:variant>
        <vt:i4>14</vt:i4>
      </vt:variant>
      <vt:variant>
        <vt:lpstr>Named Ranges</vt:lpstr>
      </vt:variant>
      <vt:variant>
        <vt:i4>19</vt:i4>
      </vt:variant>
    </vt:vector>
  </HeadingPairs>
  <TitlesOfParts>
    <vt:vector size="33"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BDI!Print_Area</vt:lpstr>
      <vt:lpstr>BM!Print_Area</vt:lpstr>
      <vt:lpstr>CÁLCULO!Print_Area</vt:lpstr>
      <vt:lpstr>CRONO!Print_Area</vt:lpstr>
      <vt:lpstr>EVENTOS!Print_Area</vt:lpstr>
      <vt:lpstr>MENU!Print_Area</vt:lpstr>
      <vt:lpstr>OFÍCIO!Print_Area</vt:lpstr>
      <vt:lpstr>ORÇAMENTO!Print_Area</vt:lpstr>
      <vt:lpstr>PLE!Print_Area</vt:lpstr>
      <vt:lpstr>QCI!Print_Area</vt:lpstr>
      <vt:lpstr>RRE!Print_Area</vt:lpstr>
      <vt:lpstr>BDI!Print_Titles</vt:lpstr>
      <vt:lpstr>BM!Print_Titles</vt:lpstr>
      <vt:lpstr>CÁLCULO!Print_Titles</vt:lpstr>
      <vt:lpstr>CRONO!Print_Titles</vt:lpstr>
      <vt:lpstr>ORÇAMENTO!Print_Titles</vt:lpstr>
      <vt:lpstr>PLE!Print_Titles</vt:lpstr>
      <vt:lpstr>QCI!Print_Titles</vt:lpstr>
      <vt:lpstr>RRE!Print_Titles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app</cp:lastModifiedBy>
  <cp:revision>5</cp:revision>
  <cp:lastPrinted>2026-07-03T13:54:17Z</cp:lastPrinted>
  <dcterms:created xsi:type="dcterms:W3CDTF">1997-01-10T22:22:50Z</dcterms:created>
  <dcterms:modified xsi:type="dcterms:W3CDTF">2026-09-01T21:51:35Z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