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bookViews>
    <workbookView xWindow="-45" yWindow="0" windowWidth="14520" windowHeight="15600" activeTab="3"/>
  </bookViews>
  <sheets>
    <sheet name="DADOS" sheetId="16" r:id="rId1"/>
    <sheet name="BDI (1)" sheetId="17" state="hidden" r:id="rId2"/>
    <sheet name="BDI (2)" sheetId="18" state="hidden" r:id="rId3"/>
    <sheet name="PO" sheetId="12" r:id="rId4"/>
    <sheet name="PLQ" sheetId="13" state="hidden" r:id="rId5"/>
    <sheet name="CFF" sheetId="11" r:id="rId6"/>
  </sheets>
  <externalReferences>
    <externalReference r:id="rId7"/>
  </externalReference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ACOMPANHAMENTO" hidden="1">IF(VALUE([1]MENU!$O$4)=2,"BM","PLE")</definedName>
    <definedName name="_xlnm.Print_Area" localSheetId="1">'BDI (1)'!$I$1:$R$50</definedName>
    <definedName name="_xlnm.Print_Area" localSheetId="2">'BDI (2)'!$I$1:$R$50</definedName>
    <definedName name="_xlnm.Print_Area" localSheetId="0">DADOS!$A$1:$X$87</definedName>
    <definedName name="_xlnm.Print_Area" localSheetId="4">PLQ!$B$1:$O$208</definedName>
    <definedName name="_xlnm.Print_Area" localSheetId="3">PO!$K$1:$T$217</definedName>
    <definedName name="_xlnm.Database">TEXT(Import.DataBase,"mm-aaaa")</definedName>
    <definedName name="CFF.ColunaPadrão">CFF!$AC:$AC</definedName>
    <definedName name="CFF.Colunas">CFF!$P$10:$X$10</definedName>
    <definedName name="CFF.Dados">OFFSET(CFF!$L$17,1,0):OFFSET(CFF!$X$51,-1,-1)</definedName>
    <definedName name="CFF.IncluirLinha">MAX(PO!$V$12:$V$202)*CFF.NumLinha-ROW(CFF!$F$51)+ROW(CFF!$F$17)+1</definedName>
    <definedName name="CFF.Item">OFFSET(CFF!$L$17,1,0):OFFSET(CFF!$X$51,-1,-1)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OFFSET(PO!$M$12,1,0):OFFSET(PO!$M$202,-1,0)</definedName>
    <definedName name="Import.CR">DADOS!$A$29</definedName>
    <definedName name="Import.CTEF">DADOS!$A$43</definedName>
    <definedName name="Import.CustoUnitário">OFFSET(PO!$Q$12,1,0):OFFSET(PO!$Q$202,-1,0)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OFFSET(PO!$N$12,1,0):OFFSET(PO!$N$202,-1,0)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OFFSET(PO!$L$12,1,0):OFFSET(PO!$L$202,-1,0)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OFFSET(PO!$K$12,1,0):OFFSET(PO!$K$202,-1,0)</definedName>
    <definedName name="Import.Localidade">DADOS!$K$32</definedName>
    <definedName name="Import.LocalSINAPI">DADOS!$D$38</definedName>
    <definedName name="Import.Município">DADOS!$G$32</definedName>
    <definedName name="Import.Nível">OFFSET(PO!$J$12,1,0):OFFSET(PO!$J$202,-1,0)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OFFSET(PLQ!$F$12,1,0):OFFSET(PLQ!$P$202,-1,-1)</definedName>
    <definedName name="Import.POArred">PO!$X$3:$X$7</definedName>
    <definedName name="Import.PreçoTotal">OFFSET(PO!$T$12,1,0):OFFSET(PO!$T$202,-1,0)</definedName>
    <definedName name="Import.PreçoUnitário">OFFSET(PO!$S$12,1,0):OFFSET(PO!$S$202,-1,0)</definedName>
    <definedName name="Import.Programa">DADOS!$F$29</definedName>
    <definedName name="Import.Proponente">DADOS!$A$32</definedName>
    <definedName name="Import.Quantidade">OFFSET(PO!$P$12,1,0):OFFSET(PO!$P$202,-1,0)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OFFSET(PO!$O$12,1,0):OFFSET(PO!$O$202,-1,0)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OFFSET(PO!$Z$12,1,0):OFFSET(PO!$Z$202,-1,0)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PO!$K$203</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PLQ!$B$9:OFFSET(PLQ!$B$202,-1,0)</definedName>
    <definedName name="PLQ.LinhaPadrão">PLQ!$A$11:$P$11</definedName>
    <definedName name="PLQ.qtde.frentes">COUNTA(PLQ!$F$9:$P$9)</definedName>
    <definedName name="PO.BDI">OFFSET(PO!$R$12,1,0):OFFSET(PO!$R$202,-1,0)</definedName>
    <definedName name="PO.CustoRef">OFFSET(PO!$Y$12,1,0):OFFSET(PO!$Y$202,-1,0)</definedName>
    <definedName name="PO.CustoUnitario">ROUND(PO!$Q1,15-13*PO!$X$4)</definedName>
    <definedName name="PO.Dados">PO!$C$12:OFFSET(PO!$Z$202,-1,0)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CAMENTO" hidden="1">IF(VALUE([1]MENU!$O$3)=2,"Licitado","Proposto")</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45621"/>
</workbook>
</file>

<file path=xl/calcChain.xml><?xml version="1.0" encoding="utf-8"?>
<calcChain xmlns="http://schemas.openxmlformats.org/spreadsheetml/2006/main">
  <c r="F201" i="13" l="1"/>
  <c r="A201" i="13"/>
  <c r="F200" i="13"/>
  <c r="A200" i="13"/>
  <c r="F199" i="13"/>
  <c r="A199" i="13"/>
  <c r="F198" i="13"/>
  <c r="A198" i="13"/>
  <c r="F197" i="13"/>
  <c r="A197" i="13"/>
  <c r="F196" i="13"/>
  <c r="A196" i="13"/>
  <c r="F195" i="13"/>
  <c r="A195" i="13"/>
  <c r="F194" i="13"/>
  <c r="A194" i="13"/>
  <c r="F193" i="13"/>
  <c r="A193" i="13"/>
  <c r="F192" i="13"/>
  <c r="A192" i="13"/>
  <c r="F191" i="13"/>
  <c r="A191" i="13"/>
  <c r="F190" i="13"/>
  <c r="A190" i="13"/>
  <c r="F189" i="13"/>
  <c r="A189" i="13"/>
  <c r="F188" i="13"/>
  <c r="A188" i="13"/>
  <c r="F187" i="13"/>
  <c r="A187" i="13"/>
  <c r="F186" i="13"/>
  <c r="A186" i="13"/>
  <c r="F185" i="13"/>
  <c r="A185" i="13"/>
  <c r="F184" i="13"/>
  <c r="A184" i="13"/>
  <c r="F183" i="13"/>
  <c r="A183" i="13"/>
  <c r="F182" i="13"/>
  <c r="A182" i="13"/>
  <c r="F181" i="13"/>
  <c r="A181" i="13"/>
  <c r="F180" i="13"/>
  <c r="A180" i="13"/>
  <c r="F179" i="13"/>
  <c r="A179" i="13"/>
  <c r="F178" i="13"/>
  <c r="A178" i="13"/>
  <c r="F177" i="13"/>
  <c r="A177" i="13"/>
  <c r="F176" i="13"/>
  <c r="A176" i="13"/>
  <c r="F175" i="13"/>
  <c r="A175" i="13"/>
  <c r="F174" i="13"/>
  <c r="A174" i="13"/>
  <c r="F173" i="13"/>
  <c r="A173" i="13"/>
  <c r="F172" i="13"/>
  <c r="A172" i="13"/>
  <c r="F171" i="13"/>
  <c r="A171" i="13"/>
  <c r="F170" i="13"/>
  <c r="A170" i="13"/>
  <c r="F169" i="13"/>
  <c r="A169" i="13"/>
  <c r="F168" i="13"/>
  <c r="A168" i="13"/>
  <c r="W201" i="12"/>
  <c r="A201" i="12"/>
  <c r="W200" i="12"/>
  <c r="A200" i="12"/>
  <c r="I200" i="12" s="1"/>
  <c r="W199" i="12"/>
  <c r="A199" i="12"/>
  <c r="V199" i="12" s="1"/>
  <c r="W198" i="12"/>
  <c r="A198" i="12"/>
  <c r="H198" i="12" s="1"/>
  <c r="W197" i="12"/>
  <c r="A197" i="12"/>
  <c r="V197" i="12" s="1"/>
  <c r="W196" i="12"/>
  <c r="A196" i="12"/>
  <c r="W195" i="12"/>
  <c r="A195" i="12"/>
  <c r="V195" i="12" s="1"/>
  <c r="W194" i="12"/>
  <c r="A194" i="12"/>
  <c r="H194" i="12" s="1"/>
  <c r="W193" i="12"/>
  <c r="A193" i="12"/>
  <c r="W192" i="12"/>
  <c r="A192" i="12"/>
  <c r="W191" i="12"/>
  <c r="A191" i="12"/>
  <c r="V191" i="12" s="1"/>
  <c r="W190" i="12"/>
  <c r="A190" i="12"/>
  <c r="H190" i="12" s="1"/>
  <c r="W189" i="12"/>
  <c r="A189" i="12"/>
  <c r="V189" i="12" s="1"/>
  <c r="W188" i="12"/>
  <c r="A188" i="12"/>
  <c r="W187" i="12"/>
  <c r="A187" i="12"/>
  <c r="W186" i="12"/>
  <c r="A186" i="12"/>
  <c r="W185" i="12"/>
  <c r="A185" i="12"/>
  <c r="W184" i="12"/>
  <c r="A184" i="12"/>
  <c r="W183" i="12"/>
  <c r="A183" i="12"/>
  <c r="W182" i="12"/>
  <c r="A182" i="12"/>
  <c r="W181" i="12"/>
  <c r="A181" i="12"/>
  <c r="V181" i="12" s="1"/>
  <c r="W180" i="12"/>
  <c r="A180" i="12"/>
  <c r="V180" i="12" s="1"/>
  <c r="W179" i="12"/>
  <c r="A179" i="12"/>
  <c r="W178" i="12"/>
  <c r="A178" i="12"/>
  <c r="W177" i="12"/>
  <c r="A177" i="12"/>
  <c r="H177" i="12" s="1"/>
  <c r="W176" i="12"/>
  <c r="A176" i="12"/>
  <c r="W175" i="12"/>
  <c r="A175" i="12"/>
  <c r="V175" i="12" s="1"/>
  <c r="W174" i="12"/>
  <c r="A174" i="12"/>
  <c r="W173" i="12"/>
  <c r="A173" i="12"/>
  <c r="B173" i="12" s="1"/>
  <c r="W172" i="12"/>
  <c r="A172" i="12"/>
  <c r="W171" i="12"/>
  <c r="A171" i="12"/>
  <c r="W170" i="12"/>
  <c r="A170" i="12"/>
  <c r="I170" i="12" s="1"/>
  <c r="W169" i="12"/>
  <c r="A169" i="12"/>
  <c r="I169" i="12" s="1"/>
  <c r="W168" i="12"/>
  <c r="A168" i="12"/>
  <c r="H168" i="12" s="1"/>
  <c r="F167" i="13"/>
  <c r="A167" i="13"/>
  <c r="F166" i="13"/>
  <c r="A166" i="13"/>
  <c r="F165" i="13"/>
  <c r="A165" i="13"/>
  <c r="F164" i="13"/>
  <c r="A164" i="13"/>
  <c r="F163" i="13"/>
  <c r="A163" i="13"/>
  <c r="F162" i="13"/>
  <c r="A162" i="13"/>
  <c r="F161" i="13"/>
  <c r="A161" i="13"/>
  <c r="F160" i="13"/>
  <c r="A160" i="13"/>
  <c r="F159" i="13"/>
  <c r="A159" i="13"/>
  <c r="F158" i="13"/>
  <c r="A158" i="13"/>
  <c r="F157" i="13"/>
  <c r="A157" i="13"/>
  <c r="F156" i="13"/>
  <c r="A156" i="13"/>
  <c r="F155" i="13"/>
  <c r="A155" i="13"/>
  <c r="F154" i="13"/>
  <c r="A154" i="13"/>
  <c r="F153" i="13"/>
  <c r="A153" i="13"/>
  <c r="F152" i="13"/>
  <c r="A152" i="13"/>
  <c r="F151" i="13"/>
  <c r="A151" i="13"/>
  <c r="F150" i="13"/>
  <c r="A150" i="13"/>
  <c r="F149" i="13"/>
  <c r="A149" i="13"/>
  <c r="F148" i="13"/>
  <c r="A148" i="13"/>
  <c r="F147" i="13"/>
  <c r="A147" i="13"/>
  <c r="F146" i="13"/>
  <c r="A146" i="13"/>
  <c r="F145" i="13"/>
  <c r="A145" i="13"/>
  <c r="F144" i="13"/>
  <c r="A144" i="13"/>
  <c r="F143" i="13"/>
  <c r="A143" i="13"/>
  <c r="F142" i="13"/>
  <c r="A142" i="13"/>
  <c r="F141" i="13"/>
  <c r="A141" i="13"/>
  <c r="F140" i="13"/>
  <c r="A140" i="13"/>
  <c r="F139" i="13"/>
  <c r="A139" i="13"/>
  <c r="F138" i="13"/>
  <c r="A138" i="13"/>
  <c r="F137" i="13"/>
  <c r="A137" i="13"/>
  <c r="F136" i="13"/>
  <c r="A136" i="13"/>
  <c r="F135" i="13"/>
  <c r="A135" i="13"/>
  <c r="F134" i="13"/>
  <c r="A134" i="13"/>
  <c r="F133" i="13"/>
  <c r="A133" i="13"/>
  <c r="F132" i="13"/>
  <c r="A132" i="13"/>
  <c r="F131" i="13"/>
  <c r="A131" i="13"/>
  <c r="F130" i="13"/>
  <c r="A130" i="13"/>
  <c r="F129" i="13"/>
  <c r="A129" i="13"/>
  <c r="F128" i="13"/>
  <c r="A128" i="13"/>
  <c r="F127" i="13"/>
  <c r="A127" i="13"/>
  <c r="F126" i="13"/>
  <c r="A126" i="13"/>
  <c r="F125" i="13"/>
  <c r="A125" i="13"/>
  <c r="F124" i="13"/>
  <c r="A124" i="13"/>
  <c r="F123" i="13"/>
  <c r="A123" i="13"/>
  <c r="F122" i="13"/>
  <c r="A122" i="13"/>
  <c r="F121" i="13"/>
  <c r="A121" i="13"/>
  <c r="F120" i="13"/>
  <c r="A120" i="13"/>
  <c r="F119" i="13"/>
  <c r="A119" i="13"/>
  <c r="F118" i="13"/>
  <c r="A118" i="13"/>
  <c r="W167" i="12"/>
  <c r="A167" i="12"/>
  <c r="V167" i="12" s="1"/>
  <c r="W166" i="12"/>
  <c r="A166" i="12"/>
  <c r="W165" i="12"/>
  <c r="A165" i="12"/>
  <c r="W164" i="12"/>
  <c r="A164" i="12"/>
  <c r="W163" i="12"/>
  <c r="A163" i="12"/>
  <c r="W162" i="12"/>
  <c r="A162" i="12"/>
  <c r="V162" i="12" s="1"/>
  <c r="W161" i="12"/>
  <c r="A161" i="12"/>
  <c r="W160" i="12"/>
  <c r="A160" i="12"/>
  <c r="W159" i="12"/>
  <c r="A159" i="12"/>
  <c r="W158" i="12"/>
  <c r="A158" i="12"/>
  <c r="W157" i="12"/>
  <c r="A157" i="12"/>
  <c r="X156" i="12"/>
  <c r="W156" i="12"/>
  <c r="A156" i="12"/>
  <c r="W155" i="12"/>
  <c r="A155" i="12"/>
  <c r="W154" i="12"/>
  <c r="A154" i="12"/>
  <c r="W153" i="12"/>
  <c r="A153" i="12"/>
  <c r="W152" i="12"/>
  <c r="A152" i="12"/>
  <c r="X151" i="12"/>
  <c r="D151" i="13" s="1"/>
  <c r="W151" i="12"/>
  <c r="A151" i="12"/>
  <c r="W150" i="12"/>
  <c r="A150" i="12"/>
  <c r="W149" i="12"/>
  <c r="A149" i="12"/>
  <c r="W148" i="12"/>
  <c r="A148" i="12"/>
  <c r="W147" i="12"/>
  <c r="A147" i="12"/>
  <c r="W146" i="12"/>
  <c r="A146" i="12"/>
  <c r="W145" i="12"/>
  <c r="A145" i="12"/>
  <c r="W144" i="12"/>
  <c r="A144" i="12"/>
  <c r="W143" i="12"/>
  <c r="A143" i="12"/>
  <c r="I143" i="12" s="1"/>
  <c r="W142" i="12"/>
  <c r="A142" i="12"/>
  <c r="I142" i="12" s="1"/>
  <c r="W141" i="12"/>
  <c r="A141" i="12"/>
  <c r="W140" i="12"/>
  <c r="A140" i="12"/>
  <c r="X139" i="12"/>
  <c r="D139" i="13" s="1"/>
  <c r="W139" i="12"/>
  <c r="A139" i="12"/>
  <c r="W138" i="12"/>
  <c r="A138" i="12"/>
  <c r="W137" i="12"/>
  <c r="A137" i="12"/>
  <c r="W136" i="12"/>
  <c r="A136" i="12"/>
  <c r="X135" i="12"/>
  <c r="D135" i="13" s="1"/>
  <c r="W135" i="12"/>
  <c r="A135" i="12"/>
  <c r="W134" i="12"/>
  <c r="A134" i="12"/>
  <c r="B134" i="12" s="1"/>
  <c r="W133" i="12"/>
  <c r="A133" i="12"/>
  <c r="I133" i="12" s="1"/>
  <c r="W132" i="12"/>
  <c r="A132" i="12"/>
  <c r="W131" i="12"/>
  <c r="A131" i="12"/>
  <c r="W130" i="12"/>
  <c r="A130" i="12"/>
  <c r="V130" i="12" s="1"/>
  <c r="W129" i="12"/>
  <c r="A129" i="12"/>
  <c r="W128" i="12"/>
  <c r="A128" i="12"/>
  <c r="V128" i="12" s="1"/>
  <c r="W127" i="12"/>
  <c r="A127" i="12"/>
  <c r="H127" i="12" s="1"/>
  <c r="W126" i="12"/>
  <c r="A126" i="12"/>
  <c r="H126" i="12" s="1"/>
  <c r="W125" i="12"/>
  <c r="A125" i="12"/>
  <c r="H125" i="12" s="1"/>
  <c r="W124" i="12"/>
  <c r="A124" i="12"/>
  <c r="H124" i="12" s="1"/>
  <c r="W123" i="12"/>
  <c r="A123" i="12"/>
  <c r="H123" i="12" s="1"/>
  <c r="W122" i="12"/>
  <c r="A122" i="12"/>
  <c r="W121" i="12"/>
  <c r="A121" i="12"/>
  <c r="H121" i="12" s="1"/>
  <c r="W120" i="12"/>
  <c r="A120" i="12"/>
  <c r="H120" i="12" s="1"/>
  <c r="W119" i="12"/>
  <c r="A119" i="12"/>
  <c r="W118" i="12"/>
  <c r="A118" i="12"/>
  <c r="V132" i="12" l="1"/>
  <c r="V170" i="12"/>
  <c r="V174" i="12"/>
  <c r="V179" i="12"/>
  <c r="V129" i="12"/>
  <c r="V187" i="12"/>
  <c r="B177" i="12"/>
  <c r="V122" i="12"/>
  <c r="V161" i="12"/>
  <c r="V166" i="12"/>
  <c r="V119" i="12"/>
  <c r="I177" i="12"/>
  <c r="H169" i="12"/>
  <c r="B198" i="12"/>
  <c r="V126" i="12"/>
  <c r="H195" i="12"/>
  <c r="V124" i="12"/>
  <c r="B130" i="12"/>
  <c r="V123" i="12"/>
  <c r="V127" i="12"/>
  <c r="I181" i="12"/>
  <c r="V121" i="12"/>
  <c r="V125" i="12"/>
  <c r="V120" i="12"/>
  <c r="B190" i="12"/>
  <c r="B120" i="12"/>
  <c r="B121" i="12"/>
  <c r="B123" i="12"/>
  <c r="B124" i="12"/>
  <c r="B125" i="12"/>
  <c r="B126" i="12"/>
  <c r="B127" i="12"/>
  <c r="H191" i="12"/>
  <c r="H200" i="12"/>
  <c r="V169" i="12"/>
  <c r="H173" i="12"/>
  <c r="V184" i="12"/>
  <c r="V188" i="12"/>
  <c r="H199" i="12"/>
  <c r="V200" i="12"/>
  <c r="H130" i="12"/>
  <c r="H162" i="12"/>
  <c r="B169" i="12"/>
  <c r="I173" i="12"/>
  <c r="V177" i="12"/>
  <c r="B181" i="12"/>
  <c r="B191" i="12"/>
  <c r="B195" i="12"/>
  <c r="I199" i="12"/>
  <c r="B200" i="12"/>
  <c r="V173" i="12"/>
  <c r="V196" i="12"/>
  <c r="I191" i="12"/>
  <c r="I195" i="12"/>
  <c r="B199" i="12"/>
  <c r="D156" i="13"/>
  <c r="E169" i="13"/>
  <c r="E168" i="13"/>
  <c r="I171" i="12"/>
  <c r="H171" i="12"/>
  <c r="B171" i="12"/>
  <c r="H172" i="12"/>
  <c r="B172" i="12"/>
  <c r="V172" i="12"/>
  <c r="I172" i="12"/>
  <c r="V171" i="12"/>
  <c r="H176" i="12"/>
  <c r="B176" i="12"/>
  <c r="V176" i="12"/>
  <c r="I176" i="12"/>
  <c r="V168" i="12"/>
  <c r="I168" i="12"/>
  <c r="B168" i="12"/>
  <c r="B175" i="12"/>
  <c r="H175" i="12"/>
  <c r="I180" i="12"/>
  <c r="V185" i="12"/>
  <c r="V193" i="12"/>
  <c r="B194" i="12"/>
  <c r="B170" i="12"/>
  <c r="H170" i="12"/>
  <c r="I175" i="12"/>
  <c r="H181" i="12"/>
  <c r="V182" i="12"/>
  <c r="I189" i="12"/>
  <c r="H189" i="12"/>
  <c r="B189" i="12"/>
  <c r="V190" i="12"/>
  <c r="I190" i="12"/>
  <c r="I197" i="12"/>
  <c r="H197" i="12"/>
  <c r="B197" i="12"/>
  <c r="V198" i="12"/>
  <c r="I198" i="12"/>
  <c r="E171" i="13"/>
  <c r="B180" i="12"/>
  <c r="H180" i="12"/>
  <c r="I185" i="12"/>
  <c r="H185" i="12"/>
  <c r="B185" i="12"/>
  <c r="V194" i="12"/>
  <c r="I194" i="12"/>
  <c r="V201" i="12"/>
  <c r="I201" i="12"/>
  <c r="H201" i="12"/>
  <c r="B201" i="12"/>
  <c r="E173" i="13"/>
  <c r="E170" i="13"/>
  <c r="E172" i="13"/>
  <c r="E174" i="13"/>
  <c r="E176" i="13"/>
  <c r="E178" i="13"/>
  <c r="E180" i="13"/>
  <c r="E182" i="13"/>
  <c r="E184" i="13"/>
  <c r="E186" i="13"/>
  <c r="E188" i="13"/>
  <c r="E190" i="13"/>
  <c r="E192" i="13"/>
  <c r="E194" i="13"/>
  <c r="E196" i="13"/>
  <c r="E198" i="13"/>
  <c r="E200" i="13"/>
  <c r="E175" i="13"/>
  <c r="E177" i="13"/>
  <c r="E179" i="13"/>
  <c r="E181" i="13"/>
  <c r="E183" i="13"/>
  <c r="E185" i="13"/>
  <c r="E187" i="13"/>
  <c r="E189" i="13"/>
  <c r="E191" i="13"/>
  <c r="E193" i="13"/>
  <c r="E195" i="13"/>
  <c r="E197" i="13"/>
  <c r="E199" i="13"/>
  <c r="E201" i="13"/>
  <c r="V135" i="12"/>
  <c r="V144" i="12"/>
  <c r="V134" i="12"/>
  <c r="H134" i="12"/>
  <c r="B138" i="12"/>
  <c r="V138" i="12"/>
  <c r="H138" i="12"/>
  <c r="I138" i="12"/>
  <c r="V141" i="12"/>
  <c r="V133" i="12"/>
  <c r="H133" i="12"/>
  <c r="B137" i="12"/>
  <c r="V137" i="12"/>
  <c r="H137" i="12"/>
  <c r="I137" i="12"/>
  <c r="B142" i="12"/>
  <c r="V142" i="12"/>
  <c r="H142" i="12"/>
  <c r="B145" i="12"/>
  <c r="V145" i="12"/>
  <c r="I145" i="12"/>
  <c r="H145" i="12"/>
  <c r="V147" i="12"/>
  <c r="V149" i="12"/>
  <c r="V151" i="12"/>
  <c r="B153" i="12"/>
  <c r="V153" i="12"/>
  <c r="I153" i="12"/>
  <c r="H153" i="12"/>
  <c r="B146" i="12"/>
  <c r="V146" i="12"/>
  <c r="I146" i="12"/>
  <c r="H146" i="12"/>
  <c r="B150" i="12"/>
  <c r="V150" i="12"/>
  <c r="I150" i="12"/>
  <c r="H150" i="12"/>
  <c r="B152" i="12"/>
  <c r="V152" i="12"/>
  <c r="I152" i="12"/>
  <c r="H152" i="12"/>
  <c r="I120" i="12"/>
  <c r="I121" i="12"/>
  <c r="I123" i="12"/>
  <c r="I124" i="12"/>
  <c r="I125" i="12"/>
  <c r="I126" i="12"/>
  <c r="I127" i="12"/>
  <c r="I130" i="12"/>
  <c r="B133" i="12"/>
  <c r="I134" i="12"/>
  <c r="B136" i="12"/>
  <c r="V136" i="12"/>
  <c r="H136" i="12"/>
  <c r="I136" i="12"/>
  <c r="V140" i="12"/>
  <c r="B143" i="12"/>
  <c r="V143" i="12"/>
  <c r="H143" i="12"/>
  <c r="V154" i="12"/>
  <c r="H154" i="12"/>
  <c r="B154" i="12"/>
  <c r="I154" i="12"/>
  <c r="V155" i="12"/>
  <c r="H155" i="12"/>
  <c r="B155" i="12"/>
  <c r="I155" i="12"/>
  <c r="V156" i="12"/>
  <c r="V157" i="12"/>
  <c r="H157" i="12"/>
  <c r="B157" i="12"/>
  <c r="I157" i="12"/>
  <c r="V158" i="12"/>
  <c r="H158" i="12"/>
  <c r="B158" i="12"/>
  <c r="I158" i="12"/>
  <c r="V164" i="12"/>
  <c r="H164" i="12"/>
  <c r="B164" i="12"/>
  <c r="B162" i="12"/>
  <c r="I162" i="12"/>
  <c r="V163" i="12"/>
  <c r="I164" i="12"/>
  <c r="I167" i="12"/>
  <c r="E118" i="13"/>
  <c r="E120" i="13"/>
  <c r="E122" i="13"/>
  <c r="E124" i="13"/>
  <c r="E126" i="13"/>
  <c r="E128" i="13"/>
  <c r="E130" i="13"/>
  <c r="E132" i="13"/>
  <c r="E134" i="13"/>
  <c r="E136" i="13"/>
  <c r="E138" i="13"/>
  <c r="E140" i="13"/>
  <c r="E142" i="13"/>
  <c r="E144" i="13"/>
  <c r="E146" i="13"/>
  <c r="E148" i="13"/>
  <c r="E150" i="13"/>
  <c r="E152" i="13"/>
  <c r="E154" i="13"/>
  <c r="E156" i="13"/>
  <c r="E158" i="13"/>
  <c r="E160" i="13"/>
  <c r="E162" i="13"/>
  <c r="E164" i="13"/>
  <c r="E166" i="13"/>
  <c r="B167" i="12"/>
  <c r="E119" i="13"/>
  <c r="E121" i="13"/>
  <c r="E123" i="13"/>
  <c r="E125" i="13"/>
  <c r="E127" i="13"/>
  <c r="E129" i="13"/>
  <c r="E131" i="13"/>
  <c r="E133" i="13"/>
  <c r="E135" i="13"/>
  <c r="E137" i="13"/>
  <c r="E139" i="13"/>
  <c r="E141" i="13"/>
  <c r="E143" i="13"/>
  <c r="E145" i="13"/>
  <c r="E147" i="13"/>
  <c r="E149" i="13"/>
  <c r="E151" i="13"/>
  <c r="E153" i="13"/>
  <c r="E155" i="13"/>
  <c r="E157" i="13"/>
  <c r="E159" i="13"/>
  <c r="E161" i="13"/>
  <c r="E163" i="13"/>
  <c r="E165" i="13"/>
  <c r="E167" i="13"/>
  <c r="H167" i="12"/>
  <c r="C156" i="13" l="1"/>
  <c r="C151" i="13"/>
  <c r="C139" i="13"/>
  <c r="C135" i="13"/>
  <c r="F117" i="13"/>
  <c r="A117" i="13"/>
  <c r="F116" i="13"/>
  <c r="A116" i="13"/>
  <c r="F115" i="13"/>
  <c r="A115" i="13"/>
  <c r="F114" i="13"/>
  <c r="A114" i="13"/>
  <c r="F113" i="13"/>
  <c r="A113" i="13"/>
  <c r="F112" i="13"/>
  <c r="A112" i="13"/>
  <c r="F111" i="13"/>
  <c r="A111" i="13"/>
  <c r="F110" i="13"/>
  <c r="A110" i="13"/>
  <c r="F109" i="13"/>
  <c r="A109" i="13"/>
  <c r="F108" i="13"/>
  <c r="A108" i="13"/>
  <c r="F107" i="13"/>
  <c r="A107" i="13"/>
  <c r="F106" i="13"/>
  <c r="A106" i="13"/>
  <c r="F105" i="13"/>
  <c r="A105" i="13"/>
  <c r="F104" i="13"/>
  <c r="A104" i="13"/>
  <c r="F103" i="13"/>
  <c r="A103" i="13"/>
  <c r="F102" i="13"/>
  <c r="A102" i="13"/>
  <c r="F101" i="13"/>
  <c r="A101" i="13"/>
  <c r="F100" i="13"/>
  <c r="A100" i="13"/>
  <c r="F99" i="13"/>
  <c r="A99" i="13"/>
  <c r="F98" i="13"/>
  <c r="A98" i="13"/>
  <c r="F97" i="13"/>
  <c r="A97" i="13"/>
  <c r="F96" i="13"/>
  <c r="A96" i="13"/>
  <c r="F95" i="13"/>
  <c r="A95" i="13"/>
  <c r="F94" i="13"/>
  <c r="A94" i="13"/>
  <c r="F93" i="13"/>
  <c r="A93" i="13"/>
  <c r="F92" i="13"/>
  <c r="A92" i="13"/>
  <c r="F91" i="13"/>
  <c r="A91" i="13"/>
  <c r="F90" i="13"/>
  <c r="A90" i="13"/>
  <c r="F89" i="13"/>
  <c r="A89" i="13"/>
  <c r="F88" i="13"/>
  <c r="A88" i="13"/>
  <c r="W117" i="12"/>
  <c r="A117" i="12"/>
  <c r="V117" i="12" s="1"/>
  <c r="W116" i="12"/>
  <c r="A116" i="12"/>
  <c r="W115" i="12"/>
  <c r="A115" i="12"/>
  <c r="V115" i="12" s="1"/>
  <c r="W114" i="12"/>
  <c r="A114" i="12"/>
  <c r="X113" i="12"/>
  <c r="W113" i="12"/>
  <c r="A113" i="12"/>
  <c r="W112" i="12"/>
  <c r="A112" i="12"/>
  <c r="W111" i="12"/>
  <c r="A111" i="12"/>
  <c r="W110" i="12"/>
  <c r="A110" i="12"/>
  <c r="W109" i="12"/>
  <c r="A109" i="12"/>
  <c r="W108" i="12"/>
  <c r="A108" i="12"/>
  <c r="I108" i="12" s="1"/>
  <c r="W107" i="12"/>
  <c r="A107" i="12"/>
  <c r="W106" i="12"/>
  <c r="A106" i="12"/>
  <c r="W105" i="12"/>
  <c r="A105" i="12"/>
  <c r="W104" i="12"/>
  <c r="A104" i="12"/>
  <c r="I104" i="12" s="1"/>
  <c r="W103" i="12"/>
  <c r="A103" i="12"/>
  <c r="V103" i="12" s="1"/>
  <c r="W102" i="12"/>
  <c r="A102" i="12"/>
  <c r="W101" i="12"/>
  <c r="A101" i="12"/>
  <c r="V101" i="12" s="1"/>
  <c r="W100" i="12"/>
  <c r="A100" i="12"/>
  <c r="V100" i="12" s="1"/>
  <c r="W99" i="12"/>
  <c r="A99" i="12"/>
  <c r="W98" i="12"/>
  <c r="A98" i="12"/>
  <c r="W97" i="12"/>
  <c r="A97" i="12"/>
  <c r="W96" i="12"/>
  <c r="A96" i="12"/>
  <c r="H96" i="12" s="1"/>
  <c r="W95" i="12"/>
  <c r="A95" i="12"/>
  <c r="H95" i="12" s="1"/>
  <c r="W94" i="12"/>
  <c r="A94" i="12"/>
  <c r="W93" i="12"/>
  <c r="A93" i="12"/>
  <c r="W92" i="12"/>
  <c r="A92" i="12"/>
  <c r="W91" i="12"/>
  <c r="A91" i="12"/>
  <c r="H91" i="12" s="1"/>
  <c r="W90" i="12"/>
  <c r="A90" i="12"/>
  <c r="H90" i="12" s="1"/>
  <c r="W89" i="12"/>
  <c r="A89" i="12"/>
  <c r="V89" i="12" s="1"/>
  <c r="W88" i="12"/>
  <c r="A88" i="12"/>
  <c r="F66" i="13"/>
  <c r="A66" i="13"/>
  <c r="F65" i="13"/>
  <c r="A65" i="13"/>
  <c r="F64" i="13"/>
  <c r="A64" i="13"/>
  <c r="F63" i="13"/>
  <c r="A63" i="13"/>
  <c r="F62" i="13"/>
  <c r="A62" i="13"/>
  <c r="F61" i="13"/>
  <c r="A61" i="13"/>
  <c r="F60" i="13"/>
  <c r="A60" i="13"/>
  <c r="F59" i="13"/>
  <c r="A59" i="13"/>
  <c r="F58" i="13"/>
  <c r="A58" i="13"/>
  <c r="F57" i="13"/>
  <c r="A57" i="13"/>
  <c r="F56" i="13"/>
  <c r="A56" i="13"/>
  <c r="F55" i="13"/>
  <c r="A55" i="13"/>
  <c r="F54" i="13"/>
  <c r="A54" i="13"/>
  <c r="F53" i="13"/>
  <c r="A53" i="13"/>
  <c r="F52" i="13"/>
  <c r="A52" i="13"/>
  <c r="F51" i="13"/>
  <c r="A51" i="13"/>
  <c r="F50" i="13"/>
  <c r="A50" i="13"/>
  <c r="F49" i="13"/>
  <c r="A49" i="13"/>
  <c r="F48" i="13"/>
  <c r="A48" i="13"/>
  <c r="F47" i="13"/>
  <c r="A47" i="13"/>
  <c r="W66" i="12"/>
  <c r="A66" i="12"/>
  <c r="I66" i="12" s="1"/>
  <c r="W65" i="12"/>
  <c r="A65" i="12"/>
  <c r="W64" i="12"/>
  <c r="A64" i="12"/>
  <c r="I64" i="12" s="1"/>
  <c r="W63" i="12"/>
  <c r="A63" i="12"/>
  <c r="W62" i="12"/>
  <c r="A62" i="12"/>
  <c r="W61" i="12"/>
  <c r="A61" i="12"/>
  <c r="W60" i="12"/>
  <c r="A60" i="12"/>
  <c r="W59" i="12"/>
  <c r="A59" i="12"/>
  <c r="W58" i="12"/>
  <c r="A58" i="12"/>
  <c r="W57" i="12"/>
  <c r="A57" i="12"/>
  <c r="W56" i="12"/>
  <c r="A56" i="12"/>
  <c r="W55" i="12"/>
  <c r="A55" i="12"/>
  <c r="V55" i="12" s="1"/>
  <c r="W54" i="12"/>
  <c r="A54" i="12"/>
  <c r="W53" i="12"/>
  <c r="A53" i="12"/>
  <c r="H53" i="12" s="1"/>
  <c r="W52" i="12"/>
  <c r="A52" i="12"/>
  <c r="V52" i="12" s="1"/>
  <c r="W51" i="12"/>
  <c r="A51" i="12"/>
  <c r="W50" i="12"/>
  <c r="A50" i="12"/>
  <c r="W49" i="12"/>
  <c r="A49" i="12"/>
  <c r="H49" i="12" s="1"/>
  <c r="W48" i="12"/>
  <c r="A48" i="12"/>
  <c r="W47" i="12"/>
  <c r="A47" i="12"/>
  <c r="F87" i="13"/>
  <c r="A87" i="13"/>
  <c r="F86" i="13"/>
  <c r="A86" i="13"/>
  <c r="F85" i="13"/>
  <c r="A85" i="13"/>
  <c r="F84" i="13"/>
  <c r="A84" i="13"/>
  <c r="F83" i="13"/>
  <c r="A83" i="13"/>
  <c r="F82" i="13"/>
  <c r="A82" i="13"/>
  <c r="F81" i="13"/>
  <c r="A81" i="13"/>
  <c r="F80" i="13"/>
  <c r="A80" i="13"/>
  <c r="F79" i="13"/>
  <c r="A79" i="13"/>
  <c r="F78" i="13"/>
  <c r="A78" i="13"/>
  <c r="F77" i="13"/>
  <c r="A77" i="13"/>
  <c r="F76" i="13"/>
  <c r="A76" i="13"/>
  <c r="F75" i="13"/>
  <c r="A75" i="13"/>
  <c r="F74" i="13"/>
  <c r="A74" i="13"/>
  <c r="F73" i="13"/>
  <c r="A73" i="13"/>
  <c r="F72" i="13"/>
  <c r="A72" i="13"/>
  <c r="F71" i="13"/>
  <c r="A71" i="13"/>
  <c r="F70" i="13"/>
  <c r="A70" i="13"/>
  <c r="F69" i="13"/>
  <c r="A69" i="13"/>
  <c r="F68" i="13"/>
  <c r="A68" i="13"/>
  <c r="F67" i="13"/>
  <c r="A67" i="13"/>
  <c r="F46" i="13"/>
  <c r="A46" i="13"/>
  <c r="F45" i="13"/>
  <c r="A45" i="13"/>
  <c r="F44" i="13"/>
  <c r="A44" i="13"/>
  <c r="F43" i="13"/>
  <c r="A43" i="13"/>
  <c r="F42" i="13"/>
  <c r="A42" i="13"/>
  <c r="F41" i="13"/>
  <c r="A41" i="13"/>
  <c r="F40" i="13"/>
  <c r="A40" i="13"/>
  <c r="F39" i="13"/>
  <c r="A39" i="13"/>
  <c r="F38" i="13"/>
  <c r="A38" i="13"/>
  <c r="F37" i="13"/>
  <c r="A37" i="13"/>
  <c r="F36" i="13"/>
  <c r="A36" i="13"/>
  <c r="F35" i="13"/>
  <c r="A35" i="13"/>
  <c r="F34" i="13"/>
  <c r="A34" i="13"/>
  <c r="F33" i="13"/>
  <c r="A33" i="13"/>
  <c r="F32" i="13"/>
  <c r="A32" i="13"/>
  <c r="F31" i="13"/>
  <c r="A31" i="13"/>
  <c r="F30" i="13"/>
  <c r="A30" i="13"/>
  <c r="W87" i="12"/>
  <c r="A87" i="12"/>
  <c r="H87" i="12" s="1"/>
  <c r="W86" i="12"/>
  <c r="A86" i="12"/>
  <c r="W85" i="12"/>
  <c r="A85" i="12"/>
  <c r="V85" i="12" s="1"/>
  <c r="W84" i="12"/>
  <c r="A84" i="12"/>
  <c r="W83" i="12"/>
  <c r="A83" i="12"/>
  <c r="W82" i="12"/>
  <c r="A82" i="12"/>
  <c r="V82" i="12" s="1"/>
  <c r="W81" i="12"/>
  <c r="A81" i="12"/>
  <c r="V81" i="12" s="1"/>
  <c r="W80" i="12"/>
  <c r="A80" i="12"/>
  <c r="I80" i="12" s="1"/>
  <c r="W79" i="12"/>
  <c r="A79" i="12"/>
  <c r="I79" i="12" s="1"/>
  <c r="W78" i="12"/>
  <c r="A78" i="12"/>
  <c r="W77" i="12"/>
  <c r="A77" i="12"/>
  <c r="W76" i="12"/>
  <c r="A76" i="12"/>
  <c r="V76" i="12" s="1"/>
  <c r="W75" i="12"/>
  <c r="A75" i="12"/>
  <c r="B75" i="12" s="1"/>
  <c r="W74" i="12"/>
  <c r="A74" i="12"/>
  <c r="V74" i="12" s="1"/>
  <c r="W73" i="12"/>
  <c r="A73" i="12"/>
  <c r="W72" i="12"/>
  <c r="A72" i="12"/>
  <c r="B72" i="12" s="1"/>
  <c r="W71" i="12"/>
  <c r="A71" i="12"/>
  <c r="W70" i="12"/>
  <c r="A70" i="12"/>
  <c r="W69" i="12"/>
  <c r="A69" i="12"/>
  <c r="W68" i="12"/>
  <c r="A68" i="12"/>
  <c r="B68" i="12" s="1"/>
  <c r="W67" i="12"/>
  <c r="A67" i="12"/>
  <c r="W46" i="12"/>
  <c r="A46" i="12"/>
  <c r="W45" i="12"/>
  <c r="A45" i="12"/>
  <c r="W44" i="12"/>
  <c r="A44" i="12"/>
  <c r="B44" i="12" s="1"/>
  <c r="W43" i="12"/>
  <c r="A43" i="12"/>
  <c r="W42" i="12"/>
  <c r="A42" i="12"/>
  <c r="W41" i="12"/>
  <c r="A41" i="12"/>
  <c r="W40" i="12"/>
  <c r="A40" i="12"/>
  <c r="W39" i="12"/>
  <c r="A39" i="12"/>
  <c r="W38" i="12"/>
  <c r="A38" i="12"/>
  <c r="W37" i="12"/>
  <c r="A37" i="12"/>
  <c r="W36" i="12"/>
  <c r="A36" i="12"/>
  <c r="B36" i="12" s="1"/>
  <c r="W35" i="12"/>
  <c r="A35" i="12"/>
  <c r="W34" i="12"/>
  <c r="A34" i="12"/>
  <c r="W33" i="12"/>
  <c r="A33" i="12"/>
  <c r="W32" i="12"/>
  <c r="A32" i="12"/>
  <c r="W31" i="12"/>
  <c r="A31" i="12"/>
  <c r="W30" i="12"/>
  <c r="A30" i="12"/>
  <c r="B30" i="12" s="1"/>
  <c r="F15" i="13"/>
  <c r="A15" i="13"/>
  <c r="W15" i="12"/>
  <c r="A15" i="12"/>
  <c r="J50" i="18"/>
  <c r="J49" i="18"/>
  <c r="J48" i="18"/>
  <c r="J47" i="18"/>
  <c r="A45" i="18"/>
  <c r="A46" i="18" s="1"/>
  <c r="C44" i="18"/>
  <c r="C39" i="18"/>
  <c r="A39" i="18"/>
  <c r="A40" i="18" s="1"/>
  <c r="C38" i="18"/>
  <c r="I35" i="18"/>
  <c r="M32" i="18"/>
  <c r="I29" i="18"/>
  <c r="A28" i="18"/>
  <c r="C28" i="18" s="1"/>
  <c r="C27" i="18"/>
  <c r="N24" i="18"/>
  <c r="A23" i="18"/>
  <c r="C23" i="18" s="1"/>
  <c r="M22" i="18"/>
  <c r="I22" i="18"/>
  <c r="C22" i="18"/>
  <c r="A22" i="18"/>
  <c r="M21" i="18"/>
  <c r="I21" i="18"/>
  <c r="C21" i="18"/>
  <c r="M20" i="18"/>
  <c r="I20" i="18"/>
  <c r="M19" i="18"/>
  <c r="I19" i="18"/>
  <c r="M18" i="18"/>
  <c r="Q18" i="18" s="1"/>
  <c r="I18" i="18"/>
  <c r="A17" i="18"/>
  <c r="C17" i="18" s="1"/>
  <c r="C15" i="18"/>
  <c r="A15" i="18"/>
  <c r="C14" i="18"/>
  <c r="C13" i="18"/>
  <c r="C12" i="18"/>
  <c r="Q11" i="18"/>
  <c r="I37" i="18" s="1"/>
  <c r="C11" i="18"/>
  <c r="C10" i="18"/>
  <c r="C9" i="18"/>
  <c r="I8" i="18"/>
  <c r="C8" i="18"/>
  <c r="K5" i="18"/>
  <c r="I5" i="18"/>
  <c r="A4" i="18"/>
  <c r="A5" i="18" s="1"/>
  <c r="A3" i="18"/>
  <c r="C3" i="18" s="1"/>
  <c r="C2" i="18"/>
  <c r="N1" i="18"/>
  <c r="X161" i="12"/>
  <c r="X132" i="12"/>
  <c r="X118" i="12"/>
  <c r="X186" i="12"/>
  <c r="X179" i="12"/>
  <c r="X166" i="12"/>
  <c r="X147" i="12"/>
  <c r="X122" i="12"/>
  <c r="X174" i="12"/>
  <c r="X160" i="12"/>
  <c r="X140" i="12"/>
  <c r="X182" i="12"/>
  <c r="X131" i="12"/>
  <c r="X163" i="12"/>
  <c r="X119" i="12"/>
  <c r="D161" i="13" l="1"/>
  <c r="D119" i="13"/>
  <c r="C119" i="13"/>
  <c r="C163" i="13"/>
  <c r="D163" i="13"/>
  <c r="D131" i="13"/>
  <c r="C131" i="13"/>
  <c r="C182" i="13"/>
  <c r="D182" i="13"/>
  <c r="D140" i="13"/>
  <c r="C140" i="13"/>
  <c r="C174" i="13"/>
  <c r="D174" i="13"/>
  <c r="C122" i="13"/>
  <c r="D122" i="13"/>
  <c r="D147" i="13"/>
  <c r="C147" i="13"/>
  <c r="C166" i="13"/>
  <c r="D166" i="13"/>
  <c r="C179" i="13"/>
  <c r="D179" i="13"/>
  <c r="C118" i="13"/>
  <c r="D118" i="13"/>
  <c r="C132" i="13"/>
  <c r="D132" i="13"/>
  <c r="V15" i="12"/>
  <c r="V36" i="12"/>
  <c r="V99" i="12"/>
  <c r="V116" i="12"/>
  <c r="H103" i="12"/>
  <c r="V94" i="12"/>
  <c r="V95" i="12"/>
  <c r="V96" i="12"/>
  <c r="V97" i="12"/>
  <c r="I115" i="12"/>
  <c r="V90" i="12"/>
  <c r="V91" i="12"/>
  <c r="V92" i="12"/>
  <c r="V44" i="12"/>
  <c r="I75" i="12"/>
  <c r="B103" i="12"/>
  <c r="V31" i="12"/>
  <c r="V87" i="12"/>
  <c r="I103" i="12"/>
  <c r="V30" i="12"/>
  <c r="I72" i="12"/>
  <c r="V53" i="12"/>
  <c r="V104" i="12"/>
  <c r="V108" i="12"/>
  <c r="B115" i="12"/>
  <c r="H115" i="12"/>
  <c r="H30" i="12"/>
  <c r="V68" i="12"/>
  <c r="D113" i="13"/>
  <c r="E90" i="13"/>
  <c r="E92" i="13"/>
  <c r="E94" i="13"/>
  <c r="E96" i="13"/>
  <c r="E98" i="13"/>
  <c r="E100" i="13"/>
  <c r="E102" i="13"/>
  <c r="E104" i="13"/>
  <c r="E106" i="13"/>
  <c r="E108" i="13"/>
  <c r="E110" i="13"/>
  <c r="E112" i="13"/>
  <c r="E114" i="13"/>
  <c r="E116" i="13"/>
  <c r="V47" i="12"/>
  <c r="H47" i="12"/>
  <c r="B91" i="12"/>
  <c r="I91" i="12"/>
  <c r="V110" i="12"/>
  <c r="B88" i="12"/>
  <c r="I88" i="12"/>
  <c r="V106" i="12"/>
  <c r="I106" i="12"/>
  <c r="H106" i="12"/>
  <c r="B106" i="12"/>
  <c r="V42" i="12"/>
  <c r="B70" i="12"/>
  <c r="V70" i="12"/>
  <c r="H70" i="12"/>
  <c r="V48" i="12"/>
  <c r="H48" i="12"/>
  <c r="H55" i="12"/>
  <c r="H89" i="12"/>
  <c r="B90" i="12"/>
  <c r="I90" i="12"/>
  <c r="V114" i="12"/>
  <c r="I114" i="12"/>
  <c r="H114" i="12"/>
  <c r="B114" i="12"/>
  <c r="V38" i="12"/>
  <c r="H88" i="12"/>
  <c r="V88" i="12"/>
  <c r="B89" i="12"/>
  <c r="I89" i="12"/>
  <c r="V102" i="12"/>
  <c r="I95" i="12"/>
  <c r="I96" i="12"/>
  <c r="B95" i="12"/>
  <c r="B96" i="12"/>
  <c r="B101" i="12"/>
  <c r="H101" i="12"/>
  <c r="B117" i="12"/>
  <c r="H117" i="12"/>
  <c r="H36" i="12"/>
  <c r="H44" i="12"/>
  <c r="H68" i="12"/>
  <c r="H72" i="12"/>
  <c r="I82" i="12"/>
  <c r="I101" i="12"/>
  <c r="B104" i="12"/>
  <c r="H104" i="12"/>
  <c r="B108" i="12"/>
  <c r="H108" i="12"/>
  <c r="I117" i="12"/>
  <c r="E88" i="13"/>
  <c r="E89" i="13"/>
  <c r="E91" i="13"/>
  <c r="E93" i="13"/>
  <c r="E95" i="13"/>
  <c r="E97" i="13"/>
  <c r="E99" i="13"/>
  <c r="E101" i="13"/>
  <c r="E103" i="13"/>
  <c r="E105" i="13"/>
  <c r="E107" i="13"/>
  <c r="E109" i="13"/>
  <c r="E111" i="13"/>
  <c r="E113" i="13"/>
  <c r="E115" i="13"/>
  <c r="E117" i="13"/>
  <c r="B54" i="12"/>
  <c r="V54" i="12"/>
  <c r="H54" i="12"/>
  <c r="E51" i="13"/>
  <c r="V35" i="12"/>
  <c r="B35" i="12"/>
  <c r="H35" i="12"/>
  <c r="V39" i="12"/>
  <c r="B39" i="12"/>
  <c r="H39" i="12"/>
  <c r="V41" i="12"/>
  <c r="V43" i="12"/>
  <c r="H43" i="12"/>
  <c r="B43" i="12"/>
  <c r="V45" i="12"/>
  <c r="B45" i="12"/>
  <c r="H45" i="12"/>
  <c r="V67" i="12"/>
  <c r="B67" i="12"/>
  <c r="H67" i="12"/>
  <c r="V69" i="12"/>
  <c r="B69" i="12"/>
  <c r="H69" i="12"/>
  <c r="I71" i="12"/>
  <c r="H71" i="12"/>
  <c r="B71" i="12"/>
  <c r="I54" i="12"/>
  <c r="E55" i="13"/>
  <c r="I76" i="12"/>
  <c r="B76" i="12"/>
  <c r="H76" i="12"/>
  <c r="E59" i="13"/>
  <c r="V84" i="12"/>
  <c r="H84" i="12"/>
  <c r="E47" i="13"/>
  <c r="E63" i="13"/>
  <c r="V49" i="12"/>
  <c r="H50" i="12"/>
  <c r="V50" i="12"/>
  <c r="V51" i="12"/>
  <c r="H52" i="12"/>
  <c r="B53" i="12"/>
  <c r="I53" i="12"/>
  <c r="V57" i="12"/>
  <c r="V58" i="12"/>
  <c r="V59" i="12"/>
  <c r="H59" i="12"/>
  <c r="B59" i="12"/>
  <c r="V60" i="12"/>
  <c r="H60" i="12"/>
  <c r="B60" i="12"/>
  <c r="V61" i="12"/>
  <c r="H61" i="12"/>
  <c r="B61" i="12"/>
  <c r="V62" i="12"/>
  <c r="H62" i="12"/>
  <c r="B62" i="12"/>
  <c r="V63" i="12"/>
  <c r="H63" i="12"/>
  <c r="B63" i="12"/>
  <c r="V64" i="12"/>
  <c r="H64" i="12"/>
  <c r="B64" i="12"/>
  <c r="V65" i="12"/>
  <c r="V66" i="12"/>
  <c r="H66" i="12"/>
  <c r="B66" i="12"/>
  <c r="V72" i="12"/>
  <c r="H81" i="12"/>
  <c r="H85" i="12"/>
  <c r="I47" i="12"/>
  <c r="I48" i="12"/>
  <c r="I49" i="12"/>
  <c r="I50" i="12"/>
  <c r="B52" i="12"/>
  <c r="I52" i="12"/>
  <c r="I81" i="12"/>
  <c r="H82" i="12"/>
  <c r="B47" i="12"/>
  <c r="B48" i="12"/>
  <c r="B49" i="12"/>
  <c r="B50" i="12"/>
  <c r="B55" i="12"/>
  <c r="I55" i="12"/>
  <c r="I59" i="12"/>
  <c r="I60" i="12"/>
  <c r="I61" i="12"/>
  <c r="I62" i="12"/>
  <c r="I63" i="12"/>
  <c r="E49" i="13"/>
  <c r="E53" i="13"/>
  <c r="E57" i="13"/>
  <c r="E61" i="13"/>
  <c r="E65" i="13"/>
  <c r="E48" i="13"/>
  <c r="E50" i="13"/>
  <c r="E52" i="13"/>
  <c r="E54" i="13"/>
  <c r="E56" i="13"/>
  <c r="E58" i="13"/>
  <c r="E60" i="13"/>
  <c r="E62" i="13"/>
  <c r="E64" i="13"/>
  <c r="E66" i="13"/>
  <c r="V78" i="12"/>
  <c r="I74" i="12"/>
  <c r="H74" i="12"/>
  <c r="B74" i="12"/>
  <c r="I30" i="12"/>
  <c r="V75" i="12"/>
  <c r="H75" i="12"/>
  <c r="I35" i="12"/>
  <c r="I36" i="12"/>
  <c r="I39" i="12"/>
  <c r="I43" i="12"/>
  <c r="I44" i="12"/>
  <c r="I45" i="12"/>
  <c r="I67" i="12"/>
  <c r="I68" i="12"/>
  <c r="I69" i="12"/>
  <c r="I70" i="12"/>
  <c r="V71" i="12"/>
  <c r="B79" i="12"/>
  <c r="V79" i="12"/>
  <c r="H79" i="12"/>
  <c r="B80" i="12"/>
  <c r="V80" i="12"/>
  <c r="H80" i="12"/>
  <c r="B81" i="12"/>
  <c r="B82" i="12"/>
  <c r="I84" i="12"/>
  <c r="I85" i="12"/>
  <c r="I87" i="12"/>
  <c r="E30" i="13"/>
  <c r="E32" i="13"/>
  <c r="E34" i="13"/>
  <c r="E36" i="13"/>
  <c r="E38" i="13"/>
  <c r="E40" i="13"/>
  <c r="E42" i="13"/>
  <c r="E44" i="13"/>
  <c r="E46" i="13"/>
  <c r="E68" i="13"/>
  <c r="E70" i="13"/>
  <c r="E72" i="13"/>
  <c r="E74" i="13"/>
  <c r="E76" i="13"/>
  <c r="E78" i="13"/>
  <c r="E80" i="13"/>
  <c r="E82" i="13"/>
  <c r="E84" i="13"/>
  <c r="E86" i="13"/>
  <c r="B84" i="12"/>
  <c r="B85" i="12"/>
  <c r="B87" i="12"/>
  <c r="E31" i="13"/>
  <c r="E33" i="13"/>
  <c r="E35" i="13"/>
  <c r="E37" i="13"/>
  <c r="E39" i="13"/>
  <c r="E41" i="13"/>
  <c r="E43" i="13"/>
  <c r="E45" i="13"/>
  <c r="E67" i="13"/>
  <c r="E69" i="13"/>
  <c r="E71" i="13"/>
  <c r="E73" i="13"/>
  <c r="E75" i="13"/>
  <c r="E77" i="13"/>
  <c r="E79" i="13"/>
  <c r="E81" i="13"/>
  <c r="E83" i="13"/>
  <c r="E85" i="13"/>
  <c r="E87" i="13"/>
  <c r="E15" i="13"/>
  <c r="P18" i="18"/>
  <c r="R18" i="18"/>
  <c r="C46" i="18"/>
  <c r="A47" i="18"/>
  <c r="A41" i="18"/>
  <c r="C40" i="18"/>
  <c r="P20" i="18"/>
  <c r="C5" i="18"/>
  <c r="A6" i="18"/>
  <c r="P19" i="18"/>
  <c r="A18" i="18"/>
  <c r="Q19" i="18"/>
  <c r="A24" i="18"/>
  <c r="O27" i="18"/>
  <c r="A29" i="18"/>
  <c r="C4" i="18"/>
  <c r="Q21" i="18" s="1"/>
  <c r="R19" i="18"/>
  <c r="N25" i="18"/>
  <c r="O25" i="18" s="1"/>
  <c r="N26" i="18"/>
  <c r="L32" i="18"/>
  <c r="M33" i="18"/>
  <c r="C45" i="18"/>
  <c r="C161" i="13" l="1"/>
  <c r="C186" i="13"/>
  <c r="D186" i="13"/>
  <c r="C160" i="13"/>
  <c r="D160" i="13"/>
  <c r="C113" i="13"/>
  <c r="A32" i="18"/>
  <c r="C29" i="18"/>
  <c r="A19" i="18"/>
  <c r="C18" i="18"/>
  <c r="N27" i="18"/>
  <c r="A25" i="18"/>
  <c r="C24" i="18"/>
  <c r="R20" i="18"/>
  <c r="R21" i="18"/>
  <c r="A42" i="18"/>
  <c r="C41" i="18"/>
  <c r="A48" i="18"/>
  <c r="C47" i="18"/>
  <c r="C6" i="18"/>
  <c r="Q26" i="18" s="1"/>
  <c r="A7" i="18"/>
  <c r="C7" i="18" s="1"/>
  <c r="P21" i="18"/>
  <c r="Q20" i="18"/>
  <c r="R26" i="18"/>
  <c r="P26" i="18" l="1"/>
  <c r="O26" i="18" s="1"/>
  <c r="V27" i="18" s="1"/>
  <c r="T16" i="18" s="1"/>
  <c r="Q22" i="18"/>
  <c r="P22" i="18"/>
  <c r="A49" i="18"/>
  <c r="C49" i="18" s="1"/>
  <c r="C48" i="18"/>
  <c r="A20" i="18"/>
  <c r="C20" i="18" s="1"/>
  <c r="C19" i="18"/>
  <c r="A33" i="18"/>
  <c r="C32" i="18"/>
  <c r="C42" i="18"/>
  <c r="A43" i="18"/>
  <c r="C43" i="18" s="1"/>
  <c r="A26" i="18"/>
  <c r="C26" i="18" s="1"/>
  <c r="C25" i="18"/>
  <c r="R22" i="18"/>
  <c r="A34" i="18" l="1"/>
  <c r="C34" i="18" s="1"/>
  <c r="C33" i="18"/>
  <c r="A29" i="13" l="1"/>
  <c r="W29" i="12"/>
  <c r="A29" i="12"/>
  <c r="H29" i="12" l="1"/>
  <c r="V29" i="12"/>
  <c r="B29" i="12"/>
  <c r="I29" i="12"/>
  <c r="F21" i="13"/>
  <c r="A21" i="13"/>
  <c r="W21" i="12"/>
  <c r="A21" i="12"/>
  <c r="E21" i="13" l="1"/>
  <c r="F29" i="13" l="1"/>
  <c r="E29" i="13" s="1"/>
  <c r="F20" i="13" l="1"/>
  <c r="A20" i="13"/>
  <c r="F19" i="13"/>
  <c r="A19" i="13"/>
  <c r="F18" i="13"/>
  <c r="A18" i="13"/>
  <c r="W20" i="12"/>
  <c r="A20" i="12"/>
  <c r="I20" i="12" s="1"/>
  <c r="W19" i="12"/>
  <c r="A19" i="12"/>
  <c r="W18" i="12"/>
  <c r="A18" i="12"/>
  <c r="I18" i="12" s="1"/>
  <c r="H18" i="12" l="1"/>
  <c r="B20" i="12"/>
  <c r="V18" i="12"/>
  <c r="H20" i="12"/>
  <c r="V20" i="12"/>
  <c r="B18" i="12"/>
  <c r="E18" i="13"/>
  <c r="E19" i="13"/>
  <c r="E20" i="13"/>
  <c r="Q32" i="16" l="1"/>
  <c r="G38" i="16" s="1"/>
  <c r="F28" i="13" l="1"/>
  <c r="A28" i="13"/>
  <c r="W28" i="12"/>
  <c r="A28" i="12"/>
  <c r="I28" i="12" s="1"/>
  <c r="E28" i="13" l="1"/>
  <c r="B28" i="12"/>
  <c r="H28" i="12"/>
  <c r="V28" i="12"/>
  <c r="F25" i="13" l="1"/>
  <c r="A25" i="13"/>
  <c r="W25" i="12"/>
  <c r="A25" i="12"/>
  <c r="V25" i="12" s="1"/>
  <c r="H25" i="12" l="1"/>
  <c r="E25" i="13"/>
  <c r="I25" i="12"/>
  <c r="B25" i="12"/>
  <c r="F27" i="13" l="1"/>
  <c r="A27" i="13"/>
  <c r="F26" i="13"/>
  <c r="A26" i="13"/>
  <c r="F24" i="13"/>
  <c r="A24" i="13"/>
  <c r="W27" i="12"/>
  <c r="A27" i="12"/>
  <c r="W26" i="12"/>
  <c r="A26" i="12"/>
  <c r="V26" i="12" s="1"/>
  <c r="W24" i="12"/>
  <c r="A24" i="12"/>
  <c r="V24" i="12" s="1"/>
  <c r="F23" i="13"/>
  <c r="A23" i="13"/>
  <c r="W23" i="12"/>
  <c r="A23" i="12"/>
  <c r="E27" i="13" l="1"/>
  <c r="H27" i="12"/>
  <c r="V27" i="12"/>
  <c r="E26" i="13"/>
  <c r="E23" i="13"/>
  <c r="E24" i="13"/>
  <c r="B24" i="12"/>
  <c r="B26" i="12"/>
  <c r="I26" i="12"/>
  <c r="I27" i="12"/>
  <c r="B27" i="12"/>
  <c r="I24" i="12"/>
  <c r="H24" i="12"/>
  <c r="H26" i="12"/>
  <c r="F17" i="13" l="1"/>
  <c r="A17" i="13"/>
  <c r="W17" i="12"/>
  <c r="A17" i="12"/>
  <c r="F16" i="13"/>
  <c r="A16" i="13"/>
  <c r="W16" i="12"/>
  <c r="A16" i="12"/>
  <c r="E17" i="13" l="1"/>
  <c r="I17" i="12"/>
  <c r="H17" i="12"/>
  <c r="V17" i="12"/>
  <c r="B17" i="12"/>
  <c r="E16" i="13"/>
  <c r="H16" i="12"/>
  <c r="V16" i="12"/>
  <c r="I16" i="12"/>
  <c r="B16" i="12"/>
  <c r="F14" i="13" l="1"/>
  <c r="A14" i="13"/>
  <c r="W14" i="12"/>
  <c r="A14" i="12"/>
  <c r="E14" i="13" l="1"/>
  <c r="F22" i="13" l="1"/>
  <c r="A22" i="13"/>
  <c r="W22" i="12"/>
  <c r="A22" i="12"/>
  <c r="E22" i="13" l="1"/>
  <c r="F11" i="13" l="1"/>
  <c r="F13" i="13"/>
  <c r="E7" i="13" l="1"/>
  <c r="P9" i="12"/>
  <c r="F10" i="13"/>
  <c r="G10" i="13" s="1"/>
  <c r="H10" i="13" s="1"/>
  <c r="I10" i="13" s="1"/>
  <c r="J10" i="13" s="1"/>
  <c r="K10" i="13" s="1"/>
  <c r="L10" i="13" s="1"/>
  <c r="M10" i="13" s="1"/>
  <c r="N10" i="13" s="1"/>
  <c r="O10" i="13" s="1"/>
  <c r="U10" i="13"/>
  <c r="AC9" i="11"/>
  <c r="AC10" i="11" s="1"/>
  <c r="K210" i="12"/>
  <c r="X13" i="12"/>
  <c r="W13" i="12"/>
  <c r="N24" i="17"/>
  <c r="N26" i="17" s="1"/>
  <c r="Q224" i="16"/>
  <c r="Q223" i="16"/>
  <c r="P2" i="11"/>
  <c r="A20" i="11"/>
  <c r="A23" i="11" s="1"/>
  <c r="A26" i="11" s="1"/>
  <c r="Q10" i="12"/>
  <c r="Q11" i="17"/>
  <c r="M33" i="17" s="1"/>
  <c r="N8" i="11"/>
  <c r="O9" i="11"/>
  <c r="P9" i="11" s="1"/>
  <c r="O10" i="11"/>
  <c r="A13" i="11"/>
  <c r="K13" i="11" s="1"/>
  <c r="N11" i="11" s="1"/>
  <c r="D17" i="11"/>
  <c r="L53" i="11"/>
  <c r="K216" i="12"/>
  <c r="A11" i="13"/>
  <c r="E11" i="13" s="1"/>
  <c r="X11" i="12"/>
  <c r="O11" i="12" s="1"/>
  <c r="D11" i="13" s="1"/>
  <c r="J12" i="12"/>
  <c r="A12" i="13" s="1"/>
  <c r="N12" i="12"/>
  <c r="A13" i="13"/>
  <c r="E13" i="13" s="1"/>
  <c r="K213"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X38" i="16"/>
  <c r="U38" i="16"/>
  <c r="V38" i="16"/>
  <c r="W38" i="16"/>
  <c r="B204" i="13" l="1"/>
  <c r="I42" i="18"/>
  <c r="I49" i="17"/>
  <c r="I49" i="18"/>
  <c r="B207" i="13"/>
  <c r="O42" i="18"/>
  <c r="I50" i="17"/>
  <c r="I50" i="18"/>
  <c r="U12" i="12"/>
  <c r="A29" i="1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F14" i="12" s="1"/>
  <c r="F15" i="12" s="1"/>
  <c r="L56" i="11"/>
  <c r="O42" i="17"/>
  <c r="L11" i="11"/>
  <c r="A5" i="12"/>
  <c r="I11" i="12"/>
  <c r="G13" i="12"/>
  <c r="G14" i="12" s="1"/>
  <c r="G15" i="12" s="1"/>
  <c r="S13" i="12"/>
  <c r="E13" i="12"/>
  <c r="E14" i="12" s="1"/>
  <c r="E15" i="12" s="1"/>
  <c r="D13" i="12"/>
  <c r="D14" i="12" s="1"/>
  <c r="N11" i="12"/>
  <c r="U11" i="12" s="1"/>
  <c r="Y11" i="12"/>
  <c r="C13" i="11"/>
  <c r="F13" i="11" s="1"/>
  <c r="M11" i="11"/>
  <c r="Q9" i="11"/>
  <c r="Q10" i="11" s="1"/>
  <c r="P10" i="11"/>
  <c r="C32" i="17"/>
  <c r="A33" i="17"/>
  <c r="C29" i="17"/>
  <c r="G56" i="16"/>
  <c r="C12" i="13"/>
  <c r="X227" i="16"/>
  <c r="S112" i="16"/>
  <c r="W227" i="16"/>
  <c r="S111" i="16"/>
  <c r="U227" i="16"/>
  <c r="S109" i="16"/>
  <c r="V227" i="16"/>
  <c r="S110" i="16"/>
  <c r="I42" i="17"/>
  <c r="V14" i="12" l="1"/>
  <c r="V22" i="12" s="1"/>
  <c r="D15" i="12"/>
  <c r="D16" i="12" s="1"/>
  <c r="A32" i="11"/>
  <c r="E16" i="12"/>
  <c r="F16" i="12"/>
  <c r="G16" i="12"/>
  <c r="C47" i="17"/>
  <c r="C46" i="17"/>
  <c r="A18" i="17"/>
  <c r="C40" i="17"/>
  <c r="C41" i="17"/>
  <c r="C14" i="12"/>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V19" i="12" l="1"/>
  <c r="V21" i="12" s="1"/>
  <c r="Z201" i="12"/>
  <c r="Z197" i="12"/>
  <c r="Z193" i="12"/>
  <c r="Z189" i="12"/>
  <c r="Z185" i="12"/>
  <c r="Z181" i="12"/>
  <c r="Z198" i="12"/>
  <c r="Z194" i="12"/>
  <c r="Z190" i="12"/>
  <c r="Z186" i="12"/>
  <c r="Z182" i="12"/>
  <c r="S182" i="12" s="1"/>
  <c r="Z177" i="12"/>
  <c r="Z173" i="12"/>
  <c r="Z200" i="12"/>
  <c r="Z199" i="12"/>
  <c r="Z192" i="12"/>
  <c r="Z191" i="12"/>
  <c r="Z184" i="12"/>
  <c r="Z183" i="12"/>
  <c r="Z178" i="12"/>
  <c r="Z179" i="12"/>
  <c r="S179" i="12" s="1"/>
  <c r="Z175" i="12"/>
  <c r="Z171" i="12"/>
  <c r="Z196" i="12"/>
  <c r="Z195" i="12"/>
  <c r="Z188" i="12"/>
  <c r="Z187" i="12"/>
  <c r="Z180" i="12"/>
  <c r="Z176" i="12"/>
  <c r="Z172" i="12"/>
  <c r="Z168" i="12"/>
  <c r="Z170" i="12"/>
  <c r="Z174" i="12"/>
  <c r="S174" i="12" s="1"/>
  <c r="Z169" i="12"/>
  <c r="Z167" i="12"/>
  <c r="Z166" i="12"/>
  <c r="S166" i="12" s="1"/>
  <c r="Z165" i="12"/>
  <c r="Z164" i="12"/>
  <c r="Z163" i="12"/>
  <c r="S163" i="12" s="1"/>
  <c r="Z158" i="12"/>
  <c r="Z157" i="12"/>
  <c r="Z156" i="12"/>
  <c r="S156" i="12" s="1"/>
  <c r="Z155" i="12"/>
  <c r="Z154" i="12"/>
  <c r="Z153" i="12"/>
  <c r="Z162" i="12"/>
  <c r="Z161" i="12"/>
  <c r="S161" i="12" s="1"/>
  <c r="Z160" i="12"/>
  <c r="Z152" i="12"/>
  <c r="Z151" i="12"/>
  <c r="S151" i="12" s="1"/>
  <c r="Z150" i="12"/>
  <c r="Z149" i="12"/>
  <c r="Z148" i="12"/>
  <c r="Z147" i="12"/>
  <c r="S147" i="12" s="1"/>
  <c r="Z146" i="12"/>
  <c r="Z145" i="12"/>
  <c r="Z144" i="12"/>
  <c r="Z143" i="12"/>
  <c r="Z142" i="12"/>
  <c r="Z141" i="12"/>
  <c r="Z140" i="12"/>
  <c r="S140" i="12" s="1"/>
  <c r="Z139" i="12"/>
  <c r="S139" i="12" s="1"/>
  <c r="Z138" i="12"/>
  <c r="Z137" i="12"/>
  <c r="Z136" i="12"/>
  <c r="Z135" i="12"/>
  <c r="S135" i="12" s="1"/>
  <c r="Z134" i="12"/>
  <c r="Z133" i="12"/>
  <c r="Z132" i="12"/>
  <c r="S132" i="12" s="1"/>
  <c r="Z126" i="12"/>
  <c r="Z125" i="12"/>
  <c r="Z123" i="12"/>
  <c r="Z119" i="12"/>
  <c r="S119" i="12" s="1"/>
  <c r="Z118" i="12"/>
  <c r="S118" i="12" s="1"/>
  <c r="Z131" i="12"/>
  <c r="S131" i="12" s="1"/>
  <c r="Z130" i="12"/>
  <c r="Z129" i="12"/>
  <c r="Z128" i="12"/>
  <c r="Z127" i="12"/>
  <c r="Z124" i="12"/>
  <c r="Z122" i="12"/>
  <c r="S122" i="12" s="1"/>
  <c r="Z121" i="12"/>
  <c r="Z120" i="12"/>
  <c r="Z159" i="12"/>
  <c r="Z117" i="12"/>
  <c r="Z113" i="12"/>
  <c r="S113" i="12" s="1"/>
  <c r="Z109" i="12"/>
  <c r="Z105" i="12"/>
  <c r="Z101" i="12"/>
  <c r="Z114" i="12"/>
  <c r="Z110" i="12"/>
  <c r="Z106" i="12"/>
  <c r="Z102" i="12"/>
  <c r="Z115" i="12"/>
  <c r="Z111" i="12"/>
  <c r="Z107" i="12"/>
  <c r="Z103" i="12"/>
  <c r="Z116" i="12"/>
  <c r="Z100" i="12"/>
  <c r="Z99" i="12"/>
  <c r="Z98" i="12"/>
  <c r="Z97" i="12"/>
  <c r="Z96" i="12"/>
  <c r="Z95" i="12"/>
  <c r="Z94" i="12"/>
  <c r="Z93" i="12"/>
  <c r="Z92" i="12"/>
  <c r="Z91" i="12"/>
  <c r="Z112" i="12"/>
  <c r="Z88" i="12"/>
  <c r="Z89" i="12"/>
  <c r="Z108" i="12"/>
  <c r="Z104" i="12"/>
  <c r="Z90" i="12"/>
  <c r="Z66" i="12"/>
  <c r="Z65" i="12"/>
  <c r="Z64" i="12"/>
  <c r="Z63" i="12"/>
  <c r="Z62" i="12"/>
  <c r="Z61" i="12"/>
  <c r="Z60" i="12"/>
  <c r="Z59" i="12"/>
  <c r="Z58" i="12"/>
  <c r="Z57" i="12"/>
  <c r="Z56" i="12"/>
  <c r="Z53" i="12"/>
  <c r="Z47" i="12"/>
  <c r="Z54" i="12"/>
  <c r="Z48" i="12"/>
  <c r="Z55" i="12"/>
  <c r="Z51" i="12"/>
  <c r="Z50" i="12"/>
  <c r="Z49" i="12"/>
  <c r="Z52" i="12"/>
  <c r="Z87" i="12"/>
  <c r="Z83" i="12"/>
  <c r="Z86" i="12"/>
  <c r="Z82" i="12"/>
  <c r="Z81" i="12"/>
  <c r="Z80" i="12"/>
  <c r="Z79" i="12"/>
  <c r="Z78" i="12"/>
  <c r="Z85" i="12"/>
  <c r="Z74" i="12"/>
  <c r="Z77" i="12"/>
  <c r="Z76" i="12"/>
  <c r="Z73" i="12"/>
  <c r="Z72" i="12"/>
  <c r="Z68" i="12"/>
  <c r="Z44" i="12"/>
  <c r="Z40" i="12"/>
  <c r="Z36" i="12"/>
  <c r="Z42" i="12"/>
  <c r="Z75" i="12"/>
  <c r="Z71" i="12"/>
  <c r="Z67" i="12"/>
  <c r="Z43" i="12"/>
  <c r="Z39" i="12"/>
  <c r="Z35" i="12"/>
  <c r="Z84" i="12"/>
  <c r="Z70" i="12"/>
  <c r="Z46" i="12"/>
  <c r="Z38" i="12"/>
  <c r="Z32" i="12"/>
  <c r="Z31" i="12"/>
  <c r="Z30" i="12"/>
  <c r="Z69" i="12"/>
  <c r="Z34" i="12"/>
  <c r="Z37" i="12"/>
  <c r="Z45" i="12"/>
  <c r="Z41" i="12"/>
  <c r="Z33" i="12"/>
  <c r="Z15" i="12"/>
  <c r="C15" i="12"/>
  <c r="K15" i="12" s="1"/>
  <c r="B15" i="13" s="1"/>
  <c r="Z29" i="12"/>
  <c r="Z21" i="12"/>
  <c r="Z19" i="12"/>
  <c r="Z20" i="12"/>
  <c r="Z18" i="12"/>
  <c r="Z28" i="12"/>
  <c r="A35" i="11"/>
  <c r="Z25" i="12"/>
  <c r="V23" i="12"/>
  <c r="V34" i="12" s="1"/>
  <c r="Z27" i="12"/>
  <c r="Z24" i="12"/>
  <c r="Z26" i="12"/>
  <c r="Z23" i="12"/>
  <c r="C23" i="11"/>
  <c r="Z17" i="12"/>
  <c r="G17" i="12"/>
  <c r="G18" i="12" s="1"/>
  <c r="G19" i="12" s="1"/>
  <c r="G20" i="12" s="1"/>
  <c r="G21" i="12" s="1"/>
  <c r="F17" i="12"/>
  <c r="F18" i="12" s="1"/>
  <c r="F19" i="12" s="1"/>
  <c r="F20" i="12" s="1"/>
  <c r="F21" i="12" s="1"/>
  <c r="E17" i="12"/>
  <c r="E18" i="12" s="1"/>
  <c r="E19" i="12" s="1"/>
  <c r="E20" i="12" s="1"/>
  <c r="E21" i="12" s="1"/>
  <c r="D17" i="12"/>
  <c r="D18" i="12" s="1"/>
  <c r="D19" i="12" s="1"/>
  <c r="Z16" i="12"/>
  <c r="K14" i="12"/>
  <c r="Z14" i="12"/>
  <c r="Z22"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32" i="12" l="1"/>
  <c r="V40" i="12" s="1"/>
  <c r="D20" i="12"/>
  <c r="V83" i="12"/>
  <c r="C16" i="12"/>
  <c r="B14" i="13"/>
  <c r="A38" i="11"/>
  <c r="H23" i="11"/>
  <c r="G23" i="11"/>
  <c r="F23" i="11"/>
  <c r="E23" i="11"/>
  <c r="C25" i="17"/>
  <c r="A26" i="17"/>
  <c r="C26" i="17" s="1"/>
  <c r="C6" i="17"/>
  <c r="A7" i="17"/>
  <c r="C7" i="17" s="1"/>
  <c r="Q20" i="17" s="1"/>
  <c r="V33" i="12" l="1"/>
  <c r="D21" i="12"/>
  <c r="V98" i="12"/>
  <c r="V105" i="12" s="1"/>
  <c r="V107" i="12" s="1"/>
  <c r="V111" i="12" s="1"/>
  <c r="V113" i="12" s="1"/>
  <c r="C17" i="12"/>
  <c r="K16" i="12"/>
  <c r="B16" i="13" s="1"/>
  <c r="A41" i="11"/>
  <c r="A44" i="11" s="1"/>
  <c r="P18" i="17"/>
  <c r="R26" i="17"/>
  <c r="P22" i="17"/>
  <c r="P19" i="17"/>
  <c r="P21" i="17"/>
  <c r="R22" i="17"/>
  <c r="Q26" i="17"/>
  <c r="Q22" i="17"/>
  <c r="R19" i="17"/>
  <c r="P26" i="17"/>
  <c r="R21" i="17"/>
  <c r="R18" i="17"/>
  <c r="Q18" i="17"/>
  <c r="P20" i="17"/>
  <c r="R20" i="17"/>
  <c r="Q21" i="17"/>
  <c r="Q19" i="17"/>
  <c r="V37" i="12" l="1"/>
  <c r="V46" i="12" s="1"/>
  <c r="V56" i="12" s="1"/>
  <c r="V73" i="12" s="1"/>
  <c r="V112" i="12"/>
  <c r="V118" i="12" s="1"/>
  <c r="I19" i="12"/>
  <c r="C18" i="12"/>
  <c r="K17" i="12"/>
  <c r="B17" i="13" s="1"/>
  <c r="A47" i="11"/>
  <c r="O26" i="17"/>
  <c r="O27" i="17" s="1"/>
  <c r="B20" i="11"/>
  <c r="V77" i="12" l="1"/>
  <c r="V86" i="12" s="1"/>
  <c r="V131" i="12"/>
  <c r="V139" i="12" s="1"/>
  <c r="C19" i="12"/>
  <c r="K18" i="12"/>
  <c r="B18" i="13" s="1"/>
  <c r="A50" i="11"/>
  <c r="V27" i="17"/>
  <c r="T16" i="17" s="1"/>
  <c r="V93" i="12" l="1"/>
  <c r="V109" i="12" s="1"/>
  <c r="V148" i="12" s="1"/>
  <c r="V159" i="12" s="1"/>
  <c r="V160" i="12"/>
  <c r="K19" i="12"/>
  <c r="B19" i="13" s="1"/>
  <c r="C20" i="12"/>
  <c r="V178" i="12" l="1"/>
  <c r="V165" i="12"/>
  <c r="C21" i="12"/>
  <c r="K21" i="12" s="1"/>
  <c r="B21" i="13" s="1"/>
  <c r="K20" i="12"/>
  <c r="B20" i="13" s="1"/>
  <c r="V186" i="12" l="1"/>
  <c r="V183" i="12"/>
  <c r="F22" i="12"/>
  <c r="D22" i="12"/>
  <c r="E22" i="12"/>
  <c r="V192" i="12" l="1"/>
  <c r="H15" i="12"/>
  <c r="E23" i="12"/>
  <c r="D23" i="12"/>
  <c r="F23" i="12"/>
  <c r="F24" i="12" l="1"/>
  <c r="E24" i="12"/>
  <c r="D24" i="12" l="1"/>
  <c r="G22" i="12"/>
  <c r="E25" i="12" l="1"/>
  <c r="F25" i="12"/>
  <c r="G23" i="12"/>
  <c r="G24" i="12" s="1"/>
  <c r="F26" i="12" l="1"/>
  <c r="F27" i="12" s="1"/>
  <c r="F28" i="12" s="1"/>
  <c r="F29" i="12" s="1"/>
  <c r="F30" i="12" s="1"/>
  <c r="F31" i="12" s="1"/>
  <c r="F32" i="12" s="1"/>
  <c r="F33" i="12" s="1"/>
  <c r="F34" i="12" s="1"/>
  <c r="F35" i="12" s="1"/>
  <c r="F36" i="12" s="1"/>
  <c r="F37" i="12" s="1"/>
  <c r="F38" i="12" s="1"/>
  <c r="F39" i="12" s="1"/>
  <c r="F40" i="12" s="1"/>
  <c r="F41" i="12" s="1"/>
  <c r="F42" i="12" s="1"/>
  <c r="F43" i="12" s="1"/>
  <c r="F44" i="12" s="1"/>
  <c r="F45" i="12" s="1"/>
  <c r="F46" i="12" s="1"/>
  <c r="E26" i="12"/>
  <c r="E27" i="12" s="1"/>
  <c r="E28" i="12" s="1"/>
  <c r="E29" i="12" s="1"/>
  <c r="E30" i="12" s="1"/>
  <c r="E31" i="12" s="1"/>
  <c r="F47" i="12" l="1"/>
  <c r="F48" i="12" s="1"/>
  <c r="F49" i="12" s="1"/>
  <c r="F50" i="12" s="1"/>
  <c r="F51" i="12" s="1"/>
  <c r="F52" i="12" s="1"/>
  <c r="F53" i="12" s="1"/>
  <c r="F54" i="12" s="1"/>
  <c r="F55" i="12" s="1"/>
  <c r="F56" i="12" s="1"/>
  <c r="F57" i="12" s="1"/>
  <c r="F58" i="12" s="1"/>
  <c r="F59" i="12" s="1"/>
  <c r="F60" i="12" s="1"/>
  <c r="F61" i="12" s="1"/>
  <c r="F62" i="12" s="1"/>
  <c r="F63" i="12" s="1"/>
  <c r="F64" i="12" s="1"/>
  <c r="F65" i="12" s="1"/>
  <c r="F66" i="12" s="1"/>
  <c r="F67" i="12" s="1"/>
  <c r="F68" i="12" s="1"/>
  <c r="F69" i="12" s="1"/>
  <c r="F70" i="12" s="1"/>
  <c r="F71" i="12" s="1"/>
  <c r="F72" i="12" s="1"/>
  <c r="F73" i="12" s="1"/>
  <c r="F74" i="12" s="1"/>
  <c r="F75" i="12" s="1"/>
  <c r="F76" i="12" s="1"/>
  <c r="F77" i="12" s="1"/>
  <c r="F78" i="12" s="1"/>
  <c r="F79" i="12" s="1"/>
  <c r="F80" i="12" s="1"/>
  <c r="F81" i="12" s="1"/>
  <c r="F82" i="12" s="1"/>
  <c r="F83" i="12" s="1"/>
  <c r="F84" i="12" s="1"/>
  <c r="F85" i="12" s="1"/>
  <c r="F86" i="12" s="1"/>
  <c r="F87" i="12" s="1"/>
  <c r="E32" i="12"/>
  <c r="G25" i="12"/>
  <c r="F88" i="12" l="1"/>
  <c r="F89" i="12" s="1"/>
  <c r="F90" i="12" s="1"/>
  <c r="F91" i="12" s="1"/>
  <c r="F92" i="12" s="1"/>
  <c r="F93" i="12" s="1"/>
  <c r="F94" i="12" s="1"/>
  <c r="F95" i="12" s="1"/>
  <c r="F96" i="12" s="1"/>
  <c r="F97" i="12" s="1"/>
  <c r="F98" i="12" s="1"/>
  <c r="F99" i="12" s="1"/>
  <c r="F100" i="12" s="1"/>
  <c r="F101" i="12" s="1"/>
  <c r="F102" i="12" s="1"/>
  <c r="F103" i="12" s="1"/>
  <c r="F104" i="12" s="1"/>
  <c r="F105" i="12" s="1"/>
  <c r="F106" i="12" s="1"/>
  <c r="F107" i="12" s="1"/>
  <c r="F108" i="12" s="1"/>
  <c r="F109" i="12" s="1"/>
  <c r="F110" i="12" s="1"/>
  <c r="F111" i="12" s="1"/>
  <c r="F112" i="12" s="1"/>
  <c r="F113" i="12" s="1"/>
  <c r="F114" i="12" s="1"/>
  <c r="F115" i="12" s="1"/>
  <c r="F116" i="12" s="1"/>
  <c r="F117" i="12" s="1"/>
  <c r="F118" i="12" s="1"/>
  <c r="F119" i="12" s="1"/>
  <c r="F120" i="12" s="1"/>
  <c r="F121" i="12" s="1"/>
  <c r="F122" i="12" s="1"/>
  <c r="F123" i="12" s="1"/>
  <c r="F124" i="12" s="1"/>
  <c r="F125" i="12" s="1"/>
  <c r="F126" i="12" s="1"/>
  <c r="F127" i="12" s="1"/>
  <c r="F128" i="12" s="1"/>
  <c r="F129" i="12" s="1"/>
  <c r="F130" i="12" s="1"/>
  <c r="F131" i="12" s="1"/>
  <c r="F132" i="12" s="1"/>
  <c r="F133" i="12" s="1"/>
  <c r="F134" i="12" s="1"/>
  <c r="F135" i="12" s="1"/>
  <c r="F136" i="12" s="1"/>
  <c r="F137" i="12" s="1"/>
  <c r="F138" i="12" s="1"/>
  <c r="F139" i="12" s="1"/>
  <c r="F140" i="12" s="1"/>
  <c r="F141" i="12" s="1"/>
  <c r="F142" i="12" s="1"/>
  <c r="F143" i="12" s="1"/>
  <c r="F144" i="12" s="1"/>
  <c r="F145" i="12" s="1"/>
  <c r="F146" i="12" s="1"/>
  <c r="F147" i="12" s="1"/>
  <c r="F148" i="12" s="1"/>
  <c r="F149" i="12" s="1"/>
  <c r="F150" i="12" s="1"/>
  <c r="F151" i="12" s="1"/>
  <c r="F152" i="12" s="1"/>
  <c r="F153" i="12" s="1"/>
  <c r="F154" i="12" s="1"/>
  <c r="F155" i="12" s="1"/>
  <c r="F156" i="12" s="1"/>
  <c r="F157" i="12" s="1"/>
  <c r="F158" i="12" s="1"/>
  <c r="F159" i="12" s="1"/>
  <c r="F160" i="12" s="1"/>
  <c r="F161" i="12" s="1"/>
  <c r="F162" i="12" s="1"/>
  <c r="F163" i="12" s="1"/>
  <c r="F164" i="12" s="1"/>
  <c r="F165" i="12" s="1"/>
  <c r="F166" i="12" s="1"/>
  <c r="F167" i="12" s="1"/>
  <c r="F168" i="12" s="1"/>
  <c r="F169" i="12" s="1"/>
  <c r="F170" i="12" s="1"/>
  <c r="F171" i="12" s="1"/>
  <c r="F172" i="12" s="1"/>
  <c r="F173" i="12" s="1"/>
  <c r="F174" i="12" s="1"/>
  <c r="F175" i="12" s="1"/>
  <c r="F176" i="12" s="1"/>
  <c r="F177" i="12" s="1"/>
  <c r="F178" i="12" s="1"/>
  <c r="F179" i="12" s="1"/>
  <c r="F180" i="12" s="1"/>
  <c r="F181" i="12" s="1"/>
  <c r="F182" i="12" s="1"/>
  <c r="F183" i="12" s="1"/>
  <c r="F184" i="12" s="1"/>
  <c r="F185" i="12" s="1"/>
  <c r="F186" i="12" s="1"/>
  <c r="F187" i="12" s="1"/>
  <c r="F188" i="12" s="1"/>
  <c r="F189" i="12" s="1"/>
  <c r="F190" i="12" s="1"/>
  <c r="F191" i="12" s="1"/>
  <c r="F192" i="12" s="1"/>
  <c r="F193" i="12" s="1"/>
  <c r="F194" i="12" s="1"/>
  <c r="F195" i="12" s="1"/>
  <c r="F196" i="12" s="1"/>
  <c r="F197" i="12" s="1"/>
  <c r="F198" i="12" s="1"/>
  <c r="F199" i="12" s="1"/>
  <c r="F200" i="12" s="1"/>
  <c r="F201" i="12" s="1"/>
  <c r="E33" i="12"/>
  <c r="G26" i="12"/>
  <c r="G27" i="12" s="1"/>
  <c r="G28" i="12" s="1"/>
  <c r="G29" i="12" s="1"/>
  <c r="G30" i="12" s="1"/>
  <c r="G31" i="12" s="1"/>
  <c r="G32" i="12" s="1"/>
  <c r="G33" i="12" s="1"/>
  <c r="G34" i="12" s="1"/>
  <c r="G35" i="12" s="1"/>
  <c r="G36" i="12" s="1"/>
  <c r="G37" i="12" s="1"/>
  <c r="G38" i="12" s="1"/>
  <c r="G39" i="12" s="1"/>
  <c r="G40" i="12" s="1"/>
  <c r="G41" i="12" s="1"/>
  <c r="G42" i="12" s="1"/>
  <c r="G43" i="12" s="1"/>
  <c r="G44" i="12" s="1"/>
  <c r="G45" i="12" s="1"/>
  <c r="G46" i="12" s="1"/>
  <c r="D25" i="12"/>
  <c r="G47" i="12" l="1"/>
  <c r="G48" i="12" s="1"/>
  <c r="G49" i="12" s="1"/>
  <c r="G50" i="12" s="1"/>
  <c r="G51" i="12" s="1"/>
  <c r="G52" i="12" s="1"/>
  <c r="G53" i="12" s="1"/>
  <c r="G54" i="12" s="1"/>
  <c r="G55" i="12" s="1"/>
  <c r="G56" i="12" s="1"/>
  <c r="G57" i="12" s="1"/>
  <c r="G58" i="12" s="1"/>
  <c r="G59" i="12" s="1"/>
  <c r="G60" i="12" s="1"/>
  <c r="G61" i="12" s="1"/>
  <c r="G62" i="12" s="1"/>
  <c r="G63" i="12" s="1"/>
  <c r="G64" i="12" s="1"/>
  <c r="G65" i="12" s="1"/>
  <c r="G66" i="12" s="1"/>
  <c r="G67" i="12" s="1"/>
  <c r="G68" i="12" s="1"/>
  <c r="G69" i="12" s="1"/>
  <c r="G70" i="12" s="1"/>
  <c r="G71" i="12" s="1"/>
  <c r="G72" i="12" s="1"/>
  <c r="G73" i="12" s="1"/>
  <c r="G74" i="12" s="1"/>
  <c r="G75" i="12" s="1"/>
  <c r="G76" i="12" s="1"/>
  <c r="G77" i="12" s="1"/>
  <c r="G78" i="12" s="1"/>
  <c r="G79" i="12" s="1"/>
  <c r="G80" i="12" s="1"/>
  <c r="G81" i="12" s="1"/>
  <c r="G82" i="12" s="1"/>
  <c r="G83" i="12" s="1"/>
  <c r="G84" i="12" s="1"/>
  <c r="G85" i="12" s="1"/>
  <c r="G86" i="12" s="1"/>
  <c r="G87" i="12" s="1"/>
  <c r="E34" i="12"/>
  <c r="G88" i="12" l="1"/>
  <c r="G89" i="12" s="1"/>
  <c r="G90" i="12" s="1"/>
  <c r="G91" i="12" s="1"/>
  <c r="G92" i="12" s="1"/>
  <c r="G93" i="12" s="1"/>
  <c r="G94" i="12" s="1"/>
  <c r="G95" i="12" s="1"/>
  <c r="G96" i="12" s="1"/>
  <c r="G97" i="12" s="1"/>
  <c r="G98" i="12" s="1"/>
  <c r="G99" i="12" s="1"/>
  <c r="G100" i="12" s="1"/>
  <c r="G101" i="12" s="1"/>
  <c r="G102" i="12" s="1"/>
  <c r="G103" i="12" s="1"/>
  <c r="G104" i="12" s="1"/>
  <c r="G105" i="12" s="1"/>
  <c r="G106" i="12" s="1"/>
  <c r="G107" i="12" s="1"/>
  <c r="G108" i="12" s="1"/>
  <c r="G109" i="12" s="1"/>
  <c r="G110" i="12" s="1"/>
  <c r="G111" i="12" s="1"/>
  <c r="G112" i="12" s="1"/>
  <c r="G113" i="12" s="1"/>
  <c r="G114" i="12" s="1"/>
  <c r="G115" i="12" s="1"/>
  <c r="G116" i="12" s="1"/>
  <c r="G117" i="12" s="1"/>
  <c r="G118" i="12" s="1"/>
  <c r="G119" i="12" s="1"/>
  <c r="G120" i="12" s="1"/>
  <c r="G121" i="12" s="1"/>
  <c r="G122" i="12" s="1"/>
  <c r="G123" i="12" s="1"/>
  <c r="G124" i="12" s="1"/>
  <c r="G125" i="12" s="1"/>
  <c r="G126" i="12" s="1"/>
  <c r="G127" i="12" s="1"/>
  <c r="G128" i="12" s="1"/>
  <c r="G129" i="12" s="1"/>
  <c r="G130" i="12" s="1"/>
  <c r="G131" i="12" s="1"/>
  <c r="G132" i="12" s="1"/>
  <c r="G133" i="12" s="1"/>
  <c r="G134" i="12" s="1"/>
  <c r="G135" i="12" s="1"/>
  <c r="G136" i="12" s="1"/>
  <c r="G137" i="12" s="1"/>
  <c r="G138" i="12" s="1"/>
  <c r="G139" i="12" s="1"/>
  <c r="G140" i="12" s="1"/>
  <c r="G141" i="12" s="1"/>
  <c r="G142" i="12" s="1"/>
  <c r="G143" i="12" s="1"/>
  <c r="G144" i="12" s="1"/>
  <c r="G145" i="12" s="1"/>
  <c r="G146" i="12" s="1"/>
  <c r="G147" i="12" s="1"/>
  <c r="G148" i="12" s="1"/>
  <c r="G149" i="12" s="1"/>
  <c r="G150" i="12" s="1"/>
  <c r="G151" i="12" s="1"/>
  <c r="G152" i="12" s="1"/>
  <c r="G153" i="12" s="1"/>
  <c r="G154" i="12" s="1"/>
  <c r="G155" i="12" s="1"/>
  <c r="G156" i="12" s="1"/>
  <c r="G157" i="12" s="1"/>
  <c r="G158" i="12" s="1"/>
  <c r="G159" i="12" s="1"/>
  <c r="G160" i="12" s="1"/>
  <c r="G161" i="12" s="1"/>
  <c r="G162" i="12" s="1"/>
  <c r="G163" i="12" s="1"/>
  <c r="G164" i="12" s="1"/>
  <c r="G165" i="12" s="1"/>
  <c r="G166" i="12" s="1"/>
  <c r="G167" i="12" s="1"/>
  <c r="G168" i="12" s="1"/>
  <c r="G169" i="12" s="1"/>
  <c r="G170" i="12" s="1"/>
  <c r="G171" i="12" s="1"/>
  <c r="G172" i="12" s="1"/>
  <c r="G173" i="12" s="1"/>
  <c r="G174" i="12" s="1"/>
  <c r="G175" i="12" s="1"/>
  <c r="G176" i="12" s="1"/>
  <c r="G177" i="12" s="1"/>
  <c r="G178" i="12" s="1"/>
  <c r="G179" i="12" s="1"/>
  <c r="G180" i="12" s="1"/>
  <c r="G181" i="12" s="1"/>
  <c r="G182" i="12" s="1"/>
  <c r="G183" i="12" s="1"/>
  <c r="G184" i="12" s="1"/>
  <c r="G185" i="12" s="1"/>
  <c r="G186" i="12" s="1"/>
  <c r="G187" i="12" s="1"/>
  <c r="G188" i="12" s="1"/>
  <c r="G189" i="12" s="1"/>
  <c r="G190" i="12" s="1"/>
  <c r="G191" i="12" s="1"/>
  <c r="G192" i="12" s="1"/>
  <c r="G193" i="12" s="1"/>
  <c r="G194" i="12" s="1"/>
  <c r="G195" i="12" s="1"/>
  <c r="G196" i="12" s="1"/>
  <c r="G197" i="12" s="1"/>
  <c r="G198" i="12" s="1"/>
  <c r="G199" i="12" s="1"/>
  <c r="G200" i="12" s="1"/>
  <c r="G201" i="12" s="1"/>
  <c r="E35" i="12"/>
  <c r="D26" i="12"/>
  <c r="D27" i="12" l="1"/>
  <c r="D28" i="12" s="1"/>
  <c r="D29" i="12" s="1"/>
  <c r="D30" i="12" s="1"/>
  <c r="D31" i="12" s="1"/>
  <c r="D32" i="12" s="1"/>
  <c r="E36" i="12"/>
  <c r="I21" i="12" l="1"/>
  <c r="D33" i="12"/>
  <c r="E37" i="12"/>
  <c r="D34" i="12" l="1"/>
  <c r="E38" i="12"/>
  <c r="D35" i="12" l="1"/>
  <c r="E39" i="12"/>
  <c r="D36" i="12" l="1"/>
  <c r="E40" i="12"/>
  <c r="D37" i="12" l="1"/>
  <c r="I33" i="12" s="1"/>
  <c r="E41" i="12"/>
  <c r="E42" i="12" l="1"/>
  <c r="I38" i="12" s="1"/>
  <c r="D38" i="12"/>
  <c r="H31" i="12"/>
  <c r="C26" i="11"/>
  <c r="D39" i="12" l="1"/>
  <c r="D40" i="12" s="1"/>
  <c r="E43" i="12"/>
  <c r="H26" i="11"/>
  <c r="G26" i="11"/>
  <c r="F26" i="11"/>
  <c r="E26" i="11"/>
  <c r="B23" i="11"/>
  <c r="E44" i="12" l="1"/>
  <c r="I32" i="12"/>
  <c r="D41" i="12"/>
  <c r="I41" i="12"/>
  <c r="I31" i="12"/>
  <c r="B31" i="12" s="1"/>
  <c r="C22" i="12"/>
  <c r="E45" i="12" l="1"/>
  <c r="D42" i="12"/>
  <c r="C23" i="12"/>
  <c r="K22" i="12"/>
  <c r="E46" i="12" l="1"/>
  <c r="E47" i="12" s="1"/>
  <c r="E48" i="12" s="1"/>
  <c r="E49" i="12" s="1"/>
  <c r="E50" i="12" s="1"/>
  <c r="E51" i="12" s="1"/>
  <c r="E52" i="12" s="1"/>
  <c r="E53" i="12" s="1"/>
  <c r="E54" i="12" s="1"/>
  <c r="E55" i="12" s="1"/>
  <c r="E56" i="12" s="1"/>
  <c r="E57" i="12" s="1"/>
  <c r="D43" i="12"/>
  <c r="I51" i="12"/>
  <c r="B22" i="13"/>
  <c r="L21" i="11"/>
  <c r="K23" i="12"/>
  <c r="B23" i="13" s="1"/>
  <c r="H42" i="12" l="1"/>
  <c r="E58" i="12"/>
  <c r="D44" i="12"/>
  <c r="D45" i="12" s="1"/>
  <c r="D46" i="12" s="1"/>
  <c r="C24" i="12"/>
  <c r="D47" i="12" l="1"/>
  <c r="E59" i="12"/>
  <c r="I58" i="12"/>
  <c r="K24" i="12"/>
  <c r="B24" i="13" s="1"/>
  <c r="E60" i="12" l="1"/>
  <c r="D48" i="12"/>
  <c r="J23" i="11"/>
  <c r="D49" i="12" l="1"/>
  <c r="E61" i="12"/>
  <c r="E62" i="12" l="1"/>
  <c r="D50" i="12"/>
  <c r="C29" i="11"/>
  <c r="C35" i="11"/>
  <c r="C32" i="11"/>
  <c r="C38" i="11"/>
  <c r="C41" i="11"/>
  <c r="C47" i="11"/>
  <c r="C50" i="11"/>
  <c r="C44" i="11"/>
  <c r="D51" i="12" l="1"/>
  <c r="D52" i="12" s="1"/>
  <c r="D53" i="12" s="1"/>
  <c r="D54" i="12" s="1"/>
  <c r="D55" i="12" s="1"/>
  <c r="D56" i="12" s="1"/>
  <c r="E63" i="12"/>
  <c r="G38" i="11"/>
  <c r="H38" i="11"/>
  <c r="B38" i="11"/>
  <c r="H50" i="11"/>
  <c r="G50" i="11"/>
  <c r="B50" i="11"/>
  <c r="H47" i="11"/>
  <c r="G47" i="11"/>
  <c r="B47" i="11"/>
  <c r="G35" i="11"/>
  <c r="H35" i="11"/>
  <c r="B35" i="11"/>
  <c r="G44" i="11"/>
  <c r="H44" i="11"/>
  <c r="B44" i="11"/>
  <c r="H32" i="11"/>
  <c r="G32" i="11"/>
  <c r="B32" i="11"/>
  <c r="H29" i="11"/>
  <c r="B26" i="11"/>
  <c r="G29" i="11"/>
  <c r="B29" i="11"/>
  <c r="F29" i="11"/>
  <c r="F32" i="11" s="1"/>
  <c r="F35" i="11" s="1"/>
  <c r="F38" i="11" s="1"/>
  <c r="F41" i="11" s="1"/>
  <c r="F44" i="11" s="1"/>
  <c r="F47" i="11" s="1"/>
  <c r="F50" i="11" s="1"/>
  <c r="E29" i="11"/>
  <c r="E32" i="11" s="1"/>
  <c r="E35" i="11" s="1"/>
  <c r="E38" i="11" s="1"/>
  <c r="E41" i="11" s="1"/>
  <c r="E44" i="11" s="1"/>
  <c r="E47" i="11" s="1"/>
  <c r="G41" i="11"/>
  <c r="H41" i="11"/>
  <c r="B41" i="11"/>
  <c r="I46" i="12" l="1"/>
  <c r="E64" i="12"/>
  <c r="E65" i="12" s="1"/>
  <c r="D57" i="12"/>
  <c r="E50" i="11"/>
  <c r="P31" i="11"/>
  <c r="Q31" i="11" s="1"/>
  <c r="R31" i="11" s="1"/>
  <c r="S31" i="11" s="1"/>
  <c r="T31" i="11" s="1"/>
  <c r="U31" i="11" s="1"/>
  <c r="V30" i="11"/>
  <c r="W30" i="11"/>
  <c r="AC30" i="11"/>
  <c r="AC31" i="11" s="1"/>
  <c r="U27" i="11"/>
  <c r="AC27" i="11"/>
  <c r="AC28" i="11" s="1"/>
  <c r="P28" i="11"/>
  <c r="Q28" i="11" s="1"/>
  <c r="R28" i="11" s="1"/>
  <c r="S28" i="11" s="1"/>
  <c r="T28" i="11" s="1"/>
  <c r="W27" i="11"/>
  <c r="V27" i="11"/>
  <c r="I57" i="12" l="1"/>
  <c r="D58" i="12"/>
  <c r="E66" i="12"/>
  <c r="J20" i="11"/>
  <c r="V31" i="11"/>
  <c r="W31" i="11" s="1"/>
  <c r="U28" i="11"/>
  <c r="V28" i="11" s="1"/>
  <c r="W28" i="11" s="1"/>
  <c r="E67" i="12" l="1"/>
  <c r="E68" i="12" s="1"/>
  <c r="E69" i="12" s="1"/>
  <c r="E70" i="12" s="1"/>
  <c r="E71" i="12" s="1"/>
  <c r="E72" i="12" s="1"/>
  <c r="E73" i="12" s="1"/>
  <c r="E74" i="12" s="1"/>
  <c r="E75" i="12" s="1"/>
  <c r="E76" i="12" s="1"/>
  <c r="E77" i="12" s="1"/>
  <c r="E78" i="12" s="1"/>
  <c r="E79" i="12" s="1"/>
  <c r="E80" i="12" s="1"/>
  <c r="E81" i="12" s="1"/>
  <c r="E82" i="12" s="1"/>
  <c r="D59" i="12"/>
  <c r="H57" i="12" l="1"/>
  <c r="B57" i="12" s="1"/>
  <c r="D60" i="12"/>
  <c r="E83" i="12"/>
  <c r="C25" i="12"/>
  <c r="D61" i="12" l="1"/>
  <c r="E84" i="12"/>
  <c r="I20" i="11"/>
  <c r="D20" i="11" s="1"/>
  <c r="K25" i="12"/>
  <c r="B25" i="13" s="1"/>
  <c r="D62" i="12" l="1"/>
  <c r="E85" i="12"/>
  <c r="D63" i="12" l="1"/>
  <c r="E86" i="12"/>
  <c r="I23" i="11"/>
  <c r="D23" i="11" s="1"/>
  <c r="D64" i="12" l="1"/>
  <c r="E87" i="12"/>
  <c r="I44" i="11"/>
  <c r="I29" i="11"/>
  <c r="I35" i="11"/>
  <c r="I32" i="11"/>
  <c r="I26" i="11"/>
  <c r="J38" i="11"/>
  <c r="I47" i="11"/>
  <c r="I50" i="11"/>
  <c r="I41" i="11"/>
  <c r="I38" i="11"/>
  <c r="J41" i="11"/>
  <c r="J26" i="11"/>
  <c r="J29" i="11"/>
  <c r="D65" i="12" l="1"/>
  <c r="D26" i="11"/>
  <c r="E88" i="12"/>
  <c r="E89" i="12" s="1"/>
  <c r="E90" i="12" s="1"/>
  <c r="E91" i="12" s="1"/>
  <c r="E92" i="12" s="1"/>
  <c r="D29" i="11"/>
  <c r="D41" i="11"/>
  <c r="D38" i="11"/>
  <c r="D66" i="12" l="1"/>
  <c r="D67" i="12" s="1"/>
  <c r="D68" i="12" s="1"/>
  <c r="D69" i="12" s="1"/>
  <c r="D70" i="12" s="1"/>
  <c r="D71" i="12" s="1"/>
  <c r="D72" i="12" s="1"/>
  <c r="D73" i="12" s="1"/>
  <c r="E93" i="12"/>
  <c r="J32" i="11"/>
  <c r="D32" i="11" s="1"/>
  <c r="J44" i="11"/>
  <c r="D44" i="11" s="1"/>
  <c r="J35" i="11"/>
  <c r="D35" i="11" s="1"/>
  <c r="J50" i="11"/>
  <c r="D50" i="11" s="1"/>
  <c r="J47" i="11"/>
  <c r="D47" i="11" s="1"/>
  <c r="C26" i="12"/>
  <c r="D74" i="12" l="1"/>
  <c r="E94" i="12"/>
  <c r="C27" i="12"/>
  <c r="C28" i="12" s="1"/>
  <c r="C29" i="12" s="1"/>
  <c r="K26" i="12"/>
  <c r="B26" i="13" s="1"/>
  <c r="D75" i="12" l="1"/>
  <c r="E95" i="12"/>
  <c r="I98" i="12"/>
  <c r="I83" i="12"/>
  <c r="I34" i="12"/>
  <c r="K29" i="12"/>
  <c r="B29" i="13" s="1"/>
  <c r="C30" i="12"/>
  <c r="I14" i="12"/>
  <c r="K28" i="12"/>
  <c r="B28" i="13" s="1"/>
  <c r="K27" i="12"/>
  <c r="B27" i="13" s="1"/>
  <c r="I23" i="12"/>
  <c r="D76" i="12" l="1"/>
  <c r="E96" i="12"/>
  <c r="K30" i="12"/>
  <c r="B30" i="13" s="1"/>
  <c r="C31" i="12"/>
  <c r="D77" i="12" l="1"/>
  <c r="E97" i="12"/>
  <c r="K31" i="12"/>
  <c r="B31" i="13" s="1"/>
  <c r="C32" i="12"/>
  <c r="I94" i="12" l="1"/>
  <c r="D78" i="12"/>
  <c r="I73" i="12"/>
  <c r="E98" i="12"/>
  <c r="K32" i="12"/>
  <c r="B32" i="13" s="1"/>
  <c r="C33" i="12"/>
  <c r="L24" i="11"/>
  <c r="D79" i="12" l="1"/>
  <c r="D80" i="12" s="1"/>
  <c r="D81" i="12" s="1"/>
  <c r="D82" i="12" s="1"/>
  <c r="D83" i="12" s="1"/>
  <c r="D84" i="12" s="1"/>
  <c r="D85" i="12" s="1"/>
  <c r="D86" i="12" s="1"/>
  <c r="E99" i="12"/>
  <c r="I92" i="12" s="1"/>
  <c r="C34" i="12"/>
  <c r="K33" i="12"/>
  <c r="B33" i="13" s="1"/>
  <c r="I22" i="12"/>
  <c r="D87" i="12" l="1"/>
  <c r="I77" i="12"/>
  <c r="E100" i="12"/>
  <c r="I97" i="12" s="1"/>
  <c r="C35" i="12"/>
  <c r="K34" i="12"/>
  <c r="B34" i="13" s="1"/>
  <c r="D88" i="12" l="1"/>
  <c r="D89" i="12" s="1"/>
  <c r="D90" i="12" s="1"/>
  <c r="D91" i="12" s="1"/>
  <c r="D92" i="12" s="1"/>
  <c r="D93" i="12" s="1"/>
  <c r="E101" i="12"/>
  <c r="C36" i="12"/>
  <c r="K35" i="12"/>
  <c r="B35" i="13" s="1"/>
  <c r="I86" i="12" l="1"/>
  <c r="D94" i="12"/>
  <c r="E102" i="12"/>
  <c r="C37" i="12"/>
  <c r="K36" i="12"/>
  <c r="B36" i="13" s="1"/>
  <c r="E103" i="12" l="1"/>
  <c r="D95" i="12"/>
  <c r="I100" i="12"/>
  <c r="H99" i="12"/>
  <c r="C38" i="12"/>
  <c r="K37" i="12"/>
  <c r="B37" i="13" s="1"/>
  <c r="D96" i="12" l="1"/>
  <c r="E104" i="12"/>
  <c r="C39" i="12"/>
  <c r="K38" i="12"/>
  <c r="B38" i="13" s="1"/>
  <c r="E105" i="12" l="1"/>
  <c r="E106" i="12" s="1"/>
  <c r="E107" i="12" s="1"/>
  <c r="E108" i="12" s="1"/>
  <c r="E109" i="12" s="1"/>
  <c r="E110" i="12" s="1"/>
  <c r="D97" i="12"/>
  <c r="H116" i="12"/>
  <c r="C40" i="12"/>
  <c r="K39" i="12"/>
  <c r="B39" i="13" s="1"/>
  <c r="H102" i="12" l="1"/>
  <c r="H100" i="12"/>
  <c r="B100" i="12" s="1"/>
  <c r="I102" i="12"/>
  <c r="D98" i="12"/>
  <c r="E111" i="12"/>
  <c r="C41" i="12"/>
  <c r="K40" i="12"/>
  <c r="B40" i="13" s="1"/>
  <c r="B102" i="12" l="1"/>
  <c r="E112" i="12"/>
  <c r="D99" i="12"/>
  <c r="D100" i="12" s="1"/>
  <c r="D101" i="12" s="1"/>
  <c r="D102" i="12" s="1"/>
  <c r="D103" i="12" s="1"/>
  <c r="D104" i="12" s="1"/>
  <c r="D105" i="12" s="1"/>
  <c r="D106" i="12" s="1"/>
  <c r="D107" i="12" s="1"/>
  <c r="D108" i="12" s="1"/>
  <c r="D109" i="12" s="1"/>
  <c r="H111" i="12"/>
  <c r="I111" i="12"/>
  <c r="H107" i="12"/>
  <c r="I107" i="12"/>
  <c r="H105" i="12"/>
  <c r="H98" i="12"/>
  <c r="B98" i="12" s="1"/>
  <c r="H34" i="12"/>
  <c r="B34" i="12" s="1"/>
  <c r="H83" i="12"/>
  <c r="B83" i="12" s="1"/>
  <c r="C42" i="12"/>
  <c r="K41" i="12"/>
  <c r="B41" i="13" s="1"/>
  <c r="D110" i="12" l="1"/>
  <c r="E113" i="12"/>
  <c r="I118" i="12"/>
  <c r="B111" i="12"/>
  <c r="B107" i="12"/>
  <c r="C43" i="12"/>
  <c r="K42" i="12"/>
  <c r="B42" i="13" s="1"/>
  <c r="E114" i="12" l="1"/>
  <c r="D111" i="12"/>
  <c r="D112" i="12" s="1"/>
  <c r="D113" i="12" s="1"/>
  <c r="D114" i="12" s="1"/>
  <c r="D115" i="12" s="1"/>
  <c r="D116" i="12" s="1"/>
  <c r="D117" i="12" s="1"/>
  <c r="D118" i="12" s="1"/>
  <c r="D119" i="12" s="1"/>
  <c r="D120" i="12" s="1"/>
  <c r="D121" i="12" s="1"/>
  <c r="D122" i="12" s="1"/>
  <c r="D123" i="12" s="1"/>
  <c r="D124" i="12" s="1"/>
  <c r="D125" i="12" s="1"/>
  <c r="D126" i="12" s="1"/>
  <c r="D127" i="12" s="1"/>
  <c r="D128" i="12" s="1"/>
  <c r="D129" i="12" s="1"/>
  <c r="D130" i="12" s="1"/>
  <c r="D131" i="12" s="1"/>
  <c r="D132" i="12" s="1"/>
  <c r="D133" i="12" s="1"/>
  <c r="D134" i="12" s="1"/>
  <c r="D135" i="12" s="1"/>
  <c r="D136" i="12" s="1"/>
  <c r="D137" i="12" s="1"/>
  <c r="D138" i="12" s="1"/>
  <c r="D139" i="12" s="1"/>
  <c r="I110" i="12"/>
  <c r="C44" i="12"/>
  <c r="K43" i="12"/>
  <c r="B43" i="13" s="1"/>
  <c r="V39" i="11"/>
  <c r="E115" i="12" l="1"/>
  <c r="D140" i="12"/>
  <c r="I122" i="12"/>
  <c r="I131" i="12"/>
  <c r="C45" i="12"/>
  <c r="K44" i="12"/>
  <c r="B44" i="13" s="1"/>
  <c r="AC39" i="11"/>
  <c r="AC40" i="11" s="1"/>
  <c r="P40" i="11"/>
  <c r="Q40" i="11" s="1"/>
  <c r="W39" i="11"/>
  <c r="E116" i="12" l="1"/>
  <c r="D141" i="12"/>
  <c r="C46" i="12"/>
  <c r="C47" i="12" s="1"/>
  <c r="K45" i="12"/>
  <c r="B45" i="13" s="1"/>
  <c r="R40" i="11"/>
  <c r="E117" i="12" l="1"/>
  <c r="D142" i="12"/>
  <c r="C48" i="12"/>
  <c r="K47" i="12"/>
  <c r="B47" i="13" s="1"/>
  <c r="K46" i="12"/>
  <c r="B46" i="13" s="1"/>
  <c r="S40" i="11"/>
  <c r="E118" i="12" l="1"/>
  <c r="D143" i="12"/>
  <c r="C49" i="12"/>
  <c r="K48" i="12"/>
  <c r="B48" i="13" s="1"/>
  <c r="T40" i="11"/>
  <c r="E119" i="12" l="1"/>
  <c r="D144" i="12"/>
  <c r="C50" i="12"/>
  <c r="K49" i="12"/>
  <c r="B49" i="13" s="1"/>
  <c r="U40" i="11"/>
  <c r="E120" i="12" l="1"/>
  <c r="E121" i="12" s="1"/>
  <c r="E122" i="12" s="1"/>
  <c r="D145" i="12"/>
  <c r="I132" i="12"/>
  <c r="C51" i="12"/>
  <c r="K50" i="12"/>
  <c r="B50" i="13" s="1"/>
  <c r="V40" i="11"/>
  <c r="I119" i="12" l="1"/>
  <c r="E123" i="12"/>
  <c r="D146" i="12"/>
  <c r="K51" i="12"/>
  <c r="B51" i="13" s="1"/>
  <c r="C52" i="12"/>
  <c r="W40" i="11"/>
  <c r="E124" i="12" l="1"/>
  <c r="E125" i="12" s="1"/>
  <c r="E126" i="12" s="1"/>
  <c r="E127" i="12" s="1"/>
  <c r="E128" i="12" s="1"/>
  <c r="D147" i="12"/>
  <c r="D148" i="12" s="1"/>
  <c r="K52" i="12"/>
  <c r="B52" i="13" s="1"/>
  <c r="C53" i="12"/>
  <c r="I113" i="12" l="1"/>
  <c r="D149" i="12"/>
  <c r="E129" i="12"/>
  <c r="K53" i="12"/>
  <c r="B53" i="13" s="1"/>
  <c r="C54" i="12"/>
  <c r="E130" i="12" l="1"/>
  <c r="D150" i="12"/>
  <c r="K54" i="12"/>
  <c r="B54" i="13" s="1"/>
  <c r="C55" i="12"/>
  <c r="D151" i="12" l="1"/>
  <c r="D152" i="12" s="1"/>
  <c r="D153" i="12" s="1"/>
  <c r="D154" i="12" s="1"/>
  <c r="D155" i="12" s="1"/>
  <c r="D156" i="12" s="1"/>
  <c r="D157" i="12" s="1"/>
  <c r="D158" i="12" s="1"/>
  <c r="D159" i="12" s="1"/>
  <c r="I148" i="12" s="1"/>
  <c r="E131" i="12"/>
  <c r="C56" i="12"/>
  <c r="K55" i="12"/>
  <c r="B55" i="13" s="1"/>
  <c r="H129" i="12" l="1"/>
  <c r="E132" i="12"/>
  <c r="D160" i="12"/>
  <c r="K56" i="12"/>
  <c r="B56" i="13" s="1"/>
  <c r="C57" i="12"/>
  <c r="D161" i="12" l="1"/>
  <c r="E133" i="12"/>
  <c r="E134" i="12" s="1"/>
  <c r="E135" i="12" s="1"/>
  <c r="E136" i="12" s="1"/>
  <c r="E137" i="12" s="1"/>
  <c r="E138" i="12" s="1"/>
  <c r="E139" i="12" s="1"/>
  <c r="K57" i="12"/>
  <c r="B57" i="13" s="1"/>
  <c r="C58" i="12"/>
  <c r="I128" i="12" l="1"/>
  <c r="E140" i="12"/>
  <c r="E141" i="12" s="1"/>
  <c r="I139" i="12" s="1"/>
  <c r="D162" i="12"/>
  <c r="D163" i="12" s="1"/>
  <c r="D164" i="12" s="1"/>
  <c r="D165" i="12" s="1"/>
  <c r="D166" i="12" s="1"/>
  <c r="C59" i="12"/>
  <c r="K58" i="12"/>
  <c r="B58" i="13" s="1"/>
  <c r="I159" i="12" l="1"/>
  <c r="E142" i="12"/>
  <c r="D167" i="12"/>
  <c r="D168" i="12" s="1"/>
  <c r="D169" i="12" s="1"/>
  <c r="D170" i="12" s="1"/>
  <c r="D171" i="12" s="1"/>
  <c r="D172" i="12" s="1"/>
  <c r="D173" i="12" s="1"/>
  <c r="D174" i="12" s="1"/>
  <c r="D175" i="12" s="1"/>
  <c r="D176" i="12" s="1"/>
  <c r="D177" i="12" s="1"/>
  <c r="D178" i="12" s="1"/>
  <c r="E148" i="12"/>
  <c r="C60" i="12"/>
  <c r="K59" i="12"/>
  <c r="B59" i="13" s="1"/>
  <c r="E143" i="12" l="1"/>
  <c r="E144" i="12" s="1"/>
  <c r="E149" i="12"/>
  <c r="I160" i="12"/>
  <c r="D179" i="12"/>
  <c r="C61" i="12"/>
  <c r="K60" i="12"/>
  <c r="B60" i="13" s="1"/>
  <c r="E145" i="12" l="1"/>
  <c r="I141" i="12"/>
  <c r="D180" i="12"/>
  <c r="E150" i="12"/>
  <c r="K61" i="12"/>
  <c r="B61" i="13" s="1"/>
  <c r="C62" i="12"/>
  <c r="E146" i="12" l="1"/>
  <c r="E151" i="12"/>
  <c r="I149" i="12" s="1"/>
  <c r="D181" i="12"/>
  <c r="C63" i="12"/>
  <c r="K62" i="12"/>
  <c r="B62" i="13" s="1"/>
  <c r="E147" i="12" l="1"/>
  <c r="I140" i="12" s="1"/>
  <c r="D182" i="12"/>
  <c r="E152" i="12"/>
  <c r="I147" i="12"/>
  <c r="K63" i="12"/>
  <c r="B63" i="13" s="1"/>
  <c r="C64" i="12"/>
  <c r="H141" i="12" l="1"/>
  <c r="B141" i="12" s="1"/>
  <c r="H135" i="12"/>
  <c r="H144" i="12"/>
  <c r="E153" i="12"/>
  <c r="D183" i="12"/>
  <c r="C65" i="12"/>
  <c r="K64" i="12"/>
  <c r="B64" i="13" s="1"/>
  <c r="D184" i="12" l="1"/>
  <c r="E154" i="12"/>
  <c r="K65" i="12"/>
  <c r="B65" i="13" s="1"/>
  <c r="C66" i="12"/>
  <c r="D185" i="12" l="1"/>
  <c r="D186" i="12" s="1"/>
  <c r="D187" i="12" s="1"/>
  <c r="E155" i="12"/>
  <c r="K66" i="12"/>
  <c r="B66" i="13" s="1"/>
  <c r="C67" i="12"/>
  <c r="D188" i="12" l="1"/>
  <c r="E156" i="12"/>
  <c r="I151" i="12" s="1"/>
  <c r="K67" i="12"/>
  <c r="B67" i="13" s="1"/>
  <c r="C68" i="12"/>
  <c r="D189" i="12" l="1"/>
  <c r="D190" i="12" s="1"/>
  <c r="D191" i="12" s="1"/>
  <c r="D192" i="12" s="1"/>
  <c r="I183" i="12" s="1"/>
  <c r="I186" i="12"/>
  <c r="E157" i="12"/>
  <c r="C69" i="12"/>
  <c r="K68" i="12"/>
  <c r="B68" i="13" s="1"/>
  <c r="D193" i="12" l="1"/>
  <c r="E158" i="12"/>
  <c r="C70" i="12"/>
  <c r="K69" i="12"/>
  <c r="B69" i="13" s="1"/>
  <c r="D194" i="12" l="1"/>
  <c r="E159" i="12"/>
  <c r="E160" i="12" s="1"/>
  <c r="E161" i="12" s="1"/>
  <c r="C71" i="12"/>
  <c r="K70" i="12"/>
  <c r="B70" i="13" s="1"/>
  <c r="D195" i="12" l="1"/>
  <c r="H156" i="12"/>
  <c r="H151" i="12"/>
  <c r="B151" i="12" s="1"/>
  <c r="E162" i="12"/>
  <c r="K71" i="12"/>
  <c r="B71" i="13" s="1"/>
  <c r="C72" i="12"/>
  <c r="D196" i="12" l="1"/>
  <c r="E163" i="12"/>
  <c r="K72" i="12"/>
  <c r="B72" i="13" s="1"/>
  <c r="C73" i="12"/>
  <c r="D197" i="12" l="1"/>
  <c r="E164" i="12"/>
  <c r="I161" i="12"/>
  <c r="C74" i="12"/>
  <c r="K73" i="12"/>
  <c r="B73" i="13" s="1"/>
  <c r="D198" i="12" l="1"/>
  <c r="E165" i="12"/>
  <c r="K74" i="12"/>
  <c r="B74" i="13" s="1"/>
  <c r="C75" i="12"/>
  <c r="D199" i="12" l="1"/>
  <c r="E166" i="12"/>
  <c r="I163" i="12" s="1"/>
  <c r="K75" i="12"/>
  <c r="B75" i="13" s="1"/>
  <c r="C76" i="12"/>
  <c r="D200" i="12" l="1"/>
  <c r="E167" i="12"/>
  <c r="C77" i="12"/>
  <c r="K76" i="12"/>
  <c r="B76" i="13" s="1"/>
  <c r="D201" i="12" l="1"/>
  <c r="E168" i="12"/>
  <c r="K77" i="12"/>
  <c r="B77" i="13" s="1"/>
  <c r="C78" i="12"/>
  <c r="E169" i="12" l="1"/>
  <c r="K78" i="12"/>
  <c r="B78" i="13" s="1"/>
  <c r="C79" i="12"/>
  <c r="E170" i="12" l="1"/>
  <c r="K79" i="12"/>
  <c r="B79" i="13" s="1"/>
  <c r="C80" i="12"/>
  <c r="E171" i="12" l="1"/>
  <c r="K80" i="12"/>
  <c r="B80" i="13" s="1"/>
  <c r="C81" i="12"/>
  <c r="E172" i="12" l="1"/>
  <c r="E173" i="12" s="1"/>
  <c r="E174" i="12" s="1"/>
  <c r="K81" i="12"/>
  <c r="B81" i="13" s="1"/>
  <c r="C82" i="12"/>
  <c r="E175" i="12" l="1"/>
  <c r="K82" i="12"/>
  <c r="B82" i="13" s="1"/>
  <c r="C83" i="12"/>
  <c r="E176" i="12" l="1"/>
  <c r="K83" i="12"/>
  <c r="B83" i="13" s="1"/>
  <c r="C84" i="12"/>
  <c r="E177" i="12" l="1"/>
  <c r="K84" i="12"/>
  <c r="B84" i="13" s="1"/>
  <c r="C85" i="12"/>
  <c r="E178" i="12" l="1"/>
  <c r="H174" i="12" s="1"/>
  <c r="K85" i="12"/>
  <c r="B85" i="13" s="1"/>
  <c r="C86" i="12"/>
  <c r="E179" i="12" l="1"/>
  <c r="K86" i="12"/>
  <c r="B86" i="13" s="1"/>
  <c r="C87" i="12"/>
  <c r="C88" i="12" s="1"/>
  <c r="E180" i="12" l="1"/>
  <c r="C89" i="12"/>
  <c r="K88" i="12"/>
  <c r="B88" i="13" s="1"/>
  <c r="K87" i="12"/>
  <c r="B87" i="13" s="1"/>
  <c r="E181" i="12" l="1"/>
  <c r="C90" i="12"/>
  <c r="K89" i="12"/>
  <c r="B89" i="13" s="1"/>
  <c r="E182" i="12" l="1"/>
  <c r="I179" i="12" s="1"/>
  <c r="C91" i="12"/>
  <c r="K90" i="12"/>
  <c r="B90" i="13" s="1"/>
  <c r="E183" i="12" l="1"/>
  <c r="C92" i="12"/>
  <c r="K91" i="12"/>
  <c r="B91" i="13" s="1"/>
  <c r="V42" i="11"/>
  <c r="W42" i="11"/>
  <c r="E184" i="12" l="1"/>
  <c r="K92" i="12"/>
  <c r="B92" i="13" s="1"/>
  <c r="C93" i="12"/>
  <c r="E185" i="12" l="1"/>
  <c r="K93" i="12"/>
  <c r="B93" i="13" s="1"/>
  <c r="C94" i="12"/>
  <c r="P43" i="11"/>
  <c r="AC42" i="11"/>
  <c r="AC43" i="11" s="1"/>
  <c r="E186" i="12" l="1"/>
  <c r="H179" i="12" s="1"/>
  <c r="B179" i="12" s="1"/>
  <c r="K94" i="12"/>
  <c r="B94" i="13" s="1"/>
  <c r="C95" i="12"/>
  <c r="Q43" i="11"/>
  <c r="R43" i="11" s="1"/>
  <c r="E187" i="12" l="1"/>
  <c r="H182" i="12"/>
  <c r="K95" i="12"/>
  <c r="B95" i="13" s="1"/>
  <c r="C96" i="12"/>
  <c r="S43" i="11"/>
  <c r="E188" i="12" l="1"/>
  <c r="K96" i="12"/>
  <c r="B96" i="13" s="1"/>
  <c r="C97" i="12"/>
  <c r="T43" i="11"/>
  <c r="E189" i="12" l="1"/>
  <c r="K97" i="12"/>
  <c r="B97" i="13" s="1"/>
  <c r="C98" i="12"/>
  <c r="U43" i="11"/>
  <c r="E190" i="12" l="1"/>
  <c r="E191" i="12" s="1"/>
  <c r="E192" i="12" s="1"/>
  <c r="E193" i="12" s="1"/>
  <c r="I187" i="12"/>
  <c r="K98" i="12"/>
  <c r="B98" i="13" s="1"/>
  <c r="C99" i="12"/>
  <c r="V43" i="11"/>
  <c r="H184" i="12" l="1"/>
  <c r="H188" i="12"/>
  <c r="E194" i="12"/>
  <c r="K99" i="12"/>
  <c r="B99" i="13" s="1"/>
  <c r="C100" i="12"/>
  <c r="W43" i="11"/>
  <c r="E195" i="12" l="1"/>
  <c r="C101" i="12"/>
  <c r="K100" i="12"/>
  <c r="B100" i="13" s="1"/>
  <c r="E196" i="12" l="1"/>
  <c r="I193" i="12" s="1"/>
  <c r="K101" i="12"/>
  <c r="B101" i="13" s="1"/>
  <c r="C102" i="12"/>
  <c r="E197" i="12" l="1"/>
  <c r="K102" i="12"/>
  <c r="B102" i="13" s="1"/>
  <c r="C103" i="12"/>
  <c r="E198" i="12" l="1"/>
  <c r="K103" i="12"/>
  <c r="B103" i="13" s="1"/>
  <c r="C104" i="12"/>
  <c r="E199" i="12" l="1"/>
  <c r="K104" i="12"/>
  <c r="B104" i="13" s="1"/>
  <c r="C105" i="12"/>
  <c r="E200" i="12" l="1"/>
  <c r="K105" i="12"/>
  <c r="B105" i="13" s="1"/>
  <c r="C106" i="12"/>
  <c r="E201" i="12" l="1"/>
  <c r="C107" i="12"/>
  <c r="K106" i="12"/>
  <c r="B106" i="13" s="1"/>
  <c r="K107" i="12" l="1"/>
  <c r="B107" i="13" s="1"/>
  <c r="C108" i="12"/>
  <c r="K108" i="12" l="1"/>
  <c r="B108" i="13" s="1"/>
  <c r="C109" i="12"/>
  <c r="K109" i="12" l="1"/>
  <c r="B109" i="13" s="1"/>
  <c r="C110" i="12"/>
  <c r="H33" i="12" l="1"/>
  <c r="B33" i="12" s="1"/>
  <c r="H37" i="12"/>
  <c r="I37" i="12"/>
  <c r="H46" i="12"/>
  <c r="B46" i="12" s="1"/>
  <c r="I56" i="12"/>
  <c r="H56" i="12"/>
  <c r="H73" i="12"/>
  <c r="B73" i="12" s="1"/>
  <c r="H23" i="12"/>
  <c r="B23" i="12" s="1"/>
  <c r="I93" i="12"/>
  <c r="H86" i="12"/>
  <c r="B86" i="12" s="1"/>
  <c r="H77" i="12"/>
  <c r="B77" i="12" s="1"/>
  <c r="I109" i="12"/>
  <c r="H109" i="12"/>
  <c r="H93" i="12"/>
  <c r="H148" i="12"/>
  <c r="B148" i="12" s="1"/>
  <c r="I165" i="12"/>
  <c r="H159" i="12"/>
  <c r="B159" i="12" s="1"/>
  <c r="H165" i="12"/>
  <c r="H183" i="12"/>
  <c r="B183" i="12" s="1"/>
  <c r="I192" i="12"/>
  <c r="H192" i="12"/>
  <c r="H19" i="12"/>
  <c r="B19" i="12" s="1"/>
  <c r="H21" i="12"/>
  <c r="B21" i="12" s="1"/>
  <c r="H32" i="12"/>
  <c r="B32" i="12" s="1"/>
  <c r="I40" i="12"/>
  <c r="H40" i="12"/>
  <c r="I112" i="12"/>
  <c r="H112" i="12"/>
  <c r="H118" i="12"/>
  <c r="B118" i="12" s="1"/>
  <c r="H131" i="12"/>
  <c r="B131" i="12" s="1"/>
  <c r="H139" i="12"/>
  <c r="B139" i="12" s="1"/>
  <c r="H14" i="12"/>
  <c r="B14" i="12" s="1"/>
  <c r="H160" i="12"/>
  <c r="B160" i="12" s="1"/>
  <c r="I178" i="12"/>
  <c r="H178" i="12"/>
  <c r="H186" i="12"/>
  <c r="B186" i="12" s="1"/>
  <c r="K110" i="12"/>
  <c r="B110" i="13" s="1"/>
  <c r="C111" i="12"/>
  <c r="B93" i="12" l="1"/>
  <c r="B109" i="12"/>
  <c r="B192" i="12"/>
  <c r="B37" i="12"/>
  <c r="B165" i="12"/>
  <c r="B56" i="12"/>
  <c r="B40" i="12"/>
  <c r="B112" i="12"/>
  <c r="B178" i="12"/>
  <c r="K111" i="12"/>
  <c r="B111" i="13" s="1"/>
  <c r="C112" i="12"/>
  <c r="K112" i="12" l="1"/>
  <c r="B112" i="13" s="1"/>
  <c r="C113" i="12"/>
  <c r="K113" i="12" l="1"/>
  <c r="B113" i="13" s="1"/>
  <c r="C114" i="12"/>
  <c r="K114" i="12" l="1"/>
  <c r="B114" i="13" s="1"/>
  <c r="C115" i="12"/>
  <c r="K115" i="12" l="1"/>
  <c r="B115" i="13" s="1"/>
  <c r="C116" i="12"/>
  <c r="K116" i="12" l="1"/>
  <c r="B116" i="13" s="1"/>
  <c r="C117" i="12"/>
  <c r="C118" i="12" s="1"/>
  <c r="K118" i="12" l="1"/>
  <c r="B118" i="13" s="1"/>
  <c r="C119" i="12"/>
  <c r="K117" i="12"/>
  <c r="B117" i="13" s="1"/>
  <c r="K119" i="12" l="1"/>
  <c r="B119" i="13" s="1"/>
  <c r="C120" i="12"/>
  <c r="L27" i="11"/>
  <c r="L30" i="11"/>
  <c r="C121" i="12" l="1"/>
  <c r="K120" i="12"/>
  <c r="B120" i="13" s="1"/>
  <c r="H22" i="12"/>
  <c r="B22" i="12" s="1"/>
  <c r="X14" i="12"/>
  <c r="C122" i="12" l="1"/>
  <c r="K121" i="12"/>
  <c r="B121" i="13" s="1"/>
  <c r="D14" i="13"/>
  <c r="S14" i="12"/>
  <c r="C123" i="12" l="1"/>
  <c r="K122" i="12"/>
  <c r="B122" i="13" s="1"/>
  <c r="C14" i="13"/>
  <c r="M21" i="11"/>
  <c r="C124" i="12" l="1"/>
  <c r="K123" i="12"/>
  <c r="B123" i="13" s="1"/>
  <c r="T21" i="11"/>
  <c r="W21" i="11"/>
  <c r="V21" i="11"/>
  <c r="U21" i="11"/>
  <c r="K124" i="12" l="1"/>
  <c r="B124" i="13" s="1"/>
  <c r="C125" i="12"/>
  <c r="P22" i="11"/>
  <c r="AC21" i="11"/>
  <c r="AC22" i="11" s="1"/>
  <c r="K125" i="12" l="1"/>
  <c r="B125" i="13" s="1"/>
  <c r="C126" i="12"/>
  <c r="L36" i="11"/>
  <c r="L39" i="11"/>
  <c r="L33" i="11"/>
  <c r="Q22" i="11"/>
  <c r="R22" i="11" s="1"/>
  <c r="S22" i="11" s="1"/>
  <c r="K126" i="12" l="1"/>
  <c r="B126" i="13" s="1"/>
  <c r="C127" i="12"/>
  <c r="T22" i="11"/>
  <c r="C128" i="12" l="1"/>
  <c r="K127" i="12"/>
  <c r="B127" i="13" s="1"/>
  <c r="U22" i="11"/>
  <c r="V22" i="11" s="1"/>
  <c r="C129" i="12" l="1"/>
  <c r="K128" i="12"/>
  <c r="B128" i="13" s="1"/>
  <c r="W22" i="11"/>
  <c r="C130" i="12" l="1"/>
  <c r="K129" i="12"/>
  <c r="B129" i="13" s="1"/>
  <c r="W48" i="11"/>
  <c r="W36" i="11"/>
  <c r="C131" i="12" l="1"/>
  <c r="K130" i="12"/>
  <c r="B130" i="13" s="1"/>
  <c r="W24" i="11"/>
  <c r="V24" i="11"/>
  <c r="P25" i="11"/>
  <c r="Q25" i="11" s="1"/>
  <c r="AC24" i="11"/>
  <c r="AC25" i="11" s="1"/>
  <c r="K131" i="12" l="1"/>
  <c r="C132" i="12"/>
  <c r="R25" i="11"/>
  <c r="S25" i="11" s="1"/>
  <c r="B131" i="13" l="1"/>
  <c r="L42" i="11"/>
  <c r="C133" i="12"/>
  <c r="K132" i="12"/>
  <c r="B132" i="13" s="1"/>
  <c r="T25" i="11"/>
  <c r="C134" i="12" l="1"/>
  <c r="K133" i="12"/>
  <c r="B133" i="13" s="1"/>
  <c r="U25" i="11"/>
  <c r="K134" i="12" l="1"/>
  <c r="B134" i="13" s="1"/>
  <c r="C135" i="12"/>
  <c r="V25" i="11"/>
  <c r="C136" i="12" l="1"/>
  <c r="K135" i="12"/>
  <c r="B135" i="13" s="1"/>
  <c r="W25" i="11"/>
  <c r="K136" i="12" l="1"/>
  <c r="B136" i="13" s="1"/>
  <c r="C137" i="12"/>
  <c r="AC36" i="11"/>
  <c r="AC37" i="11" s="1"/>
  <c r="AC48" i="11"/>
  <c r="AC49" i="11" s="1"/>
  <c r="V36" i="11"/>
  <c r="P37" i="11"/>
  <c r="Q37" i="11" s="1"/>
  <c r="S48" i="11"/>
  <c r="P49" i="11"/>
  <c r="Q49" i="11" s="1"/>
  <c r="C138" i="12" l="1"/>
  <c r="K137" i="12"/>
  <c r="B137" i="13" s="1"/>
  <c r="R37" i="11"/>
  <c r="P34" i="11"/>
  <c r="R49" i="11"/>
  <c r="C139" i="12" l="1"/>
  <c r="K138" i="12"/>
  <c r="B138" i="13" s="1"/>
  <c r="S37" i="11"/>
  <c r="S49" i="11"/>
  <c r="C140" i="12" l="1"/>
  <c r="K139" i="12"/>
  <c r="T37" i="11"/>
  <c r="T49" i="11"/>
  <c r="B139" i="13" l="1"/>
  <c r="L45" i="11"/>
  <c r="C141" i="12"/>
  <c r="K140" i="12"/>
  <c r="B140" i="13" s="1"/>
  <c r="U37" i="11"/>
  <c r="U49" i="11"/>
  <c r="K141" i="12" l="1"/>
  <c r="B141" i="13" s="1"/>
  <c r="C142" i="12"/>
  <c r="V37" i="11"/>
  <c r="V49" i="11"/>
  <c r="K142" i="12" l="1"/>
  <c r="B142" i="13" s="1"/>
  <c r="C143" i="12"/>
  <c r="W37" i="11"/>
  <c r="W49" i="11"/>
  <c r="C144" i="12" l="1"/>
  <c r="K143" i="12"/>
  <c r="B143" i="13" s="1"/>
  <c r="W33" i="11"/>
  <c r="Q34" i="11"/>
  <c r="R34" i="11" s="1"/>
  <c r="AC33" i="11"/>
  <c r="AC34" i="11" s="1"/>
  <c r="C145" i="12" l="1"/>
  <c r="K144" i="12"/>
  <c r="B144" i="13" s="1"/>
  <c r="S34" i="11"/>
  <c r="C146" i="12" l="1"/>
  <c r="K145" i="12"/>
  <c r="B145" i="13" s="1"/>
  <c r="T34" i="11"/>
  <c r="C147" i="12" l="1"/>
  <c r="K146" i="12"/>
  <c r="B146" i="13" s="1"/>
  <c r="U34" i="11"/>
  <c r="C148" i="12" l="1"/>
  <c r="K147" i="12"/>
  <c r="B147" i="13" s="1"/>
  <c r="V34" i="11"/>
  <c r="C149" i="12" l="1"/>
  <c r="K148" i="12"/>
  <c r="B148" i="13" s="1"/>
  <c r="W34" i="11"/>
  <c r="W45" i="11"/>
  <c r="V45" i="11"/>
  <c r="U45" i="11"/>
  <c r="T45" i="11"/>
  <c r="S45" i="11"/>
  <c r="P46" i="11"/>
  <c r="AC45" i="11"/>
  <c r="AC46" i="11" s="1"/>
  <c r="C150" i="12" l="1"/>
  <c r="K149" i="12"/>
  <c r="B149" i="13" s="1"/>
  <c r="Q46" i="11"/>
  <c r="R46" i="11" s="1"/>
  <c r="C151" i="12" l="1"/>
  <c r="K150" i="12"/>
  <c r="B150" i="13" s="1"/>
  <c r="S46" i="11"/>
  <c r="C152" i="12" l="1"/>
  <c r="K151" i="12"/>
  <c r="B151" i="13" s="1"/>
  <c r="T46" i="11"/>
  <c r="U46" i="11" s="1"/>
  <c r="V46" i="11" s="1"/>
  <c r="C153" i="12" l="1"/>
  <c r="K152" i="12"/>
  <c r="B152" i="13" s="1"/>
  <c r="W46" i="11"/>
  <c r="C154" i="12" l="1"/>
  <c r="K153" i="12"/>
  <c r="B153" i="13" s="1"/>
  <c r="C155" i="12" l="1"/>
  <c r="K154" i="12"/>
  <c r="B154" i="13" s="1"/>
  <c r="X65" i="12"/>
  <c r="X21" i="12"/>
  <c r="X92" i="12"/>
  <c r="X40" i="12"/>
  <c r="X51" i="12"/>
  <c r="X99" i="12"/>
  <c r="X116" i="12"/>
  <c r="X19" i="12"/>
  <c r="X112" i="12"/>
  <c r="X32" i="12"/>
  <c r="C156" i="12" l="1"/>
  <c r="K155" i="12"/>
  <c r="B155" i="13" s="1"/>
  <c r="S51" i="12" l="1"/>
  <c r="S116" i="12"/>
  <c r="S99" i="12"/>
  <c r="S19" i="12"/>
  <c r="S40" i="12"/>
  <c r="S92" i="12"/>
  <c r="M24" i="11"/>
  <c r="C157" i="12"/>
  <c r="K156" i="12"/>
  <c r="B156" i="13" s="1"/>
  <c r="C32" i="13"/>
  <c r="C92" i="13"/>
  <c r="D65" i="13"/>
  <c r="C51" i="13"/>
  <c r="D18" i="13"/>
  <c r="C19" i="13"/>
  <c r="D92" i="13"/>
  <c r="C99" i="13"/>
  <c r="C116" i="13"/>
  <c r="C40" i="13"/>
  <c r="C65" i="13"/>
  <c r="D19" i="13"/>
  <c r="D21" i="13"/>
  <c r="D40" i="13"/>
  <c r="D112" i="13"/>
  <c r="D51" i="13"/>
  <c r="D99" i="13"/>
  <c r="C21" i="13"/>
  <c r="D116" i="13"/>
  <c r="C112" i="13"/>
  <c r="D32" i="13"/>
  <c r="S21" i="12"/>
  <c r="C158" i="12" l="1"/>
  <c r="K157" i="12"/>
  <c r="B157" i="13" s="1"/>
  <c r="S112" i="12" l="1"/>
  <c r="C159" i="12"/>
  <c r="K158" i="12"/>
  <c r="B158" i="13" s="1"/>
  <c r="S65" i="12"/>
  <c r="C160" i="12" l="1"/>
  <c r="K159" i="12"/>
  <c r="B159" i="13" s="1"/>
  <c r="C161" i="12" l="1"/>
  <c r="K160" i="12"/>
  <c r="B160" i="13" l="1"/>
  <c r="L48" i="11"/>
  <c r="C162" i="12"/>
  <c r="K161" i="12"/>
  <c r="B161" i="13" s="1"/>
  <c r="C163" i="12" l="1"/>
  <c r="K162" i="12"/>
  <c r="B162" i="13" s="1"/>
  <c r="C164" i="12" l="1"/>
  <c r="K163" i="12"/>
  <c r="B163" i="13" s="1"/>
  <c r="K164" i="12" l="1"/>
  <c r="B164" i="13" s="1"/>
  <c r="C165" i="12"/>
  <c r="K165" i="12" l="1"/>
  <c r="B165" i="13" s="1"/>
  <c r="C166" i="12"/>
  <c r="K166" i="12" l="1"/>
  <c r="B166" i="13" s="1"/>
  <c r="C167" i="12"/>
  <c r="C168" i="12" s="1"/>
  <c r="C169" i="12" l="1"/>
  <c r="K168" i="12"/>
  <c r="B168" i="13" s="1"/>
  <c r="K167" i="12"/>
  <c r="B167" i="13" s="1"/>
  <c r="K169" i="12" l="1"/>
  <c r="B169" i="13" s="1"/>
  <c r="C170" i="12"/>
  <c r="K170" i="12" l="1"/>
  <c r="B170" i="13" s="1"/>
  <c r="C171" i="12"/>
  <c r="K171" i="12" l="1"/>
  <c r="B171" i="13" s="1"/>
  <c r="C172" i="12"/>
  <c r="C173" i="12" l="1"/>
  <c r="K172" i="12"/>
  <c r="B172" i="13" s="1"/>
  <c r="K173" i="12" l="1"/>
  <c r="B173" i="13" s="1"/>
  <c r="C174" i="12"/>
  <c r="K174" i="12" l="1"/>
  <c r="B174" i="13" s="1"/>
  <c r="C175" i="12"/>
  <c r="K175" i="12" l="1"/>
  <c r="B175" i="13" s="1"/>
  <c r="C176" i="12"/>
  <c r="C177" i="12" l="1"/>
  <c r="K176" i="12"/>
  <c r="B176" i="13" s="1"/>
  <c r="K177" i="12" l="1"/>
  <c r="B177" i="13" s="1"/>
  <c r="C178" i="12"/>
  <c r="K178" i="12" l="1"/>
  <c r="B178" i="13" s="1"/>
  <c r="C179" i="12"/>
  <c r="K179" i="12" l="1"/>
  <c r="B179" i="13" s="1"/>
  <c r="C180" i="12"/>
  <c r="K180" i="12" l="1"/>
  <c r="B180" i="13" s="1"/>
  <c r="C181" i="12"/>
  <c r="K181" i="12" l="1"/>
  <c r="B181" i="13" s="1"/>
  <c r="C182" i="12"/>
  <c r="K182" i="12" l="1"/>
  <c r="B182" i="13" s="1"/>
  <c r="C183" i="12"/>
  <c r="C184" i="12" l="1"/>
  <c r="K183" i="12"/>
  <c r="B183" i="13" s="1"/>
  <c r="H38" i="12" l="1"/>
  <c r="B38" i="12" s="1"/>
  <c r="I42" i="12"/>
  <c r="B42" i="12" s="1"/>
  <c r="I65" i="12"/>
  <c r="H94" i="12"/>
  <c r="B94" i="12" s="1"/>
  <c r="H97" i="12"/>
  <c r="B97" i="12" s="1"/>
  <c r="H113" i="12"/>
  <c r="B113" i="12" s="1"/>
  <c r="H110" i="12"/>
  <c r="B110" i="12" s="1"/>
  <c r="I105" i="12"/>
  <c r="B105" i="12" s="1"/>
  <c r="H128" i="12"/>
  <c r="B128" i="12" s="1"/>
  <c r="I144" i="12"/>
  <c r="B144" i="12" s="1"/>
  <c r="H149" i="12"/>
  <c r="B149" i="12" s="1"/>
  <c r="I184" i="12"/>
  <c r="B184" i="12" s="1"/>
  <c r="I188" i="12"/>
  <c r="B188" i="12" s="1"/>
  <c r="H193" i="12"/>
  <c r="B193" i="12" s="1"/>
  <c r="I196" i="12"/>
  <c r="H196" i="12"/>
  <c r="I15" i="12"/>
  <c r="B15" i="12" s="1"/>
  <c r="H41" i="12"/>
  <c r="B41" i="12" s="1"/>
  <c r="H51" i="12"/>
  <c r="B51" i="12" s="1"/>
  <c r="H65" i="12"/>
  <c r="H58" i="12"/>
  <c r="B58" i="12" s="1"/>
  <c r="I78" i="12"/>
  <c r="H78" i="12"/>
  <c r="H92" i="12"/>
  <c r="B92" i="12" s="1"/>
  <c r="I99" i="12"/>
  <c r="B99" i="12" s="1"/>
  <c r="I116" i="12"/>
  <c r="B116" i="12" s="1"/>
  <c r="H119" i="12"/>
  <c r="B119" i="12" s="1"/>
  <c r="H122" i="12"/>
  <c r="B122" i="12" s="1"/>
  <c r="I129" i="12"/>
  <c r="B129" i="12" s="1"/>
  <c r="H132" i="12"/>
  <c r="B132" i="12" s="1"/>
  <c r="I135" i="12"/>
  <c r="B135" i="12" s="1"/>
  <c r="H140" i="12"/>
  <c r="B140" i="12" s="1"/>
  <c r="H147" i="12"/>
  <c r="B147" i="12" s="1"/>
  <c r="H163" i="12"/>
  <c r="B163" i="12" s="1"/>
  <c r="I156" i="12"/>
  <c r="B156" i="12" s="1"/>
  <c r="H161" i="12"/>
  <c r="B161" i="12" s="1"/>
  <c r="I166" i="12"/>
  <c r="H166" i="12"/>
  <c r="I174" i="12"/>
  <c r="B174" i="12" s="1"/>
  <c r="I182" i="12"/>
  <c r="B182" i="12" s="1"/>
  <c r="H187" i="12"/>
  <c r="B187" i="12" s="1"/>
  <c r="K184" i="12"/>
  <c r="B184" i="13" s="1"/>
  <c r="C185" i="12"/>
  <c r="B196" i="12" l="1"/>
  <c r="B65" i="12"/>
  <c r="B78" i="12"/>
  <c r="B166" i="12"/>
  <c r="K185" i="12"/>
  <c r="B185" i="13" s="1"/>
  <c r="C186" i="12"/>
  <c r="K186" i="12" l="1"/>
  <c r="B186" i="13" s="1"/>
  <c r="C187" i="12"/>
  <c r="C188" i="12" l="1"/>
  <c r="K187" i="12"/>
  <c r="B187" i="13" s="1"/>
  <c r="K188" i="12" l="1"/>
  <c r="B188" i="13" s="1"/>
  <c r="C189" i="12"/>
  <c r="K189" i="12" l="1"/>
  <c r="B189" i="13" s="1"/>
  <c r="C190" i="12"/>
  <c r="C191" i="12" l="1"/>
  <c r="K190" i="12"/>
  <c r="B190" i="13" s="1"/>
  <c r="K191" i="12" l="1"/>
  <c r="B191" i="13" s="1"/>
  <c r="C192" i="12"/>
  <c r="K192" i="12" l="1"/>
  <c r="B192" i="13" s="1"/>
  <c r="C193" i="12"/>
  <c r="K193" i="12" l="1"/>
  <c r="B193" i="13" s="1"/>
  <c r="C194" i="12"/>
  <c r="K194" i="12" l="1"/>
  <c r="B194" i="13" s="1"/>
  <c r="C195" i="12"/>
  <c r="C196" i="12" l="1"/>
  <c r="K195" i="12"/>
  <c r="B195" i="13" s="1"/>
  <c r="K196" i="12" l="1"/>
  <c r="B196" i="13" s="1"/>
  <c r="C197" i="12"/>
  <c r="K197" i="12" l="1"/>
  <c r="B197" i="13" s="1"/>
  <c r="C198" i="12"/>
  <c r="K198" i="12" l="1"/>
  <c r="B198" i="13" s="1"/>
  <c r="C199" i="12"/>
  <c r="C200" i="12" l="1"/>
  <c r="K199" i="12"/>
  <c r="B199" i="13" s="1"/>
  <c r="K200" i="12" l="1"/>
  <c r="B200" i="13" s="1"/>
  <c r="C201" i="12"/>
  <c r="K201" i="12" l="1"/>
  <c r="B201" i="13" s="1"/>
  <c r="I13" i="12" l="1"/>
  <c r="H13" i="12"/>
  <c r="B13" i="12" l="1"/>
  <c r="B12" i="12" l="1"/>
  <c r="X23" i="12"/>
  <c r="X148" i="12"/>
  <c r="X170" i="12"/>
  <c r="X153" i="12"/>
  <c r="X59" i="12"/>
  <c r="X117" i="12"/>
  <c r="X110" i="12"/>
  <c r="X36" i="12"/>
  <c r="X144" i="12"/>
  <c r="X167" i="12"/>
  <c r="X198" i="12"/>
  <c r="X149" i="12"/>
  <c r="X54" i="12"/>
  <c r="X94" i="12"/>
  <c r="X142" i="12"/>
  <c r="X25" i="12"/>
  <c r="X44" i="12"/>
  <c r="X175" i="12"/>
  <c r="X196" i="12"/>
  <c r="X185" i="12"/>
  <c r="X60" i="12"/>
  <c r="X22" i="12"/>
  <c r="X138" i="12"/>
  <c r="X48" i="12"/>
  <c r="X20" i="12"/>
  <c r="X171" i="12"/>
  <c r="X191" i="12"/>
  <c r="X178" i="12"/>
  <c r="X101" i="12"/>
  <c r="X87" i="12"/>
  <c r="X78" i="12"/>
  <c r="X15" i="12"/>
  <c r="X33" i="12"/>
  <c r="X97" i="12"/>
  <c r="X136" i="12"/>
  <c r="X159" i="12"/>
  <c r="X195" i="12"/>
  <c r="X145" i="12"/>
  <c r="X38" i="12"/>
  <c r="X42" i="12"/>
  <c r="X64" i="12"/>
  <c r="X66" i="12"/>
  <c r="X125" i="12"/>
  <c r="X155" i="12"/>
  <c r="X194" i="12"/>
  <c r="X141" i="12"/>
  <c r="X88" i="12"/>
  <c r="X72" i="12"/>
  <c r="X68" i="12"/>
  <c r="X52" i="12"/>
  <c r="X169" i="12"/>
  <c r="X176" i="12"/>
  <c r="X50" i="12"/>
  <c r="X58" i="12"/>
  <c r="X130" i="12"/>
  <c r="X114" i="12"/>
  <c r="X16" i="12"/>
  <c r="X168" i="12"/>
  <c r="X189" i="12"/>
  <c r="X172" i="12"/>
  <c r="X29" i="12"/>
  <c r="X103" i="12"/>
  <c r="X37" i="12"/>
  <c r="X95" i="12"/>
  <c r="X105" i="12"/>
  <c r="X121" i="12"/>
  <c r="X173" i="12"/>
  <c r="X124" i="12"/>
  <c r="X81" i="12"/>
  <c r="X100" i="12"/>
  <c r="X63" i="12"/>
  <c r="X143" i="12"/>
  <c r="X181" i="12"/>
  <c r="X137" i="12"/>
  <c r="X47" i="12"/>
  <c r="X26" i="12"/>
  <c r="X90" i="12"/>
  <c r="X45" i="12"/>
  <c r="X93" i="12"/>
  <c r="X126" i="12"/>
  <c r="X180" i="12"/>
  <c r="X133" i="12"/>
  <c r="X89" i="12"/>
  <c r="X96" i="12"/>
  <c r="X183" i="12"/>
  <c r="X61" i="12"/>
  <c r="X18" i="12"/>
  <c r="X115" i="12"/>
  <c r="X134" i="12"/>
  <c r="X24" i="12"/>
  <c r="X104" i="12"/>
  <c r="X190" i="12"/>
  <c r="X76" i="12"/>
  <c r="X152" i="12"/>
  <c r="X187" i="12"/>
  <c r="X157" i="12"/>
  <c r="X108" i="12"/>
  <c r="X56" i="12"/>
  <c r="X70" i="12"/>
  <c r="X84" i="12"/>
  <c r="X158" i="12"/>
  <c r="X128" i="12"/>
  <c r="X102" i="12"/>
  <c r="X17" i="12"/>
  <c r="X75" i="12"/>
  <c r="X192" i="12"/>
  <c r="X106" i="12"/>
  <c r="X31" i="12"/>
  <c r="X154" i="12"/>
  <c r="X123" i="12"/>
  <c r="X82" i="12"/>
  <c r="X107" i="12"/>
  <c r="X85" i="12"/>
  <c r="X98" i="12"/>
  <c r="X162" i="12"/>
  <c r="X129" i="12"/>
  <c r="X41" i="12"/>
  <c r="X71" i="12"/>
  <c r="X69" i="12"/>
  <c r="X201" i="12"/>
  <c r="X28" i="12"/>
  <c r="X46" i="12"/>
  <c r="X127" i="12"/>
  <c r="X43" i="12"/>
  <c r="X49" i="12"/>
  <c r="X164" i="12"/>
  <c r="X188" i="12"/>
  <c r="X165" i="12"/>
  <c r="X73" i="12"/>
  <c r="X91" i="12"/>
  <c r="X30" i="12"/>
  <c r="X86" i="12"/>
  <c r="X55" i="12"/>
  <c r="X34" i="12"/>
  <c r="X150" i="12"/>
  <c r="X120" i="12"/>
  <c r="X27" i="12"/>
  <c r="X74" i="12"/>
  <c r="X83" i="12"/>
  <c r="X199" i="12"/>
  <c r="X53" i="12"/>
  <c r="X111" i="12"/>
  <c r="X146" i="12"/>
  <c r="X39" i="12"/>
  <c r="X77" i="12"/>
  <c r="X177" i="12"/>
  <c r="X197" i="12"/>
  <c r="X193" i="12"/>
  <c r="X35" i="12"/>
  <c r="X57" i="12"/>
  <c r="X62" i="12"/>
  <c r="X184" i="12"/>
  <c r="X200" i="12"/>
  <c r="X80" i="12"/>
  <c r="X109" i="12"/>
  <c r="X79" i="12"/>
  <c r="X67" i="12"/>
  <c r="C165" i="13" l="1"/>
  <c r="D165" i="13"/>
  <c r="D188" i="13"/>
  <c r="S153" i="12" l="1"/>
  <c r="T153" i="12" s="1"/>
  <c r="U153" i="12" s="1"/>
  <c r="S44" i="12"/>
  <c r="T44" i="12" s="1"/>
  <c r="U44" i="12" s="1"/>
  <c r="S22" i="12"/>
  <c r="T22" i="12" s="1"/>
  <c r="S101" i="12"/>
  <c r="T101" i="12" s="1"/>
  <c r="U101" i="12" s="1"/>
  <c r="S155" i="12"/>
  <c r="T155" i="12" s="1"/>
  <c r="U155" i="12" s="1"/>
  <c r="S121" i="12"/>
  <c r="T121" i="12" s="1"/>
  <c r="U121" i="12" s="1"/>
  <c r="S81" i="12"/>
  <c r="T81" i="12" s="1"/>
  <c r="U81" i="12" s="1"/>
  <c r="S36" i="12"/>
  <c r="T36" i="12" s="1"/>
  <c r="U36" i="12" s="1"/>
  <c r="S50" i="12"/>
  <c r="T50" i="12" s="1"/>
  <c r="U50" i="12" s="1"/>
  <c r="S172" i="12"/>
  <c r="T172" i="12" s="1"/>
  <c r="U172" i="12" s="1"/>
  <c r="S181" i="12"/>
  <c r="T181" i="12" s="1"/>
  <c r="U181" i="12" s="1"/>
  <c r="S54" i="12"/>
  <c r="T54" i="12" s="1"/>
  <c r="U54" i="12" s="1"/>
  <c r="S138" i="12"/>
  <c r="T138" i="12" s="1"/>
  <c r="U138" i="12" s="1"/>
  <c r="S66" i="12"/>
  <c r="T66" i="12" s="1"/>
  <c r="U66" i="12" s="1"/>
  <c r="S88" i="12"/>
  <c r="T88" i="12" s="1"/>
  <c r="U88" i="12" s="1"/>
  <c r="S68" i="12"/>
  <c r="T68" i="12" s="1"/>
  <c r="U68" i="12" s="1"/>
  <c r="S52" i="12"/>
  <c r="T52" i="12" s="1"/>
  <c r="U52" i="12" s="1"/>
  <c r="S29" i="12"/>
  <c r="T29" i="12" s="1"/>
  <c r="U29" i="12" s="1"/>
  <c r="S63" i="12"/>
  <c r="T63" i="12" s="1"/>
  <c r="U63" i="12" s="1"/>
  <c r="S47" i="12"/>
  <c r="T47" i="12" s="1"/>
  <c r="U47" i="12" s="1"/>
  <c r="S126" i="12"/>
  <c r="T126" i="12" s="1"/>
  <c r="U126" i="12" s="1"/>
  <c r="S171" i="12"/>
  <c r="T171" i="12" s="1"/>
  <c r="U171" i="12" s="1"/>
  <c r="S145" i="12"/>
  <c r="T145" i="12" s="1"/>
  <c r="U145" i="12" s="1"/>
  <c r="S130" i="12"/>
  <c r="T130" i="12" s="1"/>
  <c r="U130" i="12" s="1"/>
  <c r="S114" i="12"/>
  <c r="T114" i="12" s="1"/>
  <c r="U114" i="12" s="1"/>
  <c r="S95" i="12"/>
  <c r="T95" i="12" s="1"/>
  <c r="U95" i="12" s="1"/>
  <c r="S124" i="12"/>
  <c r="T124" i="12" s="1"/>
  <c r="U124" i="12" s="1"/>
  <c r="S96" i="12"/>
  <c r="T96" i="12" s="1"/>
  <c r="U96" i="12" s="1"/>
  <c r="S41" i="12"/>
  <c r="T41" i="12" s="1"/>
  <c r="U41" i="12" s="1"/>
  <c r="S90" i="12"/>
  <c r="T90" i="12" s="1"/>
  <c r="U90" i="12" s="1"/>
  <c r="S45" i="12"/>
  <c r="T45" i="12" s="1"/>
  <c r="U45" i="12" s="1"/>
  <c r="S76" i="12"/>
  <c r="T76" i="12" s="1"/>
  <c r="U76" i="12" s="1"/>
  <c r="S157" i="12"/>
  <c r="T157" i="12" s="1"/>
  <c r="S84" i="12"/>
  <c r="T84" i="12" s="1"/>
  <c r="U84" i="12" s="1"/>
  <c r="S106" i="12"/>
  <c r="T106" i="12" s="1"/>
  <c r="U106" i="12" s="1"/>
  <c r="S154" i="12"/>
  <c r="T154" i="12" s="1"/>
  <c r="U154" i="12" s="1"/>
  <c r="S129" i="12"/>
  <c r="S127" i="12"/>
  <c r="T127" i="12" s="1"/>
  <c r="U127" i="12" s="1"/>
  <c r="S91" i="12"/>
  <c r="T91" i="12" s="1"/>
  <c r="U91" i="12" s="1"/>
  <c r="S83" i="12"/>
  <c r="T83" i="12" s="1"/>
  <c r="U83" i="12" s="1"/>
  <c r="S62" i="12"/>
  <c r="T62" i="12" s="1"/>
  <c r="U62" i="12" s="1"/>
  <c r="S134" i="12"/>
  <c r="T134" i="12" s="1"/>
  <c r="U134" i="12" s="1"/>
  <c r="S152" i="12"/>
  <c r="T152" i="12" s="1"/>
  <c r="U152" i="12" s="1"/>
  <c r="S17" i="12"/>
  <c r="T17" i="12" s="1"/>
  <c r="U17" i="12" s="1"/>
  <c r="S107" i="12"/>
  <c r="T107" i="12" s="1"/>
  <c r="U107" i="12" s="1"/>
  <c r="S69" i="12"/>
  <c r="T69" i="12" s="1"/>
  <c r="U69" i="12" s="1"/>
  <c r="S164" i="12"/>
  <c r="T164" i="12" s="1"/>
  <c r="U164" i="12" s="1"/>
  <c r="S197" i="12"/>
  <c r="T197" i="12" s="1"/>
  <c r="U197" i="12" s="1"/>
  <c r="S180" i="12"/>
  <c r="T180" i="12" s="1"/>
  <c r="U180" i="12" s="1"/>
  <c r="S89" i="12"/>
  <c r="T89" i="12" s="1"/>
  <c r="U89" i="12" s="1"/>
  <c r="S49" i="12"/>
  <c r="T49" i="12" s="1"/>
  <c r="U49" i="12" s="1"/>
  <c r="S55" i="12"/>
  <c r="T55" i="12" s="1"/>
  <c r="U55" i="12" s="1"/>
  <c r="S34" i="12"/>
  <c r="T34" i="12" s="1"/>
  <c r="U34" i="12" s="1"/>
  <c r="S53" i="12"/>
  <c r="T53" i="12" s="1"/>
  <c r="U53" i="12" s="1"/>
  <c r="S39" i="12"/>
  <c r="T39" i="12" s="1"/>
  <c r="U39" i="12" s="1"/>
  <c r="S79" i="12"/>
  <c r="T79" i="12" s="1"/>
  <c r="U79" i="12" s="1"/>
  <c r="S67" i="12"/>
  <c r="T67" i="12" s="1"/>
  <c r="U67" i="12" s="1"/>
  <c r="S178" i="12"/>
  <c r="T178" i="12" s="1"/>
  <c r="U178" i="12" s="1"/>
  <c r="S177" i="12"/>
  <c r="T177" i="12" s="1"/>
  <c r="U177" i="12" s="1"/>
  <c r="S176" i="12"/>
  <c r="T176" i="12" s="1"/>
  <c r="U176" i="12" s="1"/>
  <c r="S170" i="12"/>
  <c r="T170" i="12" s="1"/>
  <c r="U170" i="12" s="1"/>
  <c r="S173" i="12"/>
  <c r="T173" i="12" s="1"/>
  <c r="U173" i="12" s="1"/>
  <c r="S200" i="12"/>
  <c r="T200" i="12" s="1"/>
  <c r="U200" i="12" s="1"/>
  <c r="S16" i="12"/>
  <c r="T16" i="12" s="1"/>
  <c r="U16" i="12" s="1"/>
  <c r="S18" i="12"/>
  <c r="T18" i="12" s="1"/>
  <c r="U18" i="12" s="1"/>
  <c r="S117" i="12"/>
  <c r="T117" i="12" s="1"/>
  <c r="T116" i="12" s="1"/>
  <c r="U116" i="12" s="1"/>
  <c r="S175" i="12"/>
  <c r="T175" i="12" s="1"/>
  <c r="S191" i="12"/>
  <c r="T191" i="12" s="1"/>
  <c r="U191" i="12" s="1"/>
  <c r="S78" i="12"/>
  <c r="T78" i="12" s="1"/>
  <c r="U78" i="12" s="1"/>
  <c r="S137" i="12"/>
  <c r="T137" i="12" s="1"/>
  <c r="U137" i="12" s="1"/>
  <c r="S48" i="12"/>
  <c r="T48" i="12" s="1"/>
  <c r="U48" i="12" s="1"/>
  <c r="S87" i="12"/>
  <c r="T87" i="12" s="1"/>
  <c r="U87" i="12" s="1"/>
  <c r="S194" i="12"/>
  <c r="T194" i="12" s="1"/>
  <c r="U194" i="12" s="1"/>
  <c r="S169" i="12"/>
  <c r="T169" i="12" s="1"/>
  <c r="U169" i="12" s="1"/>
  <c r="S143" i="12"/>
  <c r="T143" i="12" s="1"/>
  <c r="U143" i="12" s="1"/>
  <c r="S167" i="12"/>
  <c r="T167" i="12" s="1"/>
  <c r="U167" i="12" s="1"/>
  <c r="S195" i="12"/>
  <c r="T195" i="12" s="1"/>
  <c r="U195" i="12" s="1"/>
  <c r="S189" i="12"/>
  <c r="T189" i="12" s="1"/>
  <c r="U189" i="12" s="1"/>
  <c r="S115" i="12"/>
  <c r="T115" i="12" s="1"/>
  <c r="U115" i="12" s="1"/>
  <c r="S24" i="12"/>
  <c r="T24" i="12" s="1"/>
  <c r="U24" i="12" s="1"/>
  <c r="S98" i="12"/>
  <c r="T98" i="12" s="1"/>
  <c r="U98" i="12" s="1"/>
  <c r="S123" i="12"/>
  <c r="T123" i="12" s="1"/>
  <c r="U123" i="12" s="1"/>
  <c r="S74" i="12"/>
  <c r="T74" i="12" s="1"/>
  <c r="U74" i="12" s="1"/>
  <c r="S146" i="12"/>
  <c r="T146" i="12" s="1"/>
  <c r="U146" i="12" s="1"/>
  <c r="S70" i="12"/>
  <c r="T70" i="12" s="1"/>
  <c r="U70" i="12" s="1"/>
  <c r="S162" i="12"/>
  <c r="T162" i="12" s="1"/>
  <c r="U162" i="12" s="1"/>
  <c r="S150" i="12"/>
  <c r="T150" i="12" s="1"/>
  <c r="U150" i="12" s="1"/>
  <c r="S80" i="12"/>
  <c r="T80" i="12" s="1"/>
  <c r="U80" i="12" s="1"/>
  <c r="S108" i="12"/>
  <c r="T108" i="12" s="1"/>
  <c r="U108" i="12" s="1"/>
  <c r="S158" i="12"/>
  <c r="T158" i="12" s="1"/>
  <c r="U158" i="12" s="1"/>
  <c r="S28" i="12"/>
  <c r="T28" i="12" s="1"/>
  <c r="U28" i="12" s="1"/>
  <c r="S120" i="12"/>
  <c r="T120" i="12" s="1"/>
  <c r="U120" i="12" s="1"/>
  <c r="S35" i="12"/>
  <c r="T35" i="12" s="1"/>
  <c r="U35" i="12" s="1"/>
  <c r="S201" i="12"/>
  <c r="T201" i="12" s="1"/>
  <c r="U201" i="12" s="1"/>
  <c r="S168" i="12"/>
  <c r="T168" i="12" s="1"/>
  <c r="U168" i="12" s="1"/>
  <c r="S190" i="12"/>
  <c r="T190" i="12" s="1"/>
  <c r="U190" i="12" s="1"/>
  <c r="S199" i="12"/>
  <c r="T199" i="12" s="1"/>
  <c r="U199" i="12" s="1"/>
  <c r="S188" i="12"/>
  <c r="S165" i="12"/>
  <c r="D178" i="13"/>
  <c r="D170" i="13"/>
  <c r="D58" i="13"/>
  <c r="D173" i="13"/>
  <c r="D200" i="13"/>
  <c r="C200" i="13"/>
  <c r="D199" i="13"/>
  <c r="D177" i="13"/>
  <c r="C190" i="13"/>
  <c r="C199" i="13"/>
  <c r="D176" i="13"/>
  <c r="D168" i="13"/>
  <c r="D190" i="13"/>
  <c r="D201" i="13"/>
  <c r="C168" i="13"/>
  <c r="C18" i="13"/>
  <c r="C201" i="13"/>
  <c r="C178" i="13"/>
  <c r="C170" i="13"/>
  <c r="C177" i="13"/>
  <c r="C58" i="13"/>
  <c r="M48" i="11"/>
  <c r="M45" i="11"/>
  <c r="M30" i="11"/>
  <c r="M36" i="11"/>
  <c r="M42" i="11"/>
  <c r="M27" i="11"/>
  <c r="M33" i="11"/>
  <c r="M39" i="11"/>
  <c r="C187" i="13"/>
  <c r="C78" i="13"/>
  <c r="C129" i="13"/>
  <c r="C15" i="13"/>
  <c r="C41" i="13"/>
  <c r="D153" i="13"/>
  <c r="S23" i="12"/>
  <c r="S148" i="12"/>
  <c r="D59" i="13"/>
  <c r="D110" i="13"/>
  <c r="D36" i="13"/>
  <c r="S144" i="12"/>
  <c r="S198" i="12"/>
  <c r="T198" i="12" s="1"/>
  <c r="U198" i="12" s="1"/>
  <c r="S149" i="12"/>
  <c r="C54" i="13"/>
  <c r="C196" i="13"/>
  <c r="C60" i="13"/>
  <c r="C138" i="13"/>
  <c r="D171" i="13"/>
  <c r="D33" i="13"/>
  <c r="D97" i="13"/>
  <c r="D159" i="13"/>
  <c r="C195" i="13"/>
  <c r="D145" i="13"/>
  <c r="C125" i="13"/>
  <c r="D194" i="13"/>
  <c r="C88" i="13"/>
  <c r="C72" i="13"/>
  <c r="C68" i="13"/>
  <c r="D169" i="13"/>
  <c r="D189" i="13"/>
  <c r="C29" i="13"/>
  <c r="D103" i="13"/>
  <c r="C37" i="13"/>
  <c r="C105" i="13"/>
  <c r="D100" i="13"/>
  <c r="C63" i="13"/>
  <c r="D143" i="13"/>
  <c r="D181" i="13"/>
  <c r="D26" i="13"/>
  <c r="C90" i="13"/>
  <c r="C45" i="13"/>
  <c r="D23" i="13"/>
  <c r="C110" i="13"/>
  <c r="D198" i="13"/>
  <c r="D149" i="13"/>
  <c r="C94" i="13"/>
  <c r="D142" i="13"/>
  <c r="C25" i="13"/>
  <c r="C44" i="13"/>
  <c r="C185" i="13"/>
  <c r="D60" i="13"/>
  <c r="D138" i="13"/>
  <c r="D20" i="13"/>
  <c r="C171" i="13"/>
  <c r="D78" i="13"/>
  <c r="S33" i="12"/>
  <c r="S159" i="12"/>
  <c r="D195" i="13"/>
  <c r="C38" i="13"/>
  <c r="S42" i="12"/>
  <c r="D64" i="13"/>
  <c r="D125" i="13"/>
  <c r="C155" i="13"/>
  <c r="D141" i="13"/>
  <c r="D88" i="13"/>
  <c r="D72" i="13"/>
  <c r="C169" i="13"/>
  <c r="C189" i="13"/>
  <c r="D29" i="13"/>
  <c r="C95" i="13"/>
  <c r="D105" i="13"/>
  <c r="C121" i="13"/>
  <c r="D124" i="13"/>
  <c r="C81" i="13"/>
  <c r="C143" i="13"/>
  <c r="C47" i="13"/>
  <c r="C26" i="13"/>
  <c r="D90" i="13"/>
  <c r="C93" i="13"/>
  <c r="C148" i="13"/>
  <c r="C144" i="13"/>
  <c r="D167" i="13"/>
  <c r="C198" i="13"/>
  <c r="D94" i="13"/>
  <c r="C142" i="13"/>
  <c r="S25" i="12"/>
  <c r="T25" i="12" s="1"/>
  <c r="U25" i="12" s="1"/>
  <c r="D44" i="13"/>
  <c r="S196" i="12"/>
  <c r="D185" i="13"/>
  <c r="D48" i="13"/>
  <c r="D191" i="13"/>
  <c r="D101" i="13"/>
  <c r="C87" i="13"/>
  <c r="S15" i="12"/>
  <c r="T15" i="12" s="1"/>
  <c r="U15" i="12" s="1"/>
  <c r="C97" i="13"/>
  <c r="D136" i="13"/>
  <c r="C159" i="13"/>
  <c r="C145" i="13"/>
  <c r="S38" i="12"/>
  <c r="D42" i="13"/>
  <c r="S125" i="12"/>
  <c r="T125" i="12" s="1"/>
  <c r="S141" i="12"/>
  <c r="C50" i="13"/>
  <c r="D130" i="13"/>
  <c r="D114" i="13"/>
  <c r="D16" i="13"/>
  <c r="C172" i="13"/>
  <c r="D37" i="13"/>
  <c r="D95" i="13"/>
  <c r="S105" i="12"/>
  <c r="C124" i="13"/>
  <c r="D81" i="13"/>
  <c r="C137" i="13"/>
  <c r="C96" i="13"/>
  <c r="C167" i="13"/>
  <c r="S110" i="12"/>
  <c r="C23" i="13"/>
  <c r="D148" i="13"/>
  <c r="C153" i="13"/>
  <c r="D117" i="13"/>
  <c r="C36" i="13"/>
  <c r="D144" i="13"/>
  <c r="C149" i="13"/>
  <c r="D54" i="13"/>
  <c r="S94" i="12"/>
  <c r="D25" i="13"/>
  <c r="D175" i="13"/>
  <c r="D196" i="13"/>
  <c r="D22" i="13"/>
  <c r="C48" i="13"/>
  <c r="C191" i="13"/>
  <c r="C101" i="13"/>
  <c r="D87" i="13"/>
  <c r="D15" i="13"/>
  <c r="S97" i="12"/>
  <c r="D38" i="13"/>
  <c r="C64" i="13"/>
  <c r="D66" i="13"/>
  <c r="D155" i="13"/>
  <c r="C194" i="13"/>
  <c r="D68" i="13"/>
  <c r="D52" i="13"/>
  <c r="D50" i="13"/>
  <c r="D172" i="13"/>
  <c r="C103" i="13"/>
  <c r="S37" i="12"/>
  <c r="D121" i="13"/>
  <c r="S100" i="12"/>
  <c r="D63" i="13"/>
  <c r="C181" i="13"/>
  <c r="D137" i="13"/>
  <c r="D47" i="13"/>
  <c r="C126" i="13"/>
  <c r="D183" i="13"/>
  <c r="D45" i="13"/>
  <c r="S93" i="12"/>
  <c r="D126" i="13"/>
  <c r="S133" i="12"/>
  <c r="T133" i="12" s="1"/>
  <c r="U133" i="12" s="1"/>
  <c r="C89" i="13"/>
  <c r="D152" i="13"/>
  <c r="S187" i="12"/>
  <c r="T187" i="12" s="1"/>
  <c r="U187" i="12" s="1"/>
  <c r="D157" i="13"/>
  <c r="D108" i="13"/>
  <c r="C56" i="13"/>
  <c r="C84" i="13"/>
  <c r="D128" i="13"/>
  <c r="D102" i="13"/>
  <c r="C17" i="13"/>
  <c r="C192" i="13"/>
  <c r="C106" i="13"/>
  <c r="C31" i="13"/>
  <c r="D123" i="13"/>
  <c r="S82" i="12"/>
  <c r="T82" i="12" s="1"/>
  <c r="U82" i="12" s="1"/>
  <c r="C69" i="13"/>
  <c r="D28" i="13"/>
  <c r="S46" i="12"/>
  <c r="D127" i="13"/>
  <c r="C49" i="13"/>
  <c r="S73" i="12"/>
  <c r="C30" i="13"/>
  <c r="D86" i="13"/>
  <c r="C55" i="13"/>
  <c r="D150" i="13"/>
  <c r="D74" i="13"/>
  <c r="D83" i="13"/>
  <c r="D53" i="13"/>
  <c r="D111" i="13"/>
  <c r="C146" i="13"/>
  <c r="S77" i="12"/>
  <c r="C197" i="13"/>
  <c r="D193" i="13"/>
  <c r="C35" i="13"/>
  <c r="D57" i="13"/>
  <c r="S184" i="12"/>
  <c r="C80" i="13"/>
  <c r="C109" i="13"/>
  <c r="D93" i="13"/>
  <c r="D180" i="13"/>
  <c r="D133" i="13"/>
  <c r="D89" i="13"/>
  <c r="S183" i="12"/>
  <c r="D61" i="13"/>
  <c r="D115" i="13"/>
  <c r="C134" i="13"/>
  <c r="D104" i="13"/>
  <c r="C108" i="13"/>
  <c r="C70" i="13"/>
  <c r="C158" i="13"/>
  <c r="S128" i="12"/>
  <c r="C102" i="13"/>
  <c r="C75" i="13"/>
  <c r="S192" i="12"/>
  <c r="D31" i="13"/>
  <c r="C107" i="13"/>
  <c r="C85" i="13"/>
  <c r="D98" i="13"/>
  <c r="D71" i="13"/>
  <c r="D69" i="13"/>
  <c r="C28" i="13"/>
  <c r="C43" i="13"/>
  <c r="D49" i="13"/>
  <c r="D30" i="13"/>
  <c r="C86" i="13"/>
  <c r="D55" i="13"/>
  <c r="C150" i="13"/>
  <c r="D120" i="13"/>
  <c r="D27" i="13"/>
  <c r="C53" i="13"/>
  <c r="C39" i="13"/>
  <c r="D77" i="13"/>
  <c r="C193" i="13"/>
  <c r="D35" i="13"/>
  <c r="D184" i="13"/>
  <c r="D80" i="13"/>
  <c r="S109" i="12"/>
  <c r="D67" i="13"/>
  <c r="C61" i="13"/>
  <c r="D24" i="13"/>
  <c r="C104" i="13"/>
  <c r="C76" i="13"/>
  <c r="S56" i="12"/>
  <c r="D84" i="13"/>
  <c r="D158" i="13"/>
  <c r="C128" i="13"/>
  <c r="D75" i="13"/>
  <c r="D192" i="13"/>
  <c r="D106" i="13"/>
  <c r="D154" i="13"/>
  <c r="D82" i="13"/>
  <c r="S85" i="12"/>
  <c r="T85" i="12" s="1"/>
  <c r="U85" i="12" s="1"/>
  <c r="C98" i="13"/>
  <c r="D129" i="13"/>
  <c r="C71" i="13"/>
  <c r="C46" i="13"/>
  <c r="D43" i="13"/>
  <c r="D73" i="13"/>
  <c r="D91" i="13"/>
  <c r="S86" i="12"/>
  <c r="D34" i="13"/>
  <c r="C27" i="13"/>
  <c r="C74" i="13"/>
  <c r="C111" i="13"/>
  <c r="D146" i="13"/>
  <c r="D39" i="13"/>
  <c r="C77" i="13"/>
  <c r="S193" i="12"/>
  <c r="S57" i="12"/>
  <c r="C62" i="13"/>
  <c r="C184" i="13"/>
  <c r="D79" i="13"/>
  <c r="C67" i="13"/>
  <c r="D96" i="13"/>
  <c r="C115" i="13"/>
  <c r="D134" i="13"/>
  <c r="C24" i="13"/>
  <c r="D76" i="13"/>
  <c r="D187" i="13"/>
  <c r="D56" i="13"/>
  <c r="D70" i="13"/>
  <c r="S102" i="12"/>
  <c r="D17" i="13"/>
  <c r="S75" i="12"/>
  <c r="T75" i="12" s="1"/>
  <c r="U75" i="12" s="1"/>
  <c r="C154" i="13"/>
  <c r="C82" i="13"/>
  <c r="D107" i="13"/>
  <c r="D85" i="13"/>
  <c r="D162" i="13"/>
  <c r="D41" i="13"/>
  <c r="S71" i="12"/>
  <c r="T71" i="12" s="1"/>
  <c r="U71" i="12" s="1"/>
  <c r="D46" i="13"/>
  <c r="C127" i="13"/>
  <c r="D164" i="13"/>
  <c r="C73" i="13"/>
  <c r="C91" i="13"/>
  <c r="C83" i="13"/>
  <c r="S111" i="12"/>
  <c r="T111" i="12" s="1"/>
  <c r="U111" i="12" s="1"/>
  <c r="D197" i="13"/>
  <c r="C57" i="13"/>
  <c r="D62" i="13"/>
  <c r="D109" i="13"/>
  <c r="C22" i="13"/>
  <c r="C20" i="13"/>
  <c r="U125" i="12"/>
  <c r="T140" i="12"/>
  <c r="U140" i="12" s="1"/>
  <c r="T51" i="12"/>
  <c r="U51" i="12" s="1"/>
  <c r="T92" i="12"/>
  <c r="U92" i="12" s="1"/>
  <c r="T131" i="12"/>
  <c r="T132" i="12"/>
  <c r="U132" i="12" s="1"/>
  <c r="C162" i="13"/>
  <c r="C164" i="13"/>
  <c r="C34" i="13"/>
  <c r="C120" i="13"/>
  <c r="C79" i="13"/>
  <c r="C59" i="13"/>
  <c r="T166" i="12"/>
  <c r="U166" i="12" s="1"/>
  <c r="C33" i="13"/>
  <c r="C141" i="13"/>
  <c r="C176" i="13"/>
  <c r="T112" i="12"/>
  <c r="C16" i="13"/>
  <c r="C173" i="13"/>
  <c r="T99" i="12"/>
  <c r="U99" i="12" s="1"/>
  <c r="T182" i="12"/>
  <c r="U182" i="12" s="1"/>
  <c r="C152" i="13"/>
  <c r="T122" i="12"/>
  <c r="U122" i="12" s="1"/>
  <c r="C117" i="13"/>
  <c r="T147" i="12"/>
  <c r="U147" i="12" s="1"/>
  <c r="C42" i="13"/>
  <c r="C114" i="13"/>
  <c r="C180" i="13"/>
  <c r="C133" i="13"/>
  <c r="C157" i="13"/>
  <c r="C123" i="13"/>
  <c r="T161" i="12"/>
  <c r="U161" i="12" s="1"/>
  <c r="T163" i="12"/>
  <c r="U163" i="12" s="1"/>
  <c r="C188" i="13"/>
  <c r="C175" i="13"/>
  <c r="C136" i="13"/>
  <c r="T40" i="12"/>
  <c r="C66" i="13"/>
  <c r="C52" i="13"/>
  <c r="C130" i="13"/>
  <c r="C100" i="13"/>
  <c r="T179" i="12"/>
  <c r="U179" i="12" s="1"/>
  <c r="C183" i="13"/>
  <c r="T118" i="12"/>
  <c r="T119" i="12"/>
  <c r="U119" i="12" s="1"/>
  <c r="T174" i="12" l="1"/>
  <c r="U174" i="12" s="1"/>
  <c r="U175" i="12"/>
  <c r="T100" i="12"/>
  <c r="U100" i="12" s="1"/>
  <c r="U22" i="12"/>
  <c r="T21" i="12"/>
  <c r="K26" i="11" s="1"/>
  <c r="N24" i="11" s="1"/>
  <c r="Q26" i="11" s="1"/>
  <c r="T156" i="12"/>
  <c r="U156" i="12" s="1"/>
  <c r="U157" i="12"/>
  <c r="T151" i="12"/>
  <c r="U151" i="12" s="1"/>
  <c r="U117" i="12"/>
  <c r="T193" i="12"/>
  <c r="U193" i="12" s="1"/>
  <c r="T188" i="12"/>
  <c r="U188" i="12" s="1"/>
  <c r="T113" i="12"/>
  <c r="U113" i="12" s="1"/>
  <c r="T86" i="12"/>
  <c r="U86" i="12" s="1"/>
  <c r="T192" i="12"/>
  <c r="U192" i="12" s="1"/>
  <c r="T46" i="12"/>
  <c r="U46" i="12" s="1"/>
  <c r="T94" i="12"/>
  <c r="U94" i="12" s="1"/>
  <c r="T38" i="12"/>
  <c r="U38" i="12" s="1"/>
  <c r="T196" i="12"/>
  <c r="U196" i="12" s="1"/>
  <c r="T149" i="12"/>
  <c r="U149" i="12" s="1"/>
  <c r="T139" i="12"/>
  <c r="U139" i="12" s="1"/>
  <c r="T97" i="12"/>
  <c r="U97" i="12" s="1"/>
  <c r="T110" i="12"/>
  <c r="U110" i="12" s="1"/>
  <c r="T105" i="12"/>
  <c r="U105" i="12" s="1"/>
  <c r="T33" i="12"/>
  <c r="U33" i="12" s="1"/>
  <c r="T148" i="12"/>
  <c r="U148" i="12" s="1"/>
  <c r="T73" i="12"/>
  <c r="U73" i="12" s="1"/>
  <c r="T129" i="12"/>
  <c r="T144" i="12"/>
  <c r="U144" i="12" s="1"/>
  <c r="T165" i="12"/>
  <c r="U165" i="12" s="1"/>
  <c r="T77" i="12"/>
  <c r="U77" i="12" s="1"/>
  <c r="U40" i="12"/>
  <c r="U131" i="12"/>
  <c r="U112" i="12"/>
  <c r="U118" i="12"/>
  <c r="R26" i="11" l="1"/>
  <c r="U21" i="12"/>
  <c r="W26" i="11"/>
  <c r="AC26" i="11"/>
  <c r="U26" i="11"/>
  <c r="S26" i="11"/>
  <c r="P26" i="11"/>
  <c r="T26" i="11"/>
  <c r="V26" i="11"/>
  <c r="K32" i="11"/>
  <c r="N30" i="11" s="1"/>
  <c r="T32" i="11" s="1"/>
  <c r="K50" i="11"/>
  <c r="N48" i="11" s="1"/>
  <c r="R50" i="11" s="1"/>
  <c r="K38" i="11"/>
  <c r="N36" i="11" s="1"/>
  <c r="S38" i="11" s="1"/>
  <c r="K47" i="11"/>
  <c r="N45" i="11" s="1"/>
  <c r="U47" i="11" s="1"/>
  <c r="K44" i="11"/>
  <c r="N42" i="11" s="1"/>
  <c r="U44" i="11" s="1"/>
  <c r="T128" i="12"/>
  <c r="U128" i="12" s="1"/>
  <c r="U129" i="12"/>
  <c r="U32" i="11" l="1"/>
  <c r="V32" i="11"/>
  <c r="W32" i="11"/>
  <c r="AC32" i="11"/>
  <c r="R32" i="11"/>
  <c r="S32" i="11"/>
  <c r="Q32" i="11"/>
  <c r="P32" i="11"/>
  <c r="P47" i="11"/>
  <c r="AC47" i="11"/>
  <c r="R47" i="11"/>
  <c r="W38" i="11"/>
  <c r="R44" i="11"/>
  <c r="P44" i="11"/>
  <c r="P38" i="11"/>
  <c r="V44" i="11"/>
  <c r="U38" i="11"/>
  <c r="T38" i="11"/>
  <c r="T50" i="11"/>
  <c r="V50" i="11"/>
  <c r="U50" i="11"/>
  <c r="T44" i="11"/>
  <c r="Q38" i="11"/>
  <c r="P50" i="11"/>
  <c r="W50" i="11"/>
  <c r="S50" i="11"/>
  <c r="S44" i="11"/>
  <c r="W44" i="11"/>
  <c r="AC44" i="11"/>
  <c r="AC38" i="11"/>
  <c r="V38" i="11"/>
  <c r="Q44" i="11"/>
  <c r="AC50" i="11"/>
  <c r="Q50" i="11"/>
  <c r="R38" i="11"/>
  <c r="S47" i="11"/>
  <c r="Q47" i="11"/>
  <c r="V47" i="11"/>
  <c r="W47" i="11"/>
  <c r="T47" i="11"/>
  <c r="S32" i="12" l="1"/>
  <c r="T32" i="12" s="1"/>
  <c r="U32" i="12" s="1"/>
  <c r="S72" i="12" l="1"/>
  <c r="T72" i="12" s="1"/>
  <c r="T65" i="12" s="1"/>
  <c r="U65" i="12" s="1"/>
  <c r="T19" i="12"/>
  <c r="S64" i="12" l="1"/>
  <c r="T64" i="12" s="1"/>
  <c r="U64" i="12" s="1"/>
  <c r="U72" i="12"/>
  <c r="U19" i="12"/>
  <c r="S31" i="12" l="1"/>
  <c r="T31" i="12" s="1"/>
  <c r="U31" i="12" s="1"/>
  <c r="S27" i="12" l="1"/>
  <c r="T27" i="12" s="1"/>
  <c r="U27" i="12" s="1"/>
  <c r="S104" i="12" l="1"/>
  <c r="T104" i="12" s="1"/>
  <c r="U104" i="12" s="1"/>
  <c r="S186" i="12"/>
  <c r="T186" i="12" s="1"/>
  <c r="U186" i="12" s="1"/>
  <c r="S103" i="12" l="1"/>
  <c r="T103" i="12" s="1"/>
  <c r="T93" i="12" s="1"/>
  <c r="U93" i="12" s="1"/>
  <c r="S185" i="12"/>
  <c r="T185" i="12" s="1"/>
  <c r="T183" i="12" s="1"/>
  <c r="U183" i="12" s="1"/>
  <c r="S142" i="12"/>
  <c r="T142" i="12" s="1"/>
  <c r="U142" i="12" s="1"/>
  <c r="S160" i="12" l="1"/>
  <c r="T160" i="12" s="1"/>
  <c r="U160" i="12" s="1"/>
  <c r="T184" i="12"/>
  <c r="U184" i="12" s="1"/>
  <c r="T102" i="12"/>
  <c r="U102" i="12" s="1"/>
  <c r="U185" i="12"/>
  <c r="U103" i="12"/>
  <c r="T141" i="12"/>
  <c r="U141" i="12" s="1"/>
  <c r="S58" i="12" l="1"/>
  <c r="T58" i="12" s="1"/>
  <c r="U58" i="12" s="1"/>
  <c r="T159" i="12"/>
  <c r="U159" i="12" s="1"/>
  <c r="S61" i="12" l="1"/>
  <c r="T61" i="12" s="1"/>
  <c r="U61" i="12" s="1"/>
  <c r="S60" i="12" l="1"/>
  <c r="T60" i="12" s="1"/>
  <c r="U60" i="12" s="1"/>
  <c r="S59" i="12" l="1"/>
  <c r="T59" i="12" s="1"/>
  <c r="U59" i="12" s="1"/>
  <c r="T57" i="12" l="1"/>
  <c r="U57" i="12" s="1"/>
  <c r="T56" i="12"/>
  <c r="K41" i="11" s="1"/>
  <c r="N39" i="11" s="1"/>
  <c r="U41" i="11" s="1"/>
  <c r="T41" i="11" l="1"/>
  <c r="R41" i="11"/>
  <c r="P41" i="11"/>
  <c r="V41" i="11"/>
  <c r="S41" i="11"/>
  <c r="Q41" i="11"/>
  <c r="U56" i="12"/>
  <c r="W41" i="11"/>
  <c r="AC41" i="11"/>
  <c r="S136" i="12" l="1"/>
  <c r="T136" i="12" s="1"/>
  <c r="S43" i="12"/>
  <c r="T43" i="12" s="1"/>
  <c r="S26" i="12" l="1"/>
  <c r="T26" i="12" s="1"/>
  <c r="U26" i="12" s="1"/>
  <c r="U43" i="12"/>
  <c r="T42" i="12"/>
  <c r="U42" i="12" s="1"/>
  <c r="T37" i="12"/>
  <c r="T135" i="12"/>
  <c r="U135" i="12" s="1"/>
  <c r="T109" i="12"/>
  <c r="U109" i="12" s="1"/>
  <c r="U136" i="12"/>
  <c r="K35" i="11" l="1"/>
  <c r="N33" i="11" s="1"/>
  <c r="U37" i="12"/>
  <c r="AC35" i="11" l="1"/>
  <c r="Q35" i="11"/>
  <c r="R35" i="11"/>
  <c r="T35" i="11"/>
  <c r="W35" i="11"/>
  <c r="U35" i="11"/>
  <c r="S35" i="11"/>
  <c r="V35" i="11"/>
  <c r="P35" i="11"/>
  <c r="S30" i="12" l="1"/>
  <c r="T30" i="12" s="1"/>
  <c r="S20" i="12" l="1"/>
  <c r="T20" i="12" s="1"/>
  <c r="U30" i="12"/>
  <c r="T23" i="12"/>
  <c r="U23" i="12" l="1"/>
  <c r="K29" i="11"/>
  <c r="N27" i="11" s="1"/>
  <c r="U20" i="12"/>
  <c r="T14" i="12"/>
  <c r="U14" i="12" l="1"/>
  <c r="K23" i="11"/>
  <c r="N21" i="11" s="1"/>
  <c r="S29" i="11"/>
  <c r="AC29" i="11"/>
  <c r="U29" i="11"/>
  <c r="Q29" i="11"/>
  <c r="R29" i="11"/>
  <c r="W29" i="11"/>
  <c r="T29" i="11"/>
  <c r="V29" i="11"/>
  <c r="P29" i="11"/>
  <c r="W23" i="11" l="1"/>
  <c r="P23" i="11"/>
  <c r="AC23" i="11"/>
  <c r="T23" i="11"/>
  <c r="V23" i="11"/>
  <c r="Q23" i="11"/>
  <c r="U23" i="11"/>
  <c r="R23" i="11"/>
  <c r="S23" i="11"/>
  <c r="T13" i="12" l="1"/>
  <c r="T12" i="12" l="1"/>
  <c r="N14" i="11" s="1"/>
  <c r="K20" i="11"/>
  <c r="N18" i="11" s="1"/>
  <c r="U13" i="12"/>
  <c r="U5" i="12" l="1"/>
  <c r="AC20" i="11"/>
  <c r="U20" i="11"/>
  <c r="V20" i="11"/>
  <c r="R20" i="11"/>
  <c r="W20" i="11"/>
  <c r="P20" i="11"/>
  <c r="S20" i="11"/>
  <c r="T20" i="11"/>
  <c r="Q20" i="11"/>
  <c r="S19" i="11" l="1"/>
  <c r="S17" i="11"/>
  <c r="V19" i="11"/>
  <c r="V17" i="11"/>
  <c r="P19" i="11"/>
  <c r="P17" i="11"/>
  <c r="U17" i="11"/>
  <c r="U19" i="11"/>
  <c r="Q17" i="11"/>
  <c r="Q19" i="11"/>
  <c r="W19" i="11"/>
  <c r="W18" i="11" s="1"/>
  <c r="W17" i="11"/>
  <c r="AC17" i="11"/>
  <c r="AC19" i="11"/>
  <c r="AC18" i="11" s="1"/>
  <c r="T19" i="11"/>
  <c r="T17" i="11"/>
  <c r="R19" i="11"/>
  <c r="R17" i="11"/>
  <c r="U16" i="11" l="1"/>
  <c r="U15" i="11"/>
  <c r="U14" i="11" s="1"/>
  <c r="T15" i="11"/>
  <c r="T14" i="11" s="1"/>
  <c r="T16" i="11"/>
  <c r="P15" i="11"/>
  <c r="P14" i="11" s="1"/>
  <c r="P18" i="11" s="1"/>
  <c r="P16" i="11"/>
  <c r="L8" i="11" s="1"/>
  <c r="S15" i="11"/>
  <c r="S14" i="11" s="1"/>
  <c r="S16" i="11"/>
  <c r="AC16" i="11"/>
  <c r="AC15" i="11"/>
  <c r="AC14" i="11" s="1"/>
  <c r="Q15" i="11"/>
  <c r="Q14" i="11" s="1"/>
  <c r="Q18" i="11" s="1"/>
  <c r="Q16" i="11"/>
  <c r="R15" i="11"/>
  <c r="R14" i="11" s="1"/>
  <c r="R18" i="11" s="1"/>
  <c r="R16" i="11"/>
  <c r="W15" i="11"/>
  <c r="W14" i="11" s="1"/>
  <c r="W16" i="11"/>
  <c r="V15" i="11"/>
  <c r="V14" i="11" s="1"/>
  <c r="V16" i="11"/>
</calcChain>
</file>

<file path=xl/sharedStrings.xml><?xml version="1.0" encoding="utf-8"?>
<sst xmlns="http://schemas.openxmlformats.org/spreadsheetml/2006/main" count="1638" uniqueCount="527">
  <si>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</si>
  <si>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</si>
  <si>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</si>
  <si>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</si>
  <si>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</si>
  <si>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</si>
  <si>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</si>
  <si>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</si>
  <si>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</si>
  <si>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</si>
  <si>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</si>
  <si>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</si>
  <si>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</si>
  <si>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</si>
  <si>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</si>
  <si>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</si>
  <si>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</si>
  <si>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</si>
  <si>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</si>
  <si>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</si>
  <si>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</si>
  <si>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</si>
  <si>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</si>
  <si>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</si>
  <si>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</si>
  <si>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</si>
  <si>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</si>
  <si>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</si>
  <si>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</si>
  <si>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</si>
  <si>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</si>
  <si>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</si>
  <si>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</si>
  <si>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</si>
  <si>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</si>
  <si>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</si>
  <si>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</si>
  <si>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</si>
  <si>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</si>
  <si>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</si>
  <si>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</si>
  <si>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</si>
  <si>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</si>
  <si>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</si>
  <si>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</si>
  <si>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</si>
  <si>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</si>
  <si>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</si>
  <si>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</si>
  <si>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</si>
  <si>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</si>
  <si>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</si>
  <si>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</si>
  <si>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</si>
  <si>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</si>
  <si>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</si>
  <si>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</si>
  <si>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</si>
  <si>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</si>
  <si>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</si>
  <si>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</si>
  <si>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</si>
  <si>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</si>
  <si>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</si>
  <si>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</si>
  <si>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</si>
  <si>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</si>
  <si>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</si>
  <si>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</si>
  <si>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</si>
  <si>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</si>
  <si>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</si>
  <si>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</si>
  <si>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</si>
  <si>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</si>
  <si>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</si>
  <si>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</si>
  <si>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</si>
  <si>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</si>
  <si>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</si>
  <si>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</si>
  <si>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</si>
  <si>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</si>
  <si>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</si>
  <si>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</si>
  <si>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</si>
  <si>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</si>
  <si>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</si>
  <si>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</si>
  <si>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</si>
  <si>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</si>
  <si>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</si>
  <si>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</si>
  <si>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</si>
  <si>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</si>
  <si>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</si>
  <si>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</si>
  <si>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</si>
  <si>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</si>
  <si>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</si>
  <si>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</si>
  <si>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</si>
  <si>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</si>
  <si>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</si>
  <si>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</si>
  <si>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</si>
  <si>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</si>
  <si>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</si>
  <si>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</si>
  <si>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</si>
  <si>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</si>
  <si>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</si>
  <si>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</si>
  <si>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</si>
  <si>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</si>
  <si>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</si>
  <si>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</si>
  <si>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</si>
  <si>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</si>
  <si>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</si>
  <si>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</si>
  <si>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</si>
  <si>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</si>
  <si>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</si>
  <si>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</si>
  <si>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</si>
  <si>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</si>
  <si>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</si>
  <si>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</si>
  <si>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</si>
  <si>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</si>
  <si>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</si>
  <si>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</si>
  <si>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</si>
  <si>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</si>
  <si>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</si>
  <si>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</si>
  <si>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</si>
  <si>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</si>
  <si>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</si>
  <si>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</si>
  <si>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</si>
  <si>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</si>
  <si>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</si>
  <si>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</si>
  <si>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</si>
  <si>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</si>
  <si>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</si>
  <si>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</si>
  <si>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</si>
  <si>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</si>
  <si>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</si>
  <si>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</si>
  <si>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</si>
  <si>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</si>
  <si>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</si>
  <si>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</si>
  <si>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</si>
  <si>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</si>
  <si>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</si>
  <si>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</si>
  <si>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</si>
  <si>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</si>
  <si>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</si>
  <si>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</si>
  <si>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</si>
  <si>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</si>
  <si>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</si>
  <si>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</si>
  <si>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</si>
  <si>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</si>
  <si>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</si>
  <si>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</si>
  <si>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</si>
  <si>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</si>
  <si>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</si>
  <si>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</si>
  <si>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</si>
  <si>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</si>
  <si>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</si>
  <si>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</si>
  <si>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</si>
  <si>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</si>
  <si>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</si>
  <si>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</si>
  <si>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</si>
  <si>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</si>
  <si>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</si>
  <si>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</si>
  <si>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</si>
  <si>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</si>
  <si>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</si>
  <si>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</si>
  <si>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</si>
  <si>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</si>
  <si>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</si>
  <si>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</si>
  <si>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</si>
  <si>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</si>
  <si>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</si>
  <si>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</si>
  <si>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</si>
  <si>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</si>
  <si>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</si>
  <si>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</si>
  <si>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</si>
  <si>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</si>
  <si>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</si>
  <si>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</si>
  <si>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</si>
  <si>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</si>
  <si>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</si>
  <si>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</si>
  <si>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</si>
  <si>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</si>
  <si>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</si>
  <si>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</si>
  <si>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</si>
  <si>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</si>
  <si>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</si>
  <si>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</si>
  <si>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</si>
  <si>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</si>
  <si>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</si>
  <si>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</si>
  <si>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</si>
  <si>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</si>
  <si>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</si>
  <si>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</si>
  <si>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BENTO GONÇALVES/RS</t>
  </si>
  <si>
    <t>SINAPI</t>
  </si>
  <si>
    <t>Não</t>
  </si>
  <si>
    <t>Única</t>
  </si>
  <si>
    <t>SINAPI-I</t>
  </si>
  <si>
    <t>PM BENTO</t>
  </si>
  <si>
    <t>MUNICÍPIO DE BENTO GONÇALVES</t>
  </si>
  <si>
    <t>10775</t>
  </si>
  <si>
    <t>103689</t>
  </si>
  <si>
    <t>88484</t>
  </si>
  <si>
    <t>88496</t>
  </si>
  <si>
    <t>105115</t>
  </si>
  <si>
    <t>104640</t>
  </si>
  <si>
    <t>100717</t>
  </si>
  <si>
    <t>100720</t>
  </si>
  <si>
    <t>100744</t>
  </si>
  <si>
    <t>SERVIÇOS PRELIMINARES</t>
  </si>
  <si>
    <t>01</t>
  </si>
  <si>
    <t>10776</t>
  </si>
  <si>
    <t>101616</t>
  </si>
  <si>
    <t>99059</t>
  </si>
  <si>
    <t>96535</t>
  </si>
  <si>
    <t>104918</t>
  </si>
  <si>
    <t>96558</t>
  </si>
  <si>
    <t>92269</t>
  </si>
  <si>
    <t>103672</t>
  </si>
  <si>
    <t>87894</t>
  </si>
  <si>
    <t>98562</t>
  </si>
  <si>
    <t>98557</t>
  </si>
  <si>
    <t>96536</t>
  </si>
  <si>
    <t>104916</t>
  </si>
  <si>
    <t>96557</t>
  </si>
  <si>
    <t>92762</t>
  </si>
  <si>
    <t>92759</t>
  </si>
  <si>
    <t>103358</t>
  </si>
  <si>
    <t>87905</t>
  </si>
  <si>
    <t>87779</t>
  </si>
  <si>
    <t>87879</t>
  </si>
  <si>
    <t>87527</t>
  </si>
  <si>
    <t>87273</t>
  </si>
  <si>
    <t>88415</t>
  </si>
  <si>
    <t>95626</t>
  </si>
  <si>
    <t>88485</t>
  </si>
  <si>
    <t>88497</t>
  </si>
  <si>
    <t>98558</t>
  </si>
  <si>
    <t>98688</t>
  </si>
  <si>
    <t>104658</t>
  </si>
  <si>
    <t>99842</t>
  </si>
  <si>
    <t>94213</t>
  </si>
  <si>
    <t>101979</t>
  </si>
  <si>
    <t>100327</t>
  </si>
  <si>
    <t>94228</t>
  </si>
  <si>
    <t>93358</t>
  </si>
  <si>
    <t>93382</t>
  </si>
  <si>
    <t>86932</t>
  </si>
  <si>
    <t>100849</t>
  </si>
  <si>
    <t>99806</t>
  </si>
  <si>
    <t>99802</t>
  </si>
  <si>
    <t>99803</t>
  </si>
  <si>
    <t>M</t>
  </si>
  <si>
    <t>SERVIÇOS FINAIS E LIMPEZA GERAL DE OBRA</t>
  </si>
  <si>
    <t>NÃO</t>
  </si>
  <si>
    <t xml:space="preserve">Encargos Sociais SEM DESONERAÇÃO:HORISTA 111,95% / MENSALISTA 69,29%. </t>
  </si>
  <si>
    <t>REFORMA DO CRAS I</t>
  </si>
  <si>
    <t>RUA CALISTO ORESTES SGANZERLA, 70, BAIRRO OURO VERDE</t>
  </si>
  <si>
    <t>102656</t>
  </si>
  <si>
    <t>99</t>
  </si>
  <si>
    <t>97633</t>
  </si>
  <si>
    <t>97622</t>
  </si>
  <si>
    <t>101</t>
  </si>
  <si>
    <t>111</t>
  </si>
  <si>
    <t>97644</t>
  </si>
  <si>
    <t>97645</t>
  </si>
  <si>
    <t>100</t>
  </si>
  <si>
    <t>112</t>
  </si>
  <si>
    <t>115</t>
  </si>
  <si>
    <t>87275</t>
  </si>
  <si>
    <t>87261</t>
  </si>
  <si>
    <t>102</t>
  </si>
  <si>
    <t>88489</t>
  </si>
  <si>
    <t>96359</t>
  </si>
  <si>
    <t>100674</t>
  </si>
  <si>
    <t>90843</t>
  </si>
  <si>
    <t>102193</t>
  </si>
  <si>
    <t>102197</t>
  </si>
  <si>
    <t>102219</t>
  </si>
  <si>
    <t>107</t>
  </si>
  <si>
    <t>104</t>
  </si>
  <si>
    <t>105</t>
  </si>
  <si>
    <t>106</t>
  </si>
  <si>
    <t>100701</t>
  </si>
  <si>
    <t>99861</t>
  </si>
  <si>
    <t>113</t>
  </si>
  <si>
    <t>100722</t>
  </si>
  <si>
    <t>100742</t>
  </si>
  <si>
    <t>114</t>
  </si>
  <si>
    <t>97632</t>
  </si>
  <si>
    <t>101727</t>
  </si>
  <si>
    <t>101862</t>
  </si>
  <si>
    <t>105728</t>
  </si>
  <si>
    <t>104797</t>
  </si>
  <si>
    <t>94273</t>
  </si>
  <si>
    <t>121</t>
  </si>
  <si>
    <t>120</t>
  </si>
  <si>
    <t>122</t>
  </si>
  <si>
    <t>96624</t>
  </si>
  <si>
    <t>94995</t>
  </si>
  <si>
    <t>117</t>
  </si>
  <si>
    <t>104790</t>
  </si>
  <si>
    <t>102073</t>
  </si>
  <si>
    <t>109</t>
  </si>
  <si>
    <t>110</t>
  </si>
  <si>
    <t>118</t>
  </si>
  <si>
    <t>98564</t>
  </si>
  <si>
    <t>87794</t>
  </si>
  <si>
    <t>103076</t>
  </si>
  <si>
    <t>119</t>
  </si>
  <si>
    <t>105033</t>
  </si>
  <si>
    <t>108</t>
  </si>
  <si>
    <t>116</t>
  </si>
  <si>
    <t>123</t>
  </si>
  <si>
    <t>97647</t>
  </si>
  <si>
    <t>104803</t>
  </si>
  <si>
    <t>98553</t>
  </si>
  <si>
    <t>97631</t>
  </si>
  <si>
    <t>124</t>
  </si>
  <si>
    <t>87531</t>
  </si>
  <si>
    <t>97641</t>
  </si>
  <si>
    <t>96109</t>
  </si>
  <si>
    <t>SICRO</t>
  </si>
  <si>
    <t>100981</t>
  </si>
  <si>
    <t>97914</t>
  </si>
  <si>
    <t>106166</t>
  </si>
  <si>
    <t>99811</t>
  </si>
  <si>
    <t xml:space="preserve"> -  </t>
  </si>
  <si>
    <t xml:space="preserve">ADMINISTRAÇÃO LOCAL  </t>
  </si>
  <si>
    <t>DEMOLIÇÕES, RETIRADAS. ADEQUAÇÕES</t>
  </si>
  <si>
    <t>PAREDES</t>
  </si>
  <si>
    <t>REVESTIMENTO E PINTURA INTERNA</t>
  </si>
  <si>
    <t>Revestimento cerâmico e porcelanato</t>
  </si>
  <si>
    <t>Pintura interna</t>
  </si>
  <si>
    <t>DRYWALL</t>
  </si>
  <si>
    <t>ESQUADRIAS</t>
  </si>
  <si>
    <t>Instalações e reinstalações de esquadrias</t>
  </si>
  <si>
    <t>Acabamentos de esquadrias</t>
  </si>
  <si>
    <t>PISO VINÍLICO</t>
  </si>
  <si>
    <t>PISO EXTERNO - ÁREAS DE INTERTRAVADOS</t>
  </si>
  <si>
    <t>PISO EXTERNO - ACESSO NORTE</t>
  </si>
  <si>
    <t>ESCADA EXTERNA</t>
  </si>
  <si>
    <t>Escada - Demolições e remoções</t>
  </si>
  <si>
    <t>Escada - Movimento de terra p/ ajustar base</t>
  </si>
  <si>
    <t>Execução da escada em concreto armado</t>
  </si>
  <si>
    <t>Escada - Guarda-corpos e corrimões</t>
  </si>
  <si>
    <t>Escada - Pintura Guarda-corpos e corrimões</t>
  </si>
  <si>
    <t>ACESSIBILIDADE 1</t>
  </si>
  <si>
    <t>Rampa - Movimento de terra p/ ajustar base</t>
  </si>
  <si>
    <t>Rampa - Estruturas de concr. arm. e muros</t>
  </si>
  <si>
    <t>Rampa - Impermeabilização e revestimentos</t>
  </si>
  <si>
    <t xml:space="preserve">Rampa - Pintura  </t>
  </si>
  <si>
    <t>Piso da rampa, c/ lastro, compactação, lona, formas, armação, concretagem, acabamento e juntas</t>
  </si>
  <si>
    <t>Rampa - Guarda-corpos e corrimões</t>
  </si>
  <si>
    <t>Rampa - Pintura guarda-corpos e corrimões</t>
  </si>
  <si>
    <t>LIXEIRA PRXÓXIMA À RAMPA</t>
  </si>
  <si>
    <t>Base em concreto armado - Lixeira</t>
  </si>
  <si>
    <t>Paredes e revestimentos - lixeira</t>
  </si>
  <si>
    <t>Pinturas - Lixeira</t>
  </si>
  <si>
    <t>OUTROS ITENS</t>
  </si>
  <si>
    <t>REPARO DE INFILTRAÇÃO E FISSURA</t>
  </si>
  <si>
    <t>GUARDA-CORPOS E CORRIMÕES DO ACESSO PRINCIPAL</t>
  </si>
  <si>
    <t>Guarda-corp e corr. - Acesso Principal</t>
  </si>
  <si>
    <t>Pintura guarda-corp. e corr. - Aces. Princip.</t>
  </si>
  <si>
    <t xml:space="preserve">Serviços finais  </t>
  </si>
  <si>
    <t>Limpeza final de obra</t>
  </si>
  <si>
    <t>FORNECIMENTO E INSTALAÇÃO DE PLACA DE OBRA COM CHAPA GALVANIZADA E ESTRUTURA DE MADEIRA. AF_03/2022_PS</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</si>
  <si>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</si>
  <si>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</si>
  <si>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INSTALAÇÃO E DESINSTALAÇÃO MECANIZADA DE CONTÊINER OU MÓDULO HABITÁVEL DE USOS DIVERSOS. AF_03/2024</t>
  </si>
  <si>
    <t>SINALIZAÇÃO COM FITA FIXADA EM CONE PLÁSTICO, INCLUINDO CONE. AF_03/2024</t>
  </si>
  <si>
    <t>PROJETO COMPLEMENTAR EXECUTIVO DE ESTRUTURAS DE CONCRETO ARMADO PARA ESCADA E RAMPA DE ACESSIBILIDADE E AS BUILT COM EMISSÃO DE DOCUMENTO DE RESPONSABILIDADE TÉCNICA</t>
  </si>
  <si>
    <t>ADMINISTRAÇÃO LOCAL DE OBRA</t>
  </si>
  <si>
    <t>DEMOLIÇÃO DE REVESTIMENTO CERÂMICO, DE FORMA MANUAL, SEM REAPROVEITAMENTO. AF_09/2023</t>
  </si>
  <si>
    <t>DEMOLIÇÃO DE ALVENARIA DE BLOCO FURADO, DE FORMA MANUAL, SEM REAPROVEITAMENTO. AF_09/2023</t>
  </si>
  <si>
    <t>REMOÇÃO DE PERSIANA INSTALADA EM JANELA, INCLUINDO DESMONTAGEM DOS SUPORTES, RETIRADA DE PARAFUSOS E REMOÇÃO DO LOCAL, SEM REAPROVEITAMENTO (BASE SINAPI 97638 ADAPT.)</t>
  </si>
  <si>
    <t>REMOÇÃO DE CHAPAS E PERFIS DE DIVISÓRIAS LEVES, DE FORMA MANUAL, SEM REAPROVEITAMENTO (BASE SINAPI 97638 ADAPT.)</t>
  </si>
  <si>
    <t>REMOÇÃO DE PORTAS, DE FORMA MANUAL, SEM REAPROVEITAMENTO. AF_09/2023</t>
  </si>
  <si>
    <t>REMOÇÃO DE JANELAS, DE FORMA MANUAL, SEM REAPROVEITAMENTO. AF_09/2023</t>
  </si>
  <si>
    <t>REMOÇÃO PARCIAL DE GRADE, PARA ABERTURA DE VÃO, E AJUSTES DE ACABAMENTO COM REQUADRO NA REMANESCENTE (BASE SINAPI 97655 ADAPT.)</t>
  </si>
  <si>
    <t>REMOÇÃO DE SOLEIRAS, PINGADEIRAS/PEITORIS EM GRANITO, DE FORMA MANUAL, COM REAPROVEITAMENTO, INCLUINDO DESLOCAMENTO CUIDADOSO, LIMPEZA DA ARGAMASSA ADERIDA E ACONDICIONAMENTO PARA REUTILIZAÇÃO (BASE SINAPI 97633 ADAPT.)</t>
  </si>
  <si>
    <t>REMOÇÃO DE LOUÇA/SANITÁRIO, DE FORMA MANUAL, COM POSSÍVEL REAPROVEITAMENTO POSTERIOR (BASE SINAPI 97663 ADAPT.)</t>
  </si>
  <si>
    <t>ALVENARIA DE VEDAÇÃO DE BLOCOS CERÂMICOS FURADOS NA HORIZONTAL DE 11,5X19X29 CM (ESPESSURA 11,5 CM) E ARGAMASSA DE ASSENTAMENTO COM PREPARO EM BETONEIRA. AF_12/2021</t>
  </si>
  <si>
    <t>CHAPISCO APLICADO EM ALVENARIAS E ESTRUTURAS DE CONCRETO INTERNAS, COM COLHER DE PEDREIRO. ARGAMASSA TRAÇO 1:3 COM PREPARO EM BETONEIRA 400L. AF_10/2022</t>
  </si>
  <si>
    <t>EMBOÇO, EM ARGAMASSA TRAÇO 1:2:8, PREPARO MECÂNICO, APLICADO MANUALMENTE EM PAREDES INTERNAS DE AMBIENTES COM ÁREA MENOR QUE 5M², E =17,5MM, COM TALISCAS. AF_03/2024</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</si>
  <si>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</si>
  <si>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</si>
  <si>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PISO COM PLACAS TIPO PORCELANATO DE DIMENSÕES 60X60 CM APLICADA EM AMBIENTES DE ÁREA MENOR QUE 5 M². AF_02/2023_PE</t>
  </si>
  <si>
    <t>LIXAMENTO E PREPARAÇÃO DE PAREDES PARA APLICAÇÃO DE FUNDO OU PINTURA (BASE SINAPI 88495 ADAPT.)</t>
  </si>
  <si>
    <t>FUNDO SELADOR ACRÍLICO, APLICAÇÃO MANUAL EM PAREDE, UMA DEMÃO. AF_04/2023</t>
  </si>
  <si>
    <t>PINTURA LÁTEX ACRÍLICA PREMIUM, APLICAÇÃO MANUAL EM PAREDES, DUAS DEMÃOS. AF_04/2023</t>
  </si>
  <si>
    <t>PAREDE COM SISTEMA EM CHAPAS DE GESSO PARA DRYWALL, USO INTERNO, COM DUAS FACES SIMPLES E ESTRUTURA METÁLICA COM GUIAS SIMPLES PARA PAREDES COM ÁREA LÍQUIDA MAIOR OU IGUAL A 6 M2, COM VÃOS. AF_07/2023_PS</t>
  </si>
  <si>
    <t>CAIXILHO FIXO DE ALUMÍNIO PARA VIDRO (VIDRO INCLUSO), BATENTE/ REQUADRO DE 4 A 14 CM, SEM GUARNIÇÃO/ ALIZAR, FIXAÇÃO COM PARAFUSOS, VEDAÇÃO COM SILICONE, EXCLUSIVE CONTRAMARCO - FORNECIMENTO E INSTALAÇÃO. AF_11/2024</t>
  </si>
  <si>
    <t>EMASSAMENTO COM MASSA LÁTEX, APLICAÇÃO EM PAREDE, DUAS DEMÃOS, LIXAMENTO MANUAL. AF_04/2023</t>
  </si>
  <si>
    <t>KIT DE PORTA DE MADEIRA PARA PINTURA, SEMI-OCA (LEVE OU MÉDIA), PADRÃO MÉDIO, 80X210CM, ESPESSURA DE 3,5CM, ITENS INCLUSOS: DOBRADIÇAS, MONTAGEM E INSTALAÇÃO DO BATENTE, FECHADURA COM EXECUÇÃO DO FURO - FORNECIMENTO E INSTALAÇÃO. AF_10/2025</t>
  </si>
  <si>
    <t>LIXAMENTO DE MADEIRA PARA APLICAÇÃO DE FUNDO OU PINTURA. AF_01/2021</t>
  </si>
  <si>
    <t>PINTURA FUNDO NIVELADOR ALQUÍDICO BRANCO EM MADEIRA. AF_01/2021</t>
  </si>
  <si>
    <t>PINTURA TINTA DE ACABAMENTO (PIGMENTADA) ESMALTE SINTÉTICO ACETINADO EM MADEIRA, 2 DEMÃOS. AF_01/2021</t>
  </si>
  <si>
    <t>REINSTALAÇÃO DE PEITORIL/PINGADEIRA EM GRANITO OU MÁRMORE, COM REAPROVEITAMENTO DE PEÇA EXISTENTE, ASSENTADO COM ARGAMASSA 1:6 COM ADITIVO OU ARGAMASSA COLANTE TIPO ACIII (BASE SINAPI 101965)</t>
  </si>
  <si>
    <t>REINSTALAÇÃO DE JANELA DE ALUMÍNIO DE CORRER COM VIDROS, INCLUSO AJUSTES E REQUADRO DO VÃO (BASE SINAPI 94570 ADAPT.)</t>
  </si>
  <si>
    <t>REINSTALAÇÃO DE PORTA DE MADEIRA COMPLETA, COM DOBRADIÇAS, BATENTE, GUARNIÇÕES E FECHADURA (BASE SINAPI 90843 ADAPT.)</t>
  </si>
  <si>
    <t>PORTA DE CORRER DE MADEIRA, FECHADURA E PUXADOR, COM ALIZAR, 80 X 210 CM, FORNECIMENTO E INSTALAÇÃO (BASE SINAPI 106148)</t>
  </si>
  <si>
    <t>PORTA DE FERRO, DE ABRIR, TIPO GRADE COM CHAPA, COM GUARNIÇÕES. AF_10/2025</t>
  </si>
  <si>
    <t>GRADIL EM AÇO FIXADO EM VÃOS DE JANELAS, FORMADO POR BARRAS CHATAS DE 25X4,8 MM. AF_10/2025</t>
  </si>
  <si>
    <t>PORTA DE ALUMÍNIO DE ABRIR, PARA VIDRO COM VIDROS INCLUSOS, COM GUARNIÇÃO, 90X220CM, FIXAÇÃO COM ARGAMASSA (BASE SINAPI 106145 ADAPT.)</t>
  </si>
  <si>
    <t>LIXAMENTO MANUAL EM SUPERFÍCIES METÁLICAS EM OBRA. AF_01/2020</t>
  </si>
  <si>
    <t>PINTURA COM TINTA ALQUÍDICA DE FUNDO (TIPO ZARCÃO) APLICADA A ROLO OU PINCEL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</si>
  <si>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</si>
  <si>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AJUSTES EM PORTA COM REFORÇO DE FIXAÇÃO DA ESQUADRIA, NOVA FECHADURA PRINCIPAL E INSTALAÇÃO DE FECHADURA AUXILIAR PARA MAIOR SEGURANÇA (BASE SINAPI 90830 ADAPT.)</t>
  </si>
  <si>
    <t>DEMOLIÇÃO DE RODAPÉ CERÂMICO, DE FORMA MANUAL, SEM REAPROVEITAMENTO. AF_09/2023</t>
  </si>
  <si>
    <t>PISO VINÍLICO SEMI-FLEXÍVEL EM PLACAS, PADRÃO LISO, ESPESSURA 3,2 MM, FIXADO COM COLA. AF_02/2026</t>
  </si>
  <si>
    <t>RODAPÉ EM POLIESTIRENO, ALTURA 5 CM. AF_02/2026</t>
  </si>
  <si>
    <t>REASSENTAMENTO DE BLOCOS RETANGULAR PARA PISO INTERTRAVADO, ESPESSURA DE 6 CM, EM CALÇADA, COM REAPROVEITAMENTO DOS BLOCOS RETANGULAR - INCLUSO RETIRADA E COLOCAÇÃO DO MATERIAL. AF_12/2020</t>
  </si>
  <si>
    <t>RECONSTRUÇÃO DE BASE E SUB-BASE PARA PAVIMENTAÇÃO DE BRITA GRADUADA SIMPLES, COM ESPESSURA DE 10 CM - EXCLUSIVE CARGA E TRANSPORTE. AF_09/2024</t>
  </si>
  <si>
    <t>REMOÇAO DE GUIAS PRÉ-FABRICADAS DE CONCRETO, DE FORMA MECANIZADA, COM REAPROVEITAMENTO. AF_09/2023</t>
  </si>
  <si>
    <t>ASSENTAMENTO DE GUIA (MEIO-FIO) EM TRECHO RETO, CONFECCIONADA EM CONCRETO PRÉ-FABRICADO, DIMENSÕES 100X15X13X30 CM (COMPRIMENTO X BASE INFERIOR X BASE SUPERIOR X ALTURA). AF_01/2024</t>
  </si>
  <si>
    <t>PISO PODOTÁTIL DE ALERTA OU DIRECIONAL, DE CONCRETO, ASSENTADO SOBRE ARGAMASSA. AF_03/2024</t>
  </si>
  <si>
    <t>REMOÇÃO DE TAMPA DE GRADE (BASE SINAPI 97645)</t>
  </si>
  <si>
    <t>TAMPA PARA CAIXA, EM FERRO FUNDIDO, DIMENSÕES INTERNAS: 0,8 X 0,8 M - FORNECIMENTO E INSTALAÇÃO. (BASE SINAPI 101799)</t>
  </si>
  <si>
    <t>REMOÇÃO DE TAMPA DE CONCRETO QUEBRADA E INSTALAÇÃO DE NOVA TAMPA DE CONCRETO (BASE SINAPI 97898)</t>
  </si>
  <si>
    <t>FABRICAÇÃO, MONTAGEM E DESMONTAGEM DE FÔRMA PARA VIGA BALDRAME, EM MADEIRA SERRADA, E=25 MM, 4 UTILIZAÇÕES. AF_01/2024</t>
  </si>
  <si>
    <t>ARMAÇÃO DE SAPATA ISOLADA, VIGA BALDRAME E SAPATA CORRIDA UTILIZANDO AÇO CA-60 DE 5 MM - MONTAGEM. AF_01/2024</t>
  </si>
  <si>
    <t>ARMAÇÃO DE SAPATA ISOLADA, VIGA BALDRAME E SAPATA CORRIDA UTILIZANDO AÇO CA-50 DE 8 MM - MONTAGEM. AF_01/2024</t>
  </si>
  <si>
    <t>CONCRETAGEM DE BLOCO DE COROAMENTO OU VIGA BALDRAME, FCK 30 MPA, COM USO DE BOMBA - LANÇAMENTO, ADENSAMENTO E ACABAMENTO. AF_01/2024</t>
  </si>
  <si>
    <t>LASTRO COM MATERIAL GRANULAR (PEDRA BRITADA N.2), APLICADO EM PISOS OU LAJES SOBRE SOLO, ESPESSURA DE *10 CM*. AF_01/2024</t>
  </si>
  <si>
    <t>EXECUÇÃO DE PASSEIO (CALÇADA) OU PISO DE CONCRETO COM CONCRETO MOLDADO IN LOCO, USINADO, ACABAMENTO CONVENCIONAL, ESPESSURA 8 CM, ARMADO. AF_08/2022</t>
  </si>
  <si>
    <t>REMOÇÃO DE GUARDA-CORPOS E CORRIMÕES, DE FORMA MANUAL, SEM REAPROVEITAMENTO. (BASE SINAPI 104800)</t>
  </si>
  <si>
    <t>DEMOLIÇÃO DE PISO DE CONCRETO SIMPLES, DE FORMA MECANIZADA COM MARTELETE, SEM REAPROVEITAMENTO. AF_09/2023</t>
  </si>
  <si>
    <t>ESCAVAÇÃO MANUAL DE VALA. AF_09/2024</t>
  </si>
  <si>
    <t>REATERRO MANUAL DE VALAS, COM COMPACTADOR DE SOLOS DE PERCUSSÃO. AF_08/2023</t>
  </si>
  <si>
    <t>ESCADA EM CONCRETO ARMADO MOLDADO IN LOCO, FCK 25 MPA, COM 1 LANCE E LAJE PLANA, FÔRMA EM CHAPA DE MADEIRA COMPENSADA RESINADA. AF_11/2020</t>
  </si>
  <si>
    <t>GUARDA-CORPO DE AÇO GALVANIZADO DE 1,10M, DUPLO 
CORRIMÃO, MONTANTES TUBULARES DE 1.1/4" ESPAÇADOS DE 
1,20M, TRAVESSA SUPERIOR DE 1.1/2", GRADIL EM TUBOS 
HORIZONTAIS DE 1" E VERTICAIS DE 3/4", FIXADO COM ADESIVO 
ESTRUTURAL EPOXI OU CHUMBADOR MECÂNICO (BASE SINAPI 99851 E 99842)</t>
  </si>
  <si>
    <t>CORRIMÃO DUPLO CENTRAL FIXADO NO PISO EM AÇO 
GALVANIZADO DE 1.1/2", MONTANTES TUBULARES 1.1/2" 
ESPAÇADOS DE 1,00M, FIXADO COM CHUMBADOR MECÂNICO. (BASE SINAPI 106212)</t>
  </si>
  <si>
    <t>PINTURA COM TINTA ALQUÍDICA DE FUNDO (TIPO ZARCÃO) APLICADA A ROLO OU PINCEL SOBRE PERFIL METÁLICO EXECUTADO EM FÁBRICA (POR DEMÃO). AF_01/2020</t>
  </si>
  <si>
    <t>PINTURA COM TINTA ALQUÍDICA DE ACABAMENTO (ESMALTE SINTÉTICO BRILHANTE) APLICADA A ROLO OU PINCEL SOBRE PERFIL METÁLICO EXECUTADO EM FÁBRICA (POR DEMÃO). AF_01/2020</t>
  </si>
  <si>
    <t>PREPARO DE FUNDO DE VALA COM LARGURA MENOR QUE 1,5 M (ACERTO DO SOLO NATURAL), EM LOCAL COM NÍVEL BAIXO DE INTERFERÊNCIA. AF_01/2026</t>
  </si>
  <si>
    <t>LOCAÇÃO CONVENCIONAL DE OBRA, UTILIZANDO GABARITO DE TÁBUAS CORRIDAS PONTALETADAS A CADA 2,00M - 2 UTILIZAÇÕES. AF_03/2024</t>
  </si>
  <si>
    <t>FABRICAÇÃO, MONTAGEM E DESMONTAGEM DE FÔRMA PARA SAPATA, EM MADEIRA SERRADA, E=25 MM, 4 UTILIZAÇÕES. AF_01/2024</t>
  </si>
  <si>
    <t>CONCRETAGEM DE SAPATA, FCK 30 MPA, COM USO DE BOMBA - LANÇAMENTO, ADENSAMENTO E ACABAMENTO. AF_01/2024</t>
  </si>
  <si>
    <t>FABRICAÇÃO DE FÔRMA PARA PILARES E ESTRUTURAS SIMILARES, EM MADEIRA SERRADA, E=25 MM. AF_09/2020</t>
  </si>
  <si>
    <t>ARMAÇÃO DE PILAR OU VIGA DE ESTRUTURA CONVENCIONAL DE CONCRETO ARMADO UTILIZANDO AÇO CA-50 DE 10,0 MM - MONTAGEM. AF_06/2022</t>
  </si>
  <si>
    <t>ARMAÇÃO DE PILAR OU VIGA DE ESTRUTURA CONVENCIONAL DE CONCRETO ARMADO UTILIZANDO AÇO CA-60 DE 5,0 MM - MONTAGEM. AF_06/2022</t>
  </si>
  <si>
    <t>CONCRETAGEM DE PILARES, FCK = 25 MPA, COM USO DE BOMBA - LANÇAMENTO, ADENSAMENTO E ACABAMENTO. AF_02/2022_PS</t>
  </si>
  <si>
    <t>MURO DE ARRIMO COM BLOCOS DE CONCRETO ESTRUTURAL, ATÉ 1,6 M DE ALTURA (EXCETO FUNDAÇÃO), INCLUINDO CINTAS DE AMARRAÇÃO, REATERRO DE VALAS, GRAUTEAMENTOS VERTICAIS E DRENAGEM DO MURO. (BASE SINAPI 100350)</t>
  </si>
  <si>
    <t>IMPERMEABILIZAÇÃO DE SUPERFÍCIE COM EMULSÃO ASFÁLTICA, 2 DEMÃOS. AF_09/2023</t>
  </si>
  <si>
    <t>CHAPISCO APLICADO EM ALVENARIA (SEM PRESENÇA DE VÃOS) E ESTRUTURAS DE CONCRETO DE FACHADA, COM COLHER DE PEDREIRO. ARGAMASSA TRAÇO 1:3 COM PREPARO EM BETONEIRA 400L. AF_10/2022</t>
  </si>
  <si>
    <t>IMPERMEABILIZAÇÃO DE SUPERFÍCIE COM ARGAMASSA DE CIMENTO E AREIA, COM ADITIVO IMPERMEABILIZANTE, E = 1,5CM. AF_09/2023</t>
  </si>
  <si>
    <t>PROTEÇÃO MECÂNICA DE SUPERFÍCIE VERTICAL COM ARGAMASSA DE CIMENTO E AREIA, TRAÇO 1:3, E=2CM. AF_09/2023</t>
  </si>
  <si>
    <t>EMBOÇO OU MASSA ÚNICA EM ARGAMASSA TRAÇO 1:2:8, PREPARO MANUAL, APLICADA MANUALMENTE EM PANOS CEGOS DE FACHADA (SEM PRESENÇA DE VÃOS), ESPESSURA DE 25 MM. AF_09/2022</t>
  </si>
  <si>
    <t>APLICAÇÃO MANUAL DE FUNDO SELADOR ACRÍLICO EM PAREDES EXTERNAS DE CASAS. AF_03/2024</t>
  </si>
  <si>
    <t>APLICAÇÃO MANUAL DE TINTA LÁTEX ACRÍLICA EM PAREDE EXTERNAS DE CASAS, DUAS DEMÃOS. AF_03/2024</t>
  </si>
  <si>
    <t>EXECUÇÃO DE LAJE SOBRE SOLO, ESPESSURA DE 10 CM, FCK = 30 MPA, COM USO DE FORMAS EM MADEIRA SERRADA. AF_09/2021</t>
  </si>
  <si>
    <t>CORRIMÃO DUPLO FIXADO NO PISO EM AÇO GALVANIZADO DE 
1.1/2", MONTANTES TUBULARES 1.1/2" ESPAÇADOS DE 1,00M, 
FIXADO COM CHUMBADOR MECÂNICO. (BASE SINAPI 106211)</t>
  </si>
  <si>
    <t>CINTA DE AMARRAÇÃO DE ALVENARIA MOLDADA IN LOCO COM UTILIZAÇÃO DE BLOCOS CANALETA, ESPESSURA DE *15* CM. AF_03/2024</t>
  </si>
  <si>
    <t>CHAPISCO APLICADO EM ALVENARIA (COM PRESENÇA DE VÃOS) E ESTRUTURAS DE CONCRETO DE FACHADA, COM COLHER DE PEDREIRO. ARGAMASSA TRAÇO 1:3 COM PREPARO EM BETONEIRA 400L. AF_10/2022</t>
  </si>
  <si>
    <t>EMBOÇO OU MASSA ÚNICA EM ARGAMASSA TRAÇO 1:2:8, PREPARO MECÂNICO COM BETONEIRA 400 L, APLICADA MANUALMENTE EM PANOS DE FACHADA COM PRESENÇA DE VÃOS, ESPESSURA DE 35 MM. AF_08/2022</t>
  </si>
  <si>
    <t>PERSIANA VERTICAL, BLACKOUT, BEGE MESCLA, DE TECIDO, KIT COMPLETO COM TRILHO, SUPORTES, COMANDOS DE ACIONAMENTO, PARAFUSOS E ACESSÓRIOS - FORNECIMENTO E INSTALAÇÃO</t>
  </si>
  <si>
    <t>REINSTALAÇÃO DE LAVATÓRIO DE LOUÇA BRANCA, COM COLUNA, COM TORNEIRA E VÁLVULA E INCLUSO NOVO SIFÃO E NOVO ENGATE FLEXÍVEL DE 40CM DE METAL CROMADO (BASE SINAPI 86941 ADAPT.)</t>
  </si>
  <si>
    <t>BACIA SANITÁRIA COM CAIXA ACOPLADA LOUÇA BRANCA - PADRÃO MÉDIO, INCLUSO ENGATE FLEXÍVEL EM METAL CROMADO, 1/2" X 40 CM - FORNECIMENTO E INSTALAÇÃO. AF_02/2026</t>
  </si>
  <si>
    <t>ASSENTO SANITÁRIO CONVENCIONAL - FORNECIMENTO E INSTALAÇÃO. AF_02/2026</t>
  </si>
  <si>
    <t>PORTINHOLA DE MDF, COM ACABAMENTO E COM TRAVA DE ACIONAMENTO ELÉTRICO, COMPLETA - FORNECIMENTO E INSTALAÇÃO (BASE SINAPI 90820)</t>
  </si>
  <si>
    <t>REMOÇÃO DE TELHAS DE FIBROCIMENTO METÁLICA E CERÂMICA, DE FORMA MANUAL, SEM REAPROVEITAMENTO. AF_09/2023</t>
  </si>
  <si>
    <t>TELHAMENTO COM TELHA DE AÇO/ALUMÍNIO E = 0,5 MM, COM ATÉ 2 ÁGUAS, INCLUSO IÇAMENTO. AF_06/2026</t>
  </si>
  <si>
    <t>REMOÇÃO CALHAS E RUFOS, DE FORMA MANUAL, SEM REAPROVEITAMENTO. AF_09/2023</t>
  </si>
  <si>
    <t>IMPERMEABILIZAÇÃO DE SUPERFÍCIE COM MEMBRANA À BASE DE POLIURETANO, 2 DEMÃOS. AF_09/2023</t>
  </si>
  <si>
    <t>CHAPIM (RUFO CAPA) EM AÇO GALVANIZADO, CORTE 33. AF_11/2020</t>
  </si>
  <si>
    <t>TRATAMENTO DE RALO OU PONTO EMERGENTE COM ARGAMASSA POLIMÉRICA / MEMBRANA ACRÍLICA REFORÇADO COM VÉU DE POLIÉSTER. AF_09/2023</t>
  </si>
  <si>
    <t>CALHA EM CHAPA DE AÇO GALVANIZADO NÚMERO 24, DESENVOLVIMENTO DE 50 CM, INCLUSO TRANSPORTE VERTICAL. AF_06/2026</t>
  </si>
  <si>
    <t>RUFO EXTERNO/INTERNO EM CHAPA DE AÇO GALVANIZADO NÚMERO 26, CORTE DE 33 CM, INCLUSO IÇAMENTO. AF_06/2026</t>
  </si>
  <si>
    <t>DEMOLIÇÃO DE ARGAMASSAS, DE FORMA MANUAL, SEM REAPROVEITAMENTO. AF_09/2023</t>
  </si>
  <si>
    <t>TRATAMENTO DE FISSURA, COM SELANTE PU. (BASE SINAPI 98575)</t>
  </si>
  <si>
    <t>EMBOÇO, EM ARGAMASSA TRAÇO 1:2:8, PREPARO MECÂNICO, APLICADO MANUALMENTE EM PAREDES INTERNAS DE AMBIENTES COM ÁREA ENTRE 5M² E 10M², E = 17,5MM, COM TALISCAS. AF_03/2024</t>
  </si>
  <si>
    <t>REMOÇÃO DE FORRO DE GESSO, DE FORMA MANUAL, SEM REAPROVEITAMENTO. AF_09/2023</t>
  </si>
  <si>
    <t>FORRO EM PLACAS DE GESSO, PARA AMBIENTES RESIDENCIAIS. AF_08/2023_PS</t>
  </si>
  <si>
    <t>FUNDO SELADOR ACRÍLICO, APLICAÇÃO MANUAL EM TETO, UMA DEMÃO. AF_04/2023</t>
  </si>
  <si>
    <t>EMASSAMENTO COM MASSA LÁTEX, APLICAÇÃO EM TETO, DUAS DEMÃOS, LIXAMENTO MANUAL. AF_04/2023</t>
  </si>
  <si>
    <t>PINTURA LÁTEX ACRÍLICA STANDARD, APLICAÇÃO MANUAL EM TETO, DUAS DEMÃOS. AF_04/2023</t>
  </si>
  <si>
    <t>GUARDA-CORPO DE AÇO GALVANIZADO DE 1,10M, MONTANTES TUBULARES DE 1.1/4" ESPAÇADOS 1,20M, TRAVESSA SUPERIOR DE 1.1/2", GRADIL FORMADO POR TUBOS HORIZONTAIS DE 1" E VERTICAIS DE 3/4", FIXADO COM ADESIVO ESTRUTURAL EPOXI. AF_10/2025_PS</t>
  </si>
  <si>
    <t>CARGA, MANOBRA E DESCARGA DE ENTULHO EM CAMINHÃO BASCULANTE 6 M³ - CARGA COM ESCAVADEIRA HIDRÁULICA (CAÇAMBA DE 0,80 M³ / 111 HP) E DESCARGA LIVRE (UNIDADE: M3). AF_02/2026</t>
  </si>
  <si>
    <t>TRANSPORTE COM CAMINHÃO BASCULANTE DE 6 M³, EM VIA URBANA PAVIMENTADA, DMT ATÉ 30 KM (UNIDADE: M3XKM). AF_02/2026</t>
  </si>
  <si>
    <t>LIMPEZA DE PISO VINÍLICO COM VASSOURA E PANO ÚMIDO. AF_10/2025_PS</t>
  </si>
  <si>
    <t>LIMPEZA DE PISO CERÂMICO OU PORCELANATO COM VASSOURA A SECO. AF_10/2025</t>
  </si>
  <si>
    <t>LIMPEZA DE PISO CERÂMICO OU PORCELANATO COM PANO ÚMIDO. AF_10/2025_PS</t>
  </si>
  <si>
    <t>LIMPEZA DE REVESTIMENTO CERÂMICO EM PAREDE COM PANO ÚMIDO. AF_10/2025_PS</t>
  </si>
  <si>
    <t>LIMPEZA DE CONTRAPISO COM VASSOURA A SECO. AF_10/2025</t>
  </si>
  <si>
    <t>M2</t>
  </si>
  <si>
    <t>MES</t>
  </si>
  <si>
    <t>UN</t>
  </si>
  <si>
    <t>M3</t>
  </si>
  <si>
    <t>KG</t>
  </si>
  <si>
    <t>M3XKM</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</si>
</sst>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 numFmtId="172" formatCode="_-* #,##0.00_-;\-* #,##0.00_-;_-* \-??_-;_-@_-"/>
    <numFmt numFmtId="173" formatCode="_(* #,##0.00_);_(* \(#,##0.00\);_(* \-??_);_(@_)"/>
    <numFmt numFmtId="174" formatCode="_-&quot;R$ &quot;* #,##0.00_-;&quot;-R$ &quot;* #,##0.00_-;_-&quot;R$ &quot;* \-??_-;_-@_-"/>
  </numFmts>
  <fonts count="64" x14ac:knownFonts="1">
    <font>
      <sz val="10"/>
      <name val="Arial"/>
    </font>
    <font>
      <sz val="11"/>
      <color theme="1"/>
      <name val="Calibri"/>
      <family val="2"/>
      <scheme val="minor"/>
    </font>
    <font>
      <sz val="11"/>
      <color theme="1"/>
      <name val="Calibri"/>
      <family val="2"/>
      <scheme val="minor"/>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Calibri"/>
      <family val="2"/>
      <scheme val="minor"/>
    </font>
    <font>
      <sz val="10"/>
      <color indexed="8"/>
      <name val="Arial"/>
      <family val="2"/>
    </font>
    <font>
      <sz val="11"/>
      <color rgb="FF000000"/>
      <name val="Calibri"/>
      <family val="2"/>
      <charset val="204"/>
    </font>
    <font>
      <sz val="11"/>
      <color rgb="FF000000"/>
      <name val="Calibri"/>
      <family val="2"/>
      <charset val="1"/>
    </font>
    <font>
      <u/>
      <sz val="10"/>
      <color theme="10"/>
      <name val="Arial"/>
      <family val="2"/>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s>
  <borders count="1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44"/>
      </left>
      <right style="thin">
        <color indexed="44"/>
      </right>
      <top style="thin">
        <color indexed="44"/>
      </top>
      <bottom style="thin">
        <color indexed="44"/>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indexed="8"/>
      </left>
      <right style="hair">
        <color indexed="8"/>
      </right>
      <top style="hair">
        <color indexed="8"/>
      </top>
      <bottom style="hair">
        <color indexed="8"/>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s>
  <cellStyleXfs count="4130">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2" fillId="3" borderId="0" applyNumberFormat="0" applyBorder="0" applyAlignment="0" applyProtection="0"/>
    <xf numFmtId="0" fontId="7" fillId="4" borderId="0" applyNumberFormat="0" applyBorder="0" applyAlignment="0" applyProtection="0"/>
    <xf numFmtId="0" fontId="8" fillId="20" borderId="1" applyNumberFormat="0" applyAlignment="0" applyProtection="0"/>
    <xf numFmtId="0" fontId="8" fillId="20" borderId="1" applyNumberFormat="0" applyAlignment="0" applyProtection="0"/>
    <xf numFmtId="0" fontId="9" fillId="21" borderId="2" applyNumberFormat="0" applyAlignment="0" applyProtection="0"/>
    <xf numFmtId="0" fontId="10" fillId="0" borderId="3" applyNumberFormat="0" applyFill="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1" fillId="7" borderId="1" applyNumberFormat="0" applyAlignment="0" applyProtection="0"/>
    <xf numFmtId="0" fontId="5" fillId="0" borderId="0"/>
    <xf numFmtId="0" fontId="16" fillId="0" borderId="0" applyNumberFormat="0" applyFill="0" applyBorder="0" applyAlignment="0" applyProtection="0"/>
    <xf numFmtId="0" fontId="7" fillId="4" borderId="0" applyNumberFormat="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12" fillId="3" borderId="0" applyNumberFormat="0" applyBorder="0" applyAlignment="0" applyProtection="0"/>
    <xf numFmtId="0" fontId="11" fillId="7" borderId="1" applyNumberFormat="0" applyAlignment="0" applyProtection="0"/>
    <xf numFmtId="0" fontId="10" fillId="0" borderId="3" applyNumberFormat="0" applyFill="0" applyAlignment="0" applyProtection="0"/>
    <xf numFmtId="165" fontId="3" fillId="0" borderId="0" applyFont="0" applyFill="0" applyBorder="0" applyAlignment="0" applyProtection="0"/>
    <xf numFmtId="169" fontId="3" fillId="0" borderId="0" applyFont="0" applyFill="0" applyBorder="0" applyAlignment="0" applyProtection="0"/>
    <xf numFmtId="0" fontId="13" fillId="22" borderId="0" applyNumberFormat="0" applyBorder="0" applyAlignment="0" applyProtection="0"/>
    <xf numFmtId="0" fontId="13" fillId="22" borderId="0" applyNumberFormat="0" applyBorder="0" applyAlignment="0" applyProtection="0"/>
    <xf numFmtId="0" fontId="3" fillId="0" borderId="0"/>
    <xf numFmtId="0" fontId="4" fillId="0" borderId="0"/>
    <xf numFmtId="0" fontId="3" fillId="23" borderId="7" applyNumberFormat="0" applyFont="0" applyAlignment="0" applyProtection="0"/>
    <xf numFmtId="0" fontId="3" fillId="23" borderId="7" applyNumberFormat="0" applyFont="0" applyAlignment="0" applyProtection="0"/>
    <xf numFmtId="0" fontId="14" fillId="20" borderId="8" applyNumberFormat="0" applyAlignment="0" applyProtection="0"/>
    <xf numFmtId="9" fontId="3" fillId="0" borderId="0" applyFont="0" applyFill="0" applyBorder="0" applyAlignment="0" applyProtection="0"/>
    <xf numFmtId="0" fontId="14" fillId="20" borderId="8"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0" borderId="9" applyNumberFormat="0" applyFill="0" applyAlignment="0" applyProtection="0"/>
    <xf numFmtId="164" fontId="3" fillId="0" borderId="0" applyFont="0" applyFill="0" applyBorder="0" applyAlignment="0" applyProtection="0"/>
    <xf numFmtId="0" fontId="15" fillId="0" borderId="0" applyNumberFormat="0" applyFill="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6" borderId="0" applyNumberFormat="0" applyBorder="0" applyAlignment="0" applyProtection="0"/>
    <xf numFmtId="0" fontId="6" fillId="37" borderId="0" applyNumberFormat="0" applyBorder="0" applyAlignment="0" applyProtection="0"/>
    <xf numFmtId="0" fontId="6" fillId="33" borderId="0" applyNumberFormat="0" applyBorder="0" applyAlignment="0" applyProtection="0"/>
    <xf numFmtId="0" fontId="6" fillId="38" borderId="0" applyNumberFormat="0" applyBorder="0" applyAlignment="0" applyProtection="0"/>
    <xf numFmtId="0" fontId="6" fillId="36" borderId="0" applyNumberFormat="0" applyBorder="0" applyAlignment="0" applyProtection="0"/>
    <xf numFmtId="0" fontId="6" fillId="39" borderId="0" applyNumberFormat="0" applyBorder="0" applyAlignment="0" applyProtection="0"/>
    <xf numFmtId="0" fontId="6" fillId="40" borderId="0" applyNumberFormat="0" applyBorder="0" applyAlignment="0" applyProtection="0"/>
    <xf numFmtId="0" fontId="7" fillId="32" borderId="0" applyNumberFormat="0" applyBorder="0" applyAlignment="0" applyProtection="0"/>
    <xf numFmtId="0" fontId="8" fillId="41" borderId="1" applyNumberFormat="0" applyAlignment="0" applyProtection="0"/>
    <xf numFmtId="0" fontId="9" fillId="42" borderId="2" applyNumberFormat="0" applyAlignment="0" applyProtection="0"/>
    <xf numFmtId="0" fontId="6" fillId="39" borderId="0" applyNumberFormat="0" applyBorder="0" applyAlignment="0" applyProtection="0"/>
    <xf numFmtId="0" fontId="6" fillId="43" borderId="0" applyNumberFormat="0" applyBorder="0" applyAlignment="0" applyProtection="0"/>
    <xf numFmtId="0" fontId="6" fillId="42"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6" fillId="40" borderId="0" applyNumberFormat="0" applyBorder="0" applyAlignment="0" applyProtection="0"/>
    <xf numFmtId="0" fontId="11" fillId="33" borderId="1" applyNumberFormat="0" applyAlignment="0" applyProtection="0"/>
    <xf numFmtId="174" fontId="3" fillId="0" borderId="0" applyFill="0" applyBorder="0" applyAlignment="0" applyProtection="0"/>
    <xf numFmtId="0" fontId="5" fillId="0" borderId="0"/>
    <xf numFmtId="0" fontId="3" fillId="35" borderId="41" applyNumberFormat="0" applyAlignment="0" applyProtection="0"/>
    <xf numFmtId="9" fontId="3" fillId="0" borderId="0" applyFill="0" applyBorder="0" applyAlignment="0" applyProtection="0"/>
    <xf numFmtId="9" fontId="3" fillId="0" borderId="0" applyFill="0" applyBorder="0" applyAlignment="0" applyProtection="0"/>
    <xf numFmtId="0" fontId="14" fillId="41" borderId="8" applyNumberFormat="0" applyAlignment="0" applyProtection="0"/>
    <xf numFmtId="0" fontId="55" fillId="0" borderId="42" applyNumberFormat="0" applyFill="0" applyAlignment="0" applyProtection="0"/>
    <xf numFmtId="0" fontId="56" fillId="0" borderId="43" applyNumberFormat="0" applyFill="0" applyAlignment="0" applyProtection="0"/>
    <xf numFmtId="0" fontId="57" fillId="0" borderId="44" applyNumberFormat="0" applyFill="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21" fillId="0" borderId="45" applyNumberFormat="0" applyFill="0" applyAlignment="0" applyProtection="0"/>
    <xf numFmtId="173" fontId="3" fillId="0" borderId="0" applyFill="0" applyBorder="0" applyAlignment="0" applyProtection="0"/>
    <xf numFmtId="172" fontId="3" fillId="0" borderId="0" applyFill="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4" borderId="0" applyNumberFormat="0" applyBorder="0" applyAlignment="0" applyProtection="0"/>
    <xf numFmtId="0" fontId="8" fillId="20" borderId="1" applyNumberFormat="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0" fontId="13" fillId="22" borderId="0" applyNumberFormat="0" applyBorder="0" applyAlignment="0" applyProtection="0"/>
    <xf numFmtId="0" fontId="3" fillId="23" borderId="7" applyNumberFormat="0" applyFont="0" applyAlignment="0" applyProtection="0"/>
    <xf numFmtId="9" fontId="3" fillId="0" borderId="0" applyFont="0" applyFill="0" applyBorder="0" applyAlignment="0" applyProtection="0"/>
    <xf numFmtId="0" fontId="14" fillId="20" borderId="8" applyNumberFormat="0" applyAlignment="0" applyProtection="0"/>
    <xf numFmtId="0" fontId="17" fillId="0" borderId="0" applyNumberFormat="0" applyFill="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0" borderId="9" applyNumberFormat="0" applyFill="0" applyAlignment="0" applyProtection="0"/>
    <xf numFmtId="164" fontId="3" fillId="0" borderId="0" applyFont="0" applyFill="0" applyBorder="0" applyAlignment="0" applyProtection="0"/>
    <xf numFmtId="0" fontId="11" fillId="33" borderId="1" applyNumberFormat="0" applyAlignment="0" applyProtection="0"/>
    <xf numFmtId="0" fontId="8" fillId="41" borderId="1"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3" fillId="35" borderId="41" applyNumberFormat="0" applyAlignment="0" applyProtection="0"/>
    <xf numFmtId="0" fontId="14" fillId="41" borderId="8"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59" fillId="0" borderId="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3" fillId="35" borderId="41" applyNumberFormat="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8" fillId="41" borderId="1" applyNumberFormat="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8" fillId="41" borderId="1" applyNumberFormat="0" applyAlignment="0" applyProtection="0"/>
    <xf numFmtId="0" fontId="21" fillId="0" borderId="45" applyNumberFormat="0" applyFill="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8" fillId="41" borderId="1" applyNumberFormat="0" applyAlignment="0" applyProtection="0"/>
    <xf numFmtId="0" fontId="11" fillId="33" borderId="1" applyNumberFormat="0" applyAlignment="0" applyProtection="0"/>
    <xf numFmtId="0" fontId="3" fillId="35" borderId="4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11" fillId="33" borderId="1"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11" fillId="33" borderId="1"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1" fillId="33" borderId="1" applyNumberFormat="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4" fillId="41" borderId="8" applyNumberFormat="0" applyAlignment="0" applyProtection="0"/>
    <xf numFmtId="0" fontId="21" fillId="0" borderId="45" applyNumberFormat="0" applyFill="0" applyAlignment="0" applyProtection="0"/>
    <xf numFmtId="0" fontId="11" fillId="33" borderId="1"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3" fillId="0" borderId="0"/>
    <xf numFmtId="0" fontId="8" fillId="20" borderId="1" applyNumberFormat="0" applyAlignment="0" applyProtection="0"/>
    <xf numFmtId="0" fontId="8" fillId="20" borderId="1" applyNumberFormat="0" applyAlignment="0" applyProtection="0"/>
    <xf numFmtId="0" fontId="11" fillId="7" borderId="1" applyNumberFormat="0" applyAlignment="0" applyProtection="0"/>
    <xf numFmtId="0" fontId="11" fillId="7" borderId="1" applyNumberFormat="0" applyAlignment="0" applyProtection="0"/>
    <xf numFmtId="0" fontId="14" fillId="20" borderId="8" applyNumberFormat="0" applyAlignment="0" applyProtection="0"/>
    <xf numFmtId="0" fontId="14" fillId="20" borderId="8" applyNumberFormat="0" applyAlignment="0" applyProtection="0"/>
    <xf numFmtId="0" fontId="60" fillId="0" borderId="0" applyNumberFormat="0" applyFill="0" applyBorder="0" applyAlignment="0" applyProtection="0"/>
    <xf numFmtId="165" fontId="60" fillId="0" borderId="0" applyFont="0" applyFill="0" applyBorder="0" applyAlignment="0" applyProtection="0"/>
    <xf numFmtId="165" fontId="60"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60" fillId="0" borderId="0" applyNumberFormat="0" applyFill="0" applyBorder="0" applyAlignment="0" applyProtection="0"/>
    <xf numFmtId="0" fontId="2" fillId="0" borderId="0"/>
    <xf numFmtId="0" fontId="61" fillId="0" borderId="0"/>
    <xf numFmtId="9" fontId="60" fillId="0" borderId="0" applyFont="0" applyFill="0" applyBorder="0" applyAlignment="0" applyProtection="0"/>
    <xf numFmtId="9" fontId="2" fillId="0" borderId="0" applyFont="0" applyFill="0" applyBorder="0" applyAlignment="0" applyProtection="0"/>
    <xf numFmtId="9"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60"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164" fontId="60" fillId="0" borderId="0" applyFont="0" applyFill="0" applyBorder="0" applyAlignment="0" applyProtection="0"/>
    <xf numFmtId="0" fontId="62" fillId="0" borderId="0"/>
    <xf numFmtId="0" fontId="8" fillId="20" borderId="1" applyNumberFormat="0" applyAlignment="0" applyProtection="0"/>
    <xf numFmtId="0" fontId="11" fillId="7" borderId="1" applyNumberFormat="0" applyAlignment="0" applyProtection="0"/>
    <xf numFmtId="0" fontId="14" fillId="20" borderId="8" applyNumberFormat="0" applyAlignment="0" applyProtection="0"/>
    <xf numFmtId="0" fontId="11" fillId="33" borderId="1" applyNumberFormat="0" applyAlignment="0" applyProtection="0"/>
    <xf numFmtId="0" fontId="8" fillId="41" borderId="1"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3" fillId="35" borderId="41" applyNumberFormat="0" applyAlignment="0" applyProtection="0"/>
    <xf numFmtId="0" fontId="14" fillId="41" borderId="8"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11" fillId="33" borderId="1" applyNumberFormat="0" applyAlignment="0" applyProtection="0"/>
    <xf numFmtId="0" fontId="11" fillId="33" borderId="1"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3" fillId="35" borderId="41" applyNumberFormat="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8" fillId="41" borderId="1" applyNumberFormat="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8" fillId="41" borderId="1" applyNumberFormat="0" applyAlignment="0" applyProtection="0"/>
    <xf numFmtId="0" fontId="21" fillId="0" borderId="45" applyNumberFormat="0" applyFill="0" applyAlignment="0" applyProtection="0"/>
    <xf numFmtId="0" fontId="14" fillId="41" borderId="8" applyNumberFormat="0" applyAlignment="0" applyProtection="0"/>
    <xf numFmtId="0" fontId="21" fillId="0" borderId="45" applyNumberFormat="0" applyFill="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1" fillId="33" borderId="1" applyNumberFormat="0" applyAlignment="0" applyProtection="0"/>
    <xf numFmtId="0" fontId="3" fillId="35" borderId="4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8" fillId="41" borderId="1" applyNumberFormat="0" applyAlignment="0" applyProtection="0"/>
    <xf numFmtId="0" fontId="11" fillId="33" borderId="1" applyNumberFormat="0" applyAlignment="0" applyProtection="0"/>
    <xf numFmtId="0" fontId="11" fillId="33" borderId="1" applyNumberFormat="0" applyAlignment="0" applyProtection="0"/>
    <xf numFmtId="0" fontId="3" fillId="35" borderId="41" applyNumberFormat="0" applyAlignment="0" applyProtection="0"/>
    <xf numFmtId="0" fontId="3" fillId="35" borderId="41" applyNumberFormat="0" applyAlignment="0" applyProtection="0"/>
    <xf numFmtId="0" fontId="3" fillId="35" borderId="41" applyNumberFormat="0" applyAlignment="0" applyProtection="0"/>
    <xf numFmtId="0" fontId="14" fillId="41" borderId="8" applyNumberFormat="0" applyAlignment="0" applyProtection="0"/>
    <xf numFmtId="0" fontId="14" fillId="41" borderId="8" applyNumberFormat="0" applyAlignment="0" applyProtection="0"/>
    <xf numFmtId="0" fontId="14" fillId="41" borderId="8" applyNumberFormat="0" applyAlignment="0" applyProtection="0"/>
    <xf numFmtId="0" fontId="11" fillId="33" borderId="1"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14" fillId="41" borderId="8" applyNumberFormat="0" applyAlignment="0" applyProtection="0"/>
    <xf numFmtId="0" fontId="11" fillId="33" borderId="1" applyNumberFormat="0" applyAlignment="0" applyProtection="0"/>
    <xf numFmtId="0" fontId="3" fillId="35" borderId="41" applyNumberFormat="0" applyAlignment="0" applyProtection="0"/>
    <xf numFmtId="0" fontId="21" fillId="0" borderId="45" applyNumberFormat="0" applyFill="0" applyAlignment="0" applyProtection="0"/>
    <xf numFmtId="0" fontId="14" fillId="41" borderId="8" applyNumberFormat="0" applyAlignment="0" applyProtection="0"/>
    <xf numFmtId="0" fontId="14" fillId="41" borderId="8" applyNumberFormat="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21" fillId="0" borderId="45" applyNumberFormat="0" applyFill="0" applyAlignment="0" applyProtection="0"/>
    <xf numFmtId="0" fontId="3" fillId="0" borderId="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3" fillId="0" borderId="0"/>
    <xf numFmtId="168" fontId="14" fillId="41" borderId="67" applyNumberFormat="0" applyAlignment="0" applyProtection="0"/>
    <xf numFmtId="0" fontId="11" fillId="33" borderId="59" applyNumberFormat="0" applyAlignment="0" applyProtection="0"/>
    <xf numFmtId="168" fontId="11" fillId="33" borderId="53" applyNumberFormat="0" applyAlignment="0" applyProtection="0"/>
    <xf numFmtId="168" fontId="8" fillId="41" borderId="53" applyNumberFormat="0" applyAlignment="0" applyProtection="0"/>
    <xf numFmtId="168" fontId="3" fillId="35" borderId="60" applyNumberFormat="0" applyAlignment="0" applyProtection="0"/>
    <xf numFmtId="0" fontId="8" fillId="41" borderId="53" applyNumberFormat="0" applyAlignment="0" applyProtection="0"/>
    <xf numFmtId="0" fontId="14" fillId="41" borderId="61" applyNumberFormat="0" applyAlignment="0" applyProtection="0"/>
    <xf numFmtId="0" fontId="21" fillId="0" borderId="62" applyNumberFormat="0" applyFill="0" applyAlignment="0" applyProtection="0"/>
    <xf numFmtId="168" fontId="11" fillId="33" borderId="71" applyNumberFormat="0" applyAlignment="0" applyProtection="0"/>
    <xf numFmtId="168" fontId="11" fillId="33" borderId="53" applyNumberFormat="0" applyAlignment="0" applyProtection="0"/>
    <xf numFmtId="168" fontId="3" fillId="35" borderId="54" applyNumberFormat="0" applyAlignment="0" applyProtection="0"/>
    <xf numFmtId="168" fontId="8" fillId="41" borderId="71" applyNumberFormat="0" applyAlignment="0" applyProtection="0"/>
    <xf numFmtId="0" fontId="8" fillId="20" borderId="53" applyNumberFormat="0" applyAlignment="0" applyProtection="0"/>
    <xf numFmtId="0" fontId="3" fillId="35" borderId="54" applyNumberFormat="0" applyAlignment="0" applyProtection="0"/>
    <xf numFmtId="0" fontId="11" fillId="33" borderId="53" applyNumberFormat="0" applyAlignment="0" applyProtection="0"/>
    <xf numFmtId="0" fontId="3" fillId="35" borderId="66" applyNumberFormat="0" applyAlignment="0" applyProtection="0"/>
    <xf numFmtId="0" fontId="14" fillId="41" borderId="55" applyNumberFormat="0" applyAlignment="0" applyProtection="0"/>
    <xf numFmtId="0" fontId="21" fillId="0" borderId="80" applyNumberFormat="0" applyFill="0" applyAlignment="0" applyProtection="0"/>
    <xf numFmtId="168" fontId="3" fillId="35" borderId="54" applyNumberFormat="0" applyAlignment="0" applyProtection="0"/>
    <xf numFmtId="168" fontId="21" fillId="0" borderId="92" applyNumberFormat="0" applyFill="0" applyAlignment="0" applyProtection="0"/>
    <xf numFmtId="168" fontId="14" fillId="41" borderId="67" applyNumberFormat="0" applyAlignment="0" applyProtection="0"/>
    <xf numFmtId="168" fontId="11" fillId="33" borderId="53" applyNumberFormat="0" applyAlignment="0" applyProtection="0"/>
    <xf numFmtId="168" fontId="3" fillId="23" borderId="93" applyNumberFormat="0" applyFont="0" applyAlignment="0" applyProtection="0"/>
    <xf numFmtId="168" fontId="14" fillId="41" borderId="55" applyNumberFormat="0" applyAlignment="0" applyProtection="0"/>
    <xf numFmtId="0" fontId="21" fillId="0" borderId="58" applyNumberFormat="0" applyFill="0" applyAlignment="0" applyProtection="0"/>
    <xf numFmtId="0" fontId="21" fillId="0" borderId="62" applyNumberFormat="0" applyFill="0" applyAlignment="0" applyProtection="0"/>
    <xf numFmtId="0" fontId="3" fillId="35" borderId="66" applyNumberFormat="0" applyAlignment="0" applyProtection="0"/>
    <xf numFmtId="0" fontId="21" fillId="0" borderId="56" applyNumberFormat="0" applyFill="0" applyAlignment="0" applyProtection="0"/>
    <xf numFmtId="168" fontId="14" fillId="41" borderId="91" applyNumberFormat="0" applyAlignment="0" applyProtection="0"/>
    <xf numFmtId="0" fontId="11" fillId="33" borderId="65" applyNumberFormat="0" applyAlignment="0" applyProtection="0"/>
    <xf numFmtId="0" fontId="8" fillId="41" borderId="65" applyNumberFormat="0" applyAlignment="0" applyProtection="0"/>
    <xf numFmtId="0" fontId="3" fillId="23" borderId="57" applyNumberFormat="0" applyFont="0" applyAlignment="0" applyProtection="0"/>
    <xf numFmtId="168" fontId="8" fillId="41" borderId="71" applyNumberFormat="0" applyAlignment="0" applyProtection="0"/>
    <xf numFmtId="168" fontId="11" fillId="33" borderId="71" applyNumberFormat="0" applyAlignment="0" applyProtection="0"/>
    <xf numFmtId="0" fontId="8" fillId="41" borderId="53" applyNumberFormat="0" applyAlignment="0" applyProtection="0"/>
    <xf numFmtId="168" fontId="14" fillId="41" borderId="55" applyNumberFormat="0" applyAlignment="0" applyProtection="0"/>
    <xf numFmtId="0" fontId="3" fillId="35" borderId="54" applyNumberFormat="0" applyAlignment="0" applyProtection="0"/>
    <xf numFmtId="168" fontId="14" fillId="41" borderId="61" applyNumberFormat="0" applyAlignment="0" applyProtection="0"/>
    <xf numFmtId="168" fontId="14" fillId="20" borderId="61" applyNumberFormat="0" applyAlignment="0" applyProtection="0"/>
    <xf numFmtId="168" fontId="21" fillId="0" borderId="56" applyNumberFormat="0" applyFill="0" applyAlignment="0" applyProtection="0"/>
    <xf numFmtId="0" fontId="11" fillId="33" borderId="53" applyNumberFormat="0" applyAlignment="0" applyProtection="0"/>
    <xf numFmtId="0" fontId="21" fillId="0" borderId="56" applyNumberFormat="0" applyFill="0" applyAlignment="0" applyProtection="0"/>
    <xf numFmtId="168" fontId="3" fillId="35" borderId="54" applyNumberFormat="0" applyAlignment="0" applyProtection="0"/>
    <xf numFmtId="168" fontId="11" fillId="33" borderId="53" applyNumberFormat="0" applyAlignment="0" applyProtection="0"/>
    <xf numFmtId="168" fontId="3" fillId="35" borderId="54" applyNumberFormat="0" applyAlignment="0" applyProtection="0"/>
    <xf numFmtId="0" fontId="11" fillId="33" borderId="59" applyNumberFormat="0" applyAlignment="0" applyProtection="0"/>
    <xf numFmtId="168" fontId="3" fillId="35" borderId="60" applyNumberFormat="0" applyAlignment="0" applyProtection="0"/>
    <xf numFmtId="0" fontId="8" fillId="20" borderId="65" applyNumberFormat="0" applyAlignment="0" applyProtection="0"/>
    <xf numFmtId="168" fontId="3" fillId="0" borderId="0"/>
    <xf numFmtId="168" fontId="5" fillId="32" borderId="0" applyNumberFormat="0" applyBorder="0" applyAlignment="0" applyProtection="0"/>
    <xf numFmtId="168" fontId="5" fillId="33" borderId="0" applyNumberFormat="0" applyBorder="0" applyAlignment="0" applyProtection="0"/>
    <xf numFmtId="168" fontId="5" fillId="34" borderId="0" applyNumberFormat="0" applyBorder="0" applyAlignment="0" applyProtection="0"/>
    <xf numFmtId="168" fontId="5" fillId="35" borderId="0" applyNumberFormat="0" applyBorder="0" applyAlignment="0" applyProtection="0"/>
    <xf numFmtId="168" fontId="5" fillId="34" borderId="0" applyNumberFormat="0" applyBorder="0" applyAlignment="0" applyProtection="0"/>
    <xf numFmtId="168" fontId="5" fillId="35" borderId="0" applyNumberFormat="0" applyBorder="0" applyAlignment="0" applyProtection="0"/>
    <xf numFmtId="168" fontId="5" fillId="32" borderId="0" applyNumberFormat="0" applyBorder="0" applyAlignment="0" applyProtection="0"/>
    <xf numFmtId="168" fontId="5" fillId="33" borderId="0" applyNumberFormat="0" applyBorder="0" applyAlignment="0" applyProtection="0"/>
    <xf numFmtId="168" fontId="5" fillId="34" borderId="0" applyNumberFormat="0" applyBorder="0" applyAlignment="0" applyProtection="0"/>
    <xf numFmtId="168" fontId="5" fillId="36" borderId="0" applyNumberFormat="0" applyBorder="0" applyAlignment="0" applyProtection="0"/>
    <xf numFmtId="168" fontId="5" fillId="37" borderId="0" applyNumberFormat="0" applyBorder="0" applyAlignment="0" applyProtection="0"/>
    <xf numFmtId="168" fontId="5" fillId="36" borderId="0" applyNumberFormat="0" applyBorder="0" applyAlignment="0" applyProtection="0"/>
    <xf numFmtId="168" fontId="6" fillId="37" borderId="0" applyNumberFormat="0" applyBorder="0" applyAlignment="0" applyProtection="0"/>
    <xf numFmtId="168" fontId="6" fillId="33" borderId="0" applyNumberFormat="0" applyBorder="0" applyAlignment="0" applyProtection="0"/>
    <xf numFmtId="168" fontId="6" fillId="38" borderId="0" applyNumberFormat="0" applyBorder="0" applyAlignment="0" applyProtection="0"/>
    <xf numFmtId="168" fontId="6" fillId="36" borderId="0" applyNumberFormat="0" applyBorder="0" applyAlignment="0" applyProtection="0"/>
    <xf numFmtId="168" fontId="6" fillId="39" borderId="0" applyNumberFormat="0" applyBorder="0" applyAlignment="0" applyProtection="0"/>
    <xf numFmtId="168" fontId="6" fillId="40" borderId="0" applyNumberFormat="0" applyBorder="0" applyAlignment="0" applyProtection="0"/>
    <xf numFmtId="168" fontId="7" fillId="32" borderId="0" applyNumberFormat="0" applyBorder="0" applyAlignment="0" applyProtection="0"/>
    <xf numFmtId="168" fontId="8" fillId="41" borderId="47" applyNumberFormat="0" applyAlignment="0" applyProtection="0"/>
    <xf numFmtId="168" fontId="9" fillId="42" borderId="2" applyNumberFormat="0" applyAlignment="0" applyProtection="0"/>
    <xf numFmtId="168" fontId="10" fillId="0" borderId="3" applyNumberFormat="0" applyFill="0" applyAlignment="0" applyProtection="0"/>
    <xf numFmtId="168" fontId="6" fillId="39" borderId="0" applyNumberFormat="0" applyBorder="0" applyAlignment="0" applyProtection="0"/>
    <xf numFmtId="168" fontId="6" fillId="43" borderId="0" applyNumberFormat="0" applyBorder="0" applyAlignment="0" applyProtection="0"/>
    <xf numFmtId="168" fontId="6" fillId="42" borderId="0" applyNumberFormat="0" applyBorder="0" applyAlignment="0" applyProtection="0"/>
    <xf numFmtId="168" fontId="6" fillId="44" borderId="0" applyNumberFormat="0" applyBorder="0" applyAlignment="0" applyProtection="0"/>
    <xf numFmtId="168" fontId="6" fillId="45" borderId="0" applyNumberFormat="0" applyBorder="0" applyAlignment="0" applyProtection="0"/>
    <xf numFmtId="168" fontId="6" fillId="40" borderId="0" applyNumberFormat="0" applyBorder="0" applyAlignment="0" applyProtection="0"/>
    <xf numFmtId="168" fontId="11" fillId="33" borderId="47" applyNumberFormat="0" applyAlignment="0" applyProtection="0"/>
    <xf numFmtId="168" fontId="63" fillId="0" borderId="0" applyNumberFormat="0" applyFill="0" applyBorder="0" applyAlignment="0" applyProtection="0"/>
    <xf numFmtId="168" fontId="3" fillId="0" borderId="0"/>
    <xf numFmtId="168" fontId="5" fillId="0" borderId="0"/>
    <xf numFmtId="168" fontId="3" fillId="35" borderId="48" applyNumberFormat="0" applyAlignment="0" applyProtection="0"/>
    <xf numFmtId="168" fontId="14" fillId="41" borderId="49" applyNumberFormat="0" applyAlignment="0" applyProtection="0"/>
    <xf numFmtId="168" fontId="15" fillId="0" borderId="0" applyNumberFormat="0" applyFill="0" applyBorder="0" applyAlignment="0" applyProtection="0"/>
    <xf numFmtId="168" fontId="16" fillId="0" borderId="0" applyNumberFormat="0" applyFill="0" applyBorder="0" applyAlignment="0" applyProtection="0"/>
    <xf numFmtId="168" fontId="55" fillId="0" borderId="42" applyNumberFormat="0" applyFill="0" applyAlignment="0" applyProtection="0"/>
    <xf numFmtId="168" fontId="56" fillId="0" borderId="43" applyNumberFormat="0" applyFill="0" applyAlignment="0" applyProtection="0"/>
    <xf numFmtId="168" fontId="57" fillId="0" borderId="44" applyNumberFormat="0" applyFill="0" applyAlignment="0" applyProtection="0"/>
    <xf numFmtId="168" fontId="57" fillId="0" borderId="0" applyNumberFormat="0" applyFill="0" applyBorder="0" applyAlignment="0" applyProtection="0"/>
    <xf numFmtId="168" fontId="58" fillId="0" borderId="0" applyNumberFormat="0" applyFill="0" applyBorder="0" applyAlignment="0" applyProtection="0"/>
    <xf numFmtId="168" fontId="21" fillId="0" borderId="50" applyNumberFormat="0" applyFill="0" applyAlignment="0" applyProtection="0"/>
    <xf numFmtId="168" fontId="3" fillId="0" borderId="0"/>
    <xf numFmtId="168" fontId="5" fillId="2" borderId="0" applyNumberFormat="0" applyBorder="0" applyAlignment="0" applyProtection="0"/>
    <xf numFmtId="168" fontId="5" fillId="3" borderId="0" applyNumberFormat="0" applyBorder="0" applyAlignment="0" applyProtection="0"/>
    <xf numFmtId="168" fontId="5" fillId="4" borderId="0" applyNumberFormat="0" applyBorder="0" applyAlignment="0" applyProtection="0"/>
    <xf numFmtId="168" fontId="5" fillId="5" borderId="0" applyNumberFormat="0" applyBorder="0" applyAlignment="0" applyProtection="0"/>
    <xf numFmtId="168" fontId="5" fillId="6" borderId="0" applyNumberFormat="0" applyBorder="0" applyAlignment="0" applyProtection="0"/>
    <xf numFmtId="168" fontId="5" fillId="7" borderId="0" applyNumberFormat="0" applyBorder="0" applyAlignment="0" applyProtection="0"/>
    <xf numFmtId="168" fontId="5" fillId="2" borderId="0" applyNumberFormat="0" applyBorder="0" applyAlignment="0" applyProtection="0"/>
    <xf numFmtId="168" fontId="5" fillId="3" borderId="0" applyNumberFormat="0" applyBorder="0" applyAlignment="0" applyProtection="0"/>
    <xf numFmtId="168" fontId="5" fillId="4" borderId="0" applyNumberFormat="0" applyBorder="0" applyAlignment="0" applyProtection="0"/>
    <xf numFmtId="168" fontId="5" fillId="5" borderId="0" applyNumberFormat="0" applyBorder="0" applyAlignment="0" applyProtection="0"/>
    <xf numFmtId="168" fontId="5" fillId="6" borderId="0" applyNumberFormat="0" applyBorder="0" applyAlignment="0" applyProtection="0"/>
    <xf numFmtId="168" fontId="5" fillId="7" borderId="0" applyNumberFormat="0" applyBorder="0" applyAlignment="0" applyProtection="0"/>
    <xf numFmtId="168" fontId="5" fillId="8" borderId="0" applyNumberFormat="0" applyBorder="0" applyAlignment="0" applyProtection="0"/>
    <xf numFmtId="168" fontId="5" fillId="9" borderId="0" applyNumberFormat="0" applyBorder="0" applyAlignment="0" applyProtection="0"/>
    <xf numFmtId="168" fontId="5" fillId="10" borderId="0" applyNumberFormat="0" applyBorder="0" applyAlignment="0" applyProtection="0"/>
    <xf numFmtId="168" fontId="5" fillId="5" borderId="0" applyNumberFormat="0" applyBorder="0" applyAlignment="0" applyProtection="0"/>
    <xf numFmtId="168" fontId="5" fillId="8" borderId="0" applyNumberFormat="0" applyBorder="0" applyAlignment="0" applyProtection="0"/>
    <xf numFmtId="168" fontId="5" fillId="11" borderId="0" applyNumberFormat="0" applyBorder="0" applyAlignment="0" applyProtection="0"/>
    <xf numFmtId="168" fontId="5" fillId="8" borderId="0" applyNumberFormat="0" applyBorder="0" applyAlignment="0" applyProtection="0"/>
    <xf numFmtId="168" fontId="5" fillId="9" borderId="0" applyNumberFormat="0" applyBorder="0" applyAlignment="0" applyProtection="0"/>
    <xf numFmtId="168" fontId="5" fillId="10" borderId="0" applyNumberFormat="0" applyBorder="0" applyAlignment="0" applyProtection="0"/>
    <xf numFmtId="168" fontId="5" fillId="5" borderId="0" applyNumberFormat="0" applyBorder="0" applyAlignment="0" applyProtection="0"/>
    <xf numFmtId="168" fontId="5" fillId="8" borderId="0" applyNumberFormat="0" applyBorder="0" applyAlignment="0" applyProtection="0"/>
    <xf numFmtId="168" fontId="5" fillId="11" borderId="0" applyNumberFormat="0" applyBorder="0" applyAlignment="0" applyProtection="0"/>
    <xf numFmtId="168" fontId="6" fillId="12" borderId="0" applyNumberFormat="0" applyBorder="0" applyAlignment="0" applyProtection="0"/>
    <xf numFmtId="168" fontId="6" fillId="9" borderId="0" applyNumberFormat="0" applyBorder="0" applyAlignment="0" applyProtection="0"/>
    <xf numFmtId="168" fontId="6" fillId="10" borderId="0" applyNumberFormat="0" applyBorder="0" applyAlignment="0" applyProtection="0"/>
    <xf numFmtId="168" fontId="6" fillId="13" borderId="0" applyNumberFormat="0" applyBorder="0" applyAlignment="0" applyProtection="0"/>
    <xf numFmtId="168" fontId="6" fillId="14" borderId="0" applyNumberFormat="0" applyBorder="0" applyAlignment="0" applyProtection="0"/>
    <xf numFmtId="168" fontId="6" fillId="15" borderId="0" applyNumberFormat="0" applyBorder="0" applyAlignment="0" applyProtection="0"/>
    <xf numFmtId="168" fontId="6" fillId="12" borderId="0" applyNumberFormat="0" applyBorder="0" applyAlignment="0" applyProtection="0"/>
    <xf numFmtId="168" fontId="6" fillId="9" borderId="0" applyNumberFormat="0" applyBorder="0" applyAlignment="0" applyProtection="0"/>
    <xf numFmtId="168" fontId="6" fillId="10" borderId="0" applyNumberFormat="0" applyBorder="0" applyAlignment="0" applyProtection="0"/>
    <xf numFmtId="168" fontId="6" fillId="13" borderId="0" applyNumberFormat="0" applyBorder="0" applyAlignment="0" applyProtection="0"/>
    <xf numFmtId="168" fontId="6" fillId="14" borderId="0" applyNumberFormat="0" applyBorder="0" applyAlignment="0" applyProtection="0"/>
    <xf numFmtId="168" fontId="6" fillId="15" borderId="0" applyNumberFormat="0" applyBorder="0" applyAlignment="0" applyProtection="0"/>
    <xf numFmtId="168" fontId="6" fillId="16" borderId="0" applyNumberFormat="0" applyBorder="0" applyAlignment="0" applyProtection="0"/>
    <xf numFmtId="168" fontId="6" fillId="17" borderId="0" applyNumberFormat="0" applyBorder="0" applyAlignment="0" applyProtection="0"/>
    <xf numFmtId="168" fontId="6" fillId="18" borderId="0" applyNumberFormat="0" applyBorder="0" applyAlignment="0" applyProtection="0"/>
    <xf numFmtId="168" fontId="6" fillId="13" borderId="0" applyNumberFormat="0" applyBorder="0" applyAlignment="0" applyProtection="0"/>
    <xf numFmtId="168" fontId="6" fillId="14" borderId="0" applyNumberFormat="0" applyBorder="0" applyAlignment="0" applyProtection="0"/>
    <xf numFmtId="168" fontId="6" fillId="19" borderId="0" applyNumberFormat="0" applyBorder="0" applyAlignment="0" applyProtection="0"/>
    <xf numFmtId="168" fontId="12" fillId="3" borderId="0" applyNumberFormat="0" applyBorder="0" applyAlignment="0" applyProtection="0"/>
    <xf numFmtId="168" fontId="7" fillId="4" borderId="0" applyNumberFormat="0" applyBorder="0" applyAlignment="0" applyProtection="0"/>
    <xf numFmtId="168" fontId="8" fillId="20" borderId="47" applyNumberFormat="0" applyAlignment="0" applyProtection="0"/>
    <xf numFmtId="168" fontId="8" fillId="20" borderId="47" applyNumberFormat="0" applyAlignment="0" applyProtection="0"/>
    <xf numFmtId="168" fontId="9" fillId="21" borderId="2" applyNumberFormat="0" applyAlignment="0" applyProtection="0"/>
    <xf numFmtId="168" fontId="9" fillId="21" borderId="2" applyNumberFormat="0" applyAlignment="0" applyProtection="0"/>
    <xf numFmtId="168" fontId="6" fillId="16" borderId="0" applyNumberFormat="0" applyBorder="0" applyAlignment="0" applyProtection="0"/>
    <xf numFmtId="168" fontId="6" fillId="17" borderId="0" applyNumberFormat="0" applyBorder="0" applyAlignment="0" applyProtection="0"/>
    <xf numFmtId="168" fontId="6" fillId="18" borderId="0" applyNumberFormat="0" applyBorder="0" applyAlignment="0" applyProtection="0"/>
    <xf numFmtId="168" fontId="6" fillId="13" borderId="0" applyNumberFormat="0" applyBorder="0" applyAlignment="0" applyProtection="0"/>
    <xf numFmtId="168" fontId="6" fillId="14" borderId="0" applyNumberFormat="0" applyBorder="0" applyAlignment="0" applyProtection="0"/>
    <xf numFmtId="168" fontId="6" fillId="19" borderId="0" applyNumberFormat="0" applyBorder="0" applyAlignment="0" applyProtection="0"/>
    <xf numFmtId="168" fontId="11" fillId="7" borderId="47" applyNumberFormat="0" applyAlignment="0" applyProtection="0"/>
    <xf numFmtId="168" fontId="5" fillId="0" borderId="0"/>
    <xf numFmtId="168" fontId="16" fillId="0" borderId="0" applyNumberFormat="0" applyFill="0" applyBorder="0" applyAlignment="0" applyProtection="0"/>
    <xf numFmtId="168" fontId="7" fillId="4" borderId="0" applyNumberFormat="0" applyBorder="0" applyAlignment="0" applyProtection="0"/>
    <xf numFmtId="168" fontId="18" fillId="0" borderId="4" applyNumberFormat="0" applyFill="0" applyAlignment="0" applyProtection="0"/>
    <xf numFmtId="168" fontId="19" fillId="0" borderId="5" applyNumberFormat="0" applyFill="0" applyAlignment="0" applyProtection="0"/>
    <xf numFmtId="168" fontId="20" fillId="0" borderId="6" applyNumberFormat="0" applyFill="0" applyAlignment="0" applyProtection="0"/>
    <xf numFmtId="168" fontId="20" fillId="0" borderId="0" applyNumberFormat="0" applyFill="0" applyBorder="0" applyAlignment="0" applyProtection="0"/>
    <xf numFmtId="168" fontId="12" fillId="3" borderId="0" applyNumberFormat="0" applyBorder="0" applyAlignment="0" applyProtection="0"/>
    <xf numFmtId="168" fontId="11" fillId="7" borderId="47" applyNumberFormat="0" applyAlignment="0" applyProtection="0"/>
    <xf numFmtId="168" fontId="10" fillId="0" borderId="3" applyNumberFormat="0" applyFill="0" applyAlignment="0" applyProtection="0"/>
    <xf numFmtId="0" fontId="8" fillId="41" borderId="53" applyNumberFormat="0" applyAlignment="0" applyProtection="0"/>
    <xf numFmtId="168" fontId="13" fillId="22" borderId="0" applyNumberFormat="0" applyBorder="0" applyAlignment="0" applyProtection="0"/>
    <xf numFmtId="168" fontId="13" fillId="22" borderId="0" applyNumberFormat="0" applyBorder="0" applyAlignment="0" applyProtection="0"/>
    <xf numFmtId="168" fontId="3" fillId="23" borderId="51" applyNumberFormat="0" applyFont="0" applyAlignment="0" applyProtection="0"/>
    <xf numFmtId="168" fontId="3" fillId="23" borderId="51" applyNumberFormat="0" applyFont="0" applyAlignment="0" applyProtection="0"/>
    <xf numFmtId="168" fontId="14" fillId="20" borderId="49" applyNumberFormat="0" applyAlignment="0" applyProtection="0"/>
    <xf numFmtId="168" fontId="14" fillId="41" borderId="97" applyNumberFormat="0" applyAlignment="0" applyProtection="0"/>
    <xf numFmtId="168" fontId="14" fillId="20" borderId="49" applyNumberFormat="0" applyAlignment="0" applyProtection="0"/>
    <xf numFmtId="168" fontId="17" fillId="0" borderId="0" applyNumberFormat="0" applyFill="0" applyBorder="0" applyAlignment="0" applyProtection="0"/>
    <xf numFmtId="168" fontId="17" fillId="0" borderId="0" applyNumberFormat="0" applyFill="0" applyBorder="0" applyAlignment="0" applyProtection="0"/>
    <xf numFmtId="168" fontId="18" fillId="0" borderId="4" applyNumberFormat="0" applyFill="0" applyAlignment="0" applyProtection="0"/>
    <xf numFmtId="168" fontId="19" fillId="0" borderId="5" applyNumberFormat="0" applyFill="0" applyAlignment="0" applyProtection="0"/>
    <xf numFmtId="168" fontId="20" fillId="0" borderId="6" applyNumberFormat="0" applyFill="0" applyAlignment="0" applyProtection="0"/>
    <xf numFmtId="168" fontId="20" fillId="0" borderId="0" applyNumberFormat="0" applyFill="0" applyBorder="0" applyAlignment="0" applyProtection="0"/>
    <xf numFmtId="168" fontId="21" fillId="0" borderId="52" applyNumberFormat="0" applyFill="0" applyAlignment="0" applyProtection="0"/>
    <xf numFmtId="168" fontId="3" fillId="35" borderId="78" applyNumberFormat="0" applyAlignment="0" applyProtection="0"/>
    <xf numFmtId="168" fontId="15" fillId="0" borderId="0" applyNumberFormat="0" applyFill="0" applyBorder="0" applyAlignment="0" applyProtection="0"/>
    <xf numFmtId="168" fontId="11" fillId="33" borderId="47" applyNumberFormat="0" applyAlignment="0" applyProtection="0"/>
    <xf numFmtId="168" fontId="8" fillId="41" borderId="47" applyNumberFormat="0" applyAlignment="0" applyProtection="0"/>
    <xf numFmtId="168" fontId="21" fillId="0" borderId="50" applyNumberFormat="0" applyFill="0" applyAlignment="0" applyProtection="0"/>
    <xf numFmtId="168" fontId="3" fillId="35" borderId="48" applyNumberFormat="0" applyAlignment="0" applyProtection="0"/>
    <xf numFmtId="168" fontId="21" fillId="0" borderId="50" applyNumberFormat="0" applyFill="0" applyAlignment="0" applyProtection="0"/>
    <xf numFmtId="168" fontId="14" fillId="41" borderId="49" applyNumberFormat="0" applyAlignment="0" applyProtection="0"/>
    <xf numFmtId="168" fontId="14" fillId="41" borderId="49" applyNumberFormat="0" applyAlignment="0" applyProtection="0"/>
    <xf numFmtId="168" fontId="14" fillId="41" borderId="49" applyNumberFormat="0" applyAlignment="0" applyProtection="0"/>
    <xf numFmtId="168" fontId="3" fillId="35" borderId="48" applyNumberFormat="0" applyAlignment="0" applyProtection="0"/>
    <xf numFmtId="168" fontId="14" fillId="41" borderId="49" applyNumberFormat="0" applyAlignment="0" applyProtection="0"/>
    <xf numFmtId="168" fontId="3" fillId="35" borderId="48" applyNumberFormat="0" applyAlignment="0" applyProtection="0"/>
    <xf numFmtId="168" fontId="3" fillId="35" borderId="48" applyNumberFormat="0" applyAlignment="0" applyProtection="0"/>
    <xf numFmtId="168" fontId="3" fillId="35" borderId="48" applyNumberFormat="0" applyAlignment="0" applyProtection="0"/>
    <xf numFmtId="168" fontId="8" fillId="41" borderId="47" applyNumberFormat="0" applyAlignment="0" applyProtection="0"/>
    <xf numFmtId="168" fontId="11" fillId="33" borderId="47" applyNumberFormat="0" applyAlignment="0" applyProtection="0"/>
    <xf numFmtId="168" fontId="8" fillId="41" borderId="47" applyNumberFormat="0" applyAlignment="0" applyProtection="0"/>
    <xf numFmtId="168" fontId="11" fillId="33" borderId="47" applyNumberFormat="0" applyAlignment="0" applyProtection="0"/>
    <xf numFmtId="168" fontId="8" fillId="41" borderId="47" applyNumberFormat="0" applyAlignment="0" applyProtection="0"/>
    <xf numFmtId="168" fontId="8" fillId="41" borderId="47" applyNumberFormat="0" applyAlignment="0" applyProtection="0"/>
    <xf numFmtId="168" fontId="11" fillId="33" borderId="47" applyNumberFormat="0" applyAlignment="0" applyProtection="0"/>
    <xf numFmtId="168" fontId="8" fillId="41" borderId="47" applyNumberFormat="0" applyAlignment="0" applyProtection="0"/>
    <xf numFmtId="168" fontId="11" fillId="33" borderId="47" applyNumberFormat="0" applyAlignment="0" applyProtection="0"/>
    <xf numFmtId="168" fontId="11" fillId="33" borderId="47" applyNumberFormat="0" applyAlignment="0" applyProtection="0"/>
    <xf numFmtId="168" fontId="8" fillId="41" borderId="47" applyNumberFormat="0" applyAlignment="0" applyProtection="0"/>
    <xf numFmtId="168" fontId="8" fillId="41" borderId="47" applyNumberFormat="0" applyAlignment="0" applyProtection="0"/>
    <xf numFmtId="168" fontId="8" fillId="41" borderId="47" applyNumberFormat="0" applyAlignment="0" applyProtection="0"/>
    <xf numFmtId="168" fontId="11" fillId="33" borderId="47" applyNumberFormat="0" applyAlignment="0" applyProtection="0"/>
    <xf numFmtId="168" fontId="8" fillId="41" borderId="47" applyNumberFormat="0" applyAlignment="0" applyProtection="0"/>
    <xf numFmtId="168" fontId="8" fillId="41" borderId="47" applyNumberFormat="0" applyAlignment="0" applyProtection="0"/>
    <xf numFmtId="168" fontId="3" fillId="35" borderId="48" applyNumberFormat="0" applyAlignment="0" applyProtection="0"/>
    <xf numFmtId="168" fontId="3" fillId="35" borderId="48" applyNumberFormat="0" applyAlignment="0" applyProtection="0"/>
    <xf numFmtId="168" fontId="3" fillId="35" borderId="48" applyNumberFormat="0" applyAlignment="0" applyProtection="0"/>
    <xf numFmtId="168" fontId="14" fillId="41" borderId="49" applyNumberFormat="0" applyAlignment="0" applyProtection="0"/>
    <xf numFmtId="168" fontId="14" fillId="41" borderId="49" applyNumberFormat="0" applyAlignment="0" applyProtection="0"/>
    <xf numFmtId="168" fontId="14" fillId="41" borderId="49" applyNumberFormat="0" applyAlignment="0" applyProtection="0"/>
    <xf numFmtId="168" fontId="3" fillId="35" borderId="48" applyNumberFormat="0" applyAlignment="0" applyProtection="0"/>
    <xf numFmtId="168" fontId="14" fillId="41" borderId="49" applyNumberFormat="0" applyAlignment="0" applyProtection="0"/>
    <xf numFmtId="168" fontId="14" fillId="41" borderId="49" applyNumberFormat="0" applyAlignment="0" applyProtection="0"/>
    <xf numFmtId="168" fontId="59" fillId="0" borderId="0"/>
    <xf numFmtId="168" fontId="11" fillId="33" borderId="47" applyNumberFormat="0" applyAlignment="0" applyProtection="0"/>
    <xf numFmtId="168" fontId="11" fillId="33" borderId="47" applyNumberFormat="0" applyAlignment="0" applyProtection="0"/>
    <xf numFmtId="168" fontId="21" fillId="0" borderId="50" applyNumberFormat="0" applyFill="0" applyAlignment="0" applyProtection="0"/>
    <xf numFmtId="168" fontId="11" fillId="33" borderId="47" applyNumberFormat="0" applyAlignment="0" applyProtection="0"/>
    <xf numFmtId="168" fontId="11" fillId="33" borderId="47" applyNumberFormat="0" applyAlignment="0" applyProtection="0"/>
    <xf numFmtId="168" fontId="21" fillId="0" borderId="50" applyNumberFormat="0" applyFill="0" applyAlignment="0" applyProtection="0"/>
    <xf numFmtId="168" fontId="11" fillId="33" borderId="47" applyNumberFormat="0" applyAlignment="0" applyProtection="0"/>
    <xf numFmtId="168" fontId="11" fillId="33" borderId="47" applyNumberFormat="0" applyAlignment="0" applyProtection="0"/>
    <xf numFmtId="168" fontId="21" fillId="0" borderId="50" applyNumberFormat="0" applyFill="0" applyAlignment="0" applyProtection="0"/>
    <xf numFmtId="168" fontId="21" fillId="0" borderId="50" applyNumberFormat="0" applyFill="0" applyAlignment="0" applyProtection="0"/>
    <xf numFmtId="168" fontId="3" fillId="35" borderId="48" applyNumberFormat="0" applyAlignment="0" applyProtection="0"/>
    <xf numFmtId="168" fontId="21" fillId="0" borderId="50" applyNumberFormat="0" applyFill="0" applyAlignment="0" applyProtection="0"/>
    <xf numFmtId="168" fontId="3" fillId="35" borderId="48" applyNumberFormat="0" applyAlignment="0" applyProtection="0"/>
    <xf numFmtId="168" fontId="14" fillId="41" borderId="49" applyNumberFormat="0" applyAlignment="0" applyProtection="0"/>
    <xf numFmtId="168" fontId="21" fillId="0" borderId="50" applyNumberFormat="0" applyFill="0" applyAlignment="0" applyProtection="0"/>
    <xf numFmtId="168" fontId="3" fillId="35" borderId="48" applyNumberFormat="0" applyAlignment="0" applyProtection="0"/>
    <xf numFmtId="168" fontId="21" fillId="0" borderId="50" applyNumberFormat="0" applyFill="0" applyAlignment="0" applyProtection="0"/>
    <xf numFmtId="168" fontId="14" fillId="41" borderId="49" applyNumberFormat="0" applyAlignment="0" applyProtection="0"/>
    <xf numFmtId="168" fontId="8" fillId="41" borderId="47" applyNumberFormat="0" applyAlignment="0" applyProtection="0"/>
    <xf numFmtId="168" fontId="14" fillId="41" borderId="49" applyNumberFormat="0" applyAlignment="0" applyProtection="0"/>
    <xf numFmtId="168" fontId="21" fillId="0" borderId="50" applyNumberFormat="0" applyFill="0" applyAlignment="0" applyProtection="0"/>
    <xf numFmtId="168" fontId="3" fillId="35" borderId="48" applyNumberFormat="0" applyAlignment="0" applyProtection="0"/>
    <xf numFmtId="168" fontId="21" fillId="0" borderId="50" applyNumberFormat="0" applyFill="0" applyAlignment="0" applyProtection="0"/>
    <xf numFmtId="168" fontId="14" fillId="41" borderId="49" applyNumberFormat="0" applyAlignment="0" applyProtection="0"/>
    <xf numFmtId="168" fontId="8" fillId="41" borderId="47" applyNumberFormat="0" applyAlignment="0" applyProtection="0"/>
    <xf numFmtId="168" fontId="21" fillId="0" borderId="50" applyNumberFormat="0" applyFill="0" applyAlignment="0" applyProtection="0"/>
    <xf numFmtId="168" fontId="14" fillId="41" borderId="49" applyNumberFormat="0" applyAlignment="0" applyProtection="0"/>
    <xf numFmtId="168" fontId="21" fillId="0" borderId="50" applyNumberFormat="0" applyFill="0" applyAlignment="0" applyProtection="0"/>
    <xf numFmtId="168" fontId="3" fillId="35" borderId="48" applyNumberFormat="0" applyAlignment="0" applyProtection="0"/>
    <xf numFmtId="168" fontId="3" fillId="35" borderId="48" applyNumberFormat="0" applyAlignment="0" applyProtection="0"/>
    <xf numFmtId="168" fontId="3" fillId="35" borderId="48" applyNumberFormat="0" applyAlignment="0" applyProtection="0"/>
    <xf numFmtId="168" fontId="14" fillId="41" borderId="49" applyNumberFormat="0" applyAlignment="0" applyProtection="0"/>
    <xf numFmtId="168" fontId="8" fillId="41" borderId="47" applyNumberFormat="0" applyAlignment="0" applyProtection="0"/>
    <xf numFmtId="168" fontId="11" fillId="33" borderId="47" applyNumberFormat="0" applyAlignment="0" applyProtection="0"/>
    <xf numFmtId="168" fontId="3" fillId="35" borderId="48" applyNumberFormat="0" applyAlignment="0" applyProtection="0"/>
    <xf numFmtId="168" fontId="8" fillId="41" borderId="47" applyNumberFormat="0" applyAlignment="0" applyProtection="0"/>
    <xf numFmtId="168" fontId="8" fillId="41" borderId="47" applyNumberFormat="0" applyAlignment="0" applyProtection="0"/>
    <xf numFmtId="168" fontId="11" fillId="33" borderId="47" applyNumberFormat="0" applyAlignment="0" applyProtection="0"/>
    <xf numFmtId="168" fontId="8" fillId="41" borderId="47" applyNumberFormat="0" applyAlignment="0" applyProtection="0"/>
    <xf numFmtId="168" fontId="8" fillId="41" borderId="47" applyNumberFormat="0" applyAlignment="0" applyProtection="0"/>
    <xf numFmtId="168" fontId="8" fillId="41" borderId="47" applyNumberFormat="0" applyAlignment="0" applyProtection="0"/>
    <xf numFmtId="168" fontId="8" fillId="41" borderId="47" applyNumberFormat="0" applyAlignment="0" applyProtection="0"/>
    <xf numFmtId="168" fontId="11" fillId="33" borderId="47" applyNumberFormat="0" applyAlignment="0" applyProtection="0"/>
    <xf numFmtId="168" fontId="8" fillId="41" borderId="47" applyNumberFormat="0" applyAlignment="0" applyProtection="0"/>
    <xf numFmtId="168" fontId="11" fillId="33" borderId="47" applyNumberFormat="0" applyAlignment="0" applyProtection="0"/>
    <xf numFmtId="168" fontId="8" fillId="41" borderId="47" applyNumberFormat="0" applyAlignment="0" applyProtection="0"/>
    <xf numFmtId="168" fontId="11" fillId="33" borderId="47" applyNumberFormat="0" applyAlignment="0" applyProtection="0"/>
    <xf numFmtId="168" fontId="11" fillId="33" borderId="47" applyNumberFormat="0" applyAlignment="0" applyProtection="0"/>
    <xf numFmtId="168" fontId="3" fillId="35" borderId="48" applyNumberFormat="0" applyAlignment="0" applyProtection="0"/>
    <xf numFmtId="168" fontId="3" fillId="35" borderId="48" applyNumberFormat="0" applyAlignment="0" applyProtection="0"/>
    <xf numFmtId="168" fontId="3" fillId="35" borderId="48" applyNumberFormat="0" applyAlignment="0" applyProtection="0"/>
    <xf numFmtId="168" fontId="14" fillId="41" borderId="49" applyNumberFormat="0" applyAlignment="0" applyProtection="0"/>
    <xf numFmtId="168" fontId="14" fillId="41" borderId="49" applyNumberFormat="0" applyAlignment="0" applyProtection="0"/>
    <xf numFmtId="168" fontId="14" fillId="41" borderId="49" applyNumberFormat="0" applyAlignment="0" applyProtection="0"/>
    <xf numFmtId="168" fontId="14" fillId="41" borderId="49" applyNumberFormat="0" applyAlignment="0" applyProtection="0"/>
    <xf numFmtId="168" fontId="11" fillId="33" borderId="47" applyNumberFormat="0" applyAlignment="0" applyProtection="0"/>
    <xf numFmtId="168" fontId="21" fillId="0" borderId="50" applyNumberFormat="0" applyFill="0" applyAlignment="0" applyProtection="0"/>
    <xf numFmtId="168" fontId="3" fillId="35" borderId="48" applyNumberFormat="0" applyAlignment="0" applyProtection="0"/>
    <xf numFmtId="168" fontId="21" fillId="0" borderId="50" applyNumberFormat="0" applyFill="0" applyAlignment="0" applyProtection="0"/>
    <xf numFmtId="168" fontId="14" fillId="41" borderId="49" applyNumberFormat="0" applyAlignment="0" applyProtection="0"/>
    <xf numFmtId="168" fontId="11" fillId="33" borderId="47" applyNumberFormat="0" applyAlignment="0" applyProtection="0"/>
    <xf numFmtId="168" fontId="3" fillId="35" borderId="48" applyNumberFormat="0" applyAlignment="0" applyProtection="0"/>
    <xf numFmtId="168" fontId="21" fillId="0" borderId="50" applyNumberFormat="0" applyFill="0" applyAlignment="0" applyProtection="0"/>
    <xf numFmtId="168" fontId="14" fillId="41" borderId="49" applyNumberFormat="0" applyAlignment="0" applyProtection="0"/>
    <xf numFmtId="168" fontId="14" fillId="41" borderId="49" applyNumberFormat="0" applyAlignment="0" applyProtection="0"/>
    <xf numFmtId="168" fontId="21" fillId="0" borderId="50" applyNumberFormat="0" applyFill="0" applyAlignment="0" applyProtection="0"/>
    <xf numFmtId="168" fontId="11" fillId="33" borderId="47" applyNumberFormat="0" applyAlignment="0" applyProtection="0"/>
    <xf numFmtId="168" fontId="21" fillId="0" borderId="50" applyNumberFormat="0" applyFill="0" applyAlignment="0" applyProtection="0"/>
    <xf numFmtId="168" fontId="21" fillId="0" borderId="50" applyNumberFormat="0" applyFill="0" applyAlignment="0" applyProtection="0"/>
    <xf numFmtId="168" fontId="21" fillId="0" borderId="50" applyNumberFormat="0" applyFill="0" applyAlignment="0" applyProtection="0"/>
    <xf numFmtId="168" fontId="21" fillId="0" borderId="50" applyNumberFormat="0" applyFill="0" applyAlignment="0" applyProtection="0"/>
    <xf numFmtId="168" fontId="21" fillId="0" borderId="50" applyNumberFormat="0" applyFill="0" applyAlignment="0" applyProtection="0"/>
    <xf numFmtId="168" fontId="3" fillId="0" borderId="0"/>
    <xf numFmtId="168" fontId="8" fillId="20" borderId="47" applyNumberFormat="0" applyAlignment="0" applyProtection="0"/>
    <xf numFmtId="168" fontId="8" fillId="20" borderId="47" applyNumberFormat="0" applyAlignment="0" applyProtection="0"/>
    <xf numFmtId="168" fontId="11" fillId="7" borderId="47" applyNumberFormat="0" applyAlignment="0" applyProtection="0"/>
    <xf numFmtId="168" fontId="11" fillId="7" borderId="47" applyNumberFormat="0" applyAlignment="0" applyProtection="0"/>
    <xf numFmtId="168" fontId="14" fillId="20" borderId="49" applyNumberFormat="0" applyAlignment="0" applyProtection="0"/>
    <xf numFmtId="168" fontId="14" fillId="20" borderId="49" applyNumberFormat="0" applyAlignment="0" applyProtection="0"/>
    <xf numFmtId="168" fontId="60" fillId="0" borderId="0" applyNumberFormat="0" applyFill="0" applyBorder="0" applyAlignment="0" applyProtection="0"/>
    <xf numFmtId="0" fontId="14" fillId="41" borderId="61" applyNumberFormat="0" applyAlignment="0" applyProtection="0"/>
    <xf numFmtId="168" fontId="21" fillId="0" borderId="56"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168" fontId="60" fillId="0" borderId="0" applyNumberFormat="0" applyFill="0" applyBorder="0" applyAlignment="0" applyProtection="0"/>
    <xf numFmtId="168" fontId="1" fillId="0" borderId="0"/>
    <xf numFmtId="168" fontId="61" fillId="0" borderId="0"/>
    <xf numFmtId="0" fontId="8" fillId="41" borderId="65" applyNumberFormat="0" applyAlignment="0" applyProtection="0"/>
    <xf numFmtId="9" fontId="1" fillId="0" borderId="0" applyFont="0" applyFill="0" applyBorder="0" applyAlignment="0" applyProtection="0"/>
    <xf numFmtId="168" fontId="11" fillId="7" borderId="53" applyNumberFormat="0" applyAlignment="0" applyProtection="0"/>
    <xf numFmtId="0" fontId="11" fillId="33" borderId="59" applyNumberFormat="0" applyAlignment="0" applyProtection="0"/>
    <xf numFmtId="0" fontId="11" fillId="33" borderId="53" applyNumberFormat="0" applyAlignment="0" applyProtection="0"/>
    <xf numFmtId="168" fontId="11" fillId="33" borderId="59"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4" fillId="20" borderId="61" applyNumberFormat="0" applyAlignment="0" applyProtection="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168" fontId="3" fillId="0" borderId="0"/>
    <xf numFmtId="0" fontId="8" fillId="41" borderId="47" applyNumberFormat="0" applyAlignment="0" applyProtection="0"/>
    <xf numFmtId="0" fontId="11" fillId="33" borderId="47" applyNumberFormat="0" applyAlignment="0" applyProtection="0"/>
    <xf numFmtId="0" fontId="3" fillId="35" borderId="48" applyNumberFormat="0" applyAlignment="0" applyProtection="0"/>
    <xf numFmtId="0" fontId="14" fillId="41" borderId="49" applyNumberFormat="0" applyAlignment="0" applyProtection="0"/>
    <xf numFmtId="0" fontId="21" fillId="0" borderId="50" applyNumberFormat="0" applyFill="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2" fillId="3" borderId="0" applyNumberFormat="0" applyBorder="0" applyAlignment="0" applyProtection="0"/>
    <xf numFmtId="0" fontId="7" fillId="4" borderId="0" applyNumberFormat="0" applyBorder="0" applyAlignment="0" applyProtection="0"/>
    <xf numFmtId="0" fontId="8" fillId="20" borderId="47" applyNumberFormat="0" applyAlignment="0" applyProtection="0"/>
    <xf numFmtId="0" fontId="8" fillId="20" borderId="47" applyNumberFormat="0" applyAlignment="0" applyProtection="0"/>
    <xf numFmtId="0" fontId="9" fillId="21" borderId="2" applyNumberFormat="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1" fillId="7" borderId="47" applyNumberFormat="0" applyAlignment="0" applyProtection="0"/>
    <xf numFmtId="0" fontId="5" fillId="0" borderId="0"/>
    <xf numFmtId="0" fontId="16" fillId="0" borderId="0" applyNumberFormat="0" applyFill="0" applyBorder="0" applyAlignment="0" applyProtection="0"/>
    <xf numFmtId="0" fontId="7" fillId="4" borderId="0" applyNumberFormat="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12" fillId="3" borderId="0" applyNumberFormat="0" applyBorder="0" applyAlignment="0" applyProtection="0"/>
    <xf numFmtId="0" fontId="11" fillId="7" borderId="47" applyNumberFormat="0" applyAlignment="0" applyProtection="0"/>
    <xf numFmtId="0" fontId="10" fillId="0" borderId="3" applyNumberFormat="0" applyFill="0" applyAlignment="0" applyProtection="0"/>
    <xf numFmtId="0" fontId="13" fillId="22" borderId="0" applyNumberFormat="0" applyBorder="0" applyAlignment="0" applyProtection="0"/>
    <xf numFmtId="0" fontId="13" fillId="22" borderId="0" applyNumberFormat="0" applyBorder="0" applyAlignment="0" applyProtection="0"/>
    <xf numFmtId="0" fontId="3" fillId="23" borderId="51" applyNumberFormat="0" applyFont="0" applyAlignment="0" applyProtection="0"/>
    <xf numFmtId="0" fontId="3" fillId="23" borderId="51" applyNumberFormat="0" applyFont="0" applyAlignment="0" applyProtection="0"/>
    <xf numFmtId="0" fontId="14" fillId="20" borderId="49" applyNumberFormat="0" applyAlignment="0" applyProtection="0"/>
    <xf numFmtId="0" fontId="14" fillId="20" borderId="49" applyNumberFormat="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0" borderId="52" applyNumberFormat="0" applyFill="0" applyAlignment="0" applyProtection="0"/>
    <xf numFmtId="0" fontId="15" fillId="0" borderId="0" applyNumberFormat="0" applyFill="0" applyBorder="0" applyAlignment="0" applyProtection="0"/>
    <xf numFmtId="0" fontId="11" fillId="33" borderId="47" applyNumberFormat="0" applyAlignment="0" applyProtection="0"/>
    <xf numFmtId="0" fontId="8" fillId="41" borderId="47" applyNumberFormat="0" applyAlignment="0" applyProtection="0"/>
    <xf numFmtId="0" fontId="21" fillId="0" borderId="50" applyNumberFormat="0" applyFill="0" applyAlignment="0" applyProtection="0"/>
    <xf numFmtId="0" fontId="3" fillId="35" borderId="48" applyNumberFormat="0" applyAlignment="0" applyProtection="0"/>
    <xf numFmtId="0" fontId="21" fillId="0" borderId="50" applyNumberFormat="0" applyFill="0" applyAlignment="0" applyProtection="0"/>
    <xf numFmtId="0" fontId="14" fillId="41" borderId="49" applyNumberFormat="0" applyAlignment="0" applyProtection="0"/>
    <xf numFmtId="0" fontId="14" fillId="41" borderId="49" applyNumberFormat="0" applyAlignment="0" applyProtection="0"/>
    <xf numFmtId="0" fontId="14" fillId="41" borderId="49" applyNumberFormat="0" applyAlignment="0" applyProtection="0"/>
    <xf numFmtId="0" fontId="3" fillId="35" borderId="48" applyNumberFormat="0" applyAlignment="0" applyProtection="0"/>
    <xf numFmtId="0" fontId="14" fillId="41" borderId="49" applyNumberFormat="0" applyAlignment="0" applyProtection="0"/>
    <xf numFmtId="0" fontId="3" fillId="35" borderId="48" applyNumberFormat="0" applyAlignment="0" applyProtection="0"/>
    <xf numFmtId="0" fontId="3" fillId="35" borderId="48" applyNumberFormat="0" applyAlignment="0" applyProtection="0"/>
    <xf numFmtId="0" fontId="3" fillId="35" borderId="48" applyNumberFormat="0" applyAlignment="0" applyProtection="0"/>
    <xf numFmtId="0" fontId="8" fillId="41" borderId="47" applyNumberFormat="0" applyAlignment="0" applyProtection="0"/>
    <xf numFmtId="0" fontId="11" fillId="33" borderId="47" applyNumberFormat="0" applyAlignment="0" applyProtection="0"/>
    <xf numFmtId="0" fontId="8" fillId="41" borderId="47" applyNumberFormat="0" applyAlignment="0" applyProtection="0"/>
    <xf numFmtId="0" fontId="11" fillId="33" borderId="47" applyNumberFormat="0" applyAlignment="0" applyProtection="0"/>
    <xf numFmtId="0" fontId="8" fillId="41" borderId="47" applyNumberFormat="0" applyAlignment="0" applyProtection="0"/>
    <xf numFmtId="0" fontId="8" fillId="41" borderId="47" applyNumberFormat="0" applyAlignment="0" applyProtection="0"/>
    <xf numFmtId="0" fontId="11" fillId="33" borderId="47" applyNumberFormat="0" applyAlignment="0" applyProtection="0"/>
    <xf numFmtId="0" fontId="8" fillId="41" borderId="47" applyNumberFormat="0" applyAlignment="0" applyProtection="0"/>
    <xf numFmtId="0" fontId="11" fillId="33" borderId="47" applyNumberFormat="0" applyAlignment="0" applyProtection="0"/>
    <xf numFmtId="0" fontId="11" fillId="33" borderId="47" applyNumberFormat="0" applyAlignment="0" applyProtection="0"/>
    <xf numFmtId="0" fontId="8" fillId="41" borderId="47" applyNumberFormat="0" applyAlignment="0" applyProtection="0"/>
    <xf numFmtId="0" fontId="8" fillId="41" borderId="47" applyNumberFormat="0" applyAlignment="0" applyProtection="0"/>
    <xf numFmtId="0" fontId="8" fillId="41" borderId="47" applyNumberFormat="0" applyAlignment="0" applyProtection="0"/>
    <xf numFmtId="0" fontId="11" fillId="33" borderId="47" applyNumberFormat="0" applyAlignment="0" applyProtection="0"/>
    <xf numFmtId="0" fontId="8" fillId="41" borderId="47" applyNumberFormat="0" applyAlignment="0" applyProtection="0"/>
    <xf numFmtId="0" fontId="8" fillId="41" borderId="47" applyNumberFormat="0" applyAlignment="0" applyProtection="0"/>
    <xf numFmtId="0" fontId="3" fillId="35" borderId="48" applyNumberFormat="0" applyAlignment="0" applyProtection="0"/>
    <xf numFmtId="0" fontId="3" fillId="35" borderId="48" applyNumberFormat="0" applyAlignment="0" applyProtection="0"/>
    <xf numFmtId="0" fontId="3" fillId="35" borderId="48" applyNumberFormat="0" applyAlignment="0" applyProtection="0"/>
    <xf numFmtId="0" fontId="14" fillId="41" borderId="49" applyNumberFormat="0" applyAlignment="0" applyProtection="0"/>
    <xf numFmtId="0" fontId="14" fillId="41" borderId="49" applyNumberFormat="0" applyAlignment="0" applyProtection="0"/>
    <xf numFmtId="0" fontId="14" fillId="41" borderId="49" applyNumberFormat="0" applyAlignment="0" applyProtection="0"/>
    <xf numFmtId="0" fontId="3" fillId="35" borderId="48" applyNumberFormat="0" applyAlignment="0" applyProtection="0"/>
    <xf numFmtId="0" fontId="14" fillId="41" borderId="49" applyNumberFormat="0" applyAlignment="0" applyProtection="0"/>
    <xf numFmtId="0" fontId="14" fillId="41" borderId="49" applyNumberFormat="0" applyAlignment="0" applyProtection="0"/>
    <xf numFmtId="0" fontId="11" fillId="33" borderId="47" applyNumberFormat="0" applyAlignment="0" applyProtection="0"/>
    <xf numFmtId="0" fontId="11" fillId="33" borderId="47" applyNumberFormat="0" applyAlignment="0" applyProtection="0"/>
    <xf numFmtId="0" fontId="21" fillId="0" borderId="50" applyNumberFormat="0" applyFill="0" applyAlignment="0" applyProtection="0"/>
    <xf numFmtId="0" fontId="11" fillId="33" borderId="47" applyNumberFormat="0" applyAlignment="0" applyProtection="0"/>
    <xf numFmtId="0" fontId="11" fillId="33" borderId="47" applyNumberFormat="0" applyAlignment="0" applyProtection="0"/>
    <xf numFmtId="0" fontId="21" fillId="0" borderId="50" applyNumberFormat="0" applyFill="0" applyAlignment="0" applyProtection="0"/>
    <xf numFmtId="0" fontId="11" fillId="33" borderId="47" applyNumberFormat="0" applyAlignment="0" applyProtection="0"/>
    <xf numFmtId="0" fontId="11" fillId="33" borderId="47" applyNumberFormat="0" applyAlignment="0" applyProtection="0"/>
    <xf numFmtId="0" fontId="21" fillId="0" borderId="50" applyNumberFormat="0" applyFill="0" applyAlignment="0" applyProtection="0"/>
    <xf numFmtId="0" fontId="21" fillId="0" borderId="50" applyNumberFormat="0" applyFill="0" applyAlignment="0" applyProtection="0"/>
    <xf numFmtId="0" fontId="3" fillId="35" borderId="48" applyNumberFormat="0" applyAlignment="0" applyProtection="0"/>
    <xf numFmtId="0" fontId="21" fillId="0" borderId="50" applyNumberFormat="0" applyFill="0" applyAlignment="0" applyProtection="0"/>
    <xf numFmtId="0" fontId="3" fillId="35" borderId="48" applyNumberFormat="0" applyAlignment="0" applyProtection="0"/>
    <xf numFmtId="0" fontId="14" fillId="41" borderId="49" applyNumberFormat="0" applyAlignment="0" applyProtection="0"/>
    <xf numFmtId="0" fontId="21" fillId="0" borderId="50" applyNumberFormat="0" applyFill="0" applyAlignment="0" applyProtection="0"/>
    <xf numFmtId="0" fontId="3" fillId="35" borderId="48" applyNumberFormat="0" applyAlignment="0" applyProtection="0"/>
    <xf numFmtId="0" fontId="21" fillId="0" borderId="50" applyNumberFormat="0" applyFill="0" applyAlignment="0" applyProtection="0"/>
    <xf numFmtId="0" fontId="14" fillId="41" borderId="49" applyNumberFormat="0" applyAlignment="0" applyProtection="0"/>
    <xf numFmtId="0" fontId="8" fillId="41" borderId="47" applyNumberFormat="0" applyAlignment="0" applyProtection="0"/>
    <xf numFmtId="0" fontId="14" fillId="41" borderId="49" applyNumberFormat="0" applyAlignment="0" applyProtection="0"/>
    <xf numFmtId="0" fontId="21" fillId="0" borderId="50" applyNumberFormat="0" applyFill="0" applyAlignment="0" applyProtection="0"/>
    <xf numFmtId="0" fontId="3" fillId="35" borderId="48" applyNumberFormat="0" applyAlignment="0" applyProtection="0"/>
    <xf numFmtId="0" fontId="21" fillId="0" borderId="50" applyNumberFormat="0" applyFill="0" applyAlignment="0" applyProtection="0"/>
    <xf numFmtId="0" fontId="14" fillId="41" borderId="49" applyNumberFormat="0" applyAlignment="0" applyProtection="0"/>
    <xf numFmtId="0" fontId="8" fillId="41" borderId="47" applyNumberFormat="0" applyAlignment="0" applyProtection="0"/>
    <xf numFmtId="0" fontId="21" fillId="0" borderId="50" applyNumberFormat="0" applyFill="0" applyAlignment="0" applyProtection="0"/>
    <xf numFmtId="0" fontId="14" fillId="41" borderId="49" applyNumberFormat="0" applyAlignment="0" applyProtection="0"/>
    <xf numFmtId="0" fontId="21" fillId="0" borderId="50" applyNumberFormat="0" applyFill="0" applyAlignment="0" applyProtection="0"/>
    <xf numFmtId="0" fontId="3" fillId="35" borderId="48" applyNumberFormat="0" applyAlignment="0" applyProtection="0"/>
    <xf numFmtId="0" fontId="3" fillId="35" borderId="48" applyNumberFormat="0" applyAlignment="0" applyProtection="0"/>
    <xf numFmtId="0" fontId="3" fillId="35" borderId="48" applyNumberFormat="0" applyAlignment="0" applyProtection="0"/>
    <xf numFmtId="0" fontId="14" fillId="41" borderId="49" applyNumberFormat="0" applyAlignment="0" applyProtection="0"/>
    <xf numFmtId="0" fontId="8" fillId="41" borderId="47" applyNumberFormat="0" applyAlignment="0" applyProtection="0"/>
    <xf numFmtId="0" fontId="11" fillId="33" borderId="47" applyNumberFormat="0" applyAlignment="0" applyProtection="0"/>
    <xf numFmtId="0" fontId="3" fillId="35" borderId="48" applyNumberFormat="0" applyAlignment="0" applyProtection="0"/>
    <xf numFmtId="0" fontId="8" fillId="41" borderId="47" applyNumberFormat="0" applyAlignment="0" applyProtection="0"/>
    <xf numFmtId="0" fontId="8" fillId="41" borderId="47" applyNumberFormat="0" applyAlignment="0" applyProtection="0"/>
    <xf numFmtId="0" fontId="11" fillId="33" borderId="47" applyNumberFormat="0" applyAlignment="0" applyProtection="0"/>
    <xf numFmtId="0" fontId="8" fillId="41" borderId="47" applyNumberFormat="0" applyAlignment="0" applyProtection="0"/>
    <xf numFmtId="0" fontId="8" fillId="41" borderId="47" applyNumberFormat="0" applyAlignment="0" applyProtection="0"/>
    <xf numFmtId="0" fontId="8" fillId="41" borderId="47" applyNumberFormat="0" applyAlignment="0" applyProtection="0"/>
    <xf numFmtId="0" fontId="8" fillId="41" borderId="47" applyNumberFormat="0" applyAlignment="0" applyProtection="0"/>
    <xf numFmtId="0" fontId="11" fillId="33" borderId="47" applyNumberFormat="0" applyAlignment="0" applyProtection="0"/>
    <xf numFmtId="0" fontId="8" fillId="41" borderId="47" applyNumberFormat="0" applyAlignment="0" applyProtection="0"/>
    <xf numFmtId="0" fontId="11" fillId="33" borderId="47" applyNumberFormat="0" applyAlignment="0" applyProtection="0"/>
    <xf numFmtId="0" fontId="8" fillId="41" borderId="47" applyNumberFormat="0" applyAlignment="0" applyProtection="0"/>
    <xf numFmtId="0" fontId="11" fillId="33" borderId="47" applyNumberFormat="0" applyAlignment="0" applyProtection="0"/>
    <xf numFmtId="0" fontId="11" fillId="33" borderId="47" applyNumberFormat="0" applyAlignment="0" applyProtection="0"/>
    <xf numFmtId="0" fontId="3" fillId="35" borderId="48" applyNumberFormat="0" applyAlignment="0" applyProtection="0"/>
    <xf numFmtId="0" fontId="3" fillId="35" borderId="48" applyNumberFormat="0" applyAlignment="0" applyProtection="0"/>
    <xf numFmtId="0" fontId="3" fillId="35" borderId="48" applyNumberFormat="0" applyAlignment="0" applyProtection="0"/>
    <xf numFmtId="0" fontId="14" fillId="41" borderId="49" applyNumberFormat="0" applyAlignment="0" applyProtection="0"/>
    <xf numFmtId="0" fontId="14" fillId="41" borderId="49" applyNumberFormat="0" applyAlignment="0" applyProtection="0"/>
    <xf numFmtId="0" fontId="14" fillId="41" borderId="49" applyNumberFormat="0" applyAlignment="0" applyProtection="0"/>
    <xf numFmtId="0" fontId="14" fillId="41" borderId="49" applyNumberFormat="0" applyAlignment="0" applyProtection="0"/>
    <xf numFmtId="0" fontId="11" fillId="33" borderId="47" applyNumberFormat="0" applyAlignment="0" applyProtection="0"/>
    <xf numFmtId="0" fontId="21" fillId="0" borderId="50" applyNumberFormat="0" applyFill="0" applyAlignment="0" applyProtection="0"/>
    <xf numFmtId="0" fontId="3" fillId="35" borderId="48" applyNumberFormat="0" applyAlignment="0" applyProtection="0"/>
    <xf numFmtId="0" fontId="21" fillId="0" borderId="50" applyNumberFormat="0" applyFill="0" applyAlignment="0" applyProtection="0"/>
    <xf numFmtId="0" fontId="14" fillId="41" borderId="49" applyNumberFormat="0" applyAlignment="0" applyProtection="0"/>
    <xf numFmtId="0" fontId="11" fillId="33" borderId="47" applyNumberFormat="0" applyAlignment="0" applyProtection="0"/>
    <xf numFmtId="0" fontId="3" fillId="35" borderId="48" applyNumberFormat="0" applyAlignment="0" applyProtection="0"/>
    <xf numFmtId="0" fontId="21" fillId="0" borderId="50" applyNumberFormat="0" applyFill="0" applyAlignment="0" applyProtection="0"/>
    <xf numFmtId="0" fontId="14" fillId="41" borderId="49" applyNumberFormat="0" applyAlignment="0" applyProtection="0"/>
    <xf numFmtId="0" fontId="14" fillId="41" borderId="49" applyNumberFormat="0" applyAlignment="0" applyProtection="0"/>
    <xf numFmtId="0" fontId="21" fillId="0" borderId="50" applyNumberFormat="0" applyFill="0" applyAlignment="0" applyProtection="0"/>
    <xf numFmtId="0" fontId="11" fillId="33" borderId="47" applyNumberFormat="0" applyAlignment="0" applyProtection="0"/>
    <xf numFmtId="0" fontId="21" fillId="0" borderId="50" applyNumberFormat="0" applyFill="0" applyAlignment="0" applyProtection="0"/>
    <xf numFmtId="0" fontId="21" fillId="0" borderId="50" applyNumberFormat="0" applyFill="0" applyAlignment="0" applyProtection="0"/>
    <xf numFmtId="0" fontId="21" fillId="0" borderId="50" applyNumberFormat="0" applyFill="0" applyAlignment="0" applyProtection="0"/>
    <xf numFmtId="0" fontId="21" fillId="0" borderId="50" applyNumberFormat="0" applyFill="0" applyAlignment="0" applyProtection="0"/>
    <xf numFmtId="0" fontId="21" fillId="0" borderId="50" applyNumberFormat="0" applyFill="0" applyAlignment="0" applyProtection="0"/>
    <xf numFmtId="168" fontId="21" fillId="0" borderId="62" applyNumberFormat="0" applyFill="0" applyAlignment="0" applyProtection="0"/>
    <xf numFmtId="0" fontId="8" fillId="20" borderId="47" applyNumberFormat="0" applyAlignment="0" applyProtection="0"/>
    <xf numFmtId="0" fontId="8" fillId="20" borderId="47" applyNumberFormat="0" applyAlignment="0" applyProtection="0"/>
    <xf numFmtId="0" fontId="11" fillId="7" borderId="47" applyNumberFormat="0" applyAlignment="0" applyProtection="0"/>
    <xf numFmtId="0" fontId="11" fillId="7" borderId="47" applyNumberFormat="0" applyAlignment="0" applyProtection="0"/>
    <xf numFmtId="0" fontId="14" fillId="20" borderId="49" applyNumberFormat="0" applyAlignment="0" applyProtection="0"/>
    <xf numFmtId="0" fontId="14" fillId="20" borderId="49" applyNumberFormat="0" applyAlignment="0" applyProtection="0"/>
    <xf numFmtId="0" fontId="60" fillId="0" borderId="0" applyNumberForma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60" fillId="0" borderId="0" applyNumberFormat="0" applyFill="0" applyBorder="0" applyAlignment="0" applyProtection="0"/>
    <xf numFmtId="0" fontId="1" fillId="0" borderId="0"/>
    <xf numFmtId="0" fontId="61" fillId="0" borderId="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8" fontId="3" fillId="35" borderId="54" applyNumberFormat="0" applyAlignment="0" applyProtection="0"/>
    <xf numFmtId="0" fontId="8" fillId="41" borderId="53" applyNumberFormat="0" applyAlignment="0" applyProtection="0"/>
    <xf numFmtId="0" fontId="14" fillId="41" borderId="55" applyNumberFormat="0" applyAlignment="0" applyProtection="0"/>
    <xf numFmtId="168" fontId="21" fillId="0" borderId="94" applyNumberFormat="0" applyFill="0" applyAlignment="0" applyProtection="0"/>
    <xf numFmtId="168" fontId="21" fillId="0" borderId="62" applyNumberFormat="0" applyFill="0" applyAlignment="0" applyProtection="0"/>
    <xf numFmtId="168" fontId="21" fillId="0" borderId="68" applyNumberFormat="0" applyFill="0" applyAlignment="0" applyProtection="0"/>
    <xf numFmtId="168" fontId="11" fillId="7" borderId="53" applyNumberFormat="0" applyAlignment="0" applyProtection="0"/>
    <xf numFmtId="168" fontId="3" fillId="35" borderId="54" applyNumberFormat="0" applyAlignment="0" applyProtection="0"/>
    <xf numFmtId="168" fontId="11" fillId="33" borderId="53" applyNumberFormat="0" applyAlignment="0" applyProtection="0"/>
    <xf numFmtId="168" fontId="21" fillId="0" borderId="68" applyNumberFormat="0" applyFill="0" applyAlignment="0" applyProtection="0"/>
    <xf numFmtId="168" fontId="14" fillId="41" borderId="73" applyNumberFormat="0" applyAlignment="0" applyProtection="0"/>
    <xf numFmtId="0" fontId="21" fillId="0" borderId="62" applyNumberFormat="0" applyFill="0" applyAlignment="0" applyProtection="0"/>
    <xf numFmtId="168" fontId="14" fillId="41" borderId="55" applyNumberFormat="0" applyAlignment="0" applyProtection="0"/>
    <xf numFmtId="168" fontId="8" fillId="41" borderId="59" applyNumberFormat="0" applyAlignment="0" applyProtection="0"/>
    <xf numFmtId="168" fontId="11" fillId="33" borderId="53" applyNumberFormat="0" applyAlignment="0" applyProtection="0"/>
    <xf numFmtId="168" fontId="11" fillId="33" borderId="59" applyNumberFormat="0" applyAlignment="0" applyProtection="0"/>
    <xf numFmtId="168" fontId="11" fillId="33" borderId="65" applyNumberFormat="0" applyAlignment="0" applyProtection="0"/>
    <xf numFmtId="0" fontId="14" fillId="41" borderId="61" applyNumberFormat="0" applyAlignment="0" applyProtection="0"/>
    <xf numFmtId="168" fontId="14" fillId="41" borderId="55" applyNumberFormat="0" applyAlignment="0" applyProtection="0"/>
    <xf numFmtId="0" fontId="8" fillId="41" borderId="53" applyNumberFormat="0" applyAlignment="0" applyProtection="0"/>
    <xf numFmtId="0" fontId="21" fillId="0" borderId="56" applyNumberFormat="0" applyFill="0" applyAlignment="0" applyProtection="0"/>
    <xf numFmtId="0" fontId="8" fillId="41" borderId="53" applyNumberFormat="0" applyAlignment="0" applyProtection="0"/>
    <xf numFmtId="168" fontId="8" fillId="41" borderId="53" applyNumberFormat="0" applyAlignment="0" applyProtection="0"/>
    <xf numFmtId="168" fontId="14" fillId="41" borderId="8" applyNumberFormat="0" applyAlignment="0" applyProtection="0"/>
    <xf numFmtId="168" fontId="3" fillId="35" borderId="72" applyNumberFormat="0" applyAlignment="0" applyProtection="0"/>
    <xf numFmtId="0" fontId="3" fillId="35" borderId="54" applyNumberFormat="0" applyAlignment="0" applyProtection="0"/>
    <xf numFmtId="168" fontId="11" fillId="33" borderId="77" applyNumberFormat="0" applyAlignment="0" applyProtection="0"/>
    <xf numFmtId="168" fontId="11" fillId="33" borderId="53" applyNumberFormat="0" applyAlignment="0" applyProtection="0"/>
    <xf numFmtId="0" fontId="11" fillId="33" borderId="53" applyNumberFormat="0" applyAlignment="0" applyProtection="0"/>
    <xf numFmtId="0" fontId="8" fillId="41" borderId="53" applyNumberFormat="0" applyAlignment="0" applyProtection="0"/>
    <xf numFmtId="168" fontId="3" fillId="35" borderId="72" applyNumberFormat="0" applyAlignment="0" applyProtection="0"/>
    <xf numFmtId="0" fontId="3" fillId="35" borderId="54" applyNumberFormat="0" applyAlignment="0" applyProtection="0"/>
    <xf numFmtId="0" fontId="21" fillId="0" borderId="62" applyNumberFormat="0" applyFill="0" applyAlignment="0" applyProtection="0"/>
    <xf numFmtId="0" fontId="11" fillId="33" borderId="53" applyNumberFormat="0" applyAlignment="0" applyProtection="0"/>
    <xf numFmtId="168" fontId="21" fillId="0" borderId="62" applyNumberFormat="0" applyFill="0" applyAlignment="0" applyProtection="0"/>
    <xf numFmtId="168" fontId="11" fillId="33" borderId="53" applyNumberFormat="0" applyAlignment="0" applyProtection="0"/>
    <xf numFmtId="0" fontId="11" fillId="33" borderId="53" applyNumberFormat="0" applyAlignment="0" applyProtection="0"/>
    <xf numFmtId="0" fontId="21" fillId="0" borderId="56" applyNumberFormat="0" applyFill="0" applyAlignment="0" applyProtection="0"/>
    <xf numFmtId="168" fontId="21" fillId="0" borderId="74" applyNumberFormat="0" applyFill="0" applyAlignment="0" applyProtection="0"/>
    <xf numFmtId="168" fontId="14" fillId="41" borderId="55" applyNumberFormat="0" applyAlignment="0" applyProtection="0"/>
    <xf numFmtId="168" fontId="3" fillId="35" borderId="72" applyNumberFormat="0" applyAlignment="0" applyProtection="0"/>
    <xf numFmtId="168" fontId="21" fillId="0" borderId="68" applyNumberFormat="0" applyFill="0" applyAlignment="0" applyProtection="0"/>
    <xf numFmtId="168" fontId="11" fillId="33" borderId="77" applyNumberFormat="0" applyAlignment="0" applyProtection="0"/>
    <xf numFmtId="168" fontId="3" fillId="35" borderId="54" applyNumberFormat="0" applyAlignment="0" applyProtection="0"/>
    <xf numFmtId="0" fontId="14" fillId="41" borderId="55" applyNumberFormat="0" applyAlignment="0" applyProtection="0"/>
    <xf numFmtId="168" fontId="8" fillId="41" borderId="77" applyNumberFormat="0" applyAlignment="0" applyProtection="0"/>
    <xf numFmtId="168" fontId="21" fillId="0" borderId="58" applyNumberFormat="0" applyFill="0" applyAlignment="0" applyProtection="0"/>
    <xf numFmtId="0" fontId="21" fillId="0" borderId="62" applyNumberFormat="0" applyFill="0" applyAlignment="0" applyProtection="0"/>
    <xf numFmtId="168" fontId="3" fillId="35" borderId="84" applyNumberFormat="0" applyAlignment="0" applyProtection="0"/>
    <xf numFmtId="0" fontId="14" fillId="41" borderId="61" applyNumberFormat="0" applyAlignment="0" applyProtection="0"/>
    <xf numFmtId="168" fontId="3" fillId="35" borderId="66" applyNumberFormat="0" applyAlignment="0" applyProtection="0"/>
    <xf numFmtId="168" fontId="21" fillId="0" borderId="74" applyNumberFormat="0" applyFill="0" applyAlignment="0" applyProtection="0"/>
    <xf numFmtId="168" fontId="21" fillId="0" borderId="56" applyNumberFormat="0" applyFill="0" applyAlignment="0" applyProtection="0"/>
    <xf numFmtId="168" fontId="21" fillId="0" borderId="56" applyNumberFormat="0" applyFill="0" applyAlignment="0" applyProtection="0"/>
    <xf numFmtId="0" fontId="14" fillId="41" borderId="55" applyNumberFormat="0" applyAlignment="0" applyProtection="0"/>
    <xf numFmtId="168" fontId="11" fillId="33" borderId="53" applyNumberFormat="0" applyAlignment="0" applyProtection="0"/>
    <xf numFmtId="168" fontId="21" fillId="0" borderId="68" applyNumberFormat="0" applyFill="0" applyAlignment="0" applyProtection="0"/>
    <xf numFmtId="0" fontId="11" fillId="33" borderId="53" applyNumberFormat="0" applyAlignment="0" applyProtection="0"/>
    <xf numFmtId="0" fontId="3" fillId="35" borderId="54" applyNumberFormat="0" applyAlignment="0" applyProtection="0"/>
    <xf numFmtId="168" fontId="21" fillId="0" borderId="56" applyNumberFormat="0" applyFill="0" applyAlignment="0" applyProtection="0"/>
    <xf numFmtId="168" fontId="3" fillId="35" borderId="54" applyNumberFormat="0" applyAlignment="0" applyProtection="0"/>
    <xf numFmtId="0" fontId="8" fillId="41" borderId="53" applyNumberFormat="0" applyAlignment="0" applyProtection="0"/>
    <xf numFmtId="168" fontId="11" fillId="33" borderId="53" applyNumberFormat="0" applyAlignment="0" applyProtection="0"/>
    <xf numFmtId="168" fontId="8" fillId="41" borderId="65" applyNumberFormat="0" applyAlignment="0" applyProtection="0"/>
    <xf numFmtId="0" fontId="21" fillId="0" borderId="56" applyNumberFormat="0" applyFill="0" applyAlignment="0" applyProtection="0"/>
    <xf numFmtId="0" fontId="21" fillId="0" borderId="62" applyNumberFormat="0" applyFill="0" applyAlignment="0" applyProtection="0"/>
    <xf numFmtId="168" fontId="21" fillId="0" borderId="56" applyNumberFormat="0" applyFill="0" applyAlignment="0" applyProtection="0"/>
    <xf numFmtId="0" fontId="3" fillId="35" borderId="60" applyNumberFormat="0" applyAlignment="0" applyProtection="0"/>
    <xf numFmtId="0" fontId="8" fillId="41" borderId="53" applyNumberFormat="0" applyAlignment="0" applyProtection="0"/>
    <xf numFmtId="168" fontId="3" fillId="23" borderId="57" applyNumberFormat="0" applyFont="0" applyAlignment="0" applyProtection="0"/>
    <xf numFmtId="168" fontId="3" fillId="23" borderId="57" applyNumberFormat="0" applyFont="0" applyAlignment="0" applyProtection="0"/>
    <xf numFmtId="0" fontId="8" fillId="41" borderId="59" applyNumberFormat="0" applyAlignment="0" applyProtection="0"/>
    <xf numFmtId="0" fontId="14" fillId="41" borderId="61" applyNumberFormat="0" applyAlignment="0" applyProtection="0"/>
    <xf numFmtId="168" fontId="11" fillId="33" borderId="59" applyNumberFormat="0" applyAlignment="0" applyProtection="0"/>
    <xf numFmtId="168" fontId="11" fillId="33" borderId="53" applyNumberFormat="0" applyAlignment="0" applyProtection="0"/>
    <xf numFmtId="168" fontId="21" fillId="0" borderId="56" applyNumberFormat="0" applyFill="0" applyAlignment="0" applyProtection="0"/>
    <xf numFmtId="168" fontId="11" fillId="33" borderId="83" applyNumberFormat="0" applyAlignment="0" applyProtection="0"/>
    <xf numFmtId="168" fontId="11" fillId="33" borderId="53" applyNumberFormat="0" applyAlignment="0" applyProtection="0"/>
    <xf numFmtId="168" fontId="21" fillId="0" borderId="56" applyNumberFormat="0" applyFill="0" applyAlignment="0" applyProtection="0"/>
    <xf numFmtId="168" fontId="11" fillId="33" borderId="89" applyNumberFormat="0" applyAlignment="0" applyProtection="0"/>
    <xf numFmtId="0" fontId="14" fillId="20" borderId="55" applyNumberFormat="0" applyAlignment="0" applyProtection="0"/>
    <xf numFmtId="168" fontId="14" fillId="41" borderId="55" applyNumberFormat="0" applyAlignment="0" applyProtection="0"/>
    <xf numFmtId="0" fontId="3" fillId="35" borderId="60" applyNumberFormat="0" applyAlignment="0" applyProtection="0"/>
    <xf numFmtId="168" fontId="8" fillId="20" borderId="59" applyNumberFormat="0" applyAlignment="0" applyProtection="0"/>
    <xf numFmtId="0" fontId="11" fillId="33" borderId="65" applyNumberFormat="0" applyAlignment="0" applyProtection="0"/>
    <xf numFmtId="168" fontId="8" fillId="41" borderId="71" applyNumberFormat="0" applyAlignment="0" applyProtection="0"/>
    <xf numFmtId="168" fontId="14" fillId="41" borderId="73" applyNumberFormat="0" applyAlignment="0" applyProtection="0"/>
    <xf numFmtId="168" fontId="8" fillId="41" borderId="53" applyNumberFormat="0" applyAlignment="0" applyProtection="0"/>
    <xf numFmtId="0" fontId="21" fillId="0" borderId="56" applyNumberFormat="0" applyFill="0" applyAlignment="0" applyProtection="0"/>
    <xf numFmtId="168" fontId="21" fillId="0" borderId="62" applyNumberFormat="0" applyFill="0" applyAlignment="0" applyProtection="0"/>
    <xf numFmtId="168" fontId="14" fillId="41" borderId="61" applyNumberFormat="0" applyAlignment="0" applyProtection="0"/>
    <xf numFmtId="168" fontId="14" fillId="41" borderId="85" applyNumberFormat="0" applyAlignment="0" applyProtection="0"/>
    <xf numFmtId="168" fontId="14" fillId="41" borderId="55" applyNumberFormat="0" applyAlignment="0" applyProtection="0"/>
    <xf numFmtId="0" fontId="3" fillId="35" borderId="66" applyNumberFormat="0" applyAlignment="0" applyProtection="0"/>
    <xf numFmtId="0" fontId="3" fillId="35" borderId="54" applyNumberFormat="0" applyAlignment="0" applyProtection="0"/>
    <xf numFmtId="0" fontId="14" fillId="41" borderId="55" applyNumberFormat="0" applyAlignment="0" applyProtection="0"/>
    <xf numFmtId="0" fontId="8" fillId="41" borderId="53" applyNumberFormat="0" applyAlignment="0" applyProtection="0"/>
    <xf numFmtId="168" fontId="14" fillId="41" borderId="55" applyNumberFormat="0" applyAlignment="0" applyProtection="0"/>
    <xf numFmtId="168" fontId="14" fillId="41" borderId="55" applyNumberFormat="0" applyAlignment="0" applyProtection="0"/>
    <xf numFmtId="168" fontId="14" fillId="20" borderId="55" applyNumberFormat="0" applyAlignment="0" applyProtection="0"/>
    <xf numFmtId="168" fontId="11" fillId="33" borderId="71" applyNumberFormat="0" applyAlignment="0" applyProtection="0"/>
    <xf numFmtId="168" fontId="14" fillId="41" borderId="73" applyNumberFormat="0" applyAlignment="0" applyProtection="0"/>
    <xf numFmtId="168" fontId="14" fillId="20" borderId="8" applyNumberFormat="0" applyAlignment="0" applyProtection="0"/>
    <xf numFmtId="0" fontId="11" fillId="33" borderId="53" applyNumberFormat="0" applyAlignment="0" applyProtection="0"/>
    <xf numFmtId="168" fontId="14" fillId="20" borderId="8" applyNumberFormat="0" applyAlignment="0" applyProtection="0"/>
    <xf numFmtId="0" fontId="8" fillId="41" borderId="59" applyNumberFormat="0" applyAlignment="0" applyProtection="0"/>
    <xf numFmtId="0" fontId="14" fillId="41" borderId="55" applyNumberFormat="0" applyAlignment="0" applyProtection="0"/>
    <xf numFmtId="168" fontId="21" fillId="0" borderId="56" applyNumberFormat="0" applyFill="0" applyAlignment="0" applyProtection="0"/>
    <xf numFmtId="168" fontId="21" fillId="0" borderId="98" applyNumberFormat="0" applyFill="0" applyAlignment="0" applyProtection="0"/>
    <xf numFmtId="168" fontId="3" fillId="35" borderId="60" applyNumberFormat="0" applyAlignment="0" applyProtection="0"/>
    <xf numFmtId="168" fontId="21" fillId="0" borderId="68" applyNumberFormat="0" applyFill="0" applyAlignment="0" applyProtection="0"/>
    <xf numFmtId="168" fontId="21" fillId="0" borderId="9" applyNumberFormat="0" applyFill="0" applyAlignment="0" applyProtection="0"/>
    <xf numFmtId="168" fontId="11" fillId="33" borderId="53" applyNumberFormat="0" applyAlignment="0" applyProtection="0"/>
    <xf numFmtId="168" fontId="14" fillId="41" borderId="55" applyNumberFormat="0" applyAlignment="0" applyProtection="0"/>
    <xf numFmtId="168" fontId="11" fillId="33" borderId="59" applyNumberFormat="0" applyAlignment="0" applyProtection="0"/>
    <xf numFmtId="0" fontId="11" fillId="33" borderId="53" applyNumberFormat="0" applyAlignment="0" applyProtection="0"/>
    <xf numFmtId="168" fontId="8" fillId="41" borderId="59" applyNumberFormat="0" applyAlignment="0" applyProtection="0"/>
    <xf numFmtId="0" fontId="14" fillId="41" borderId="67" applyNumberFormat="0" applyAlignment="0" applyProtection="0"/>
    <xf numFmtId="0" fontId="8" fillId="41" borderId="77" applyNumberFormat="0" applyAlignment="0" applyProtection="0"/>
    <xf numFmtId="168" fontId="14" fillId="41" borderId="8" applyNumberFormat="0" applyAlignment="0" applyProtection="0"/>
    <xf numFmtId="168" fontId="14" fillId="41" borderId="8" applyNumberFormat="0" applyAlignment="0" applyProtection="0"/>
    <xf numFmtId="168" fontId="14" fillId="41" borderId="8" applyNumberFormat="0" applyAlignment="0" applyProtection="0"/>
    <xf numFmtId="168" fontId="3" fillId="35" borderId="66" applyNumberFormat="0" applyAlignment="0" applyProtection="0"/>
    <xf numFmtId="168" fontId="14" fillId="41" borderId="8" applyNumberFormat="0" applyAlignment="0" applyProtection="0"/>
    <xf numFmtId="168" fontId="8" fillId="41" borderId="59" applyNumberFormat="0" applyAlignment="0" applyProtection="0"/>
    <xf numFmtId="0" fontId="8" fillId="41" borderId="53" applyNumberFormat="0" applyAlignment="0" applyProtection="0"/>
    <xf numFmtId="0" fontId="14" fillId="20" borderId="67" applyNumberFormat="0" applyAlignment="0" applyProtection="0"/>
    <xf numFmtId="0" fontId="8" fillId="41" borderId="53" applyNumberFormat="0" applyAlignment="0" applyProtection="0"/>
    <xf numFmtId="0" fontId="14" fillId="20" borderId="55" applyNumberFormat="0" applyAlignment="0" applyProtection="0"/>
    <xf numFmtId="168" fontId="3" fillId="35" borderId="54" applyNumberFormat="0" applyAlignment="0" applyProtection="0"/>
    <xf numFmtId="168" fontId="21" fillId="0" borderId="92" applyNumberFormat="0" applyFill="0" applyAlignment="0" applyProtection="0"/>
    <xf numFmtId="0" fontId="21" fillId="0" borderId="62" applyNumberFormat="0" applyFill="0" applyAlignment="0" applyProtection="0"/>
    <xf numFmtId="168" fontId="14" fillId="41" borderId="91" applyNumberFormat="0" applyAlignment="0" applyProtection="0"/>
    <xf numFmtId="0" fontId="14" fillId="41" borderId="61" applyNumberFormat="0" applyAlignment="0" applyProtection="0"/>
    <xf numFmtId="168" fontId="11" fillId="33" borderId="107" applyNumberFormat="0" applyAlignment="0" applyProtection="0"/>
    <xf numFmtId="0" fontId="14" fillId="41" borderId="79" applyNumberFormat="0" applyAlignment="0" applyProtection="0"/>
    <xf numFmtId="168" fontId="21" fillId="0" borderId="104" applyNumberFormat="0" applyFill="0" applyAlignment="0" applyProtection="0"/>
    <xf numFmtId="168" fontId="11" fillId="7" borderId="77" applyNumberFormat="0" applyAlignment="0" applyProtection="0"/>
    <xf numFmtId="0" fontId="21" fillId="0" borderId="80" applyNumberFormat="0" applyFill="0" applyAlignment="0" applyProtection="0"/>
    <xf numFmtId="168" fontId="21" fillId="0" borderId="98" applyNumberFormat="0" applyFill="0" applyAlignment="0" applyProtection="0"/>
    <xf numFmtId="0" fontId="14" fillId="20" borderId="79" applyNumberFormat="0" applyAlignment="0" applyProtection="0"/>
    <xf numFmtId="0" fontId="8" fillId="41" borderId="59" applyNumberFormat="0" applyAlignment="0" applyProtection="0"/>
    <xf numFmtId="0" fontId="11" fillId="33" borderId="53" applyNumberFormat="0" applyAlignment="0" applyProtection="0"/>
    <xf numFmtId="0" fontId="21" fillId="0" borderId="56" applyNumberFormat="0" applyFill="0" applyAlignment="0" applyProtection="0"/>
    <xf numFmtId="168" fontId="21" fillId="0" borderId="68" applyNumberFormat="0" applyFill="0" applyAlignment="0" applyProtection="0"/>
    <xf numFmtId="168" fontId="14" fillId="41" borderId="8" applyNumberFormat="0" applyAlignment="0" applyProtection="0"/>
    <xf numFmtId="168" fontId="14" fillId="41" borderId="8" applyNumberFormat="0" applyAlignment="0" applyProtection="0"/>
    <xf numFmtId="168" fontId="14" fillId="41" borderId="8" applyNumberFormat="0" applyAlignment="0" applyProtection="0"/>
    <xf numFmtId="0" fontId="3" fillId="35" borderId="66" applyNumberFormat="0" applyAlignment="0" applyProtection="0"/>
    <xf numFmtId="168" fontId="14" fillId="41" borderId="8" applyNumberFormat="0" applyAlignment="0" applyProtection="0"/>
    <xf numFmtId="168" fontId="14" fillId="41" borderId="8" applyNumberFormat="0" applyAlignment="0" applyProtection="0"/>
    <xf numFmtId="168" fontId="21" fillId="0" borderId="56" applyNumberFormat="0" applyFill="0" applyAlignment="0" applyProtection="0"/>
    <xf numFmtId="0" fontId="8" fillId="41" borderId="65" applyNumberFormat="0" applyAlignment="0" applyProtection="0"/>
    <xf numFmtId="168" fontId="14" fillId="41" borderId="67" applyNumberFormat="0" applyAlignment="0" applyProtection="0"/>
    <xf numFmtId="168" fontId="3" fillId="35" borderId="54" applyNumberFormat="0" applyAlignment="0" applyProtection="0"/>
    <xf numFmtId="168" fontId="3" fillId="35" borderId="54" applyNumberFormat="0" applyAlignment="0" applyProtection="0"/>
    <xf numFmtId="168" fontId="21" fillId="0" borderId="74" applyNumberFormat="0" applyFill="0" applyAlignment="0" applyProtection="0"/>
    <xf numFmtId="168" fontId="14" fillId="41" borderId="67" applyNumberFormat="0" applyAlignment="0" applyProtection="0"/>
    <xf numFmtId="168" fontId="21" fillId="0" borderId="86" applyNumberFormat="0" applyFill="0" applyAlignment="0" applyProtection="0"/>
    <xf numFmtId="168" fontId="8" fillId="20" borderId="71" applyNumberFormat="0" applyAlignment="0" applyProtection="0"/>
    <xf numFmtId="168" fontId="21" fillId="0" borderId="62" applyNumberFormat="0" applyFill="0" applyAlignment="0" applyProtection="0"/>
    <xf numFmtId="0" fontId="3" fillId="35" borderId="60" applyNumberFormat="0" applyAlignment="0" applyProtection="0"/>
    <xf numFmtId="168" fontId="21" fillId="0" borderId="56" applyNumberFormat="0" applyFill="0" applyAlignment="0" applyProtection="0"/>
    <xf numFmtId="168" fontId="8" fillId="41" borderId="71" applyNumberFormat="0" applyAlignment="0" applyProtection="0"/>
    <xf numFmtId="168" fontId="8" fillId="41" borderId="59" applyNumberFormat="0" applyAlignment="0" applyProtection="0"/>
    <xf numFmtId="168" fontId="14" fillId="41" borderId="8" applyNumberFormat="0" applyAlignment="0" applyProtection="0"/>
    <xf numFmtId="168" fontId="11" fillId="33" borderId="77" applyNumberFormat="0" applyAlignment="0" applyProtection="0"/>
    <xf numFmtId="168" fontId="14" fillId="20" borderId="67" applyNumberFormat="0" applyAlignment="0" applyProtection="0"/>
    <xf numFmtId="0" fontId="14" fillId="41" borderId="55" applyNumberFormat="0" applyAlignment="0" applyProtection="0"/>
    <xf numFmtId="168" fontId="14" fillId="41" borderId="8" applyNumberFormat="0" applyAlignment="0" applyProtection="0"/>
    <xf numFmtId="168" fontId="14" fillId="41" borderId="55" applyNumberFormat="0" applyAlignment="0" applyProtection="0"/>
    <xf numFmtId="168" fontId="14" fillId="41" borderId="8" applyNumberFormat="0" applyAlignment="0" applyProtection="0"/>
    <xf numFmtId="168" fontId="11" fillId="33" borderId="53" applyNumberFormat="0" applyAlignment="0" applyProtection="0"/>
    <xf numFmtId="0" fontId="3" fillId="35" borderId="54" applyNumberFormat="0" applyAlignment="0" applyProtection="0"/>
    <xf numFmtId="168" fontId="14" fillId="41" borderId="85" applyNumberFormat="0" applyAlignment="0" applyProtection="0"/>
    <xf numFmtId="168" fontId="14" fillId="41" borderId="8" applyNumberFormat="0" applyAlignment="0" applyProtection="0"/>
    <xf numFmtId="168" fontId="11" fillId="33" borderId="59" applyNumberFormat="0" applyAlignment="0" applyProtection="0"/>
    <xf numFmtId="168" fontId="3" fillId="35" borderId="72" applyNumberFormat="0" applyAlignment="0" applyProtection="0"/>
    <xf numFmtId="168" fontId="14" fillId="41" borderId="8" applyNumberFormat="0" applyAlignment="0" applyProtection="0"/>
    <xf numFmtId="168" fontId="14" fillId="41" borderId="61" applyNumberFormat="0" applyAlignment="0" applyProtection="0"/>
    <xf numFmtId="168" fontId="14" fillId="41" borderId="55" applyNumberFormat="0" applyAlignment="0" applyProtection="0"/>
    <xf numFmtId="0" fontId="3" fillId="35" borderId="60" applyNumberFormat="0" applyAlignment="0" applyProtection="0"/>
    <xf numFmtId="168" fontId="21" fillId="0" borderId="68" applyNumberFormat="0" applyFill="0" applyAlignment="0" applyProtection="0"/>
    <xf numFmtId="168" fontId="14" fillId="41" borderId="8" applyNumberFormat="0" applyAlignment="0" applyProtection="0"/>
    <xf numFmtId="168" fontId="3" fillId="35" borderId="96" applyNumberFormat="0" applyAlignment="0" applyProtection="0"/>
    <xf numFmtId="168" fontId="3" fillId="35" borderId="60" applyNumberFormat="0" applyAlignment="0" applyProtection="0"/>
    <xf numFmtId="0" fontId="11" fillId="33" borderId="53" applyNumberFormat="0" applyAlignment="0" applyProtection="0"/>
    <xf numFmtId="168" fontId="3" fillId="35" borderId="66" applyNumberFormat="0" applyAlignment="0" applyProtection="0"/>
    <xf numFmtId="168" fontId="21" fillId="0" borderId="62" applyNumberFormat="0" applyFill="0" applyAlignment="0" applyProtection="0"/>
    <xf numFmtId="168" fontId="8" fillId="41" borderId="53" applyNumberFormat="0" applyAlignment="0" applyProtection="0"/>
    <xf numFmtId="168" fontId="11" fillId="33" borderId="59" applyNumberFormat="0" applyAlignment="0" applyProtection="0"/>
    <xf numFmtId="168" fontId="8" fillId="20" borderId="77" applyNumberFormat="0" applyAlignment="0" applyProtection="0"/>
    <xf numFmtId="0" fontId="14" fillId="20" borderId="55" applyNumberFormat="0" applyAlignment="0" applyProtection="0"/>
    <xf numFmtId="168" fontId="8" fillId="41" borderId="59" applyNumberFormat="0" applyAlignment="0" applyProtection="0"/>
    <xf numFmtId="0" fontId="3" fillId="35" borderId="66" applyNumberFormat="0" applyAlignment="0" applyProtection="0"/>
    <xf numFmtId="0" fontId="14" fillId="20" borderId="55" applyNumberFormat="0" applyAlignment="0" applyProtection="0"/>
    <xf numFmtId="168" fontId="11" fillId="7" borderId="59" applyNumberFormat="0" applyAlignment="0" applyProtection="0"/>
    <xf numFmtId="168" fontId="21" fillId="0" borderId="62" applyNumberFormat="0" applyFill="0" applyAlignment="0" applyProtection="0"/>
    <xf numFmtId="0" fontId="14" fillId="41" borderId="61" applyNumberFormat="0" applyAlignment="0" applyProtection="0"/>
    <xf numFmtId="0" fontId="14" fillId="41" borderId="61" applyNumberFormat="0" applyAlignment="0" applyProtection="0"/>
    <xf numFmtId="168" fontId="14" fillId="41" borderId="61" applyNumberFormat="0" applyAlignment="0" applyProtection="0"/>
    <xf numFmtId="0" fontId="8" fillId="41" borderId="77" applyNumberFormat="0" applyAlignment="0" applyProtection="0"/>
    <xf numFmtId="168" fontId="14" fillId="41" borderId="8" applyNumberFormat="0" applyAlignment="0" applyProtection="0"/>
    <xf numFmtId="168" fontId="14" fillId="41" borderId="8" applyNumberFormat="0" applyAlignment="0" applyProtection="0"/>
    <xf numFmtId="168" fontId="14" fillId="41" borderId="8" applyNumberFormat="0" applyAlignment="0" applyProtection="0"/>
    <xf numFmtId="168" fontId="14" fillId="41" borderId="8" applyNumberFormat="0" applyAlignment="0" applyProtection="0"/>
    <xf numFmtId="0" fontId="11" fillId="33" borderId="53" applyNumberFormat="0" applyAlignment="0" applyProtection="0"/>
    <xf numFmtId="168" fontId="8" fillId="41" borderId="59" applyNumberFormat="0" applyAlignment="0" applyProtection="0"/>
    <xf numFmtId="168" fontId="8" fillId="41" borderId="53" applyNumberFormat="0" applyAlignment="0" applyProtection="0"/>
    <xf numFmtId="0" fontId="8" fillId="20" borderId="65" applyNumberFormat="0" applyAlignment="0" applyProtection="0"/>
    <xf numFmtId="168" fontId="14" fillId="41" borderId="8" applyNumberFormat="0" applyAlignment="0" applyProtection="0"/>
    <xf numFmtId="168" fontId="8" fillId="41" borderId="89" applyNumberFormat="0" applyAlignment="0" applyProtection="0"/>
    <xf numFmtId="0" fontId="8" fillId="41" borderId="59" applyNumberFormat="0" applyAlignment="0" applyProtection="0"/>
    <xf numFmtId="168" fontId="8" fillId="41" borderId="71" applyNumberFormat="0" applyAlignment="0" applyProtection="0"/>
    <xf numFmtId="168" fontId="14" fillId="41" borderId="8" applyNumberFormat="0" applyAlignment="0" applyProtection="0"/>
    <xf numFmtId="168" fontId="14" fillId="41" borderId="8" applyNumberFormat="0" applyAlignment="0" applyProtection="0"/>
    <xf numFmtId="168" fontId="21" fillId="0" borderId="56" applyNumberFormat="0" applyFill="0" applyAlignment="0" applyProtection="0"/>
    <xf numFmtId="0" fontId="8" fillId="41" borderId="53" applyNumberFormat="0" applyAlignment="0" applyProtection="0"/>
    <xf numFmtId="168" fontId="3" fillId="35" borderId="72" applyNumberFormat="0" applyAlignment="0" applyProtection="0"/>
    <xf numFmtId="0" fontId="8" fillId="41" borderId="59" applyNumberFormat="0" applyAlignment="0" applyProtection="0"/>
    <xf numFmtId="168" fontId="11" fillId="33" borderId="95" applyNumberFormat="0" applyAlignment="0" applyProtection="0"/>
    <xf numFmtId="168" fontId="14" fillId="41" borderId="61" applyNumberFormat="0" applyAlignment="0" applyProtection="0"/>
    <xf numFmtId="168" fontId="8" fillId="41" borderId="83" applyNumberFormat="0" applyAlignment="0" applyProtection="0"/>
    <xf numFmtId="0" fontId="3" fillId="35" borderId="54" applyNumberFormat="0" applyAlignment="0" applyProtection="0"/>
    <xf numFmtId="0" fontId="21" fillId="0" borderId="68" applyNumberFormat="0" applyFill="0" applyAlignment="0" applyProtection="0"/>
    <xf numFmtId="168" fontId="11" fillId="33" borderId="65" applyNumberFormat="0" applyAlignment="0" applyProtection="0"/>
    <xf numFmtId="0" fontId="11" fillId="33" borderId="53" applyNumberFormat="0" applyAlignment="0" applyProtection="0"/>
    <xf numFmtId="168" fontId="8" fillId="20" borderId="59" applyNumberFormat="0" applyAlignment="0" applyProtection="0"/>
    <xf numFmtId="168" fontId="14" fillId="20" borderId="8" applyNumberFormat="0" applyAlignment="0" applyProtection="0"/>
    <xf numFmtId="168" fontId="14" fillId="20" borderId="8" applyNumberFormat="0" applyAlignment="0" applyProtection="0"/>
    <xf numFmtId="168" fontId="11" fillId="33" borderId="65" applyNumberFormat="0" applyAlignment="0" applyProtection="0"/>
    <xf numFmtId="0" fontId="11" fillId="33" borderId="53" applyNumberFormat="0" applyAlignment="0" applyProtection="0"/>
    <xf numFmtId="0" fontId="21" fillId="0" borderId="56" applyNumberFormat="0" applyFill="0" applyAlignment="0" applyProtection="0"/>
    <xf numFmtId="168" fontId="21" fillId="0" borderId="86" applyNumberFormat="0" applyFill="0" applyAlignment="0" applyProtection="0"/>
    <xf numFmtId="0" fontId="21" fillId="0" borderId="56" applyNumberFormat="0" applyFill="0" applyAlignment="0" applyProtection="0"/>
    <xf numFmtId="0" fontId="14" fillId="41" borderId="55" applyNumberFormat="0" applyAlignment="0" applyProtection="0"/>
    <xf numFmtId="168" fontId="11" fillId="33" borderId="83" applyNumberFormat="0" applyAlignment="0" applyProtection="0"/>
    <xf numFmtId="168" fontId="14" fillId="41" borderId="55" applyNumberFormat="0" applyAlignment="0" applyProtection="0"/>
    <xf numFmtId="0" fontId="3" fillId="35" borderId="60" applyNumberFormat="0" applyAlignment="0" applyProtection="0"/>
    <xf numFmtId="168" fontId="14" fillId="41" borderId="55" applyNumberFormat="0" applyAlignment="0" applyProtection="0"/>
    <xf numFmtId="168" fontId="8" fillId="20" borderId="83" applyNumberFormat="0" applyAlignment="0" applyProtection="0"/>
    <xf numFmtId="168" fontId="8" fillId="41" borderId="53" applyNumberFormat="0" applyAlignment="0" applyProtection="0"/>
    <xf numFmtId="0" fontId="21" fillId="0" borderId="68" applyNumberFormat="0" applyFill="0" applyAlignment="0" applyProtection="0"/>
    <xf numFmtId="168" fontId="3" fillId="35" borderId="60" applyNumberFormat="0" applyAlignment="0" applyProtection="0"/>
    <xf numFmtId="168" fontId="21" fillId="0" borderId="62" applyNumberFormat="0" applyFill="0" applyAlignment="0" applyProtection="0"/>
    <xf numFmtId="0" fontId="14" fillId="41" borderId="55" applyNumberFormat="0" applyAlignment="0" applyProtection="0"/>
    <xf numFmtId="0" fontId="21" fillId="0" borderId="56" applyNumberFormat="0" applyFill="0" applyAlignment="0" applyProtection="0"/>
    <xf numFmtId="0" fontId="3" fillId="35" borderId="60" applyNumberFormat="0" applyAlignment="0" applyProtection="0"/>
    <xf numFmtId="0" fontId="11" fillId="33" borderId="65" applyNumberFormat="0" applyAlignment="0" applyProtection="0"/>
    <xf numFmtId="0" fontId="11" fillId="33" borderId="65" applyNumberFormat="0" applyAlignment="0" applyProtection="0"/>
    <xf numFmtId="0" fontId="11" fillId="7" borderId="53" applyNumberFormat="0" applyAlignment="0" applyProtection="0"/>
    <xf numFmtId="168" fontId="14" fillId="20" borderId="79" applyNumberFormat="0" applyAlignment="0" applyProtection="0"/>
    <xf numFmtId="168" fontId="3" fillId="35" borderId="60" applyNumberFormat="0" applyAlignment="0" applyProtection="0"/>
    <xf numFmtId="168" fontId="3" fillId="35" borderId="66" applyNumberFormat="0" applyAlignment="0" applyProtection="0"/>
    <xf numFmtId="0" fontId="3" fillId="35" borderId="66" applyNumberFormat="0" applyAlignment="0" applyProtection="0"/>
    <xf numFmtId="168" fontId="3" fillId="35" borderId="54" applyNumberFormat="0" applyAlignment="0" applyProtection="0"/>
    <xf numFmtId="168" fontId="11" fillId="33" borderId="89" applyNumberFormat="0" applyAlignment="0" applyProtection="0"/>
    <xf numFmtId="0" fontId="8" fillId="41" borderId="53" applyNumberFormat="0" applyAlignment="0" applyProtection="0"/>
    <xf numFmtId="0" fontId="11" fillId="33" borderId="59" applyNumberFormat="0" applyAlignment="0" applyProtection="0"/>
    <xf numFmtId="0" fontId="11" fillId="7" borderId="59" applyNumberFormat="0" applyAlignment="0" applyProtection="0"/>
    <xf numFmtId="0" fontId="3" fillId="35" borderId="54" applyNumberFormat="0" applyAlignment="0" applyProtection="0"/>
    <xf numFmtId="168" fontId="14" fillId="20" borderId="73" applyNumberFormat="0" applyAlignment="0" applyProtection="0"/>
    <xf numFmtId="0" fontId="8" fillId="20" borderId="53" applyNumberFormat="0" applyAlignment="0" applyProtection="0"/>
    <xf numFmtId="168" fontId="11" fillId="33" borderId="65" applyNumberFormat="0" applyAlignment="0" applyProtection="0"/>
    <xf numFmtId="168" fontId="3" fillId="35" borderId="102" applyNumberFormat="0" applyAlignment="0" applyProtection="0"/>
    <xf numFmtId="168" fontId="11" fillId="33" borderId="53" applyNumberFormat="0" applyAlignment="0" applyProtection="0"/>
    <xf numFmtId="0" fontId="14" fillId="41" borderId="103" applyNumberFormat="0" applyAlignment="0" applyProtection="0"/>
    <xf numFmtId="168" fontId="11" fillId="33" borderId="53" applyNumberFormat="0" applyAlignment="0" applyProtection="0"/>
    <xf numFmtId="0" fontId="11" fillId="33" borderId="53" applyNumberFormat="0" applyAlignment="0" applyProtection="0"/>
    <xf numFmtId="0" fontId="14" fillId="41" borderId="67" applyNumberFormat="0" applyAlignment="0" applyProtection="0"/>
    <xf numFmtId="0" fontId="8" fillId="41" borderId="53" applyNumberFormat="0" applyAlignment="0" applyProtection="0"/>
    <xf numFmtId="168" fontId="21" fillId="0" borderId="56" applyNumberFormat="0" applyFill="0" applyAlignment="0" applyProtection="0"/>
    <xf numFmtId="168" fontId="3" fillId="35" borderId="54" applyNumberFormat="0" applyAlignment="0" applyProtection="0"/>
    <xf numFmtId="0" fontId="11" fillId="33" borderId="59" applyNumberFormat="0" applyAlignment="0" applyProtection="0"/>
    <xf numFmtId="168" fontId="8" fillId="41" borderId="53" applyNumberFormat="0" applyAlignment="0" applyProtection="0"/>
    <xf numFmtId="168" fontId="14" fillId="20" borderId="55" applyNumberFormat="0" applyAlignment="0" applyProtection="0"/>
    <xf numFmtId="0" fontId="14" fillId="41" borderId="67" applyNumberFormat="0" applyAlignment="0" applyProtection="0"/>
    <xf numFmtId="168" fontId="3" fillId="35" borderId="54" applyNumberFormat="0" applyAlignment="0" applyProtection="0"/>
    <xf numFmtId="168" fontId="8" fillId="41" borderId="59" applyNumberFormat="0" applyAlignment="0" applyProtection="0"/>
    <xf numFmtId="0" fontId="21" fillId="0" borderId="56" applyNumberFormat="0" applyFill="0" applyAlignment="0" applyProtection="0"/>
    <xf numFmtId="0" fontId="8" fillId="41" borderId="53" applyNumberFormat="0" applyAlignment="0" applyProtection="0"/>
    <xf numFmtId="0" fontId="11" fillId="33" borderId="53" applyNumberFormat="0" applyAlignment="0" applyProtection="0"/>
    <xf numFmtId="168" fontId="14" fillId="41" borderId="61" applyNumberFormat="0" applyAlignment="0" applyProtection="0"/>
    <xf numFmtId="0" fontId="11" fillId="33" borderId="77" applyNumberFormat="0" applyAlignment="0" applyProtection="0"/>
    <xf numFmtId="0" fontId="3" fillId="35" borderId="54" applyNumberFormat="0" applyAlignment="0" applyProtection="0"/>
    <xf numFmtId="168" fontId="14" fillId="41" borderId="55" applyNumberFormat="0" applyAlignment="0" applyProtection="0"/>
    <xf numFmtId="0" fontId="14" fillId="41" borderId="55" applyNumberFormat="0" applyAlignment="0" applyProtection="0"/>
    <xf numFmtId="168" fontId="21" fillId="0" borderId="62" applyNumberFormat="0" applyFill="0" applyAlignment="0" applyProtection="0"/>
    <xf numFmtId="0" fontId="8" fillId="20" borderId="59" applyNumberFormat="0" applyAlignment="0" applyProtection="0"/>
    <xf numFmtId="0" fontId="3" fillId="35" borderId="54" applyNumberFormat="0" applyAlignment="0" applyProtection="0"/>
    <xf numFmtId="0" fontId="14" fillId="41" borderId="55" applyNumberFormat="0" applyAlignment="0" applyProtection="0"/>
    <xf numFmtId="168" fontId="11" fillId="33" borderId="83" applyNumberFormat="0" applyAlignment="0" applyProtection="0"/>
    <xf numFmtId="168" fontId="21" fillId="0" borderId="56" applyNumberFormat="0" applyFill="0" applyAlignment="0" applyProtection="0"/>
    <xf numFmtId="168" fontId="3" fillId="35" borderId="54" applyNumberFormat="0" applyAlignment="0" applyProtection="0"/>
    <xf numFmtId="168" fontId="14" fillId="41" borderId="55" applyNumberFormat="0" applyAlignment="0" applyProtection="0"/>
    <xf numFmtId="168" fontId="8" fillId="20" borderId="53" applyNumberFormat="0" applyAlignment="0" applyProtection="0"/>
    <xf numFmtId="168" fontId="8" fillId="41" borderId="53" applyNumberFormat="0" applyAlignment="0" applyProtection="0"/>
    <xf numFmtId="0" fontId="21" fillId="0" borderId="56" applyNumberFormat="0" applyFill="0" applyAlignment="0" applyProtection="0"/>
    <xf numFmtId="0" fontId="11" fillId="33" borderId="65" applyNumberFormat="0" applyAlignment="0" applyProtection="0"/>
    <xf numFmtId="168" fontId="8" fillId="41" borderId="65" applyNumberFormat="0" applyAlignment="0" applyProtection="0"/>
    <xf numFmtId="0" fontId="14" fillId="41" borderId="55" applyNumberFormat="0" applyAlignment="0" applyProtection="0"/>
    <xf numFmtId="0" fontId="3" fillId="35" borderId="78" applyNumberFormat="0" applyAlignment="0" applyProtection="0"/>
    <xf numFmtId="0" fontId="8" fillId="41" borderId="53" applyNumberFormat="0" applyAlignment="0" applyProtection="0"/>
    <xf numFmtId="168" fontId="11" fillId="33" borderId="59" applyNumberFormat="0" applyAlignment="0" applyProtection="0"/>
    <xf numFmtId="0" fontId="11" fillId="33" borderId="59" applyNumberFormat="0" applyAlignment="0" applyProtection="0"/>
    <xf numFmtId="0" fontId="21" fillId="0" borderId="68" applyNumberFormat="0" applyFill="0" applyAlignment="0" applyProtection="0"/>
    <xf numFmtId="168" fontId="3" fillId="35" borderId="54" applyNumberFormat="0" applyAlignment="0" applyProtection="0"/>
    <xf numFmtId="168" fontId="21" fillId="0" borderId="56" applyNumberFormat="0" applyFill="0" applyAlignment="0" applyProtection="0"/>
    <xf numFmtId="168" fontId="8" fillId="41" borderId="59" applyNumberFormat="0" applyAlignment="0" applyProtection="0"/>
    <xf numFmtId="0" fontId="11" fillId="33" borderId="53" applyNumberFormat="0" applyAlignment="0" applyProtection="0"/>
    <xf numFmtId="168" fontId="8" fillId="41" borderId="53" applyNumberFormat="0" applyAlignment="0" applyProtection="0"/>
    <xf numFmtId="168" fontId="14" fillId="41" borderId="55" applyNumberFormat="0" applyAlignment="0" applyProtection="0"/>
    <xf numFmtId="0" fontId="21" fillId="0" borderId="62" applyNumberFormat="0" applyFill="0" applyAlignment="0" applyProtection="0"/>
    <xf numFmtId="0" fontId="11" fillId="7" borderId="59" applyNumberFormat="0" applyAlignment="0" applyProtection="0"/>
    <xf numFmtId="0" fontId="14" fillId="41" borderId="8" applyNumberFormat="0" applyAlignment="0" applyProtection="0"/>
    <xf numFmtId="0" fontId="3" fillId="35" borderId="66" applyNumberFormat="0" applyAlignment="0" applyProtection="0"/>
    <xf numFmtId="168" fontId="8" fillId="41" borderId="53" applyNumberFormat="0" applyAlignment="0" applyProtection="0"/>
    <xf numFmtId="0" fontId="14" fillId="41" borderId="55" applyNumberFormat="0" applyAlignment="0" applyProtection="0"/>
    <xf numFmtId="0" fontId="8" fillId="41" borderId="53" applyNumberFormat="0" applyAlignment="0" applyProtection="0"/>
    <xf numFmtId="0" fontId="8" fillId="41" borderId="53" applyNumberFormat="0" applyAlignment="0" applyProtection="0"/>
    <xf numFmtId="0" fontId="14" fillId="41" borderId="55" applyNumberFormat="0" applyAlignment="0" applyProtection="0"/>
    <xf numFmtId="168" fontId="3" fillId="35" borderId="66" applyNumberFormat="0" applyAlignment="0" applyProtection="0"/>
    <xf numFmtId="168" fontId="8" fillId="41" borderId="53" applyNumberFormat="0" applyAlignment="0" applyProtection="0"/>
    <xf numFmtId="168" fontId="8" fillId="41" borderId="65" applyNumberFormat="0" applyAlignment="0" applyProtection="0"/>
    <xf numFmtId="168" fontId="11" fillId="33" borderId="53" applyNumberFormat="0" applyAlignment="0" applyProtection="0"/>
    <xf numFmtId="168" fontId="14" fillId="41" borderId="73" applyNumberFormat="0" applyAlignment="0" applyProtection="0"/>
    <xf numFmtId="0" fontId="3" fillId="35" borderId="54" applyNumberFormat="0" applyAlignment="0" applyProtection="0"/>
    <xf numFmtId="0" fontId="14" fillId="41" borderId="55" applyNumberFormat="0" applyAlignment="0" applyProtection="0"/>
    <xf numFmtId="168" fontId="8" fillId="41" borderId="71" applyNumberFormat="0" applyAlignment="0" applyProtection="0"/>
    <xf numFmtId="0" fontId="14" fillId="41" borderId="55" applyNumberFormat="0" applyAlignment="0" applyProtection="0"/>
    <xf numFmtId="0" fontId="8" fillId="41" borderId="53" applyNumberFormat="0" applyAlignment="0" applyProtection="0"/>
    <xf numFmtId="168" fontId="11" fillId="33" borderId="71" applyNumberFormat="0" applyAlignment="0" applyProtection="0"/>
    <xf numFmtId="168" fontId="8" fillId="41" borderId="83" applyNumberFormat="0" applyAlignment="0" applyProtection="0"/>
    <xf numFmtId="0" fontId="3" fillId="35" borderId="60" applyNumberFormat="0" applyAlignment="0" applyProtection="0"/>
    <xf numFmtId="0" fontId="14" fillId="41" borderId="55" applyNumberFormat="0" applyAlignment="0" applyProtection="0"/>
    <xf numFmtId="168" fontId="3" fillId="35" borderId="54" applyNumberFormat="0" applyAlignment="0" applyProtection="0"/>
    <xf numFmtId="168" fontId="21" fillId="0" borderId="56" applyNumberFormat="0" applyFill="0" applyAlignment="0" applyProtection="0"/>
    <xf numFmtId="0" fontId="8" fillId="20" borderId="53" applyNumberFormat="0" applyAlignment="0" applyProtection="0"/>
    <xf numFmtId="168" fontId="21" fillId="0" borderId="68" applyNumberFormat="0" applyFill="0" applyAlignment="0" applyProtection="0"/>
    <xf numFmtId="0" fontId="21" fillId="0" borderId="68" applyNumberFormat="0" applyFill="0" applyAlignment="0" applyProtection="0"/>
    <xf numFmtId="168" fontId="8" fillId="41" borderId="53" applyNumberFormat="0" applyAlignment="0" applyProtection="0"/>
    <xf numFmtId="0" fontId="8" fillId="41" borderId="53" applyNumberFormat="0" applyAlignment="0" applyProtection="0"/>
    <xf numFmtId="168" fontId="14" fillId="41" borderId="55" applyNumberFormat="0" applyAlignment="0" applyProtection="0"/>
    <xf numFmtId="0" fontId="11" fillId="33" borderId="53" applyNumberFormat="0" applyAlignment="0" applyProtection="0"/>
    <xf numFmtId="168" fontId="3" fillId="35" borderId="66" applyNumberFormat="0" applyAlignment="0" applyProtection="0"/>
    <xf numFmtId="168" fontId="21" fillId="0" borderId="56" applyNumberFormat="0" applyFill="0" applyAlignment="0" applyProtection="0"/>
    <xf numFmtId="168" fontId="11" fillId="33" borderId="71" applyNumberFormat="0" applyAlignment="0" applyProtection="0"/>
    <xf numFmtId="0" fontId="11" fillId="33" borderId="53" applyNumberFormat="0" applyAlignment="0" applyProtection="0"/>
    <xf numFmtId="168" fontId="14" fillId="41" borderId="73" applyNumberFormat="0" applyAlignment="0" applyProtection="0"/>
    <xf numFmtId="0" fontId="14" fillId="41" borderId="61" applyNumberFormat="0" applyAlignment="0" applyProtection="0"/>
    <xf numFmtId="0" fontId="21" fillId="0" borderId="56" applyNumberFormat="0" applyFill="0" applyAlignment="0" applyProtection="0"/>
    <xf numFmtId="0" fontId="3" fillId="35" borderId="60" applyNumberFormat="0" applyAlignment="0" applyProtection="0"/>
    <xf numFmtId="0" fontId="21" fillId="0" borderId="62" applyNumberFormat="0" applyFill="0" applyAlignment="0" applyProtection="0"/>
    <xf numFmtId="0" fontId="21" fillId="0" borderId="64" applyNumberFormat="0" applyFill="0" applyAlignment="0" applyProtection="0"/>
    <xf numFmtId="168" fontId="14" fillId="41" borderId="55" applyNumberFormat="0" applyAlignment="0" applyProtection="0"/>
    <xf numFmtId="0" fontId="8" fillId="20" borderId="59" applyNumberFormat="0" applyAlignment="0" applyProtection="0"/>
    <xf numFmtId="0" fontId="11" fillId="33" borderId="65" applyNumberFormat="0" applyAlignment="0" applyProtection="0"/>
    <xf numFmtId="0" fontId="14" fillId="41" borderId="61" applyNumberFormat="0" applyAlignment="0" applyProtection="0"/>
    <xf numFmtId="168" fontId="21" fillId="0" borderId="56" applyNumberFormat="0" applyFill="0" applyAlignment="0" applyProtection="0"/>
    <xf numFmtId="168" fontId="8" fillId="41" borderId="53" applyNumberFormat="0" applyAlignment="0" applyProtection="0"/>
    <xf numFmtId="0" fontId="3" fillId="35" borderId="54" applyNumberFormat="0" applyAlignment="0" applyProtection="0"/>
    <xf numFmtId="0" fontId="11" fillId="33" borderId="59" applyNumberFormat="0" applyAlignment="0" applyProtection="0"/>
    <xf numFmtId="168" fontId="11" fillId="7" borderId="59" applyNumberFormat="0" applyAlignment="0" applyProtection="0"/>
    <xf numFmtId="0" fontId="11" fillId="33" borderId="77" applyNumberFormat="0" applyAlignment="0" applyProtection="0"/>
    <xf numFmtId="0" fontId="8" fillId="41" borderId="59" applyNumberFormat="0" applyAlignment="0" applyProtection="0"/>
    <xf numFmtId="168" fontId="8" fillId="41" borderId="53" applyNumberFormat="0" applyAlignment="0" applyProtection="0"/>
    <xf numFmtId="168" fontId="11" fillId="33" borderId="59" applyNumberFormat="0" applyAlignment="0" applyProtection="0"/>
    <xf numFmtId="168" fontId="14" fillId="41" borderId="67" applyNumberFormat="0" applyAlignment="0" applyProtection="0"/>
    <xf numFmtId="168" fontId="8" fillId="20" borderId="53" applyNumberFormat="0" applyAlignment="0" applyProtection="0"/>
    <xf numFmtId="0" fontId="21" fillId="0" borderId="62" applyNumberFormat="0" applyFill="0" applyAlignment="0" applyProtection="0"/>
    <xf numFmtId="0" fontId="11" fillId="33" borderId="59" applyNumberFormat="0" applyAlignment="0" applyProtection="0"/>
    <xf numFmtId="168" fontId="14" fillId="41" borderId="73" applyNumberFormat="0" applyAlignment="0" applyProtection="0"/>
    <xf numFmtId="168" fontId="8" fillId="41" borderId="53" applyNumberFormat="0" applyAlignment="0" applyProtection="0"/>
    <xf numFmtId="168" fontId="21" fillId="0" borderId="56" applyNumberFormat="0" applyFill="0" applyAlignment="0" applyProtection="0"/>
    <xf numFmtId="168" fontId="11" fillId="7" borderId="53" applyNumberFormat="0" applyAlignment="0" applyProtection="0"/>
    <xf numFmtId="168" fontId="21" fillId="0" borderId="56" applyNumberFormat="0" applyFill="0" applyAlignment="0" applyProtection="0"/>
    <xf numFmtId="0" fontId="8" fillId="41" borderId="65" applyNumberFormat="0" applyAlignment="0" applyProtection="0"/>
    <xf numFmtId="168" fontId="11" fillId="33" borderId="53" applyNumberFormat="0" applyAlignment="0" applyProtection="0"/>
    <xf numFmtId="0" fontId="8" fillId="41" borderId="53" applyNumberFormat="0" applyAlignment="0" applyProtection="0"/>
    <xf numFmtId="0" fontId="3" fillId="35" borderId="54" applyNumberFormat="0" applyAlignment="0" applyProtection="0"/>
    <xf numFmtId="168" fontId="11" fillId="33" borderId="59" applyNumberFormat="0" applyAlignment="0" applyProtection="0"/>
    <xf numFmtId="168" fontId="21" fillId="0" borderId="56" applyNumberFormat="0" applyFill="0" applyAlignment="0" applyProtection="0"/>
    <xf numFmtId="168" fontId="14" fillId="41" borderId="55" applyNumberFormat="0" applyAlignment="0" applyProtection="0"/>
    <xf numFmtId="168" fontId="11" fillId="7" borderId="53" applyNumberFormat="0" applyAlignment="0" applyProtection="0"/>
    <xf numFmtId="168" fontId="3" fillId="23" borderId="99" applyNumberFormat="0" applyFont="0" applyAlignment="0" applyProtection="0"/>
    <xf numFmtId="0" fontId="14" fillId="20" borderId="8" applyNumberFormat="0" applyAlignment="0" applyProtection="0"/>
    <xf numFmtId="0" fontId="8" fillId="41" borderId="65" applyNumberFormat="0" applyAlignment="0" applyProtection="0"/>
    <xf numFmtId="168" fontId="21" fillId="0" borderId="100" applyNumberFormat="0" applyFill="0" applyAlignment="0" applyProtection="0"/>
    <xf numFmtId="0" fontId="3" fillId="35" borderId="54" applyNumberFormat="0" applyAlignment="0" applyProtection="0"/>
    <xf numFmtId="168" fontId="21" fillId="0" borderId="74" applyNumberFormat="0" applyFill="0" applyAlignment="0" applyProtection="0"/>
    <xf numFmtId="0" fontId="21" fillId="0" borderId="56" applyNumberFormat="0" applyFill="0" applyAlignment="0" applyProtection="0"/>
    <xf numFmtId="0" fontId="11" fillId="33" borderId="59" applyNumberFormat="0" applyAlignment="0" applyProtection="0"/>
    <xf numFmtId="0" fontId="11" fillId="7" borderId="53" applyNumberFormat="0" applyAlignment="0" applyProtection="0"/>
    <xf numFmtId="0" fontId="21" fillId="0" borderId="9" applyNumberFormat="0" applyFill="0" applyAlignment="0" applyProtection="0"/>
    <xf numFmtId="168" fontId="11" fillId="33" borderId="71" applyNumberFormat="0" applyAlignment="0" applyProtection="0"/>
    <xf numFmtId="0" fontId="8" fillId="41" borderId="59" applyNumberFormat="0" applyAlignment="0" applyProtection="0"/>
    <xf numFmtId="168" fontId="14" fillId="41" borderId="67" applyNumberFormat="0" applyAlignment="0" applyProtection="0"/>
    <xf numFmtId="0" fontId="3" fillId="35" borderId="60" applyNumberFormat="0" applyAlignment="0" applyProtection="0"/>
    <xf numFmtId="168" fontId="14" fillId="41" borderId="55" applyNumberFormat="0" applyAlignment="0" applyProtection="0"/>
    <xf numFmtId="0" fontId="3" fillId="35" borderId="78" applyNumberFormat="0" applyAlignment="0" applyProtection="0"/>
    <xf numFmtId="0" fontId="11" fillId="33" borderId="59" applyNumberFormat="0" applyAlignment="0" applyProtection="0"/>
    <xf numFmtId="0" fontId="21" fillId="0" borderId="56" applyNumberFormat="0" applyFill="0" applyAlignment="0" applyProtection="0"/>
    <xf numFmtId="0" fontId="8" fillId="41" borderId="65" applyNumberFormat="0" applyAlignment="0" applyProtection="0"/>
    <xf numFmtId="168" fontId="8" fillId="41" borderId="65" applyNumberFormat="0" applyAlignment="0" applyProtection="0"/>
    <xf numFmtId="0" fontId="21" fillId="0" borderId="62" applyNumberFormat="0" applyFill="0" applyAlignment="0" applyProtection="0"/>
    <xf numFmtId="0" fontId="8" fillId="41" borderId="59" applyNumberFormat="0" applyAlignment="0" applyProtection="0"/>
    <xf numFmtId="0" fontId="3" fillId="35" borderId="54" applyNumberFormat="0" applyAlignment="0" applyProtection="0"/>
    <xf numFmtId="0" fontId="21" fillId="0" borderId="56" applyNumberFormat="0" applyFill="0" applyAlignment="0" applyProtection="0"/>
    <xf numFmtId="0" fontId="14" fillId="41" borderId="55" applyNumberFormat="0" applyAlignment="0" applyProtection="0"/>
    <xf numFmtId="168" fontId="14" fillId="41" borderId="61" applyNumberFormat="0" applyAlignment="0" applyProtection="0"/>
    <xf numFmtId="0" fontId="14" fillId="41" borderId="55" applyNumberFormat="0" applyAlignment="0" applyProtection="0"/>
    <xf numFmtId="168" fontId="3" fillId="35" borderId="54" applyNumberFormat="0" applyAlignment="0" applyProtection="0"/>
    <xf numFmtId="0" fontId="8" fillId="20" borderId="77" applyNumberFormat="0" applyAlignment="0" applyProtection="0"/>
    <xf numFmtId="168" fontId="14" fillId="41" borderId="55" applyNumberFormat="0" applyAlignment="0" applyProtection="0"/>
    <xf numFmtId="0" fontId="3" fillId="35" borderId="54" applyNumberFormat="0" applyAlignment="0" applyProtection="0"/>
    <xf numFmtId="168" fontId="21" fillId="0" borderId="80" applyNumberFormat="0" applyFill="0" applyAlignment="0" applyProtection="0"/>
    <xf numFmtId="0" fontId="14" fillId="41" borderId="55" applyNumberFormat="0" applyAlignment="0" applyProtection="0"/>
    <xf numFmtId="168" fontId="11" fillId="33" borderId="59" applyNumberFormat="0" applyAlignment="0" applyProtection="0"/>
    <xf numFmtId="0" fontId="11" fillId="33" borderId="59" applyNumberFormat="0" applyAlignment="0" applyProtection="0"/>
    <xf numFmtId="168" fontId="14" fillId="41" borderId="61" applyNumberFormat="0" applyAlignment="0" applyProtection="0"/>
    <xf numFmtId="168" fontId="11" fillId="33" borderId="71" applyNumberFormat="0" applyAlignment="0" applyProtection="0"/>
    <xf numFmtId="168" fontId="8" fillId="41" borderId="53" applyNumberFormat="0" applyAlignment="0" applyProtection="0"/>
    <xf numFmtId="0" fontId="21" fillId="0" borderId="62" applyNumberFormat="0" applyFill="0" applyAlignment="0" applyProtection="0"/>
    <xf numFmtId="0" fontId="11" fillId="33" borderId="53" applyNumberFormat="0" applyAlignment="0" applyProtection="0"/>
    <xf numFmtId="168" fontId="14" fillId="41" borderId="61" applyNumberFormat="0" applyAlignment="0" applyProtection="0"/>
    <xf numFmtId="168" fontId="8" fillId="41" borderId="59" applyNumberFormat="0" applyAlignment="0" applyProtection="0"/>
    <xf numFmtId="168" fontId="11" fillId="33" borderId="53" applyNumberFormat="0" applyAlignment="0" applyProtection="0"/>
    <xf numFmtId="168" fontId="8" fillId="41" borderId="59" applyNumberFormat="0" applyAlignment="0" applyProtection="0"/>
    <xf numFmtId="168" fontId="14" fillId="41" borderId="73" applyNumberFormat="0" applyAlignment="0" applyProtection="0"/>
    <xf numFmtId="0" fontId="14" fillId="20" borderId="79" applyNumberFormat="0" applyAlignment="0" applyProtection="0"/>
    <xf numFmtId="168" fontId="3" fillId="35" borderId="72" applyNumberFormat="0" applyAlignment="0" applyProtection="0"/>
    <xf numFmtId="0" fontId="11" fillId="33" borderId="59" applyNumberFormat="0" applyAlignment="0" applyProtection="0"/>
    <xf numFmtId="168" fontId="11" fillId="33" borderId="53" applyNumberFormat="0" applyAlignment="0" applyProtection="0"/>
    <xf numFmtId="168" fontId="8" fillId="20" borderId="65" applyNumberFormat="0" applyAlignment="0" applyProtection="0"/>
    <xf numFmtId="168" fontId="21" fillId="0" borderId="74" applyNumberFormat="0" applyFill="0" applyAlignment="0" applyProtection="0"/>
    <xf numFmtId="168" fontId="21" fillId="0" borderId="74" applyNumberFormat="0" applyFill="0" applyAlignment="0" applyProtection="0"/>
    <xf numFmtId="0" fontId="14" fillId="20" borderId="61" applyNumberFormat="0" applyAlignment="0" applyProtection="0"/>
    <xf numFmtId="168" fontId="8" fillId="41" borderId="53" applyNumberFormat="0" applyAlignment="0" applyProtection="0"/>
    <xf numFmtId="168" fontId="21" fillId="0" borderId="56" applyNumberFormat="0" applyFill="0" applyAlignment="0" applyProtection="0"/>
    <xf numFmtId="168" fontId="11" fillId="33" borderId="65" applyNumberFormat="0" applyAlignment="0" applyProtection="0"/>
    <xf numFmtId="168" fontId="11" fillId="33" borderId="71" applyNumberFormat="0" applyAlignment="0" applyProtection="0"/>
    <xf numFmtId="0" fontId="8" fillId="41" borderId="65" applyNumberFormat="0" applyAlignment="0" applyProtection="0"/>
    <xf numFmtId="168" fontId="8" fillId="41" borderId="53" applyNumberFormat="0" applyAlignment="0" applyProtection="0"/>
    <xf numFmtId="168" fontId="3" fillId="35" borderId="66" applyNumberFormat="0" applyAlignment="0" applyProtection="0"/>
    <xf numFmtId="168" fontId="21" fillId="0" borderId="62" applyNumberFormat="0" applyFill="0" applyAlignment="0" applyProtection="0"/>
    <xf numFmtId="0" fontId="21" fillId="0" borderId="62" applyNumberFormat="0" applyFill="0" applyAlignment="0" applyProtection="0"/>
    <xf numFmtId="0" fontId="14" fillId="41" borderId="55" applyNumberFormat="0" applyAlignment="0" applyProtection="0"/>
    <xf numFmtId="168" fontId="8" fillId="41" borderId="53" applyNumberFormat="0" applyAlignment="0" applyProtection="0"/>
    <xf numFmtId="0" fontId="8" fillId="41" borderId="65" applyNumberFormat="0" applyAlignment="0" applyProtection="0"/>
    <xf numFmtId="168" fontId="21" fillId="0" borderId="92" applyNumberFormat="0" applyFill="0" applyAlignment="0" applyProtection="0"/>
    <xf numFmtId="0" fontId="8" fillId="41" borderId="59" applyNumberFormat="0" applyAlignment="0" applyProtection="0"/>
    <xf numFmtId="0" fontId="3" fillId="35" borderId="66" applyNumberFormat="0" applyAlignment="0" applyProtection="0"/>
    <xf numFmtId="168" fontId="14" fillId="41" borderId="61" applyNumberFormat="0" applyAlignment="0" applyProtection="0"/>
    <xf numFmtId="168" fontId="3" fillId="35" borderId="60" applyNumberFormat="0" applyAlignment="0" applyProtection="0"/>
    <xf numFmtId="0" fontId="3" fillId="35" borderId="60" applyNumberFormat="0" applyAlignment="0" applyProtection="0"/>
    <xf numFmtId="0" fontId="8" fillId="41" borderId="59" applyNumberFormat="0" applyAlignment="0" applyProtection="0"/>
    <xf numFmtId="168" fontId="14" fillId="41" borderId="67" applyNumberFormat="0" applyAlignment="0" applyProtection="0"/>
    <xf numFmtId="0" fontId="3" fillId="23" borderId="57" applyNumberFormat="0" applyFont="0" applyAlignment="0" applyProtection="0"/>
    <xf numFmtId="168" fontId="8" fillId="20" borderId="53" applyNumberFormat="0" applyAlignment="0" applyProtection="0"/>
    <xf numFmtId="168" fontId="3" fillId="35" borderId="78" applyNumberFormat="0" applyAlignment="0" applyProtection="0"/>
    <xf numFmtId="168" fontId="14" fillId="20" borderId="61" applyNumberFormat="0" applyAlignment="0" applyProtection="0"/>
    <xf numFmtId="0" fontId="21" fillId="0" borderId="68" applyNumberFormat="0" applyFill="0" applyAlignment="0" applyProtection="0"/>
    <xf numFmtId="168" fontId="8" fillId="41" borderId="53" applyNumberFormat="0" applyAlignment="0" applyProtection="0"/>
    <xf numFmtId="0" fontId="8" fillId="41" borderId="53" applyNumberFormat="0" applyAlignment="0" applyProtection="0"/>
    <xf numFmtId="168" fontId="3" fillId="35" borderId="90" applyNumberFormat="0" applyAlignment="0" applyProtection="0"/>
    <xf numFmtId="0" fontId="21" fillId="0" borderId="68" applyNumberFormat="0" applyFill="0" applyAlignment="0" applyProtection="0"/>
    <xf numFmtId="168" fontId="3" fillId="35" borderId="54" applyNumberFormat="0" applyAlignment="0" applyProtection="0"/>
    <xf numFmtId="168" fontId="8" fillId="41" borderId="59" applyNumberFormat="0" applyAlignment="0" applyProtection="0"/>
    <xf numFmtId="168" fontId="8" fillId="41" borderId="59" applyNumberFormat="0" applyAlignment="0" applyProtection="0"/>
    <xf numFmtId="168" fontId="21" fillId="0" borderId="74" applyNumberFormat="0" applyFill="0" applyAlignment="0" applyProtection="0"/>
    <xf numFmtId="168" fontId="14" fillId="41" borderId="67" applyNumberFormat="0" applyAlignment="0" applyProtection="0"/>
    <xf numFmtId="168" fontId="3" fillId="35" borderId="54" applyNumberFormat="0" applyAlignment="0" applyProtection="0"/>
    <xf numFmtId="168" fontId="3" fillId="35" borderId="60" applyNumberFormat="0" applyAlignment="0" applyProtection="0"/>
    <xf numFmtId="0" fontId="11" fillId="33" borderId="65" applyNumberFormat="0" applyAlignment="0" applyProtection="0"/>
    <xf numFmtId="0" fontId="8" fillId="20" borderId="53" applyNumberFormat="0" applyAlignment="0" applyProtection="0"/>
    <xf numFmtId="0" fontId="8" fillId="41" borderId="59" applyNumberFormat="0" applyAlignment="0" applyProtection="0"/>
    <xf numFmtId="0" fontId="3" fillId="23" borderId="69" applyNumberFormat="0" applyFont="0" applyAlignment="0" applyProtection="0"/>
    <xf numFmtId="168" fontId="14" fillId="20" borderId="73" applyNumberFormat="0" applyAlignment="0" applyProtection="0"/>
    <xf numFmtId="168" fontId="11" fillId="33" borderId="53" applyNumberFormat="0" applyAlignment="0" applyProtection="0"/>
    <xf numFmtId="168" fontId="11" fillId="33" borderId="65" applyNumberFormat="0" applyAlignment="0" applyProtection="0"/>
    <xf numFmtId="168" fontId="11" fillId="33" borderId="65" applyNumberFormat="0" applyAlignment="0" applyProtection="0"/>
    <xf numFmtId="168" fontId="8" fillId="20" borderId="53" applyNumberFormat="0" applyAlignment="0" applyProtection="0"/>
    <xf numFmtId="168" fontId="3" fillId="35" borderId="54" applyNumberFormat="0" applyAlignment="0" applyProtection="0"/>
    <xf numFmtId="168" fontId="21" fillId="0" borderId="62" applyNumberFormat="0" applyFill="0" applyAlignment="0" applyProtection="0"/>
    <xf numFmtId="0" fontId="14" fillId="41" borderId="8" applyNumberFormat="0" applyAlignment="0" applyProtection="0"/>
    <xf numFmtId="0" fontId="11" fillId="33" borderId="53" applyNumberFormat="0" applyAlignment="0" applyProtection="0"/>
    <xf numFmtId="0" fontId="14" fillId="41" borderId="61" applyNumberFormat="0" applyAlignment="0" applyProtection="0"/>
    <xf numFmtId="168" fontId="11" fillId="33" borderId="53" applyNumberFormat="0" applyAlignment="0" applyProtection="0"/>
    <xf numFmtId="168" fontId="21" fillId="0" borderId="98" applyNumberFormat="0" applyFill="0" applyAlignment="0" applyProtection="0"/>
    <xf numFmtId="168" fontId="8" fillId="41" borderId="53" applyNumberFormat="0" applyAlignment="0" applyProtection="0"/>
    <xf numFmtId="168" fontId="21" fillId="0" borderId="62" applyNumberFormat="0" applyFill="0" applyAlignment="0" applyProtection="0"/>
    <xf numFmtId="0" fontId="8" fillId="41" borderId="59" applyNumberFormat="0" applyAlignment="0" applyProtection="0"/>
    <xf numFmtId="168" fontId="11" fillId="7" borderId="65" applyNumberFormat="0" applyAlignment="0" applyProtection="0"/>
    <xf numFmtId="168" fontId="3" fillId="35" borderId="54" applyNumberFormat="0" applyAlignment="0" applyProtection="0"/>
    <xf numFmtId="168" fontId="3" fillId="35" borderId="60" applyNumberFormat="0" applyAlignment="0" applyProtection="0"/>
    <xf numFmtId="0" fontId="3" fillId="23" borderId="63" applyNumberFormat="0" applyFont="0" applyAlignment="0" applyProtection="0"/>
    <xf numFmtId="0" fontId="21" fillId="0" borderId="56" applyNumberFormat="0" applyFill="0" applyAlignment="0" applyProtection="0"/>
    <xf numFmtId="168" fontId="14" fillId="41" borderId="61" applyNumberFormat="0" applyAlignment="0" applyProtection="0"/>
    <xf numFmtId="168" fontId="3" fillId="35" borderId="66" applyNumberFormat="0" applyAlignment="0" applyProtection="0"/>
    <xf numFmtId="168" fontId="11" fillId="33" borderId="59" applyNumberFormat="0" applyAlignment="0" applyProtection="0"/>
    <xf numFmtId="0" fontId="14" fillId="41" borderId="67" applyNumberFormat="0" applyAlignment="0" applyProtection="0"/>
    <xf numFmtId="168" fontId="8" fillId="41" borderId="65" applyNumberFormat="0" applyAlignment="0" applyProtection="0"/>
    <xf numFmtId="168" fontId="21" fillId="0" borderId="56" applyNumberFormat="0" applyFill="0" applyAlignment="0" applyProtection="0"/>
    <xf numFmtId="0" fontId="3" fillId="35" borderId="54" applyNumberFormat="0" applyAlignment="0" applyProtection="0"/>
    <xf numFmtId="168" fontId="3" fillId="23" borderId="69" applyNumberFormat="0" applyFont="0" applyAlignment="0" applyProtection="0"/>
    <xf numFmtId="0" fontId="14" fillId="41" borderId="55" applyNumberFormat="0" applyAlignment="0" applyProtection="0"/>
    <xf numFmtId="168" fontId="11" fillId="33" borderId="53" applyNumberFormat="0" applyAlignment="0" applyProtection="0"/>
    <xf numFmtId="0" fontId="14" fillId="20" borderId="8" applyNumberFormat="0" applyAlignment="0" applyProtection="0"/>
    <xf numFmtId="0" fontId="8" fillId="41" borderId="59" applyNumberFormat="0" applyAlignment="0" applyProtection="0"/>
    <xf numFmtId="0" fontId="3" fillId="35" borderId="54" applyNumberFormat="0" applyAlignment="0" applyProtection="0"/>
    <xf numFmtId="0" fontId="8" fillId="20" borderId="59" applyNumberFormat="0" applyAlignment="0" applyProtection="0"/>
    <xf numFmtId="0" fontId="11" fillId="33" borderId="59" applyNumberFormat="0" applyAlignment="0" applyProtection="0"/>
    <xf numFmtId="168" fontId="21" fillId="0" borderId="80" applyNumberFormat="0" applyFill="0" applyAlignment="0" applyProtection="0"/>
    <xf numFmtId="168" fontId="14" fillId="41" borderId="61" applyNumberFormat="0" applyAlignment="0" applyProtection="0"/>
    <xf numFmtId="0" fontId="3" fillId="35" borderId="60" applyNumberFormat="0" applyAlignment="0" applyProtection="0"/>
    <xf numFmtId="168" fontId="14" fillId="20" borderId="55" applyNumberFormat="0" applyAlignment="0" applyProtection="0"/>
    <xf numFmtId="168" fontId="8" fillId="41" borderId="53" applyNumberFormat="0" applyAlignment="0" applyProtection="0"/>
    <xf numFmtId="168" fontId="3" fillId="35" borderId="60" applyNumberFormat="0" applyAlignment="0" applyProtection="0"/>
    <xf numFmtId="0" fontId="11" fillId="33" borderId="65" applyNumberFormat="0" applyAlignment="0" applyProtection="0"/>
    <xf numFmtId="0" fontId="14" fillId="41" borderId="79" applyNumberFormat="0" applyAlignment="0" applyProtection="0"/>
    <xf numFmtId="168" fontId="3" fillId="35" borderId="78" applyNumberFormat="0" applyAlignment="0" applyProtection="0"/>
    <xf numFmtId="0" fontId="3" fillId="35" borderId="60" applyNumberFormat="0" applyAlignment="0" applyProtection="0"/>
    <xf numFmtId="168" fontId="21" fillId="0" borderId="86" applyNumberFormat="0" applyFill="0" applyAlignment="0" applyProtection="0"/>
    <xf numFmtId="168" fontId="8" fillId="41" borderId="71" applyNumberFormat="0" applyAlignment="0" applyProtection="0"/>
    <xf numFmtId="0" fontId="11" fillId="33" borderId="53" applyNumberFormat="0" applyAlignment="0" applyProtection="0"/>
    <xf numFmtId="0" fontId="21" fillId="0" borderId="56" applyNumberFormat="0" applyFill="0" applyAlignment="0" applyProtection="0"/>
    <xf numFmtId="0" fontId="3" fillId="35" borderId="54" applyNumberFormat="0" applyAlignment="0" applyProtection="0"/>
    <xf numFmtId="0" fontId="21" fillId="0" borderId="56" applyNumberFormat="0" applyFill="0" applyAlignment="0" applyProtection="0"/>
    <xf numFmtId="0" fontId="11" fillId="7" borderId="53" applyNumberFormat="0" applyAlignment="0" applyProtection="0"/>
    <xf numFmtId="168" fontId="3" fillId="35" borderId="54" applyNumberFormat="0" applyAlignment="0" applyProtection="0"/>
    <xf numFmtId="0" fontId="3" fillId="35" borderId="60" applyNumberFormat="0" applyAlignment="0" applyProtection="0"/>
    <xf numFmtId="0" fontId="11" fillId="33" borderId="59" applyNumberFormat="0" applyAlignment="0" applyProtection="0"/>
    <xf numFmtId="168" fontId="11" fillId="33" borderId="59" applyNumberFormat="0" applyAlignment="0" applyProtection="0"/>
    <xf numFmtId="168" fontId="3" fillId="35" borderId="66" applyNumberFormat="0" applyAlignment="0" applyProtection="0"/>
    <xf numFmtId="168" fontId="14" fillId="41" borderId="67" applyNumberFormat="0" applyAlignment="0" applyProtection="0"/>
    <xf numFmtId="0" fontId="3" fillId="35" borderId="78" applyNumberFormat="0" applyAlignment="0" applyProtection="0"/>
    <xf numFmtId="0" fontId="11" fillId="33" borderId="77" applyNumberFormat="0" applyAlignment="0" applyProtection="0"/>
    <xf numFmtId="168" fontId="3" fillId="23" borderId="75" applyNumberFormat="0" applyFont="0" applyAlignment="0" applyProtection="0"/>
    <xf numFmtId="168" fontId="14" fillId="41" borderId="55" applyNumberFormat="0" applyAlignment="0" applyProtection="0"/>
    <xf numFmtId="168" fontId="14" fillId="20" borderId="61" applyNumberFormat="0" applyAlignment="0" applyProtection="0"/>
    <xf numFmtId="168" fontId="14" fillId="20" borderId="55" applyNumberFormat="0" applyAlignment="0" applyProtection="0"/>
    <xf numFmtId="0" fontId="21" fillId="0" borderId="56" applyNumberFormat="0" applyFill="0" applyAlignment="0" applyProtection="0"/>
    <xf numFmtId="0" fontId="11" fillId="33" borderId="65" applyNumberFormat="0" applyAlignment="0" applyProtection="0"/>
    <xf numFmtId="168" fontId="8" fillId="20" borderId="59" applyNumberFormat="0" applyAlignment="0" applyProtection="0"/>
    <xf numFmtId="168" fontId="14" fillId="41" borderId="61" applyNumberFormat="0" applyAlignment="0" applyProtection="0"/>
    <xf numFmtId="0" fontId="3" fillId="35" borderId="66" applyNumberFormat="0" applyAlignment="0" applyProtection="0"/>
    <xf numFmtId="168" fontId="8" fillId="41" borderId="53" applyNumberFormat="0" applyAlignment="0" applyProtection="0"/>
    <xf numFmtId="0" fontId="11" fillId="7" borderId="53" applyNumberFormat="0" applyAlignment="0" applyProtection="0"/>
    <xf numFmtId="168" fontId="14" fillId="41" borderId="67" applyNumberFormat="0" applyAlignment="0" applyProtection="0"/>
    <xf numFmtId="0" fontId="3" fillId="35" borderId="54" applyNumberFormat="0" applyAlignment="0" applyProtection="0"/>
    <xf numFmtId="0" fontId="3" fillId="35" borderId="54" applyNumberFormat="0" applyAlignment="0" applyProtection="0"/>
    <xf numFmtId="0" fontId="21" fillId="0" borderId="56" applyNumberFormat="0" applyFill="0" applyAlignment="0" applyProtection="0"/>
    <xf numFmtId="0" fontId="21" fillId="0" borderId="56" applyNumberFormat="0" applyFill="0" applyAlignment="0" applyProtection="0"/>
    <xf numFmtId="0" fontId="14" fillId="41" borderId="55" applyNumberFormat="0" applyAlignment="0" applyProtection="0"/>
    <xf numFmtId="0" fontId="3" fillId="35" borderId="54" applyNumberFormat="0" applyAlignment="0" applyProtection="0"/>
    <xf numFmtId="0" fontId="21" fillId="0" borderId="56" applyNumberFormat="0" applyFill="0" applyAlignment="0" applyProtection="0"/>
    <xf numFmtId="0" fontId="11" fillId="33" borderId="53" applyNumberFormat="0" applyAlignment="0" applyProtection="0"/>
    <xf numFmtId="0" fontId="14" fillId="41" borderId="61" applyNumberFormat="0" applyAlignment="0" applyProtection="0"/>
    <xf numFmtId="0" fontId="21" fillId="0" borderId="68" applyNumberFormat="0" applyFill="0" applyAlignment="0" applyProtection="0"/>
    <xf numFmtId="168" fontId="11" fillId="33" borderId="65" applyNumberFormat="0" applyAlignment="0" applyProtection="0"/>
    <xf numFmtId="168" fontId="8" fillId="41" borderId="59" applyNumberFormat="0" applyAlignment="0" applyProtection="0"/>
    <xf numFmtId="168" fontId="3" fillId="35" borderId="66" applyNumberFormat="0" applyAlignment="0" applyProtection="0"/>
    <xf numFmtId="168" fontId="3" fillId="35" borderId="72" applyNumberFormat="0" applyAlignment="0" applyProtection="0"/>
    <xf numFmtId="0" fontId="14" fillId="41" borderId="61" applyNumberFormat="0" applyAlignment="0" applyProtection="0"/>
    <xf numFmtId="0" fontId="21" fillId="0" borderId="68" applyNumberFormat="0" applyFill="0" applyAlignment="0" applyProtection="0"/>
    <xf numFmtId="168" fontId="8" fillId="41" borderId="59" applyNumberFormat="0" applyAlignment="0" applyProtection="0"/>
    <xf numFmtId="168" fontId="21" fillId="0" borderId="74" applyNumberFormat="0" applyFill="0" applyAlignment="0" applyProtection="0"/>
    <xf numFmtId="0" fontId="3" fillId="35" borderId="78" applyNumberFormat="0" applyAlignment="0" applyProtection="0"/>
    <xf numFmtId="168" fontId="8" fillId="41" borderId="71" applyNumberFormat="0" applyAlignment="0" applyProtection="0"/>
    <xf numFmtId="168" fontId="21" fillId="0" borderId="62" applyNumberFormat="0" applyFill="0" applyAlignment="0" applyProtection="0"/>
    <xf numFmtId="168" fontId="14" fillId="41" borderId="91" applyNumberFormat="0" applyAlignment="0" applyProtection="0"/>
    <xf numFmtId="0" fontId="21" fillId="0" borderId="80" applyNumberFormat="0" applyFill="0" applyAlignment="0" applyProtection="0"/>
    <xf numFmtId="168" fontId="8" fillId="41" borderId="77" applyNumberFormat="0" applyAlignment="0" applyProtection="0"/>
    <xf numFmtId="0" fontId="11" fillId="33" borderId="77" applyNumberFormat="0" applyAlignment="0" applyProtection="0"/>
    <xf numFmtId="168" fontId="11" fillId="33" borderId="71" applyNumberFormat="0" applyAlignment="0" applyProtection="0"/>
    <xf numFmtId="168" fontId="11" fillId="33" borderId="77" applyNumberFormat="0" applyAlignment="0" applyProtection="0"/>
    <xf numFmtId="168" fontId="14" fillId="41" borderId="61" applyNumberFormat="0" applyAlignment="0" applyProtection="0"/>
    <xf numFmtId="0" fontId="21" fillId="0" borderId="68" applyNumberFormat="0" applyFill="0" applyAlignment="0" applyProtection="0"/>
    <xf numFmtId="168" fontId="11" fillId="33" borderId="65" applyNumberFormat="0" applyAlignment="0" applyProtection="0"/>
    <xf numFmtId="168" fontId="21" fillId="0" borderId="80" applyNumberFormat="0" applyFill="0" applyAlignment="0" applyProtection="0"/>
    <xf numFmtId="168" fontId="11" fillId="33" borderId="65" applyNumberFormat="0" applyAlignment="0" applyProtection="0"/>
    <xf numFmtId="168" fontId="8" fillId="20" borderId="59" applyNumberFormat="0" applyAlignment="0" applyProtection="0"/>
    <xf numFmtId="168" fontId="3" fillId="23" borderId="87" applyNumberFormat="0" applyFont="0" applyAlignment="0" applyProtection="0"/>
    <xf numFmtId="168" fontId="11" fillId="33" borderId="77" applyNumberFormat="0" applyAlignment="0" applyProtection="0"/>
    <xf numFmtId="168" fontId="8" fillId="41" borderId="71" applyNumberFormat="0" applyAlignment="0" applyProtection="0"/>
    <xf numFmtId="168" fontId="14" fillId="41" borderId="67" applyNumberFormat="0" applyAlignment="0" applyProtection="0"/>
    <xf numFmtId="168" fontId="21" fillId="0" borderId="74" applyNumberFormat="0" applyFill="0" applyAlignment="0" applyProtection="0"/>
    <xf numFmtId="0" fontId="3" fillId="23" borderId="63" applyNumberFormat="0" applyFont="0" applyAlignment="0" applyProtection="0"/>
    <xf numFmtId="168" fontId="14" fillId="20" borderId="67" applyNumberFormat="0" applyAlignment="0" applyProtection="0"/>
    <xf numFmtId="168" fontId="8" fillId="41" borderId="71" applyNumberFormat="0" applyAlignment="0" applyProtection="0"/>
    <xf numFmtId="168" fontId="3" fillId="23" borderId="105" applyNumberFormat="0" applyFont="0" applyAlignment="0" applyProtection="0"/>
    <xf numFmtId="168" fontId="21" fillId="0" borderId="68" applyNumberFormat="0" applyFill="0" applyAlignment="0" applyProtection="0"/>
    <xf numFmtId="168" fontId="11" fillId="33" borderId="59" applyNumberFormat="0" applyAlignment="0" applyProtection="0"/>
    <xf numFmtId="168" fontId="8" fillId="41" borderId="59" applyNumberFormat="0" applyAlignment="0" applyProtection="0"/>
    <xf numFmtId="168" fontId="14" fillId="41" borderId="61" applyNumberFormat="0" applyAlignment="0" applyProtection="0"/>
    <xf numFmtId="0" fontId="14" fillId="41" borderId="67" applyNumberFormat="0" applyAlignment="0" applyProtection="0"/>
    <xf numFmtId="168" fontId="11" fillId="7" borderId="65" applyNumberFormat="0" applyAlignment="0" applyProtection="0"/>
    <xf numFmtId="0" fontId="14" fillId="41" borderId="67" applyNumberFormat="0" applyAlignment="0" applyProtection="0"/>
    <xf numFmtId="0" fontId="14" fillId="20" borderId="61" applyNumberFormat="0" applyAlignment="0" applyProtection="0"/>
    <xf numFmtId="168" fontId="3" fillId="35" borderId="60" applyNumberFormat="0" applyAlignment="0" applyProtection="0"/>
    <xf numFmtId="168" fontId="11" fillId="33" borderId="65" applyNumberFormat="0" applyAlignment="0" applyProtection="0"/>
    <xf numFmtId="0" fontId="8" fillId="41" borderId="65" applyNumberFormat="0" applyAlignment="0" applyProtection="0"/>
    <xf numFmtId="168" fontId="14" fillId="41" borderId="61" applyNumberFormat="0" applyAlignment="0" applyProtection="0"/>
    <xf numFmtId="168" fontId="11" fillId="33" borderId="107" applyNumberFormat="0" applyAlignment="0" applyProtection="0"/>
    <xf numFmtId="168" fontId="21" fillId="0" borderId="70" applyNumberFormat="0" applyFill="0" applyAlignment="0" applyProtection="0"/>
    <xf numFmtId="168" fontId="21" fillId="0" borderId="98" applyNumberFormat="0" applyFill="0" applyAlignment="0" applyProtection="0"/>
    <xf numFmtId="168" fontId="21" fillId="0" borderId="62" applyNumberFormat="0" applyFill="0" applyAlignment="0" applyProtection="0"/>
    <xf numFmtId="168" fontId="14" fillId="41" borderId="97" applyNumberFormat="0" applyAlignment="0" applyProtection="0"/>
    <xf numFmtId="0" fontId="3" fillId="35" borderId="60" applyNumberFormat="0" applyAlignment="0" applyProtection="0"/>
    <xf numFmtId="168" fontId="21" fillId="0" borderId="74" applyNumberFormat="0" applyFill="0" applyAlignment="0" applyProtection="0"/>
    <xf numFmtId="0" fontId="8" fillId="41" borderId="65" applyNumberFormat="0" applyAlignment="0" applyProtection="0"/>
    <xf numFmtId="168" fontId="21" fillId="0" borderId="92" applyNumberFormat="0" applyFill="0" applyAlignment="0" applyProtection="0"/>
    <xf numFmtId="168" fontId="8" fillId="20" borderId="83" applyNumberFormat="0" applyAlignment="0" applyProtection="0"/>
    <xf numFmtId="0" fontId="3" fillId="35" borderId="66" applyNumberFormat="0" applyAlignment="0" applyProtection="0"/>
    <xf numFmtId="0" fontId="8" fillId="20" borderId="65" applyNumberFormat="0" applyAlignment="0" applyProtection="0"/>
    <xf numFmtId="168" fontId="3" fillId="35" borderId="60" applyNumberFormat="0" applyAlignment="0" applyProtection="0"/>
    <xf numFmtId="168" fontId="8" fillId="41" borderId="71" applyNumberFormat="0" applyAlignment="0" applyProtection="0"/>
    <xf numFmtId="168" fontId="3" fillId="35" borderId="60" applyNumberFormat="0" applyAlignment="0" applyProtection="0"/>
    <xf numFmtId="168" fontId="14" fillId="41" borderId="79" applyNumberFormat="0" applyAlignment="0" applyProtection="0"/>
    <xf numFmtId="168" fontId="8" fillId="41" borderId="65" applyNumberFormat="0" applyAlignment="0" applyProtection="0"/>
    <xf numFmtId="168" fontId="8" fillId="41" borderId="65" applyNumberFormat="0" applyAlignment="0" applyProtection="0"/>
    <xf numFmtId="168" fontId="14" fillId="41" borderId="61" applyNumberFormat="0" applyAlignment="0" applyProtection="0"/>
    <xf numFmtId="0" fontId="14" fillId="41" borderId="79" applyNumberFormat="0" applyAlignment="0" applyProtection="0"/>
    <xf numFmtId="168" fontId="11" fillId="7" borderId="71" applyNumberFormat="0" applyAlignment="0" applyProtection="0"/>
    <xf numFmtId="0" fontId="3" fillId="35" borderId="102" applyNumberFormat="0" applyAlignment="0" applyProtection="0"/>
    <xf numFmtId="168" fontId="8" fillId="41" borderId="59" applyNumberFormat="0" applyAlignment="0" applyProtection="0"/>
    <xf numFmtId="168" fontId="14" fillId="41" borderId="73" applyNumberFormat="0" applyAlignment="0" applyProtection="0"/>
    <xf numFmtId="168" fontId="21" fillId="0" borderId="68" applyNumberFormat="0" applyFill="0" applyAlignment="0" applyProtection="0"/>
    <xf numFmtId="168" fontId="21" fillId="0" borderId="74" applyNumberFormat="0" applyFill="0" applyAlignment="0" applyProtection="0"/>
    <xf numFmtId="168" fontId="11" fillId="33" borderId="77" applyNumberFormat="0" applyAlignment="0" applyProtection="0"/>
    <xf numFmtId="0" fontId="8" fillId="41" borderId="77" applyNumberFormat="0" applyAlignment="0" applyProtection="0"/>
    <xf numFmtId="168" fontId="3" fillId="35" borderId="60" applyNumberFormat="0" applyAlignment="0" applyProtection="0"/>
    <xf numFmtId="0" fontId="14" fillId="20" borderId="61" applyNumberFormat="0" applyAlignment="0" applyProtection="0"/>
    <xf numFmtId="168" fontId="3" fillId="35" borderId="60" applyNumberFormat="0" applyAlignment="0" applyProtection="0"/>
    <xf numFmtId="168" fontId="3" fillId="35" borderId="72" applyNumberFormat="0" applyAlignment="0" applyProtection="0"/>
    <xf numFmtId="0" fontId="8" fillId="41" borderId="101" applyNumberFormat="0" applyAlignment="0" applyProtection="0"/>
    <xf numFmtId="168" fontId="11" fillId="33" borderId="59" applyNumberFormat="0" applyAlignment="0" applyProtection="0"/>
    <xf numFmtId="168" fontId="21" fillId="0" borderId="68" applyNumberFormat="0" applyFill="0" applyAlignment="0" applyProtection="0"/>
    <xf numFmtId="168" fontId="21" fillId="0" borderId="68" applyNumberFormat="0" applyFill="0" applyAlignment="0" applyProtection="0"/>
    <xf numFmtId="168" fontId="21" fillId="0" borderId="68" applyNumberFormat="0" applyFill="0" applyAlignment="0" applyProtection="0"/>
    <xf numFmtId="168" fontId="21" fillId="0" borderId="80" applyNumberFormat="0" applyFill="0" applyAlignment="0" applyProtection="0"/>
    <xf numFmtId="0" fontId="21" fillId="0" borderId="68" applyNumberFormat="0" applyFill="0" applyAlignment="0" applyProtection="0"/>
    <xf numFmtId="168" fontId="8" fillId="41" borderId="95" applyNumberFormat="0" applyAlignment="0" applyProtection="0"/>
    <xf numFmtId="168" fontId="3" fillId="35" borderId="66" applyNumberFormat="0" applyAlignment="0" applyProtection="0"/>
    <xf numFmtId="168" fontId="3" fillId="35" borderId="90" applyNumberFormat="0" applyAlignment="0" applyProtection="0"/>
    <xf numFmtId="0" fontId="8" fillId="41" borderId="77" applyNumberFormat="0" applyAlignment="0" applyProtection="0"/>
    <xf numFmtId="168" fontId="3" fillId="35" borderId="78" applyNumberFormat="0" applyAlignment="0" applyProtection="0"/>
    <xf numFmtId="0" fontId="14" fillId="41" borderId="67" applyNumberFormat="0" applyAlignment="0" applyProtection="0"/>
    <xf numFmtId="0" fontId="14" fillId="41" borderId="67" applyNumberFormat="0" applyAlignment="0" applyProtection="0"/>
    <xf numFmtId="0" fontId="3" fillId="35" borderId="66" applyNumberFormat="0" applyAlignment="0" applyProtection="0"/>
    <xf numFmtId="0" fontId="11" fillId="33" borderId="59" applyNumberFormat="0" applyAlignment="0" applyProtection="0"/>
    <xf numFmtId="168" fontId="14" fillId="41" borderId="67" applyNumberFormat="0" applyAlignment="0" applyProtection="0"/>
    <xf numFmtId="168" fontId="14" fillId="41" borderId="61" applyNumberFormat="0" applyAlignment="0" applyProtection="0"/>
    <xf numFmtId="168" fontId="8" fillId="41" borderId="59" applyNumberFormat="0" applyAlignment="0" applyProtection="0"/>
    <xf numFmtId="0" fontId="14" fillId="41" borderId="61" applyNumberFormat="0" applyAlignment="0" applyProtection="0"/>
    <xf numFmtId="0" fontId="8" fillId="41" borderId="59" applyNumberFormat="0" applyAlignment="0" applyProtection="0"/>
    <xf numFmtId="0" fontId="8" fillId="41" borderId="59" applyNumberFormat="0" applyAlignment="0" applyProtection="0"/>
    <xf numFmtId="0" fontId="3" fillId="35" borderId="60" applyNumberFormat="0" applyAlignment="0" applyProtection="0"/>
    <xf numFmtId="0" fontId="3" fillId="35" borderId="60" applyNumberFormat="0" applyAlignment="0" applyProtection="0"/>
    <xf numFmtId="168" fontId="3" fillId="35" borderId="84" applyNumberFormat="0" applyAlignment="0" applyProtection="0"/>
    <xf numFmtId="168" fontId="14" fillId="41" borderId="67" applyNumberFormat="0" applyAlignment="0" applyProtection="0"/>
    <xf numFmtId="168" fontId="8" fillId="41" borderId="77" applyNumberFormat="0" applyAlignment="0" applyProtection="0"/>
    <xf numFmtId="168" fontId="8" fillId="41" borderId="59" applyNumberFormat="0" applyAlignment="0" applyProtection="0"/>
    <xf numFmtId="168" fontId="21" fillId="0" borderId="62" applyNumberFormat="0" applyFill="0" applyAlignment="0" applyProtection="0"/>
    <xf numFmtId="168" fontId="14" fillId="41" borderId="61" applyNumberFormat="0" applyAlignment="0" applyProtection="0"/>
    <xf numFmtId="168" fontId="21" fillId="0" borderId="62" applyNumberFormat="0" applyFill="0" applyAlignment="0" applyProtection="0"/>
    <xf numFmtId="168" fontId="11" fillId="33" borderId="59" applyNumberFormat="0" applyAlignment="0" applyProtection="0"/>
    <xf numFmtId="168" fontId="8" fillId="41" borderId="65" applyNumberFormat="0" applyAlignment="0" applyProtection="0"/>
    <xf numFmtId="168" fontId="11" fillId="33" borderId="65" applyNumberFormat="0" applyAlignment="0" applyProtection="0"/>
    <xf numFmtId="168" fontId="8" fillId="41" borderId="77" applyNumberFormat="0" applyAlignment="0" applyProtection="0"/>
    <xf numFmtId="168" fontId="3" fillId="35" borderId="90" applyNumberFormat="0" applyAlignment="0" applyProtection="0"/>
    <xf numFmtId="0" fontId="21" fillId="0" borderId="68" applyNumberFormat="0" applyFill="0" applyAlignment="0" applyProtection="0"/>
    <xf numFmtId="0" fontId="8" fillId="41" borderId="65" applyNumberFormat="0" applyAlignment="0" applyProtection="0"/>
    <xf numFmtId="168" fontId="14" fillId="41" borderId="61" applyNumberFormat="0" applyAlignment="0" applyProtection="0"/>
    <xf numFmtId="168" fontId="3" fillId="23" borderId="63" applyNumberFormat="0" applyFont="0" applyAlignment="0" applyProtection="0"/>
    <xf numFmtId="168" fontId="14" fillId="41" borderId="73" applyNumberFormat="0" applyAlignment="0" applyProtection="0"/>
    <xf numFmtId="168" fontId="3" fillId="23" borderId="63" applyNumberFormat="0" applyFont="0" applyAlignment="0" applyProtection="0"/>
    <xf numFmtId="168" fontId="8" fillId="41" borderId="65" applyNumberFormat="0" applyAlignment="0" applyProtection="0"/>
    <xf numFmtId="0" fontId="8" fillId="41" borderId="59" applyNumberFormat="0" applyAlignment="0" applyProtection="0"/>
    <xf numFmtId="168" fontId="11" fillId="33" borderId="59" applyNumberFormat="0" applyAlignment="0" applyProtection="0"/>
    <xf numFmtId="168" fontId="11" fillId="33" borderId="65" applyNumberFormat="0" applyAlignment="0" applyProtection="0"/>
    <xf numFmtId="168" fontId="3" fillId="35" borderId="72" applyNumberFormat="0" applyAlignment="0" applyProtection="0"/>
    <xf numFmtId="168" fontId="21" fillId="0" borderId="74" applyNumberFormat="0" applyFill="0" applyAlignment="0" applyProtection="0"/>
    <xf numFmtId="168" fontId="3" fillId="35" borderId="60" applyNumberFormat="0" applyAlignment="0" applyProtection="0"/>
    <xf numFmtId="0" fontId="21" fillId="0" borderId="62" applyNumberFormat="0" applyFill="0" applyAlignment="0" applyProtection="0"/>
    <xf numFmtId="168" fontId="21" fillId="0" borderId="62" applyNumberFormat="0" applyFill="0" applyAlignment="0" applyProtection="0"/>
    <xf numFmtId="168" fontId="11" fillId="7" borderId="59" applyNumberFormat="0" applyAlignment="0" applyProtection="0"/>
    <xf numFmtId="168" fontId="11" fillId="7" borderId="59" applyNumberFormat="0" applyAlignment="0" applyProtection="0"/>
    <xf numFmtId="168" fontId="14" fillId="20" borderId="85" applyNumberFormat="0" applyAlignment="0" applyProtection="0"/>
    <xf numFmtId="168" fontId="8" fillId="41" borderId="83" applyNumberFormat="0" applyAlignment="0" applyProtection="0"/>
    <xf numFmtId="0" fontId="11" fillId="7" borderId="77" applyNumberFormat="0" applyAlignment="0" applyProtection="0"/>
    <xf numFmtId="168" fontId="14" fillId="20" borderId="67" applyNumberFormat="0" applyAlignment="0" applyProtection="0"/>
    <xf numFmtId="168" fontId="3" fillId="35" borderId="96" applyNumberFormat="0" applyAlignment="0" applyProtection="0"/>
    <xf numFmtId="0" fontId="21" fillId="0" borderId="62" applyNumberFormat="0" applyFill="0" applyAlignment="0" applyProtection="0"/>
    <xf numFmtId="0" fontId="3" fillId="35" borderId="60" applyNumberFormat="0" applyAlignment="0" applyProtection="0"/>
    <xf numFmtId="0" fontId="14" fillId="41" borderId="79" applyNumberFormat="0" applyAlignment="0" applyProtection="0"/>
    <xf numFmtId="0" fontId="11" fillId="33" borderId="59" applyNumberFormat="0" applyAlignment="0" applyProtection="0"/>
    <xf numFmtId="168" fontId="11" fillId="33" borderId="71" applyNumberFormat="0" applyAlignment="0" applyProtection="0"/>
    <xf numFmtId="168" fontId="11" fillId="7" borderId="71" applyNumberFormat="0" applyAlignment="0" applyProtection="0"/>
    <xf numFmtId="168" fontId="8" fillId="41" borderId="83" applyNumberFormat="0" applyAlignment="0" applyProtection="0"/>
    <xf numFmtId="168" fontId="14" fillId="41" borderId="73" applyNumberFormat="0" applyAlignment="0" applyProtection="0"/>
    <xf numFmtId="168" fontId="11" fillId="33" borderId="59" applyNumberFormat="0" applyAlignment="0" applyProtection="0"/>
    <xf numFmtId="0" fontId="11" fillId="33" borderId="59" applyNumberFormat="0" applyAlignment="0" applyProtection="0"/>
    <xf numFmtId="168" fontId="21" fillId="0" borderId="62" applyNumberFormat="0" applyFill="0" applyAlignment="0" applyProtection="0"/>
    <xf numFmtId="0" fontId="8" fillId="41" borderId="59" applyNumberFormat="0" applyAlignment="0" applyProtection="0"/>
    <xf numFmtId="168" fontId="14" fillId="41" borderId="73" applyNumberFormat="0" applyAlignment="0" applyProtection="0"/>
    <xf numFmtId="168" fontId="3" fillId="35" borderId="60" applyNumberFormat="0" applyAlignment="0" applyProtection="0"/>
    <xf numFmtId="0" fontId="11" fillId="33" borderId="59" applyNumberFormat="0" applyAlignment="0" applyProtection="0"/>
    <xf numFmtId="168" fontId="21" fillId="0" borderId="62" applyNumberFormat="0" applyFill="0" applyAlignment="0" applyProtection="0"/>
    <xf numFmtId="168" fontId="14" fillId="41" borderId="61" applyNumberFormat="0" applyAlignment="0" applyProtection="0"/>
    <xf numFmtId="0" fontId="3" fillId="35" borderId="60" applyNumberFormat="0" applyAlignment="0" applyProtection="0"/>
    <xf numFmtId="0" fontId="8" fillId="41" borderId="59" applyNumberFormat="0" applyAlignment="0" applyProtection="0"/>
    <xf numFmtId="0" fontId="11" fillId="33" borderId="59" applyNumberFormat="0" applyAlignment="0" applyProtection="0"/>
    <xf numFmtId="168" fontId="8" fillId="41" borderId="59" applyNumberFormat="0" applyAlignment="0" applyProtection="0"/>
    <xf numFmtId="0" fontId="11" fillId="33" borderId="65" applyNumberFormat="0" applyAlignment="0" applyProtection="0"/>
    <xf numFmtId="0" fontId="14" fillId="41" borderId="61" applyNumberFormat="0" applyAlignment="0" applyProtection="0"/>
    <xf numFmtId="168" fontId="21" fillId="0" borderId="92" applyNumberFormat="0" applyFill="0" applyAlignment="0" applyProtection="0"/>
    <xf numFmtId="168" fontId="11" fillId="33" borderId="59" applyNumberFormat="0" applyAlignment="0" applyProtection="0"/>
    <xf numFmtId="168" fontId="3" fillId="35" borderId="78" applyNumberFormat="0" applyAlignment="0" applyProtection="0"/>
    <xf numFmtId="0" fontId="8" fillId="41" borderId="59" applyNumberFormat="0" applyAlignment="0" applyProtection="0"/>
    <xf numFmtId="0" fontId="11" fillId="33" borderId="65" applyNumberFormat="0" applyAlignment="0" applyProtection="0"/>
    <xf numFmtId="0" fontId="14" fillId="41" borderId="61" applyNumberFormat="0" applyAlignment="0" applyProtection="0"/>
    <xf numFmtId="0" fontId="3" fillId="23" borderId="81" applyNumberFormat="0" applyFont="0" applyAlignment="0" applyProtection="0"/>
    <xf numFmtId="168" fontId="11" fillId="33" borderId="71" applyNumberFormat="0" applyAlignment="0" applyProtection="0"/>
    <xf numFmtId="0" fontId="8" fillId="20" borderId="59" applyNumberFormat="0" applyAlignment="0" applyProtection="0"/>
    <xf numFmtId="168" fontId="21" fillId="0" borderId="62" applyNumberFormat="0" applyFill="0" applyAlignment="0" applyProtection="0"/>
    <xf numFmtId="0" fontId="8" fillId="41" borderId="65" applyNumberFormat="0" applyAlignment="0" applyProtection="0"/>
    <xf numFmtId="168" fontId="11" fillId="33" borderId="59" applyNumberFormat="0" applyAlignment="0" applyProtection="0"/>
    <xf numFmtId="168" fontId="21" fillId="0" borderId="62" applyNumberFormat="0" applyFill="0" applyAlignment="0" applyProtection="0"/>
    <xf numFmtId="168" fontId="21" fillId="0" borderId="62" applyNumberFormat="0" applyFill="0" applyAlignment="0" applyProtection="0"/>
    <xf numFmtId="168" fontId="21" fillId="0" borderId="62" applyNumberFormat="0" applyFill="0" applyAlignment="0" applyProtection="0"/>
    <xf numFmtId="168" fontId="8" fillId="41" borderId="59" applyNumberFormat="0" applyAlignment="0" applyProtection="0"/>
    <xf numFmtId="168" fontId="3" fillId="35" borderId="60" applyNumberFormat="0" applyAlignment="0" applyProtection="0"/>
    <xf numFmtId="0" fontId="8" fillId="41" borderId="77" applyNumberFormat="0" applyAlignment="0" applyProtection="0"/>
    <xf numFmtId="0" fontId="11" fillId="33" borderId="59" applyNumberFormat="0" applyAlignment="0" applyProtection="0"/>
    <xf numFmtId="168" fontId="14" fillId="41" borderId="67" applyNumberFormat="0" applyAlignment="0" applyProtection="0"/>
    <xf numFmtId="0" fontId="14" fillId="41" borderId="61" applyNumberFormat="0" applyAlignment="0" applyProtection="0"/>
    <xf numFmtId="168" fontId="21" fillId="0" borderId="74" applyNumberFormat="0" applyFill="0" applyAlignment="0" applyProtection="0"/>
    <xf numFmtId="0" fontId="21" fillId="0" borderId="62" applyNumberFormat="0" applyFill="0" applyAlignment="0" applyProtection="0"/>
    <xf numFmtId="0" fontId="11" fillId="33" borderId="65" applyNumberFormat="0" applyAlignment="0" applyProtection="0"/>
    <xf numFmtId="168" fontId="8" fillId="41" borderId="65" applyNumberFormat="0" applyAlignment="0" applyProtection="0"/>
    <xf numFmtId="168" fontId="8" fillId="41" borderId="65" applyNumberFormat="0" applyAlignment="0" applyProtection="0"/>
    <xf numFmtId="168" fontId="8" fillId="41" borderId="65" applyNumberFormat="0" applyAlignment="0" applyProtection="0"/>
    <xf numFmtId="168" fontId="11" fillId="7" borderId="83" applyNumberFormat="0" applyAlignment="0" applyProtection="0"/>
    <xf numFmtId="168" fontId="21" fillId="0" borderId="80" applyNumberFormat="0" applyFill="0" applyAlignment="0" applyProtection="0"/>
    <xf numFmtId="0" fontId="8" fillId="41" borderId="59" applyNumberFormat="0" applyAlignment="0" applyProtection="0"/>
    <xf numFmtId="168" fontId="21" fillId="0" borderId="64" applyNumberFormat="0" applyFill="0" applyAlignment="0" applyProtection="0"/>
    <xf numFmtId="0" fontId="14" fillId="41" borderId="61" applyNumberFormat="0" applyAlignment="0" applyProtection="0"/>
    <xf numFmtId="0" fontId="8" fillId="41" borderId="65" applyNumberFormat="0" applyAlignment="0" applyProtection="0"/>
    <xf numFmtId="0" fontId="14" fillId="41" borderId="67" applyNumberFormat="0" applyAlignment="0" applyProtection="0"/>
    <xf numFmtId="0" fontId="14" fillId="41" borderId="61" applyNumberFormat="0" applyAlignment="0" applyProtection="0"/>
    <xf numFmtId="0" fontId="8" fillId="41" borderId="59" applyNumberFormat="0" applyAlignment="0" applyProtection="0"/>
    <xf numFmtId="0" fontId="14" fillId="41" borderId="61" applyNumberFormat="0" applyAlignment="0" applyProtection="0"/>
    <xf numFmtId="168" fontId="3" fillId="35" borderId="60" applyNumberFormat="0" applyAlignment="0" applyProtection="0"/>
    <xf numFmtId="168" fontId="3" fillId="35" borderId="60" applyNumberFormat="0" applyAlignment="0" applyProtection="0"/>
    <xf numFmtId="168" fontId="3" fillId="35" borderId="66" applyNumberFormat="0" applyAlignment="0" applyProtection="0"/>
    <xf numFmtId="0" fontId="3" fillId="35" borderId="60" applyNumberFormat="0" applyAlignment="0" applyProtection="0"/>
    <xf numFmtId="0" fontId="11" fillId="7" borderId="65" applyNumberFormat="0" applyAlignment="0" applyProtection="0"/>
    <xf numFmtId="168" fontId="11" fillId="33" borderId="59" applyNumberFormat="0" applyAlignment="0" applyProtection="0"/>
    <xf numFmtId="0" fontId="21" fillId="0" borderId="68" applyNumberFormat="0" applyFill="0" applyAlignment="0" applyProtection="0"/>
    <xf numFmtId="168" fontId="21" fillId="0" borderId="74" applyNumberFormat="0" applyFill="0" applyAlignment="0" applyProtection="0"/>
    <xf numFmtId="0" fontId="21" fillId="0" borderId="68" applyNumberFormat="0" applyFill="0" applyAlignment="0" applyProtection="0"/>
    <xf numFmtId="168" fontId="3" fillId="35" borderId="60" applyNumberFormat="0" applyAlignment="0" applyProtection="0"/>
    <xf numFmtId="168" fontId="3" fillId="35" borderId="66" applyNumberFormat="0" applyAlignment="0" applyProtection="0"/>
    <xf numFmtId="168" fontId="11" fillId="33" borderId="59" applyNumberFormat="0" applyAlignment="0" applyProtection="0"/>
    <xf numFmtId="0" fontId="11" fillId="7" borderId="77" applyNumberFormat="0" applyAlignment="0" applyProtection="0"/>
    <xf numFmtId="0" fontId="11" fillId="33" borderId="65" applyNumberFormat="0" applyAlignment="0" applyProtection="0"/>
    <xf numFmtId="168" fontId="11" fillId="33" borderId="59" applyNumberFormat="0" applyAlignment="0" applyProtection="0"/>
    <xf numFmtId="0" fontId="11" fillId="7" borderId="65" applyNumberFormat="0" applyAlignment="0" applyProtection="0"/>
    <xf numFmtId="168" fontId="14" fillId="41" borderId="61" applyNumberFormat="0" applyAlignment="0" applyProtection="0"/>
    <xf numFmtId="168" fontId="11" fillId="33" borderId="65" applyNumberFormat="0" applyAlignment="0" applyProtection="0"/>
    <xf numFmtId="168" fontId="3" fillId="35" borderId="60" applyNumberFormat="0" applyAlignment="0" applyProtection="0"/>
    <xf numFmtId="168" fontId="8" fillId="41" borderId="59" applyNumberFormat="0" applyAlignment="0" applyProtection="0"/>
    <xf numFmtId="168" fontId="14" fillId="41" borderId="85" applyNumberFormat="0" applyAlignment="0" applyProtection="0"/>
    <xf numFmtId="168" fontId="11" fillId="33" borderId="71" applyNumberFormat="0" applyAlignment="0" applyProtection="0"/>
    <xf numFmtId="0" fontId="3" fillId="35" borderId="66" applyNumberFormat="0" applyAlignment="0" applyProtection="0"/>
    <xf numFmtId="0" fontId="21" fillId="0" borderId="62" applyNumberFormat="0" applyFill="0" applyAlignment="0" applyProtection="0"/>
    <xf numFmtId="0" fontId="14" fillId="41" borderId="61" applyNumberFormat="0" applyAlignment="0" applyProtection="0"/>
    <xf numFmtId="0" fontId="11" fillId="33" borderId="59" applyNumberFormat="0" applyAlignment="0" applyProtection="0"/>
    <xf numFmtId="0" fontId="8" fillId="41" borderId="59" applyNumberFormat="0" applyAlignment="0" applyProtection="0"/>
    <xf numFmtId="168" fontId="11" fillId="33" borderId="59" applyNumberFormat="0" applyAlignment="0" applyProtection="0"/>
    <xf numFmtId="0" fontId="8" fillId="41" borderId="59" applyNumberFormat="0" applyAlignment="0" applyProtection="0"/>
    <xf numFmtId="0" fontId="14" fillId="41" borderId="67" applyNumberFormat="0" applyAlignment="0" applyProtection="0"/>
    <xf numFmtId="0" fontId="14" fillId="41" borderId="61" applyNumberFormat="0" applyAlignment="0" applyProtection="0"/>
    <xf numFmtId="0" fontId="11" fillId="33" borderId="59" applyNumberFormat="0" applyAlignment="0" applyProtection="0"/>
    <xf numFmtId="168" fontId="8" fillId="41" borderId="59" applyNumberFormat="0" applyAlignment="0" applyProtection="0"/>
    <xf numFmtId="168" fontId="11" fillId="33" borderId="95" applyNumberFormat="0" applyAlignment="0" applyProtection="0"/>
    <xf numFmtId="0" fontId="21" fillId="0" borderId="62" applyNumberFormat="0" applyFill="0" applyAlignment="0" applyProtection="0"/>
    <xf numFmtId="0" fontId="3" fillId="35" borderId="60" applyNumberFormat="0" applyAlignment="0" applyProtection="0"/>
    <xf numFmtId="0" fontId="21" fillId="0" borderId="62" applyNumberFormat="0" applyFill="0" applyAlignment="0" applyProtection="0"/>
    <xf numFmtId="0" fontId="11" fillId="7" borderId="59" applyNumberFormat="0" applyAlignment="0" applyProtection="0"/>
    <xf numFmtId="168" fontId="3" fillId="35" borderId="60" applyNumberFormat="0" applyAlignment="0" applyProtection="0"/>
    <xf numFmtId="0" fontId="8" fillId="41" borderId="65" applyNumberFormat="0" applyAlignment="0" applyProtection="0"/>
    <xf numFmtId="168" fontId="8" fillId="41" borderId="77" applyNumberFormat="0" applyAlignment="0" applyProtection="0"/>
    <xf numFmtId="168" fontId="11" fillId="33" borderId="71" applyNumberFormat="0" applyAlignment="0" applyProtection="0"/>
    <xf numFmtId="0" fontId="14" fillId="41" borderId="67" applyNumberFormat="0" applyAlignment="0" applyProtection="0"/>
    <xf numFmtId="168" fontId="8" fillId="20" borderId="65" applyNumberFormat="0" applyAlignment="0" applyProtection="0"/>
    <xf numFmtId="0" fontId="14" fillId="41" borderId="67" applyNumberFormat="0" applyAlignment="0" applyProtection="0"/>
    <xf numFmtId="168" fontId="11" fillId="7" borderId="89" applyNumberFormat="0" applyAlignment="0" applyProtection="0"/>
    <xf numFmtId="0" fontId="3" fillId="35" borderId="102" applyNumberFormat="0" applyAlignment="0" applyProtection="0"/>
    <xf numFmtId="168" fontId="14" fillId="41" borderId="61" applyNumberFormat="0" applyAlignment="0" applyProtection="0"/>
    <xf numFmtId="0" fontId="21" fillId="0" borderId="68" applyNumberFormat="0" applyFill="0" applyAlignment="0" applyProtection="0"/>
    <xf numFmtId="168" fontId="14" fillId="20" borderId="61" applyNumberFormat="0" applyAlignment="0" applyProtection="0"/>
    <xf numFmtId="0" fontId="21" fillId="0" borderId="62" applyNumberFormat="0" applyFill="0" applyAlignment="0" applyProtection="0"/>
    <xf numFmtId="0" fontId="21" fillId="0" borderId="68" applyNumberFormat="0" applyFill="0" applyAlignment="0" applyProtection="0"/>
    <xf numFmtId="0" fontId="11" fillId="33" borderId="65" applyNumberFormat="0" applyAlignment="0" applyProtection="0"/>
    <xf numFmtId="168" fontId="3" fillId="35" borderId="90" applyNumberFormat="0" applyAlignment="0" applyProtection="0"/>
    <xf numFmtId="0" fontId="8" fillId="20" borderId="65" applyNumberFormat="0" applyAlignment="0" applyProtection="0"/>
    <xf numFmtId="168" fontId="8" fillId="41" borderId="59" applyNumberFormat="0" applyAlignment="0" applyProtection="0"/>
    <xf numFmtId="0" fontId="11" fillId="7" borderId="59" applyNumberFormat="0" applyAlignment="0" applyProtection="0"/>
    <xf numFmtId="0" fontId="14" fillId="20" borderId="67" applyNumberFormat="0" applyAlignment="0" applyProtection="0"/>
    <xf numFmtId="0" fontId="3" fillId="35" borderId="60" applyNumberFormat="0" applyAlignment="0" applyProtection="0"/>
    <xf numFmtId="0" fontId="3" fillId="35" borderId="60" applyNumberFormat="0" applyAlignment="0" applyProtection="0"/>
    <xf numFmtId="0" fontId="21" fillId="0" borderId="62" applyNumberFormat="0" applyFill="0" applyAlignment="0" applyProtection="0"/>
    <xf numFmtId="0" fontId="21" fillId="0" borderId="62" applyNumberFormat="0" applyFill="0" applyAlignment="0" applyProtection="0"/>
    <xf numFmtId="0" fontId="14" fillId="41" borderId="61" applyNumberFormat="0" applyAlignment="0" applyProtection="0"/>
    <xf numFmtId="0" fontId="3" fillId="35" borderId="60" applyNumberFormat="0" applyAlignment="0" applyProtection="0"/>
    <xf numFmtId="0" fontId="21" fillId="0" borderId="62" applyNumberFormat="0" applyFill="0" applyAlignment="0" applyProtection="0"/>
    <xf numFmtId="0" fontId="11" fillId="33" borderId="59" applyNumberFormat="0" applyAlignment="0" applyProtection="0"/>
    <xf numFmtId="168" fontId="11" fillId="33" borderId="77" applyNumberFormat="0" applyAlignment="0" applyProtection="0"/>
    <xf numFmtId="168" fontId="11" fillId="33" borderId="65" applyNumberFormat="0" applyAlignment="0" applyProtection="0"/>
    <xf numFmtId="0" fontId="11" fillId="33" borderId="65" applyNumberFormat="0" applyAlignment="0" applyProtection="0"/>
    <xf numFmtId="168" fontId="21" fillId="0" borderId="74" applyNumberFormat="0" applyFill="0" applyAlignment="0" applyProtection="0"/>
    <xf numFmtId="0" fontId="3" fillId="35" borderId="66" applyNumberFormat="0" applyAlignment="0" applyProtection="0"/>
    <xf numFmtId="168" fontId="14" fillId="41" borderId="79" applyNumberFormat="0" applyAlignment="0" applyProtection="0"/>
    <xf numFmtId="0" fontId="21" fillId="0" borderId="68" applyNumberFormat="0" applyFill="0" applyAlignment="0" applyProtection="0"/>
    <xf numFmtId="168" fontId="8" fillId="20" borderId="71" applyNumberFormat="0" applyAlignment="0" applyProtection="0"/>
    <xf numFmtId="168" fontId="3" fillId="35" borderId="66" applyNumberFormat="0" applyAlignment="0" applyProtection="0"/>
    <xf numFmtId="168" fontId="14" fillId="41" borderId="85" applyNumberFormat="0" applyAlignment="0" applyProtection="0"/>
    <xf numFmtId="168" fontId="11" fillId="33" borderId="71" applyNumberFormat="0" applyAlignment="0" applyProtection="0"/>
    <xf numFmtId="168" fontId="14" fillId="41" borderId="85" applyNumberFormat="0" applyAlignment="0" applyProtection="0"/>
    <xf numFmtId="168" fontId="14" fillId="41" borderId="109" applyNumberFormat="0" applyAlignment="0" applyProtection="0"/>
    <xf numFmtId="168" fontId="3" fillId="35" borderId="72" applyNumberFormat="0" applyAlignment="0" applyProtection="0"/>
    <xf numFmtId="168" fontId="21" fillId="0" borderId="74" applyNumberFormat="0" applyFill="0" applyAlignment="0" applyProtection="0"/>
    <xf numFmtId="0" fontId="14" fillId="41" borderId="121" applyNumberFormat="0" applyAlignment="0" applyProtection="0"/>
    <xf numFmtId="168" fontId="14" fillId="20" borderId="67" applyNumberFormat="0" applyAlignment="0" applyProtection="0"/>
    <xf numFmtId="168" fontId="14" fillId="41" borderId="73" applyNumberFormat="0" applyAlignment="0" applyProtection="0"/>
    <xf numFmtId="0" fontId="3" fillId="35" borderId="66" applyNumberFormat="0" applyAlignment="0" applyProtection="0"/>
    <xf numFmtId="168" fontId="21" fillId="0" borderId="86" applyNumberFormat="0" applyFill="0" applyAlignment="0" applyProtection="0"/>
    <xf numFmtId="168" fontId="8" fillId="41" borderId="71" applyNumberFormat="0" applyAlignment="0" applyProtection="0"/>
    <xf numFmtId="168" fontId="8" fillId="41" borderId="71" applyNumberFormat="0" applyAlignment="0" applyProtection="0"/>
    <xf numFmtId="168" fontId="3" fillId="35" borderId="96" applyNumberFormat="0" applyAlignment="0" applyProtection="0"/>
    <xf numFmtId="168" fontId="11" fillId="33" borderId="95" applyNumberFormat="0" applyAlignment="0" applyProtection="0"/>
    <xf numFmtId="168" fontId="14" fillId="41" borderId="73" applyNumberFormat="0" applyAlignment="0" applyProtection="0"/>
    <xf numFmtId="168" fontId="3" fillId="35" borderId="72" applyNumberFormat="0" applyAlignment="0" applyProtection="0"/>
    <xf numFmtId="0" fontId="8" fillId="41" borderId="77" applyNumberFormat="0" applyAlignment="0" applyProtection="0"/>
    <xf numFmtId="168" fontId="14" fillId="41" borderId="67" applyNumberFormat="0" applyAlignment="0" applyProtection="0"/>
    <xf numFmtId="168" fontId="14" fillId="41" borderId="73" applyNumberFormat="0" applyAlignment="0" applyProtection="0"/>
    <xf numFmtId="168" fontId="3" fillId="23" borderId="69" applyNumberFormat="0" applyFont="0" applyAlignment="0" applyProtection="0"/>
    <xf numFmtId="168" fontId="3" fillId="35" borderId="90" applyNumberFormat="0" applyAlignment="0" applyProtection="0"/>
    <xf numFmtId="168" fontId="14" fillId="41" borderId="97" applyNumberFormat="0" applyAlignment="0" applyProtection="0"/>
    <xf numFmtId="0" fontId="3" fillId="35" borderId="66" applyNumberFormat="0" applyAlignment="0" applyProtection="0"/>
    <xf numFmtId="168" fontId="11" fillId="33" borderId="71" applyNumberFormat="0" applyAlignment="0" applyProtection="0"/>
    <xf numFmtId="168" fontId="11" fillId="33" borderId="65" applyNumberFormat="0" applyAlignment="0" applyProtection="0"/>
    <xf numFmtId="168" fontId="8" fillId="41" borderId="83" applyNumberFormat="0" applyAlignment="0" applyProtection="0"/>
    <xf numFmtId="0" fontId="11" fillId="33" borderId="65" applyNumberFormat="0" applyAlignment="0" applyProtection="0"/>
    <xf numFmtId="168" fontId="14" fillId="41" borderId="73" applyNumberFormat="0" applyAlignment="0" applyProtection="0"/>
    <xf numFmtId="168" fontId="21" fillId="0" borderId="86" applyNumberFormat="0" applyFill="0" applyAlignment="0" applyProtection="0"/>
    <xf numFmtId="0" fontId="21" fillId="0" borderId="122" applyNumberFormat="0" applyFill="0" applyAlignment="0" applyProtection="0"/>
    <xf numFmtId="0" fontId="8" fillId="41" borderId="65" applyNumberFormat="0" applyAlignment="0" applyProtection="0"/>
    <xf numFmtId="168" fontId="8" fillId="41" borderId="71" applyNumberFormat="0" applyAlignment="0" applyProtection="0"/>
    <xf numFmtId="168" fontId="8" fillId="20" borderId="71" applyNumberFormat="0" applyAlignment="0" applyProtection="0"/>
    <xf numFmtId="0" fontId="14" fillId="41" borderId="67" applyNumberFormat="0" applyAlignment="0" applyProtection="0"/>
    <xf numFmtId="0" fontId="21" fillId="0" borderId="68" applyNumberFormat="0" applyFill="0" applyAlignment="0" applyProtection="0"/>
    <xf numFmtId="0" fontId="3" fillId="35" borderId="78" applyNumberFormat="0" applyAlignment="0" applyProtection="0"/>
    <xf numFmtId="0" fontId="21" fillId="0" borderId="104" applyNumberFormat="0" applyFill="0" applyAlignment="0" applyProtection="0"/>
    <xf numFmtId="168" fontId="11" fillId="33" borderId="77" applyNumberFormat="0" applyAlignment="0" applyProtection="0"/>
    <xf numFmtId="168" fontId="8" fillId="41" borderId="71" applyNumberFormat="0" applyAlignment="0" applyProtection="0"/>
    <xf numFmtId="168" fontId="3" fillId="35" borderId="78" applyNumberFormat="0" applyAlignment="0" applyProtection="0"/>
    <xf numFmtId="168" fontId="3" fillId="35" borderId="66" applyNumberFormat="0" applyAlignment="0" applyProtection="0"/>
    <xf numFmtId="168" fontId="14" fillId="41" borderId="67" applyNumberFormat="0" applyAlignment="0" applyProtection="0"/>
    <xf numFmtId="168" fontId="14" fillId="41" borderId="97" applyNumberFormat="0" applyAlignment="0" applyProtection="0"/>
    <xf numFmtId="168" fontId="21" fillId="0" borderId="80" applyNumberFormat="0" applyFill="0" applyAlignment="0" applyProtection="0"/>
    <xf numFmtId="168" fontId="14" fillId="41" borderId="79" applyNumberFormat="0" applyAlignment="0" applyProtection="0"/>
    <xf numFmtId="168" fontId="14" fillId="41" borderId="85" applyNumberFormat="0" applyAlignment="0" applyProtection="0"/>
    <xf numFmtId="168" fontId="14" fillId="41" borderId="73" applyNumberFormat="0" applyAlignment="0" applyProtection="0"/>
    <xf numFmtId="168" fontId="21" fillId="0" borderId="74" applyNumberFormat="0" applyFill="0" applyAlignment="0" applyProtection="0"/>
    <xf numFmtId="168" fontId="3" fillId="35" borderId="66" applyNumberFormat="0" applyAlignment="0" applyProtection="0"/>
    <xf numFmtId="0" fontId="14" fillId="41" borderId="67" applyNumberFormat="0" applyAlignment="0" applyProtection="0"/>
    <xf numFmtId="168" fontId="21" fillId="0" borderId="86" applyNumberFormat="0" applyFill="0" applyAlignment="0" applyProtection="0"/>
    <xf numFmtId="168" fontId="11" fillId="33" borderId="71" applyNumberFormat="0" applyAlignment="0" applyProtection="0"/>
    <xf numFmtId="168" fontId="8" fillId="41" borderId="65" applyNumberFormat="0" applyAlignment="0" applyProtection="0"/>
    <xf numFmtId="168" fontId="3" fillId="35" borderId="84" applyNumberFormat="0" applyAlignment="0" applyProtection="0"/>
    <xf numFmtId="0" fontId="21" fillId="0" borderId="68" applyNumberFormat="0" applyFill="0" applyAlignment="0" applyProtection="0"/>
    <xf numFmtId="168" fontId="21" fillId="0" borderId="80" applyNumberFormat="0" applyFill="0" applyAlignment="0" applyProtection="0"/>
    <xf numFmtId="168" fontId="21" fillId="0" borderId="92" applyNumberFormat="0" applyFill="0" applyAlignment="0" applyProtection="0"/>
    <xf numFmtId="168" fontId="14" fillId="41" borderId="73" applyNumberFormat="0" applyAlignment="0" applyProtection="0"/>
    <xf numFmtId="0" fontId="8" fillId="41" borderId="65" applyNumberFormat="0" applyAlignment="0" applyProtection="0"/>
    <xf numFmtId="168" fontId="3" fillId="35" borderId="72" applyNumberFormat="0" applyAlignment="0" applyProtection="0"/>
    <xf numFmtId="168" fontId="21" fillId="0" borderId="86" applyNumberFormat="0" applyFill="0" applyAlignment="0" applyProtection="0"/>
    <xf numFmtId="168" fontId="3" fillId="35" borderId="72" applyNumberFormat="0" applyAlignment="0" applyProtection="0"/>
    <xf numFmtId="168" fontId="21" fillId="0" borderId="68" applyNumberFormat="0" applyFill="0" applyAlignment="0" applyProtection="0"/>
    <xf numFmtId="0" fontId="3" fillId="35" borderId="66" applyNumberFormat="0" applyAlignment="0" applyProtection="0"/>
    <xf numFmtId="0" fontId="11" fillId="33" borderId="77" applyNumberFormat="0" applyAlignment="0" applyProtection="0"/>
    <xf numFmtId="168" fontId="8" fillId="41" borderId="77" applyNumberFormat="0" applyAlignment="0" applyProtection="0"/>
    <xf numFmtId="168" fontId="14" fillId="41" borderId="91" applyNumberFormat="0" applyAlignment="0" applyProtection="0"/>
    <xf numFmtId="0" fontId="8" fillId="41" borderId="65" applyNumberFormat="0" applyAlignment="0" applyProtection="0"/>
    <xf numFmtId="168" fontId="8" fillId="41" borderId="65" applyNumberFormat="0" applyAlignment="0" applyProtection="0"/>
    <xf numFmtId="168" fontId="3" fillId="35" borderId="66" applyNumberFormat="0" applyAlignment="0" applyProtection="0"/>
    <xf numFmtId="168" fontId="11" fillId="33" borderId="77" applyNumberFormat="0" applyAlignment="0" applyProtection="0"/>
    <xf numFmtId="168" fontId="14" fillId="41" borderId="73" applyNumberFormat="0" applyAlignment="0" applyProtection="0"/>
    <xf numFmtId="168" fontId="3" fillId="23" borderId="75" applyNumberFormat="0" applyFont="0" applyAlignment="0" applyProtection="0"/>
    <xf numFmtId="168" fontId="14" fillId="41" borderId="91" applyNumberFormat="0" applyAlignment="0" applyProtection="0"/>
    <xf numFmtId="168" fontId="11" fillId="33" borderId="71" applyNumberFormat="0" applyAlignment="0" applyProtection="0"/>
    <xf numFmtId="168" fontId="8" fillId="41" borderId="71" applyNumberFormat="0" applyAlignment="0" applyProtection="0"/>
    <xf numFmtId="0" fontId="8" fillId="41" borderId="119" applyNumberFormat="0" applyAlignment="0" applyProtection="0"/>
    <xf numFmtId="0" fontId="14" fillId="41" borderId="79" applyNumberFormat="0" applyAlignment="0" applyProtection="0"/>
    <xf numFmtId="168" fontId="14" fillId="41" borderId="67" applyNumberFormat="0" applyAlignment="0" applyProtection="0"/>
    <xf numFmtId="168" fontId="3" fillId="35" borderId="72" applyNumberFormat="0" applyAlignment="0" applyProtection="0"/>
    <xf numFmtId="168" fontId="8" fillId="41" borderId="65" applyNumberFormat="0" applyAlignment="0" applyProtection="0"/>
    <xf numFmtId="0" fontId="11" fillId="33" borderId="65" applyNumberFormat="0" applyAlignment="0" applyProtection="0"/>
    <xf numFmtId="168" fontId="3" fillId="35" borderId="72" applyNumberFormat="0" applyAlignment="0" applyProtection="0"/>
    <xf numFmtId="168" fontId="11" fillId="7" borderId="65" applyNumberFormat="0" applyAlignment="0" applyProtection="0"/>
    <xf numFmtId="0" fontId="3" fillId="35" borderId="66" applyNumberFormat="0" applyAlignment="0" applyProtection="0"/>
    <xf numFmtId="0" fontId="14" fillId="41" borderId="67" applyNumberFormat="0" applyAlignment="0" applyProtection="0"/>
    <xf numFmtId="0" fontId="3" fillId="35" borderId="66" applyNumberFormat="0" applyAlignment="0" applyProtection="0"/>
    <xf numFmtId="0" fontId="14" fillId="20" borderId="67" applyNumberFormat="0" applyAlignment="0" applyProtection="0"/>
    <xf numFmtId="0" fontId="21" fillId="0" borderId="68" applyNumberFormat="0" applyFill="0" applyAlignment="0" applyProtection="0"/>
    <xf numFmtId="168" fontId="21" fillId="0" borderId="80" applyNumberFormat="0" applyFill="0" applyAlignment="0" applyProtection="0"/>
    <xf numFmtId="168" fontId="8" fillId="41" borderId="89" applyNumberFormat="0" applyAlignment="0" applyProtection="0"/>
    <xf numFmtId="168" fontId="11" fillId="33" borderId="71" applyNumberFormat="0" applyAlignment="0" applyProtection="0"/>
    <xf numFmtId="168" fontId="8" fillId="41" borderId="83" applyNumberFormat="0" applyAlignment="0" applyProtection="0"/>
    <xf numFmtId="168" fontId="14" fillId="41" borderId="121" applyNumberFormat="0" applyAlignment="0" applyProtection="0"/>
    <xf numFmtId="168" fontId="3" fillId="23" borderId="87" applyNumberFormat="0" applyFont="0" applyAlignment="0" applyProtection="0"/>
    <xf numFmtId="0" fontId="11" fillId="33" borderId="65" applyNumberFormat="0" applyAlignment="0" applyProtection="0"/>
    <xf numFmtId="168" fontId="8" fillId="41" borderId="77" applyNumberFormat="0" applyAlignment="0" applyProtection="0"/>
    <xf numFmtId="168" fontId="11" fillId="33" borderId="65" applyNumberFormat="0" applyAlignment="0" applyProtection="0"/>
    <xf numFmtId="168" fontId="8" fillId="20" borderId="89" applyNumberFormat="0" applyAlignment="0" applyProtection="0"/>
    <xf numFmtId="168" fontId="14" fillId="41" borderId="67" applyNumberFormat="0" applyAlignment="0" applyProtection="0"/>
    <xf numFmtId="168" fontId="14" fillId="41" borderId="67" applyNumberFormat="0" applyAlignment="0" applyProtection="0"/>
    <xf numFmtId="168" fontId="8" fillId="41" borderId="71" applyNumberFormat="0" applyAlignment="0" applyProtection="0"/>
    <xf numFmtId="0" fontId="14" fillId="41" borderId="121" applyNumberFormat="0" applyAlignment="0" applyProtection="0"/>
    <xf numFmtId="0" fontId="11" fillId="7" borderId="65" applyNumberFormat="0" applyAlignment="0" applyProtection="0"/>
    <xf numFmtId="168" fontId="14" fillId="41" borderId="73" applyNumberFormat="0" applyAlignment="0" applyProtection="0"/>
    <xf numFmtId="168" fontId="8" fillId="41" borderId="65" applyNumberFormat="0" applyAlignment="0" applyProtection="0"/>
    <xf numFmtId="0" fontId="11" fillId="33" borderId="77" applyNumberFormat="0" applyAlignment="0" applyProtection="0"/>
    <xf numFmtId="0" fontId="21" fillId="0" borderId="80" applyNumberFormat="0" applyFill="0" applyAlignment="0" applyProtection="0"/>
    <xf numFmtId="168" fontId="3" fillId="35" borderId="72" applyNumberFormat="0" applyAlignment="0" applyProtection="0"/>
    <xf numFmtId="0" fontId="8" fillId="41" borderId="77" applyNumberFormat="0" applyAlignment="0" applyProtection="0"/>
    <xf numFmtId="168" fontId="8" fillId="41" borderId="77" applyNumberFormat="0" applyAlignment="0" applyProtection="0"/>
    <xf numFmtId="168" fontId="8" fillId="41" borderId="65" applyNumberFormat="0" applyAlignment="0" applyProtection="0"/>
    <xf numFmtId="0" fontId="8" fillId="41" borderId="65" applyNumberFormat="0" applyAlignment="0" applyProtection="0"/>
    <xf numFmtId="168" fontId="21" fillId="0" borderId="68" applyNumberFormat="0" applyFill="0" applyAlignment="0" applyProtection="0"/>
    <xf numFmtId="0" fontId="11" fillId="33" borderId="77" applyNumberFormat="0" applyAlignment="0" applyProtection="0"/>
    <xf numFmtId="168" fontId="8" fillId="41" borderId="77" applyNumberFormat="0" applyAlignment="0" applyProtection="0"/>
    <xf numFmtId="168" fontId="8" fillId="41" borderId="83" applyNumberFormat="0" applyAlignment="0" applyProtection="0"/>
    <xf numFmtId="168" fontId="11" fillId="7" borderId="89" applyNumberFormat="0" applyAlignment="0" applyProtection="0"/>
    <xf numFmtId="168" fontId="14" fillId="20" borderId="73" applyNumberFormat="0" applyAlignment="0" applyProtection="0"/>
    <xf numFmtId="168" fontId="21" fillId="0" borderId="92" applyNumberFormat="0" applyFill="0" applyAlignment="0" applyProtection="0"/>
    <xf numFmtId="168" fontId="8" fillId="41" borderId="71" applyNumberFormat="0" applyAlignment="0" applyProtection="0"/>
    <xf numFmtId="168" fontId="21" fillId="0" borderId="68" applyNumberFormat="0" applyFill="0" applyAlignment="0" applyProtection="0"/>
    <xf numFmtId="168" fontId="21" fillId="0" borderId="80" applyNumberFormat="0" applyFill="0" applyAlignment="0" applyProtection="0"/>
    <xf numFmtId="168" fontId="11" fillId="7" borderId="71" applyNumberFormat="0" applyAlignment="0" applyProtection="0"/>
    <xf numFmtId="168" fontId="8" fillId="20" borderId="77" applyNumberFormat="0" applyAlignment="0" applyProtection="0"/>
    <xf numFmtId="168" fontId="11" fillId="7" borderId="65" applyNumberFormat="0" applyAlignment="0" applyProtection="0"/>
    <xf numFmtId="0" fontId="3" fillId="23" borderId="69" applyNumberFormat="0" applyFont="0" applyAlignment="0" applyProtection="0"/>
    <xf numFmtId="0" fontId="14" fillId="41" borderId="67" applyNumberFormat="0" applyAlignment="0" applyProtection="0"/>
    <xf numFmtId="168" fontId="14" fillId="41" borderId="73" applyNumberFormat="0" applyAlignment="0" applyProtection="0"/>
    <xf numFmtId="168" fontId="8" fillId="20" borderId="65" applyNumberFormat="0" applyAlignment="0" applyProtection="0"/>
    <xf numFmtId="168" fontId="3" fillId="35" borderId="66" applyNumberFormat="0" applyAlignment="0" applyProtection="0"/>
    <xf numFmtId="168" fontId="14" fillId="41" borderId="79" applyNumberFormat="0" applyAlignment="0" applyProtection="0"/>
    <xf numFmtId="168" fontId="11" fillId="33" borderId="65" applyNumberFormat="0" applyAlignment="0" applyProtection="0"/>
    <xf numFmtId="168" fontId="21" fillId="0" borderId="86" applyNumberFormat="0" applyFill="0" applyAlignment="0" applyProtection="0"/>
    <xf numFmtId="168" fontId="8" fillId="41" borderId="77" applyNumberFormat="0" applyAlignment="0" applyProtection="0"/>
    <xf numFmtId="168" fontId="3" fillId="35" borderId="66" applyNumberFormat="0" applyAlignment="0" applyProtection="0"/>
    <xf numFmtId="168" fontId="21" fillId="0" borderId="68" applyNumberFormat="0" applyFill="0" applyAlignment="0" applyProtection="0"/>
    <xf numFmtId="168" fontId="21" fillId="0" borderId="68" applyNumberFormat="0" applyFill="0" applyAlignment="0" applyProtection="0"/>
    <xf numFmtId="168" fontId="8" fillId="20" borderId="71" applyNumberFormat="0" applyAlignment="0" applyProtection="0"/>
    <xf numFmtId="0" fontId="3" fillId="35" borderId="66" applyNumberFormat="0" applyAlignment="0" applyProtection="0"/>
    <xf numFmtId="168" fontId="11" fillId="33" borderId="71" applyNumberFormat="0" applyAlignment="0" applyProtection="0"/>
    <xf numFmtId="168" fontId="21" fillId="0" borderId="68" applyNumberFormat="0" applyFill="0" applyAlignment="0" applyProtection="0"/>
    <xf numFmtId="0" fontId="14" fillId="41" borderId="67" applyNumberFormat="0" applyAlignment="0" applyProtection="0"/>
    <xf numFmtId="0" fontId="8" fillId="41" borderId="65" applyNumberFormat="0" applyAlignment="0" applyProtection="0"/>
    <xf numFmtId="168" fontId="11" fillId="7" borderId="71" applyNumberFormat="0" applyAlignment="0" applyProtection="0"/>
    <xf numFmtId="0" fontId="8" fillId="41" borderId="65" applyNumberFormat="0" applyAlignment="0" applyProtection="0"/>
    <xf numFmtId="168" fontId="8" fillId="41" borderId="65" applyNumberFormat="0" applyAlignment="0" applyProtection="0"/>
    <xf numFmtId="168" fontId="21" fillId="0" borderId="86" applyNumberFormat="0" applyFill="0" applyAlignment="0" applyProtection="0"/>
    <xf numFmtId="0" fontId="14" fillId="20" borderId="79" applyNumberFormat="0" applyAlignment="0" applyProtection="0"/>
    <xf numFmtId="0" fontId="14" fillId="41" borderId="67" applyNumberFormat="0" applyAlignment="0" applyProtection="0"/>
    <xf numFmtId="168" fontId="21" fillId="0" borderId="68" applyNumberFormat="0" applyFill="0" applyAlignment="0" applyProtection="0"/>
    <xf numFmtId="168" fontId="11" fillId="33" borderId="65" applyNumberFormat="0" applyAlignment="0" applyProtection="0"/>
    <xf numFmtId="0" fontId="8" fillId="41" borderId="77" applyNumberFormat="0" applyAlignment="0" applyProtection="0"/>
    <xf numFmtId="168" fontId="21" fillId="0" borderId="80" applyNumberFormat="0" applyFill="0" applyAlignment="0" applyProtection="0"/>
    <xf numFmtId="168" fontId="21" fillId="0" borderId="76" applyNumberFormat="0" applyFill="0" applyAlignment="0" applyProtection="0"/>
    <xf numFmtId="0" fontId="8" fillId="41" borderId="65" applyNumberFormat="0" applyAlignment="0" applyProtection="0"/>
    <xf numFmtId="168" fontId="8" fillId="41" borderId="101" applyNumberFormat="0" applyAlignment="0" applyProtection="0"/>
    <xf numFmtId="168" fontId="3" fillId="35" borderId="66" applyNumberFormat="0" applyAlignment="0" applyProtection="0"/>
    <xf numFmtId="168" fontId="14" fillId="41" borderId="85" applyNumberFormat="0" applyAlignment="0" applyProtection="0"/>
    <xf numFmtId="168" fontId="8" fillId="41" borderId="71" applyNumberFormat="0" applyAlignment="0" applyProtection="0"/>
    <xf numFmtId="0" fontId="11" fillId="33" borderId="77" applyNumberFormat="0" applyAlignment="0" applyProtection="0"/>
    <xf numFmtId="168" fontId="8" fillId="20" borderId="65" applyNumberFormat="0" applyAlignment="0" applyProtection="0"/>
    <xf numFmtId="168" fontId="14" fillId="41" borderId="73" applyNumberFormat="0" applyAlignment="0" applyProtection="0"/>
    <xf numFmtId="168" fontId="21" fillId="0" borderId="86" applyNumberFormat="0" applyFill="0" applyAlignment="0" applyProtection="0"/>
    <xf numFmtId="0" fontId="21" fillId="0" borderId="68" applyNumberFormat="0" applyFill="0" applyAlignment="0" applyProtection="0"/>
    <xf numFmtId="168" fontId="21" fillId="0" borderId="74" applyNumberFormat="0" applyFill="0" applyAlignment="0" applyProtection="0"/>
    <xf numFmtId="168" fontId="3" fillId="35" borderId="96" applyNumberFormat="0" applyAlignment="0" applyProtection="0"/>
    <xf numFmtId="168" fontId="3" fillId="35" borderId="108" applyNumberFormat="0" applyAlignment="0" applyProtection="0"/>
    <xf numFmtId="168" fontId="21" fillId="0" borderId="68" applyNumberFormat="0" applyFill="0" applyAlignment="0" applyProtection="0"/>
    <xf numFmtId="0" fontId="14" fillId="41" borderId="67" applyNumberFormat="0" applyAlignment="0" applyProtection="0"/>
    <xf numFmtId="0" fontId="3" fillId="35" borderId="66" applyNumberFormat="0" applyAlignment="0" applyProtection="0"/>
    <xf numFmtId="0" fontId="14" fillId="20" borderId="79" applyNumberFormat="0" applyAlignment="0" applyProtection="0"/>
    <xf numFmtId="0" fontId="11" fillId="7" borderId="65" applyNumberFormat="0" applyAlignment="0" applyProtection="0"/>
    <xf numFmtId="0" fontId="14" fillId="41" borderId="67" applyNumberFormat="0" applyAlignment="0" applyProtection="0"/>
    <xf numFmtId="168" fontId="8" fillId="41" borderId="65" applyNumberFormat="0" applyAlignment="0" applyProtection="0"/>
    <xf numFmtId="168" fontId="11" fillId="33" borderId="71" applyNumberFormat="0" applyAlignment="0" applyProtection="0"/>
    <xf numFmtId="0" fontId="14" fillId="41" borderId="103" applyNumberFormat="0" applyAlignment="0" applyProtection="0"/>
    <xf numFmtId="168" fontId="3" fillId="35" borderId="66" applyNumberFormat="0" applyAlignment="0" applyProtection="0"/>
    <xf numFmtId="168" fontId="8" fillId="41" borderId="71" applyNumberFormat="0" applyAlignment="0" applyProtection="0"/>
    <xf numFmtId="0" fontId="11" fillId="33" borderId="65" applyNumberFormat="0" applyAlignment="0" applyProtection="0"/>
    <xf numFmtId="168" fontId="11" fillId="33" borderId="95" applyNumberFormat="0" applyAlignment="0" applyProtection="0"/>
    <xf numFmtId="168" fontId="3" fillId="35" borderId="72" applyNumberFormat="0" applyAlignment="0" applyProtection="0"/>
    <xf numFmtId="168" fontId="14" fillId="41" borderId="91" applyNumberFormat="0" applyAlignment="0" applyProtection="0"/>
    <xf numFmtId="168" fontId="14" fillId="20" borderId="73" applyNumberFormat="0" applyAlignment="0" applyProtection="0"/>
    <xf numFmtId="0" fontId="11" fillId="33" borderId="65" applyNumberFormat="0" applyAlignment="0" applyProtection="0"/>
    <xf numFmtId="0" fontId="3" fillId="35" borderId="66" applyNumberFormat="0" applyAlignment="0" applyProtection="0"/>
    <xf numFmtId="168" fontId="3" fillId="35" borderId="78" applyNumberFormat="0" applyAlignment="0" applyProtection="0"/>
    <xf numFmtId="168" fontId="8" fillId="41" borderId="65" applyNumberFormat="0" applyAlignment="0" applyProtection="0"/>
    <xf numFmtId="168" fontId="14" fillId="41" borderId="73" applyNumberFormat="0" applyAlignment="0" applyProtection="0"/>
    <xf numFmtId="168" fontId="8" fillId="41" borderId="71" applyNumberFormat="0" applyAlignment="0" applyProtection="0"/>
    <xf numFmtId="168" fontId="8" fillId="41" borderId="65" applyNumberFormat="0" applyAlignment="0" applyProtection="0"/>
    <xf numFmtId="168" fontId="14" fillId="41" borderId="67" applyNumberFormat="0" applyAlignment="0" applyProtection="0"/>
    <xf numFmtId="168" fontId="3" fillId="35" borderId="72" applyNumberFormat="0" applyAlignment="0" applyProtection="0"/>
    <xf numFmtId="168" fontId="21" fillId="0" borderId="74" applyNumberFormat="0" applyFill="0" applyAlignment="0" applyProtection="0"/>
    <xf numFmtId="168" fontId="3" fillId="35" borderId="84" applyNumberFormat="0" applyAlignment="0" applyProtection="0"/>
    <xf numFmtId="168" fontId="21" fillId="0" borderId="80" applyNumberFormat="0" applyFill="0" applyAlignment="0" applyProtection="0"/>
    <xf numFmtId="168" fontId="8" fillId="20" borderId="89" applyNumberFormat="0" applyAlignment="0" applyProtection="0"/>
    <xf numFmtId="168" fontId="21" fillId="0" borderId="68" applyNumberFormat="0" applyFill="0" applyAlignment="0" applyProtection="0"/>
    <xf numFmtId="0" fontId="8" fillId="41" borderId="65" applyNumberFormat="0" applyAlignment="0" applyProtection="0"/>
    <xf numFmtId="168" fontId="8" fillId="41" borderId="83" applyNumberFormat="0" applyAlignment="0" applyProtection="0"/>
    <xf numFmtId="168" fontId="8" fillId="41" borderId="65" applyNumberFormat="0" applyAlignment="0" applyProtection="0"/>
    <xf numFmtId="168" fontId="3" fillId="35" borderId="66" applyNumberFormat="0" applyAlignment="0" applyProtection="0"/>
    <xf numFmtId="0" fontId="11" fillId="33" borderId="65" applyNumberFormat="0" applyAlignment="0" applyProtection="0"/>
    <xf numFmtId="168" fontId="3" fillId="35" borderId="72" applyNumberFormat="0" applyAlignment="0" applyProtection="0"/>
    <xf numFmtId="168" fontId="21" fillId="0" borderId="74" applyNumberFormat="0" applyFill="0" applyAlignment="0" applyProtection="0"/>
    <xf numFmtId="168" fontId="14" fillId="41" borderId="85" applyNumberFormat="0" applyAlignment="0" applyProtection="0"/>
    <xf numFmtId="168" fontId="14" fillId="41" borderId="67" applyNumberFormat="0" applyAlignment="0" applyProtection="0"/>
    <xf numFmtId="168" fontId="11" fillId="33" borderId="71" applyNumberFormat="0" applyAlignment="0" applyProtection="0"/>
    <xf numFmtId="0" fontId="14" fillId="41" borderId="79" applyNumberFormat="0" applyAlignment="0" applyProtection="0"/>
    <xf numFmtId="0" fontId="11" fillId="33" borderId="65" applyNumberFormat="0" applyAlignment="0" applyProtection="0"/>
    <xf numFmtId="0" fontId="21" fillId="0" borderId="68" applyNumberFormat="0" applyFill="0" applyAlignment="0" applyProtection="0"/>
    <xf numFmtId="168" fontId="21" fillId="0" borderId="68" applyNumberFormat="0" applyFill="0" applyAlignment="0" applyProtection="0"/>
    <xf numFmtId="168" fontId="8" fillId="41" borderId="107" applyNumberFormat="0" applyAlignment="0" applyProtection="0"/>
    <xf numFmtId="168" fontId="14" fillId="41" borderId="67" applyNumberFormat="0" applyAlignment="0" applyProtection="0"/>
    <xf numFmtId="168" fontId="11" fillId="33" borderId="65" applyNumberFormat="0" applyAlignment="0" applyProtection="0"/>
    <xf numFmtId="168" fontId="21" fillId="0" borderId="74" applyNumberFormat="0" applyFill="0" applyAlignment="0" applyProtection="0"/>
    <xf numFmtId="0" fontId="11" fillId="33" borderId="65" applyNumberFormat="0" applyAlignment="0" applyProtection="0"/>
    <xf numFmtId="168" fontId="14" fillId="20" borderId="85" applyNumberFormat="0" applyAlignment="0" applyProtection="0"/>
    <xf numFmtId="168" fontId="21" fillId="0" borderId="98" applyNumberFormat="0" applyFill="0" applyAlignment="0" applyProtection="0"/>
    <xf numFmtId="168" fontId="3" fillId="35" borderId="72" applyNumberFormat="0" applyAlignment="0" applyProtection="0"/>
    <xf numFmtId="168" fontId="11" fillId="33" borderId="71" applyNumberFormat="0" applyAlignment="0" applyProtection="0"/>
    <xf numFmtId="168" fontId="14" fillId="41" borderId="73" applyNumberFormat="0" applyAlignment="0" applyProtection="0"/>
    <xf numFmtId="168" fontId="8" fillId="41" borderId="71" applyNumberFormat="0" applyAlignment="0" applyProtection="0"/>
    <xf numFmtId="168" fontId="14" fillId="41" borderId="67" applyNumberFormat="0" applyAlignment="0" applyProtection="0"/>
    <xf numFmtId="168" fontId="21" fillId="0" borderId="74" applyNumberFormat="0" applyFill="0" applyAlignment="0" applyProtection="0"/>
    <xf numFmtId="0" fontId="3" fillId="35" borderId="66" applyNumberFormat="0" applyAlignment="0" applyProtection="0"/>
    <xf numFmtId="0" fontId="14" fillId="41" borderId="67" applyNumberFormat="0" applyAlignment="0" applyProtection="0"/>
    <xf numFmtId="168" fontId="3" fillId="35" borderId="72" applyNumberFormat="0" applyAlignment="0" applyProtection="0"/>
    <xf numFmtId="168" fontId="8" fillId="41" borderId="83" applyNumberFormat="0" applyAlignment="0" applyProtection="0"/>
    <xf numFmtId="168" fontId="3" fillId="35" borderId="72" applyNumberFormat="0" applyAlignment="0" applyProtection="0"/>
    <xf numFmtId="168" fontId="3" fillId="35" borderId="72" applyNumberFormat="0" applyAlignment="0" applyProtection="0"/>
    <xf numFmtId="168" fontId="21" fillId="0" borderId="92" applyNumberFormat="0" applyFill="0" applyAlignment="0" applyProtection="0"/>
    <xf numFmtId="0" fontId="14" fillId="20" borderId="67" applyNumberFormat="0" applyAlignment="0" applyProtection="0"/>
    <xf numFmtId="0" fontId="3" fillId="35" borderId="66" applyNumberFormat="0" applyAlignment="0" applyProtection="0"/>
    <xf numFmtId="168" fontId="21" fillId="0" borderId="74" applyNumberFormat="0" applyFill="0" applyAlignment="0" applyProtection="0"/>
    <xf numFmtId="0" fontId="21" fillId="0" borderId="68" applyNumberFormat="0" applyFill="0" applyAlignment="0" applyProtection="0"/>
    <xf numFmtId="0" fontId="14" fillId="41" borderId="67" applyNumberFormat="0" applyAlignment="0" applyProtection="0"/>
    <xf numFmtId="168" fontId="11" fillId="33" borderId="65" applyNumberFormat="0" applyAlignment="0" applyProtection="0"/>
    <xf numFmtId="168" fontId="11" fillId="33" borderId="65" applyNumberFormat="0" applyAlignment="0" applyProtection="0"/>
    <xf numFmtId="168" fontId="8" fillId="41" borderId="71" applyNumberFormat="0" applyAlignment="0" applyProtection="0"/>
    <xf numFmtId="0" fontId="21" fillId="0" borderId="70" applyNumberFormat="0" applyFill="0" applyAlignment="0" applyProtection="0"/>
    <xf numFmtId="0" fontId="8" fillId="41" borderId="65" applyNumberFormat="0" applyAlignment="0" applyProtection="0"/>
    <xf numFmtId="168" fontId="8" fillId="41" borderId="65" applyNumberFormat="0" applyAlignment="0" applyProtection="0"/>
    <xf numFmtId="0" fontId="14" fillId="41" borderId="67" applyNumberFormat="0" applyAlignment="0" applyProtection="0"/>
    <xf numFmtId="168" fontId="21" fillId="0" borderId="92" applyNumberFormat="0" applyFill="0" applyAlignment="0" applyProtection="0"/>
    <xf numFmtId="168" fontId="21" fillId="0" borderId="92" applyNumberFormat="0" applyFill="0" applyAlignment="0" applyProtection="0"/>
    <xf numFmtId="168" fontId="3" fillId="35" borderId="78" applyNumberFormat="0" applyAlignment="0" applyProtection="0"/>
    <xf numFmtId="168" fontId="11" fillId="33" borderId="65" applyNumberFormat="0" applyAlignment="0" applyProtection="0"/>
    <xf numFmtId="168" fontId="21" fillId="0" borderId="110" applyNumberFormat="0" applyFill="0" applyAlignment="0" applyProtection="0"/>
    <xf numFmtId="168" fontId="11" fillId="33" borderId="71" applyNumberFormat="0" applyAlignment="0" applyProtection="0"/>
    <xf numFmtId="0" fontId="21" fillId="0" borderId="68" applyNumberFormat="0" applyFill="0" applyAlignment="0" applyProtection="0"/>
    <xf numFmtId="168" fontId="3" fillId="35" borderId="66" applyNumberFormat="0" applyAlignment="0" applyProtection="0"/>
    <xf numFmtId="168" fontId="8" fillId="41" borderId="89" applyNumberFormat="0" applyAlignment="0" applyProtection="0"/>
    <xf numFmtId="168" fontId="8" fillId="20" borderId="83" applyNumberFormat="0" applyAlignment="0" applyProtection="0"/>
    <xf numFmtId="168" fontId="8" fillId="41" borderId="107" applyNumberFormat="0" applyAlignment="0" applyProtection="0"/>
    <xf numFmtId="0" fontId="21" fillId="0" borderId="80" applyNumberFormat="0" applyFill="0" applyAlignment="0" applyProtection="0"/>
    <xf numFmtId="168" fontId="21" fillId="0" borderId="98" applyNumberFormat="0" applyFill="0" applyAlignment="0" applyProtection="0"/>
    <xf numFmtId="168" fontId="3" fillId="35" borderId="84" applyNumberFormat="0" applyAlignment="0" applyProtection="0"/>
    <xf numFmtId="0" fontId="3" fillId="35" borderId="78" applyNumberFormat="0" applyAlignment="0" applyProtection="0"/>
    <xf numFmtId="0" fontId="21" fillId="0" borderId="80" applyNumberFormat="0" applyFill="0" applyAlignment="0" applyProtection="0"/>
    <xf numFmtId="168" fontId="14" fillId="41" borderId="79" applyNumberFormat="0" applyAlignment="0" applyProtection="0"/>
    <xf numFmtId="168" fontId="14" fillId="20" borderId="85" applyNumberFormat="0" applyAlignment="0" applyProtection="0"/>
    <xf numFmtId="0" fontId="11" fillId="33" borderId="101" applyNumberFormat="0" applyAlignment="0" applyProtection="0"/>
    <xf numFmtId="0" fontId="8" fillId="41" borderId="77" applyNumberFormat="0" applyAlignment="0" applyProtection="0"/>
    <xf numFmtId="168" fontId="14" fillId="41" borderId="85" applyNumberFormat="0" applyAlignment="0" applyProtection="0"/>
    <xf numFmtId="0" fontId="14" fillId="41" borderId="79" applyNumberFormat="0" applyAlignment="0" applyProtection="0"/>
    <xf numFmtId="168" fontId="8" fillId="41" borderId="77" applyNumberFormat="0" applyAlignment="0" applyProtection="0"/>
    <xf numFmtId="168" fontId="8" fillId="41" borderId="89" applyNumberFormat="0" applyAlignment="0" applyProtection="0"/>
    <xf numFmtId="0" fontId="11" fillId="33" borderId="77" applyNumberFormat="0" applyAlignment="0" applyProtection="0"/>
    <xf numFmtId="0" fontId="14" fillId="41" borderId="79" applyNumberFormat="0" applyAlignment="0" applyProtection="0"/>
    <xf numFmtId="168" fontId="11" fillId="33" borderId="83" applyNumberFormat="0" applyAlignment="0" applyProtection="0"/>
    <xf numFmtId="168" fontId="14" fillId="41" borderId="103" applyNumberFormat="0" applyAlignment="0" applyProtection="0"/>
    <xf numFmtId="168" fontId="8" fillId="41" borderId="77" applyNumberFormat="0" applyAlignment="0" applyProtection="0"/>
    <xf numFmtId="168" fontId="14" fillId="20" borderId="79" applyNumberFormat="0" applyAlignment="0" applyProtection="0"/>
    <xf numFmtId="0" fontId="21" fillId="0" borderId="80" applyNumberFormat="0" applyFill="0" applyAlignment="0" applyProtection="0"/>
    <xf numFmtId="168" fontId="11" fillId="33" borderId="113" applyNumberFormat="0" applyAlignment="0" applyProtection="0"/>
    <xf numFmtId="168" fontId="21" fillId="0" borderId="80" applyNumberFormat="0" applyFill="0" applyAlignment="0" applyProtection="0"/>
    <xf numFmtId="168" fontId="3" fillId="35" borderId="84" applyNumberFormat="0" applyAlignment="0" applyProtection="0"/>
    <xf numFmtId="168" fontId="14" fillId="41" borderId="91" applyNumberFormat="0" applyAlignment="0" applyProtection="0"/>
    <xf numFmtId="0" fontId="3" fillId="35" borderId="78" applyNumberFormat="0" applyAlignment="0" applyProtection="0"/>
    <xf numFmtId="168" fontId="21" fillId="0" borderId="86" applyNumberFormat="0" applyFill="0" applyAlignment="0" applyProtection="0"/>
    <xf numFmtId="0" fontId="21" fillId="0" borderId="122" applyNumberFormat="0" applyFill="0" applyAlignment="0" applyProtection="0"/>
    <xf numFmtId="168" fontId="11" fillId="33" borderId="101" applyNumberFormat="0" applyAlignment="0" applyProtection="0"/>
    <xf numFmtId="168" fontId="11" fillId="33" borderId="77" applyNumberFormat="0" applyAlignment="0" applyProtection="0"/>
    <xf numFmtId="0" fontId="11" fillId="33" borderId="77" applyNumberFormat="0" applyAlignment="0" applyProtection="0"/>
    <xf numFmtId="168" fontId="8" fillId="41" borderId="77" applyNumberFormat="0" applyAlignment="0" applyProtection="0"/>
    <xf numFmtId="0" fontId="14" fillId="41" borderId="79" applyNumberFormat="0" applyAlignment="0" applyProtection="0"/>
    <xf numFmtId="168" fontId="8" fillId="41" borderId="101" applyNumberFormat="0" applyAlignment="0" applyProtection="0"/>
    <xf numFmtId="0" fontId="14" fillId="41" borderId="79" applyNumberFormat="0" applyAlignment="0" applyProtection="0"/>
    <xf numFmtId="0" fontId="11" fillId="7" borderId="77" applyNumberFormat="0" applyAlignment="0" applyProtection="0"/>
    <xf numFmtId="168" fontId="3" fillId="35" borderId="84" applyNumberFormat="0" applyAlignment="0" applyProtection="0"/>
    <xf numFmtId="0" fontId="8" fillId="41" borderId="77" applyNumberFormat="0" applyAlignment="0" applyProtection="0"/>
    <xf numFmtId="168" fontId="11" fillId="33" borderId="77" applyNumberFormat="0" applyAlignment="0" applyProtection="0"/>
    <xf numFmtId="0" fontId="11" fillId="7" borderId="77" applyNumberFormat="0" applyAlignment="0" applyProtection="0"/>
    <xf numFmtId="0" fontId="11" fillId="33" borderId="77" applyNumberFormat="0" applyAlignment="0" applyProtection="0"/>
    <xf numFmtId="168" fontId="21" fillId="0" borderId="80" applyNumberFormat="0" applyFill="0" applyAlignment="0" applyProtection="0"/>
    <xf numFmtId="0" fontId="8" fillId="41" borderId="71" applyNumberFormat="0" applyAlignment="0" applyProtection="0"/>
    <xf numFmtId="0" fontId="11" fillId="33" borderId="71" applyNumberFormat="0" applyAlignment="0" applyProtection="0"/>
    <xf numFmtId="0" fontId="3" fillId="35" borderId="72" applyNumberFormat="0" applyAlignment="0" applyProtection="0"/>
    <xf numFmtId="0" fontId="14" fillId="41" borderId="73" applyNumberFormat="0" applyAlignment="0" applyProtection="0"/>
    <xf numFmtId="0" fontId="21" fillId="0" borderId="74" applyNumberFormat="0" applyFill="0" applyAlignment="0" applyProtection="0"/>
    <xf numFmtId="168" fontId="11" fillId="33" borderId="89" applyNumberFormat="0" applyAlignment="0" applyProtection="0"/>
    <xf numFmtId="168" fontId="21" fillId="0" borderId="92" applyNumberFormat="0" applyFill="0" applyAlignment="0" applyProtection="0"/>
    <xf numFmtId="168" fontId="8" fillId="41" borderId="77" applyNumberFormat="0" applyAlignment="0" applyProtection="0"/>
    <xf numFmtId="168" fontId="14" fillId="41" borderId="109" applyNumberFormat="0" applyAlignment="0" applyProtection="0"/>
    <xf numFmtId="0" fontId="21" fillId="0" borderId="80" applyNumberFormat="0" applyFill="0" applyAlignment="0" applyProtection="0"/>
    <xf numFmtId="0" fontId="3" fillId="35" borderId="78" applyNumberFormat="0" applyAlignment="0" applyProtection="0"/>
    <xf numFmtId="0" fontId="8" fillId="41" borderId="77" applyNumberFormat="0" applyAlignment="0" applyProtection="0"/>
    <xf numFmtId="168" fontId="14" fillId="20" borderId="97" applyNumberFormat="0" applyAlignment="0" applyProtection="0"/>
    <xf numFmtId="168" fontId="21" fillId="0" borderId="98" applyNumberFormat="0" applyFill="0" applyAlignment="0" applyProtection="0"/>
    <xf numFmtId="168" fontId="14" fillId="41" borderId="103" applyNumberFormat="0" applyAlignment="0" applyProtection="0"/>
    <xf numFmtId="168" fontId="3" fillId="35" borderId="78" applyNumberFormat="0" applyAlignment="0" applyProtection="0"/>
    <xf numFmtId="168" fontId="14" fillId="41" borderId="85" applyNumberFormat="0" applyAlignment="0" applyProtection="0"/>
    <xf numFmtId="168" fontId="14" fillId="41" borderId="97" applyNumberFormat="0" applyAlignment="0" applyProtection="0"/>
    <xf numFmtId="168" fontId="8" fillId="41" borderId="77" applyNumberFormat="0" applyAlignment="0" applyProtection="0"/>
    <xf numFmtId="168" fontId="3" fillId="35" borderId="120" applyNumberFormat="0" applyAlignment="0" applyProtection="0"/>
    <xf numFmtId="168" fontId="8" fillId="41" borderId="89" applyNumberFormat="0" applyAlignment="0" applyProtection="0"/>
    <xf numFmtId="168" fontId="8" fillId="41" borderId="83" applyNumberFormat="0" applyAlignment="0" applyProtection="0"/>
    <xf numFmtId="168" fontId="11" fillId="33" borderId="83" applyNumberFormat="0" applyAlignment="0" applyProtection="0"/>
    <xf numFmtId="168" fontId="8" fillId="41" borderId="83" applyNumberFormat="0" applyAlignment="0" applyProtection="0"/>
    <xf numFmtId="0" fontId="3" fillId="35" borderId="78" applyNumberFormat="0" applyAlignment="0" applyProtection="0"/>
    <xf numFmtId="168" fontId="21" fillId="0" borderId="98" applyNumberFormat="0" applyFill="0" applyAlignment="0" applyProtection="0"/>
    <xf numFmtId="168" fontId="3" fillId="35" borderId="102" applyNumberFormat="0" applyAlignment="0" applyProtection="0"/>
    <xf numFmtId="168" fontId="3" fillId="35" borderId="90" applyNumberFormat="0" applyAlignment="0" applyProtection="0"/>
    <xf numFmtId="168" fontId="14" fillId="41" borderId="79" applyNumberFormat="0" applyAlignment="0" applyProtection="0"/>
    <xf numFmtId="168" fontId="21" fillId="0" borderId="86" applyNumberFormat="0" applyFill="0" applyAlignment="0" applyProtection="0"/>
    <xf numFmtId="168" fontId="11" fillId="33" borderId="83" applyNumberFormat="0" applyAlignment="0" applyProtection="0"/>
    <xf numFmtId="168" fontId="11" fillId="33" borderId="77" applyNumberFormat="0" applyAlignment="0" applyProtection="0"/>
    <xf numFmtId="168" fontId="21" fillId="0" borderId="86" applyNumberFormat="0" applyFill="0" applyAlignment="0" applyProtection="0"/>
    <xf numFmtId="168" fontId="11" fillId="33" borderId="77" applyNumberFormat="0" applyAlignment="0" applyProtection="0"/>
    <xf numFmtId="168" fontId="3" fillId="35" borderId="78" applyNumberFormat="0" applyAlignment="0" applyProtection="0"/>
    <xf numFmtId="168" fontId="14" fillId="41" borderId="79" applyNumberFormat="0" applyAlignment="0" applyProtection="0"/>
    <xf numFmtId="168" fontId="8" fillId="41" borderId="77" applyNumberFormat="0" applyAlignment="0" applyProtection="0"/>
    <xf numFmtId="0" fontId="14" fillId="41" borderId="79" applyNumberFormat="0" applyAlignment="0" applyProtection="0"/>
    <xf numFmtId="168" fontId="11" fillId="33" borderId="89" applyNumberFormat="0" applyAlignment="0" applyProtection="0"/>
    <xf numFmtId="168" fontId="14" fillId="20" borderId="91" applyNumberFormat="0" applyAlignment="0" applyProtection="0"/>
    <xf numFmtId="168" fontId="21" fillId="0" borderId="82" applyNumberFormat="0" applyFill="0" applyAlignment="0" applyProtection="0"/>
    <xf numFmtId="168" fontId="21" fillId="0" borderId="86" applyNumberFormat="0" applyFill="0" applyAlignment="0" applyProtection="0"/>
    <xf numFmtId="168" fontId="14" fillId="41" borderId="85" applyNumberFormat="0" applyAlignment="0" applyProtection="0"/>
    <xf numFmtId="0" fontId="11" fillId="33" borderId="101" applyNumberFormat="0" applyAlignment="0" applyProtection="0"/>
    <xf numFmtId="168" fontId="11" fillId="7" borderId="95" applyNumberFormat="0" applyAlignment="0" applyProtection="0"/>
    <xf numFmtId="168" fontId="14" fillId="41" borderId="91" applyNumberFormat="0" applyAlignment="0" applyProtection="0"/>
    <xf numFmtId="168" fontId="8" fillId="20" borderId="77" applyNumberFormat="0" applyAlignment="0" applyProtection="0"/>
    <xf numFmtId="0" fontId="8" fillId="20" borderId="71" applyNumberFormat="0" applyAlignment="0" applyProtection="0"/>
    <xf numFmtId="0" fontId="8" fillId="20" borderId="71" applyNumberFormat="0" applyAlignment="0" applyProtection="0"/>
    <xf numFmtId="0" fontId="11" fillId="33" borderId="101" applyNumberFormat="0" applyAlignment="0" applyProtection="0"/>
    <xf numFmtId="168" fontId="11" fillId="33" borderId="89" applyNumberFormat="0" applyAlignment="0" applyProtection="0"/>
    <xf numFmtId="0" fontId="14" fillId="41" borderId="103" applyNumberFormat="0" applyAlignment="0" applyProtection="0"/>
    <xf numFmtId="168" fontId="11" fillId="33" borderId="83" applyNumberFormat="0" applyAlignment="0" applyProtection="0"/>
    <xf numFmtId="168" fontId="8" fillId="41" borderId="95" applyNumberFormat="0" applyAlignment="0" applyProtection="0"/>
    <xf numFmtId="168" fontId="11" fillId="33" borderId="83" applyNumberFormat="0" applyAlignment="0" applyProtection="0"/>
    <xf numFmtId="168" fontId="14" fillId="41" borderId="79" applyNumberFormat="0" applyAlignment="0" applyProtection="0"/>
    <xf numFmtId="0" fontId="11" fillId="33" borderId="77" applyNumberFormat="0" applyAlignment="0" applyProtection="0"/>
    <xf numFmtId="0" fontId="11" fillId="7" borderId="71" applyNumberFormat="0" applyAlignment="0" applyProtection="0"/>
    <xf numFmtId="168" fontId="14" fillId="41" borderId="79" applyNumberFormat="0" applyAlignment="0" applyProtection="0"/>
    <xf numFmtId="168" fontId="14" fillId="41" borderId="79" applyNumberFormat="0" applyAlignment="0" applyProtection="0"/>
    <xf numFmtId="168" fontId="21" fillId="0" borderId="80" applyNumberFormat="0" applyFill="0" applyAlignment="0" applyProtection="0"/>
    <xf numFmtId="0" fontId="3" fillId="23" borderId="81" applyNumberFormat="0" applyFont="0" applyAlignment="0" applyProtection="0"/>
    <xf numFmtId="0" fontId="11" fillId="33" borderId="77" applyNumberFormat="0" applyAlignment="0" applyProtection="0"/>
    <xf numFmtId="0" fontId="14" fillId="41" borderId="79" applyNumberFormat="0" applyAlignment="0" applyProtection="0"/>
    <xf numFmtId="0" fontId="8" fillId="41" borderId="77" applyNumberFormat="0" applyAlignment="0" applyProtection="0"/>
    <xf numFmtId="168" fontId="14" fillId="41" borderId="79" applyNumberFormat="0" applyAlignment="0" applyProtection="0"/>
    <xf numFmtId="0" fontId="11" fillId="7" borderId="71" applyNumberFormat="0" applyAlignment="0" applyProtection="0"/>
    <xf numFmtId="0" fontId="3" fillId="35" borderId="78" applyNumberFormat="0" applyAlignment="0" applyProtection="0"/>
    <xf numFmtId="0" fontId="11" fillId="33" borderId="77" applyNumberFormat="0" applyAlignment="0" applyProtection="0"/>
    <xf numFmtId="0" fontId="8" fillId="20" borderId="77" applyNumberFormat="0" applyAlignment="0" applyProtection="0"/>
    <xf numFmtId="0" fontId="3" fillId="23" borderId="75" applyNumberFormat="0" applyFont="0" applyAlignment="0" applyProtection="0"/>
    <xf numFmtId="0" fontId="3" fillId="23" borderId="75" applyNumberFormat="0" applyFont="0" applyAlignment="0" applyProtection="0"/>
    <xf numFmtId="0" fontId="14" fillId="20" borderId="73" applyNumberFormat="0" applyAlignment="0" applyProtection="0"/>
    <xf numFmtId="0" fontId="14" fillId="20" borderId="73" applyNumberFormat="0" applyAlignment="0" applyProtection="0"/>
    <xf numFmtId="168" fontId="3" fillId="35" borderId="96" applyNumberFormat="0" applyAlignment="0" applyProtection="0"/>
    <xf numFmtId="168" fontId="21" fillId="0" borderId="88" applyNumberFormat="0" applyFill="0" applyAlignment="0" applyProtection="0"/>
    <xf numFmtId="168" fontId="14" fillId="41" borderId="115" applyNumberFormat="0" applyAlignment="0" applyProtection="0"/>
    <xf numFmtId="168" fontId="3" fillId="35" borderId="84" applyNumberFormat="0" applyAlignment="0" applyProtection="0"/>
    <xf numFmtId="168" fontId="14" fillId="41" borderId="85" applyNumberFormat="0" applyAlignment="0" applyProtection="0"/>
    <xf numFmtId="168" fontId="11" fillId="7" borderId="77" applyNumberFormat="0" applyAlignment="0" applyProtection="0"/>
    <xf numFmtId="0" fontId="21" fillId="0" borderId="76" applyNumberFormat="0" applyFill="0" applyAlignment="0" applyProtection="0"/>
    <xf numFmtId="0" fontId="8" fillId="41" borderId="77" applyNumberFormat="0" applyAlignment="0" applyProtection="0"/>
    <xf numFmtId="0" fontId="11" fillId="33" borderId="71" applyNumberFormat="0" applyAlignment="0" applyProtection="0"/>
    <xf numFmtId="0" fontId="8" fillId="41" borderId="71" applyNumberFormat="0" applyAlignment="0" applyProtection="0"/>
    <xf numFmtId="0" fontId="21" fillId="0" borderId="74" applyNumberFormat="0" applyFill="0" applyAlignment="0" applyProtection="0"/>
    <xf numFmtId="0" fontId="3" fillId="35" borderId="72" applyNumberFormat="0" applyAlignment="0" applyProtection="0"/>
    <xf numFmtId="0" fontId="21" fillId="0" borderId="74" applyNumberFormat="0" applyFill="0" applyAlignment="0" applyProtection="0"/>
    <xf numFmtId="0" fontId="14" fillId="41" borderId="73" applyNumberFormat="0" applyAlignment="0" applyProtection="0"/>
    <xf numFmtId="0" fontId="14" fillId="41" borderId="73" applyNumberFormat="0" applyAlignment="0" applyProtection="0"/>
    <xf numFmtId="0" fontId="14" fillId="41" borderId="73" applyNumberFormat="0" applyAlignment="0" applyProtection="0"/>
    <xf numFmtId="0" fontId="3" fillId="35" borderId="72" applyNumberFormat="0" applyAlignment="0" applyProtection="0"/>
    <xf numFmtId="0" fontId="14" fillId="41" borderId="73" applyNumberFormat="0" applyAlignment="0" applyProtection="0"/>
    <xf numFmtId="0" fontId="3" fillId="35" borderId="72" applyNumberFormat="0" applyAlignment="0" applyProtection="0"/>
    <xf numFmtId="0" fontId="3" fillId="35" borderId="72" applyNumberFormat="0" applyAlignment="0" applyProtection="0"/>
    <xf numFmtId="0" fontId="3" fillId="35" borderId="72" applyNumberFormat="0" applyAlignment="0" applyProtection="0"/>
    <xf numFmtId="0" fontId="8" fillId="41" borderId="71" applyNumberFormat="0" applyAlignment="0" applyProtection="0"/>
    <xf numFmtId="0" fontId="11" fillId="33" borderId="71" applyNumberFormat="0" applyAlignment="0" applyProtection="0"/>
    <xf numFmtId="0" fontId="8" fillId="41" borderId="71" applyNumberFormat="0" applyAlignment="0" applyProtection="0"/>
    <xf numFmtId="0" fontId="11" fillId="33" borderId="71" applyNumberFormat="0" applyAlignment="0" applyProtection="0"/>
    <xf numFmtId="0" fontId="8" fillId="41" borderId="71" applyNumberFormat="0" applyAlignment="0" applyProtection="0"/>
    <xf numFmtId="0" fontId="8" fillId="41" borderId="71" applyNumberFormat="0" applyAlignment="0" applyProtection="0"/>
    <xf numFmtId="0" fontId="11" fillId="33" borderId="71" applyNumberFormat="0" applyAlignment="0" applyProtection="0"/>
    <xf numFmtId="0" fontId="8" fillId="41" borderId="71" applyNumberFormat="0" applyAlignment="0" applyProtection="0"/>
    <xf numFmtId="0" fontId="11" fillId="33" borderId="71" applyNumberFormat="0" applyAlignment="0" applyProtection="0"/>
    <xf numFmtId="0" fontId="11" fillId="33" borderId="71" applyNumberFormat="0" applyAlignment="0" applyProtection="0"/>
    <xf numFmtId="0" fontId="8" fillId="41" borderId="71" applyNumberFormat="0" applyAlignment="0" applyProtection="0"/>
    <xf numFmtId="0" fontId="8" fillId="41" borderId="71" applyNumberFormat="0" applyAlignment="0" applyProtection="0"/>
    <xf numFmtId="0" fontId="8" fillId="41" borderId="71" applyNumberFormat="0" applyAlignment="0" applyProtection="0"/>
    <xf numFmtId="0" fontId="11" fillId="33" borderId="71" applyNumberFormat="0" applyAlignment="0" applyProtection="0"/>
    <xf numFmtId="0" fontId="8" fillId="41" borderId="71" applyNumberFormat="0" applyAlignment="0" applyProtection="0"/>
    <xf numFmtId="0" fontId="8" fillId="41" borderId="71" applyNumberFormat="0" applyAlignment="0" applyProtection="0"/>
    <xf numFmtId="0" fontId="3" fillId="35" borderId="72" applyNumberFormat="0" applyAlignment="0" applyProtection="0"/>
    <xf numFmtId="0" fontId="3" fillId="35" borderId="72" applyNumberFormat="0" applyAlignment="0" applyProtection="0"/>
    <xf numFmtId="0" fontId="3" fillId="35" borderId="72" applyNumberFormat="0" applyAlignment="0" applyProtection="0"/>
    <xf numFmtId="0" fontId="14" fillId="41" borderId="73" applyNumberFormat="0" applyAlignment="0" applyProtection="0"/>
    <xf numFmtId="0" fontId="14" fillId="41" borderId="73" applyNumberFormat="0" applyAlignment="0" applyProtection="0"/>
    <xf numFmtId="0" fontId="14" fillId="41" borderId="73" applyNumberFormat="0" applyAlignment="0" applyProtection="0"/>
    <xf numFmtId="0" fontId="3" fillId="35" borderId="72" applyNumberFormat="0" applyAlignment="0" applyProtection="0"/>
    <xf numFmtId="0" fontId="14" fillId="41" borderId="73" applyNumberFormat="0" applyAlignment="0" applyProtection="0"/>
    <xf numFmtId="0" fontId="14" fillId="41" borderId="73" applyNumberFormat="0" applyAlignment="0" applyProtection="0"/>
    <xf numFmtId="0" fontId="11" fillId="33" borderId="71" applyNumberFormat="0" applyAlignment="0" applyProtection="0"/>
    <xf numFmtId="0" fontId="11" fillId="33" borderId="71" applyNumberFormat="0" applyAlignment="0" applyProtection="0"/>
    <xf numFmtId="0" fontId="21" fillId="0" borderId="74" applyNumberFormat="0" applyFill="0" applyAlignment="0" applyProtection="0"/>
    <xf numFmtId="0" fontId="11" fillId="33" borderId="71" applyNumberFormat="0" applyAlignment="0" applyProtection="0"/>
    <xf numFmtId="0" fontId="11" fillId="33" borderId="71" applyNumberFormat="0" applyAlignment="0" applyProtection="0"/>
    <xf numFmtId="0" fontId="21" fillId="0" borderId="74" applyNumberFormat="0" applyFill="0" applyAlignment="0" applyProtection="0"/>
    <xf numFmtId="0" fontId="11" fillId="33" borderId="71" applyNumberFormat="0" applyAlignment="0" applyProtection="0"/>
    <xf numFmtId="0" fontId="11" fillId="33" borderId="71" applyNumberFormat="0" applyAlignment="0" applyProtection="0"/>
    <xf numFmtId="0" fontId="21" fillId="0" borderId="74" applyNumberFormat="0" applyFill="0" applyAlignment="0" applyProtection="0"/>
    <xf numFmtId="0" fontId="21" fillId="0" borderId="74" applyNumberFormat="0" applyFill="0" applyAlignment="0" applyProtection="0"/>
    <xf numFmtId="0" fontId="3" fillId="35" borderId="72" applyNumberFormat="0" applyAlignment="0" applyProtection="0"/>
    <xf numFmtId="0" fontId="21" fillId="0" borderId="74" applyNumberFormat="0" applyFill="0" applyAlignment="0" applyProtection="0"/>
    <xf numFmtId="0" fontId="3" fillId="35" borderId="72" applyNumberFormat="0" applyAlignment="0" applyProtection="0"/>
    <xf numFmtId="0" fontId="14" fillId="41" borderId="73" applyNumberFormat="0" applyAlignment="0" applyProtection="0"/>
    <xf numFmtId="0" fontId="21" fillId="0" borderId="74" applyNumberFormat="0" applyFill="0" applyAlignment="0" applyProtection="0"/>
    <xf numFmtId="0" fontId="3" fillId="35" borderId="72" applyNumberFormat="0" applyAlignment="0" applyProtection="0"/>
    <xf numFmtId="0" fontId="21" fillId="0" borderId="74" applyNumberFormat="0" applyFill="0" applyAlignment="0" applyProtection="0"/>
    <xf numFmtId="0" fontId="14" fillId="41" borderId="73" applyNumberFormat="0" applyAlignment="0" applyProtection="0"/>
    <xf numFmtId="0" fontId="8" fillId="41" borderId="71" applyNumberFormat="0" applyAlignment="0" applyProtection="0"/>
    <xf numFmtId="0" fontId="14" fillId="41" borderId="73" applyNumberFormat="0" applyAlignment="0" applyProtection="0"/>
    <xf numFmtId="0" fontId="21" fillId="0" borderId="74" applyNumberFormat="0" applyFill="0" applyAlignment="0" applyProtection="0"/>
    <xf numFmtId="0" fontId="3" fillId="35" borderId="72" applyNumberFormat="0" applyAlignment="0" applyProtection="0"/>
    <xf numFmtId="0" fontId="21" fillId="0" borderId="74" applyNumberFormat="0" applyFill="0" applyAlignment="0" applyProtection="0"/>
    <xf numFmtId="0" fontId="14" fillId="41" borderId="73" applyNumberFormat="0" applyAlignment="0" applyProtection="0"/>
    <xf numFmtId="0" fontId="8" fillId="41" borderId="71" applyNumberFormat="0" applyAlignment="0" applyProtection="0"/>
    <xf numFmtId="0" fontId="21" fillId="0" borderId="74" applyNumberFormat="0" applyFill="0" applyAlignment="0" applyProtection="0"/>
    <xf numFmtId="0" fontId="14" fillId="41" borderId="73" applyNumberFormat="0" applyAlignment="0" applyProtection="0"/>
    <xf numFmtId="0" fontId="21" fillId="0" borderId="74" applyNumberFormat="0" applyFill="0" applyAlignment="0" applyProtection="0"/>
    <xf numFmtId="0" fontId="3" fillId="35" borderId="72" applyNumberFormat="0" applyAlignment="0" applyProtection="0"/>
    <xf numFmtId="0" fontId="3" fillId="35" borderId="72" applyNumberFormat="0" applyAlignment="0" applyProtection="0"/>
    <xf numFmtId="0" fontId="3" fillId="35" borderId="72" applyNumberFormat="0" applyAlignment="0" applyProtection="0"/>
    <xf numFmtId="0" fontId="14" fillId="41" borderId="73" applyNumberFormat="0" applyAlignment="0" applyProtection="0"/>
    <xf numFmtId="0" fontId="8" fillId="41" borderId="71" applyNumberFormat="0" applyAlignment="0" applyProtection="0"/>
    <xf numFmtId="0" fontId="11" fillId="33" borderId="71" applyNumberFormat="0" applyAlignment="0" applyProtection="0"/>
    <xf numFmtId="0" fontId="3" fillId="35" borderId="72" applyNumberFormat="0" applyAlignment="0" applyProtection="0"/>
    <xf numFmtId="0" fontId="8" fillId="41" borderId="71" applyNumberFormat="0" applyAlignment="0" applyProtection="0"/>
    <xf numFmtId="0" fontId="8" fillId="41" borderId="71" applyNumberFormat="0" applyAlignment="0" applyProtection="0"/>
    <xf numFmtId="0" fontId="11" fillId="33" borderId="71" applyNumberFormat="0" applyAlignment="0" applyProtection="0"/>
    <xf numFmtId="0" fontId="8" fillId="41" borderId="71" applyNumberFormat="0" applyAlignment="0" applyProtection="0"/>
    <xf numFmtId="0" fontId="8" fillId="41" borderId="71" applyNumberFormat="0" applyAlignment="0" applyProtection="0"/>
    <xf numFmtId="0" fontId="8" fillId="41" borderId="71" applyNumberFormat="0" applyAlignment="0" applyProtection="0"/>
    <xf numFmtId="0" fontId="8" fillId="41" borderId="71" applyNumberFormat="0" applyAlignment="0" applyProtection="0"/>
    <xf numFmtId="0" fontId="11" fillId="33" borderId="71" applyNumberFormat="0" applyAlignment="0" applyProtection="0"/>
    <xf numFmtId="0" fontId="8" fillId="41" borderId="71" applyNumberFormat="0" applyAlignment="0" applyProtection="0"/>
    <xf numFmtId="0" fontId="11" fillId="33" borderId="71" applyNumberFormat="0" applyAlignment="0" applyProtection="0"/>
    <xf numFmtId="0" fontId="8" fillId="41" borderId="71" applyNumberFormat="0" applyAlignment="0" applyProtection="0"/>
    <xf numFmtId="0" fontId="11" fillId="33" borderId="71" applyNumberFormat="0" applyAlignment="0" applyProtection="0"/>
    <xf numFmtId="0" fontId="11" fillId="33" borderId="71" applyNumberFormat="0" applyAlignment="0" applyProtection="0"/>
    <xf numFmtId="0" fontId="3" fillId="35" borderId="72" applyNumberFormat="0" applyAlignment="0" applyProtection="0"/>
    <xf numFmtId="0" fontId="3" fillId="35" borderId="72" applyNumberFormat="0" applyAlignment="0" applyProtection="0"/>
    <xf numFmtId="0" fontId="3" fillId="35" borderId="72" applyNumberFormat="0" applyAlignment="0" applyProtection="0"/>
    <xf numFmtId="0" fontId="14" fillId="41" borderId="73" applyNumberFormat="0" applyAlignment="0" applyProtection="0"/>
    <xf numFmtId="0" fontId="14" fillId="41" borderId="73" applyNumberFormat="0" applyAlignment="0" applyProtection="0"/>
    <xf numFmtId="0" fontId="14" fillId="41" borderId="73" applyNumberFormat="0" applyAlignment="0" applyProtection="0"/>
    <xf numFmtId="0" fontId="14" fillId="41" borderId="73" applyNumberFormat="0" applyAlignment="0" applyProtection="0"/>
    <xf numFmtId="0" fontId="11" fillId="33" borderId="71" applyNumberFormat="0" applyAlignment="0" applyProtection="0"/>
    <xf numFmtId="0" fontId="21" fillId="0" borderId="74" applyNumberFormat="0" applyFill="0" applyAlignment="0" applyProtection="0"/>
    <xf numFmtId="0" fontId="3" fillId="35" borderId="72" applyNumberFormat="0" applyAlignment="0" applyProtection="0"/>
    <xf numFmtId="0" fontId="21" fillId="0" borderId="74" applyNumberFormat="0" applyFill="0" applyAlignment="0" applyProtection="0"/>
    <xf numFmtId="0" fontId="14" fillId="41" borderId="73" applyNumberFormat="0" applyAlignment="0" applyProtection="0"/>
    <xf numFmtId="0" fontId="11" fillId="33" borderId="71" applyNumberFormat="0" applyAlignment="0" applyProtection="0"/>
    <xf numFmtId="0" fontId="3" fillId="35" borderId="72" applyNumberFormat="0" applyAlignment="0" applyProtection="0"/>
    <xf numFmtId="0" fontId="21" fillId="0" borderId="74" applyNumberFormat="0" applyFill="0" applyAlignment="0" applyProtection="0"/>
    <xf numFmtId="0" fontId="14" fillId="41" borderId="73" applyNumberFormat="0" applyAlignment="0" applyProtection="0"/>
    <xf numFmtId="0" fontId="14" fillId="41" borderId="73" applyNumberFormat="0" applyAlignment="0" applyProtection="0"/>
    <xf numFmtId="0" fontId="21" fillId="0" borderId="74" applyNumberFormat="0" applyFill="0" applyAlignment="0" applyProtection="0"/>
    <xf numFmtId="0" fontId="11" fillId="33" borderId="71" applyNumberFormat="0" applyAlignment="0" applyProtection="0"/>
    <xf numFmtId="0" fontId="21" fillId="0" borderId="74" applyNumberFormat="0" applyFill="0" applyAlignment="0" applyProtection="0"/>
    <xf numFmtId="0" fontId="21" fillId="0" borderId="74" applyNumberFormat="0" applyFill="0" applyAlignment="0" applyProtection="0"/>
    <xf numFmtId="0" fontId="21" fillId="0" borderId="74" applyNumberFormat="0" applyFill="0" applyAlignment="0" applyProtection="0"/>
    <xf numFmtId="0" fontId="21" fillId="0" borderId="74" applyNumberFormat="0" applyFill="0" applyAlignment="0" applyProtection="0"/>
    <xf numFmtId="0" fontId="21" fillId="0" borderId="74" applyNumberFormat="0" applyFill="0" applyAlignment="0" applyProtection="0"/>
    <xf numFmtId="168" fontId="14" fillId="41" borderId="85" applyNumberFormat="0" applyAlignment="0" applyProtection="0"/>
    <xf numFmtId="0" fontId="8" fillId="20" borderId="71" applyNumberFormat="0" applyAlignment="0" applyProtection="0"/>
    <xf numFmtId="0" fontId="8" fillId="20" borderId="71" applyNumberFormat="0" applyAlignment="0" applyProtection="0"/>
    <xf numFmtId="0" fontId="11" fillId="7" borderId="71" applyNumberFormat="0" applyAlignment="0" applyProtection="0"/>
    <xf numFmtId="0" fontId="11" fillId="7" borderId="71" applyNumberFormat="0" applyAlignment="0" applyProtection="0"/>
    <xf numFmtId="0" fontId="14" fillId="20" borderId="73" applyNumberFormat="0" applyAlignment="0" applyProtection="0"/>
    <xf numFmtId="0" fontId="14" fillId="20" borderId="73" applyNumberFormat="0" applyAlignment="0" applyProtection="0"/>
    <xf numFmtId="168" fontId="8" fillId="20" borderId="83" applyNumberFormat="0" applyAlignment="0" applyProtection="0"/>
    <xf numFmtId="0" fontId="14" fillId="41" borderId="79" applyNumberFormat="0" applyAlignment="0" applyProtection="0"/>
    <xf numFmtId="168" fontId="8" fillId="41" borderId="107" applyNumberFormat="0" applyAlignment="0" applyProtection="0"/>
    <xf numFmtId="168" fontId="8" fillId="41" borderId="95" applyNumberFormat="0" applyAlignment="0" applyProtection="0"/>
    <xf numFmtId="168" fontId="3" fillId="35" borderId="84" applyNumberFormat="0" applyAlignment="0" applyProtection="0"/>
    <xf numFmtId="168" fontId="11" fillId="33" borderId="83" applyNumberFormat="0" applyAlignment="0" applyProtection="0"/>
    <xf numFmtId="168" fontId="11" fillId="7" borderId="77" applyNumberFormat="0" applyAlignment="0" applyProtection="0"/>
    <xf numFmtId="168" fontId="8" fillId="41" borderId="83" applyNumberFormat="0" applyAlignment="0" applyProtection="0"/>
    <xf numFmtId="168" fontId="14" fillId="41" borderId="97" applyNumberFormat="0" applyAlignment="0" applyProtection="0"/>
    <xf numFmtId="168" fontId="8" fillId="41" borderId="89" applyNumberFormat="0" applyAlignment="0" applyProtection="0"/>
    <xf numFmtId="168" fontId="3" fillId="35" borderId="78" applyNumberFormat="0" applyAlignment="0" applyProtection="0"/>
    <xf numFmtId="168" fontId="11" fillId="7" borderId="83" applyNumberFormat="0" applyAlignment="0" applyProtection="0"/>
    <xf numFmtId="0" fontId="3" fillId="35" borderId="78" applyNumberFormat="0" applyAlignment="0" applyProtection="0"/>
    <xf numFmtId="168" fontId="14" fillId="41" borderId="85" applyNumberFormat="0" applyAlignment="0" applyProtection="0"/>
    <xf numFmtId="168" fontId="21" fillId="0" borderId="110" applyNumberFormat="0" applyFill="0" applyAlignment="0" applyProtection="0"/>
    <xf numFmtId="168" fontId="14" fillId="20" borderId="91" applyNumberFormat="0" applyAlignment="0" applyProtection="0"/>
    <xf numFmtId="168" fontId="14" fillId="41" borderId="79" applyNumberFormat="0" applyAlignment="0" applyProtection="0"/>
    <xf numFmtId="168" fontId="11" fillId="33" borderId="77" applyNumberFormat="0" applyAlignment="0" applyProtection="0"/>
    <xf numFmtId="168" fontId="11" fillId="33" borderId="89" applyNumberFormat="0" applyAlignment="0" applyProtection="0"/>
    <xf numFmtId="168" fontId="3" fillId="35" borderId="84" applyNumberFormat="0" applyAlignment="0" applyProtection="0"/>
    <xf numFmtId="168" fontId="14" fillId="41" borderId="79" applyNumberFormat="0" applyAlignment="0" applyProtection="0"/>
    <xf numFmtId="0" fontId="21" fillId="0" borderId="80" applyNumberFormat="0" applyFill="0" applyAlignment="0" applyProtection="0"/>
    <xf numFmtId="168" fontId="14" fillId="41" borderId="85" applyNumberFormat="0" applyAlignment="0" applyProtection="0"/>
    <xf numFmtId="0" fontId="11" fillId="33" borderId="119" applyNumberFormat="0" applyAlignment="0" applyProtection="0"/>
    <xf numFmtId="0" fontId="11" fillId="33" borderId="77" applyNumberFormat="0" applyAlignment="0" applyProtection="0"/>
    <xf numFmtId="0" fontId="14" fillId="41" borderId="79" applyNumberFormat="0" applyAlignment="0" applyProtection="0"/>
    <xf numFmtId="168" fontId="14" fillId="41" borderId="79" applyNumberFormat="0" applyAlignment="0" applyProtection="0"/>
    <xf numFmtId="168" fontId="11" fillId="33" borderId="89" applyNumberFormat="0" applyAlignment="0" applyProtection="0"/>
    <xf numFmtId="168" fontId="14" fillId="41" borderId="85" applyNumberFormat="0" applyAlignment="0" applyProtection="0"/>
    <xf numFmtId="168" fontId="8" fillId="41" borderId="89" applyNumberFormat="0" applyAlignment="0" applyProtection="0"/>
    <xf numFmtId="0" fontId="21" fillId="0" borderId="80" applyNumberFormat="0" applyFill="0" applyAlignment="0" applyProtection="0"/>
    <xf numFmtId="168" fontId="8" fillId="41" borderId="83" applyNumberFormat="0" applyAlignment="0" applyProtection="0"/>
    <xf numFmtId="168" fontId="8" fillId="20" borderId="77" applyNumberFormat="0" applyAlignment="0" applyProtection="0"/>
    <xf numFmtId="168" fontId="3" fillId="35" borderId="96" applyNumberFormat="0" applyAlignment="0" applyProtection="0"/>
    <xf numFmtId="0" fontId="11" fillId="33" borderId="77" applyNumberFormat="0" applyAlignment="0" applyProtection="0"/>
    <xf numFmtId="0" fontId="8" fillId="41" borderId="77" applyNumberFormat="0" applyAlignment="0" applyProtection="0"/>
    <xf numFmtId="168" fontId="8" fillId="41" borderId="95" applyNumberFormat="0" applyAlignment="0" applyProtection="0"/>
    <xf numFmtId="168" fontId="11" fillId="33" borderId="83" applyNumberFormat="0" applyAlignment="0" applyProtection="0"/>
    <xf numFmtId="0" fontId="21" fillId="0" borderId="80" applyNumberFormat="0" applyFill="0" applyAlignment="0" applyProtection="0"/>
    <xf numFmtId="168" fontId="14" fillId="20" borderId="109" applyNumberFormat="0" applyAlignment="0" applyProtection="0"/>
    <xf numFmtId="168" fontId="14" fillId="41" borderId="91" applyNumberFormat="0" applyAlignment="0" applyProtection="0"/>
    <xf numFmtId="168" fontId="3" fillId="35" borderId="78" applyNumberFormat="0" applyAlignment="0" applyProtection="0"/>
    <xf numFmtId="168" fontId="8" fillId="41" borderId="83" applyNumberFormat="0" applyAlignment="0" applyProtection="0"/>
    <xf numFmtId="0" fontId="3" fillId="35" borderId="78" applyNumberFormat="0" applyAlignment="0" applyProtection="0"/>
    <xf numFmtId="168" fontId="3" fillId="35" borderId="84" applyNumberFormat="0" applyAlignment="0" applyProtection="0"/>
    <xf numFmtId="168" fontId="21" fillId="0" borderId="86" applyNumberFormat="0" applyFill="0" applyAlignment="0" applyProtection="0"/>
    <xf numFmtId="168" fontId="8" fillId="41" borderId="77" applyNumberFormat="0" applyAlignment="0" applyProtection="0"/>
    <xf numFmtId="0" fontId="8" fillId="41" borderId="77" applyNumberFormat="0" applyAlignment="0" applyProtection="0"/>
    <xf numFmtId="168" fontId="14" fillId="20" borderId="79" applyNumberFormat="0" applyAlignment="0" applyProtection="0"/>
    <xf numFmtId="168" fontId="3" fillId="35" borderId="78" applyNumberFormat="0" applyAlignment="0" applyProtection="0"/>
    <xf numFmtId="168" fontId="3" fillId="35" borderId="84" applyNumberFormat="0" applyAlignment="0" applyProtection="0"/>
    <xf numFmtId="0" fontId="14" fillId="41" borderId="79" applyNumberFormat="0" applyAlignment="0" applyProtection="0"/>
    <xf numFmtId="0" fontId="21" fillId="0" borderId="80" applyNumberFormat="0" applyFill="0" applyAlignment="0" applyProtection="0"/>
    <xf numFmtId="168" fontId="11" fillId="33" borderId="77" applyNumberFormat="0" applyAlignment="0" applyProtection="0"/>
    <xf numFmtId="168" fontId="8" fillId="41" borderId="89" applyNumberFormat="0" applyAlignment="0" applyProtection="0"/>
    <xf numFmtId="168" fontId="8" fillId="41" borderId="107" applyNumberFormat="0" applyAlignment="0" applyProtection="0"/>
    <xf numFmtId="168" fontId="14" fillId="41" borderId="79" applyNumberFormat="0" applyAlignment="0" applyProtection="0"/>
    <xf numFmtId="168" fontId="14" fillId="41" borderId="85" applyNumberFormat="0" applyAlignment="0" applyProtection="0"/>
    <xf numFmtId="168" fontId="11" fillId="7" borderId="77" applyNumberFormat="0" applyAlignment="0" applyProtection="0"/>
    <xf numFmtId="168" fontId="8" fillId="41" borderId="101" applyNumberFormat="0" applyAlignment="0" applyProtection="0"/>
    <xf numFmtId="168" fontId="14" fillId="41" borderId="85" applyNumberFormat="0" applyAlignment="0" applyProtection="0"/>
    <xf numFmtId="168" fontId="14" fillId="41" borderId="79" applyNumberFormat="0" applyAlignment="0" applyProtection="0"/>
    <xf numFmtId="168" fontId="11" fillId="33" borderId="95" applyNumberFormat="0" applyAlignment="0" applyProtection="0"/>
    <xf numFmtId="168" fontId="21" fillId="0" borderId="104" applyNumberFormat="0" applyFill="0" applyAlignment="0" applyProtection="0"/>
    <xf numFmtId="168" fontId="3" fillId="35" borderId="96" applyNumberFormat="0" applyAlignment="0" applyProtection="0"/>
    <xf numFmtId="0" fontId="11" fillId="33" borderId="77" applyNumberFormat="0" applyAlignment="0" applyProtection="0"/>
    <xf numFmtId="0" fontId="14" fillId="41" borderId="79" applyNumberFormat="0" applyAlignment="0" applyProtection="0"/>
    <xf numFmtId="168" fontId="14" fillId="41" borderId="103" applyNumberFormat="0" applyAlignment="0" applyProtection="0"/>
    <xf numFmtId="168" fontId="3" fillId="35" borderId="84" applyNumberFormat="0" applyAlignment="0" applyProtection="0"/>
    <xf numFmtId="0" fontId="14" fillId="20" borderId="103" applyNumberFormat="0" applyAlignment="0" applyProtection="0"/>
    <xf numFmtId="0" fontId="3" fillId="35" borderId="78" applyNumberFormat="0" applyAlignment="0" applyProtection="0"/>
    <xf numFmtId="0" fontId="3" fillId="35" borderId="78" applyNumberFormat="0" applyAlignment="0" applyProtection="0"/>
    <xf numFmtId="168" fontId="3" fillId="35" borderId="90" applyNumberFormat="0" applyAlignment="0" applyProtection="0"/>
    <xf numFmtId="168" fontId="11" fillId="33" borderId="83" applyNumberFormat="0" applyAlignment="0" applyProtection="0"/>
    <xf numFmtId="168" fontId="3" fillId="35" borderId="78" applyNumberFormat="0" applyAlignment="0" applyProtection="0"/>
    <xf numFmtId="168" fontId="8" fillId="41" borderId="77" applyNumberFormat="0" applyAlignment="0" applyProtection="0"/>
    <xf numFmtId="0" fontId="21" fillId="0" borderId="80" applyNumberFormat="0" applyFill="0" applyAlignment="0" applyProtection="0"/>
    <xf numFmtId="168" fontId="21" fillId="0" borderId="80" applyNumberFormat="0" applyFill="0" applyAlignment="0" applyProtection="0"/>
    <xf numFmtId="168" fontId="11" fillId="33" borderId="83" applyNumberFormat="0" applyAlignment="0" applyProtection="0"/>
    <xf numFmtId="0" fontId="8" fillId="41" borderId="77" applyNumberFormat="0" applyAlignment="0" applyProtection="0"/>
    <xf numFmtId="0" fontId="21" fillId="0" borderId="80" applyNumberFormat="0" applyFill="0" applyAlignment="0" applyProtection="0"/>
    <xf numFmtId="168" fontId="11" fillId="33" borderId="89" applyNumberFormat="0" applyAlignment="0" applyProtection="0"/>
    <xf numFmtId="168" fontId="8" fillId="41" borderId="95" applyNumberFormat="0" applyAlignment="0" applyProtection="0"/>
    <xf numFmtId="168" fontId="3" fillId="23" borderId="81" applyNumberFormat="0" applyFont="0" applyAlignment="0" applyProtection="0"/>
    <xf numFmtId="168" fontId="3" fillId="23" borderId="81" applyNumberFormat="0" applyFont="0" applyAlignment="0" applyProtection="0"/>
    <xf numFmtId="168" fontId="11" fillId="33" borderId="83" applyNumberFormat="0" applyAlignment="0" applyProtection="0"/>
    <xf numFmtId="168" fontId="3" fillId="35" borderId="78" applyNumberFormat="0" applyAlignment="0" applyProtection="0"/>
    <xf numFmtId="168" fontId="11" fillId="33" borderId="107" applyNumberFormat="0" applyAlignment="0" applyProtection="0"/>
    <xf numFmtId="168" fontId="14" fillId="41" borderId="79" applyNumberFormat="0" applyAlignment="0" applyProtection="0"/>
    <xf numFmtId="168" fontId="11" fillId="33" borderId="77" applyNumberFormat="0" applyAlignment="0" applyProtection="0"/>
    <xf numFmtId="0" fontId="8" fillId="41" borderId="77" applyNumberFormat="0" applyAlignment="0" applyProtection="0"/>
    <xf numFmtId="168" fontId="14" fillId="41" borderId="91" applyNumberFormat="0" applyAlignment="0" applyProtection="0"/>
    <xf numFmtId="0" fontId="14" fillId="41" borderId="79" applyNumberFormat="0" applyAlignment="0" applyProtection="0"/>
    <xf numFmtId="0" fontId="8" fillId="41" borderId="77" applyNumberFormat="0" applyAlignment="0" applyProtection="0"/>
    <xf numFmtId="0" fontId="21" fillId="0" borderId="80" applyNumberFormat="0" applyFill="0" applyAlignment="0" applyProtection="0"/>
    <xf numFmtId="168" fontId="21" fillId="0" borderId="80" applyNumberFormat="0" applyFill="0" applyAlignment="0" applyProtection="0"/>
    <xf numFmtId="168" fontId="8" fillId="41" borderId="101" applyNumberFormat="0" applyAlignment="0" applyProtection="0"/>
    <xf numFmtId="168" fontId="14" fillId="41" borderId="79" applyNumberFormat="0" applyAlignment="0" applyProtection="0"/>
    <xf numFmtId="0" fontId="14" fillId="41" borderId="79" applyNumberFormat="0" applyAlignment="0" applyProtection="0"/>
    <xf numFmtId="168" fontId="3" fillId="35" borderId="78" applyNumberFormat="0" applyAlignment="0" applyProtection="0"/>
    <xf numFmtId="168" fontId="3" fillId="35" borderId="96" applyNumberFormat="0" applyAlignment="0" applyProtection="0"/>
    <xf numFmtId="168" fontId="21" fillId="0" borderId="80" applyNumberFormat="0" applyFill="0" applyAlignment="0" applyProtection="0"/>
    <xf numFmtId="168" fontId="21" fillId="0" borderId="80" applyNumberFormat="0" applyFill="0" applyAlignment="0" applyProtection="0"/>
    <xf numFmtId="168" fontId="14" fillId="41" borderId="85" applyNumberFormat="0" applyAlignment="0" applyProtection="0"/>
    <xf numFmtId="168" fontId="8" fillId="41" borderId="77" applyNumberFormat="0" applyAlignment="0" applyProtection="0"/>
    <xf numFmtId="0" fontId="21" fillId="0" borderId="82" applyNumberFormat="0" applyFill="0" applyAlignment="0" applyProtection="0"/>
    <xf numFmtId="168" fontId="11" fillId="33" borderId="89" applyNumberFormat="0" applyAlignment="0" applyProtection="0"/>
    <xf numFmtId="168" fontId="8" fillId="41" borderId="107" applyNumberFormat="0" applyAlignment="0" applyProtection="0"/>
    <xf numFmtId="168" fontId="3" fillId="35" borderId="90" applyNumberFormat="0" applyAlignment="0" applyProtection="0"/>
    <xf numFmtId="168" fontId="11" fillId="33" borderId="77" applyNumberFormat="0" applyAlignment="0" applyProtection="0"/>
    <xf numFmtId="0" fontId="11" fillId="33" borderId="77" applyNumberFormat="0" applyAlignment="0" applyProtection="0"/>
    <xf numFmtId="0" fontId="21" fillId="0" borderId="80" applyNumberFormat="0" applyFill="0" applyAlignment="0" applyProtection="0"/>
    <xf numFmtId="168" fontId="11" fillId="33" borderId="83" applyNumberFormat="0" applyAlignment="0" applyProtection="0"/>
    <xf numFmtId="168" fontId="8" fillId="41" borderId="83" applyNumberFormat="0" applyAlignment="0" applyProtection="0"/>
    <xf numFmtId="168" fontId="14" fillId="41" borderId="85" applyNumberFormat="0" applyAlignment="0" applyProtection="0"/>
    <xf numFmtId="168" fontId="3" fillId="35" borderId="84" applyNumberFormat="0" applyAlignment="0" applyProtection="0"/>
    <xf numFmtId="168" fontId="8" fillId="41" borderId="77" applyNumberFormat="0" applyAlignment="0" applyProtection="0"/>
    <xf numFmtId="168" fontId="11" fillId="33" borderId="77" applyNumberFormat="0" applyAlignment="0" applyProtection="0"/>
    <xf numFmtId="168" fontId="3" fillId="35" borderId="78" applyNumberFormat="0" applyAlignment="0" applyProtection="0"/>
    <xf numFmtId="168" fontId="8" fillId="41" borderId="77" applyNumberFormat="0" applyAlignment="0" applyProtection="0"/>
    <xf numFmtId="0" fontId="11" fillId="33" borderId="77" applyNumberFormat="0" applyAlignment="0" applyProtection="0"/>
    <xf numFmtId="168" fontId="11" fillId="33" borderId="77" applyNumberFormat="0" applyAlignment="0" applyProtection="0"/>
    <xf numFmtId="168" fontId="14" fillId="41" borderId="115" applyNumberFormat="0" applyAlignment="0" applyProtection="0"/>
    <xf numFmtId="0" fontId="21" fillId="0" borderId="80" applyNumberFormat="0" applyFill="0" applyAlignment="0" applyProtection="0"/>
    <xf numFmtId="168" fontId="3" fillId="35" borderId="84" applyNumberFormat="0" applyAlignment="0" applyProtection="0"/>
    <xf numFmtId="168" fontId="8" fillId="41" borderId="101" applyNumberFormat="0" applyAlignment="0" applyProtection="0"/>
    <xf numFmtId="168" fontId="3" fillId="35" borderId="90" applyNumberFormat="0" applyAlignment="0" applyProtection="0"/>
    <xf numFmtId="0" fontId="8" fillId="41" borderId="77" applyNumberFormat="0" applyAlignment="0" applyProtection="0"/>
    <xf numFmtId="168" fontId="8" fillId="41" borderId="89" applyNumberFormat="0" applyAlignment="0" applyProtection="0"/>
    <xf numFmtId="168" fontId="21" fillId="0" borderId="98" applyNumberFormat="0" applyFill="0" applyAlignment="0" applyProtection="0"/>
    <xf numFmtId="168" fontId="11" fillId="7" borderId="89" applyNumberFormat="0" applyAlignment="0" applyProtection="0"/>
    <xf numFmtId="168" fontId="3" fillId="35" borderId="90" applyNumberFormat="0" applyAlignment="0" applyProtection="0"/>
    <xf numFmtId="0" fontId="21" fillId="0" borderId="104" applyNumberFormat="0" applyFill="0" applyAlignment="0" applyProtection="0"/>
    <xf numFmtId="168" fontId="8" fillId="41" borderId="107" applyNumberFormat="0" applyAlignment="0" applyProtection="0"/>
    <xf numFmtId="168" fontId="8" fillId="41" borderId="77" applyNumberFormat="0" applyAlignment="0" applyProtection="0"/>
    <xf numFmtId="0" fontId="8" fillId="20" borderId="77" applyNumberFormat="0" applyAlignment="0" applyProtection="0"/>
    <xf numFmtId="168" fontId="11" fillId="33" borderId="77" applyNumberFormat="0" applyAlignment="0" applyProtection="0"/>
    <xf numFmtId="168" fontId="8" fillId="41" borderId="83" applyNumberFormat="0" applyAlignment="0" applyProtection="0"/>
    <xf numFmtId="168" fontId="8" fillId="41" borderId="95" applyNumberFormat="0" applyAlignment="0" applyProtection="0"/>
    <xf numFmtId="0" fontId="3" fillId="35" borderId="78" applyNumberFormat="0" applyAlignment="0" applyProtection="0"/>
    <xf numFmtId="168" fontId="3" fillId="35" borderId="90" applyNumberFormat="0" applyAlignment="0" applyProtection="0"/>
    <xf numFmtId="168" fontId="21" fillId="0" borderId="92" applyNumberFormat="0" applyFill="0" applyAlignment="0" applyProtection="0"/>
    <xf numFmtId="168" fontId="14" fillId="41" borderId="79" applyNumberFormat="0" applyAlignment="0" applyProtection="0"/>
    <xf numFmtId="168" fontId="8" fillId="41" borderId="89" applyNumberFormat="0" applyAlignment="0" applyProtection="0"/>
    <xf numFmtId="168" fontId="3" fillId="35" borderId="108" applyNumberFormat="0" applyAlignment="0" applyProtection="0"/>
    <xf numFmtId="168" fontId="21" fillId="0" borderId="86" applyNumberFormat="0" applyFill="0" applyAlignment="0" applyProtection="0"/>
    <xf numFmtId="0" fontId="21" fillId="0" borderId="80" applyNumberFormat="0" applyFill="0" applyAlignment="0" applyProtection="0"/>
    <xf numFmtId="0" fontId="11" fillId="33" borderId="77" applyNumberFormat="0" applyAlignment="0" applyProtection="0"/>
    <xf numFmtId="168" fontId="3" fillId="35" borderId="84" applyNumberFormat="0" applyAlignment="0" applyProtection="0"/>
    <xf numFmtId="0" fontId="21" fillId="0" borderId="80" applyNumberFormat="0" applyFill="0" applyAlignment="0" applyProtection="0"/>
    <xf numFmtId="168" fontId="3" fillId="35" borderId="90" applyNumberFormat="0" applyAlignment="0" applyProtection="0"/>
    <xf numFmtId="168" fontId="14" fillId="41" borderId="85" applyNumberFormat="0" applyAlignment="0" applyProtection="0"/>
    <xf numFmtId="168" fontId="21" fillId="0" borderId="80" applyNumberFormat="0" applyFill="0" applyAlignment="0" applyProtection="0"/>
    <xf numFmtId="168" fontId="14" fillId="20" borderId="97" applyNumberFormat="0" applyAlignment="0" applyProtection="0"/>
    <xf numFmtId="168" fontId="14" fillId="41" borderId="97" applyNumberFormat="0" applyAlignment="0" applyProtection="0"/>
    <xf numFmtId="168" fontId="3" fillId="35" borderId="90" applyNumberFormat="0" applyAlignment="0" applyProtection="0"/>
    <xf numFmtId="168" fontId="3" fillId="35" borderId="78" applyNumberFormat="0" applyAlignment="0" applyProtection="0"/>
    <xf numFmtId="168" fontId="21" fillId="0" borderId="80" applyNumberFormat="0" applyFill="0" applyAlignment="0" applyProtection="0"/>
    <xf numFmtId="0" fontId="11" fillId="33" borderId="77" applyNumberFormat="0" applyAlignment="0" applyProtection="0"/>
    <xf numFmtId="168" fontId="11" fillId="33" borderId="89" applyNumberFormat="0" applyAlignment="0" applyProtection="0"/>
    <xf numFmtId="168" fontId="3" fillId="35" borderId="90" applyNumberFormat="0" applyAlignment="0" applyProtection="0"/>
    <xf numFmtId="168" fontId="11" fillId="33" borderId="83" applyNumberFormat="0" applyAlignment="0" applyProtection="0"/>
    <xf numFmtId="0" fontId="21" fillId="0" borderId="80" applyNumberFormat="0" applyFill="0" applyAlignment="0" applyProtection="0"/>
    <xf numFmtId="168" fontId="21" fillId="0" borderId="110" applyNumberFormat="0" applyFill="0" applyAlignment="0" applyProtection="0"/>
    <xf numFmtId="168" fontId="8" fillId="41" borderId="77" applyNumberFormat="0" applyAlignment="0" applyProtection="0"/>
    <xf numFmtId="168" fontId="11" fillId="33" borderId="95" applyNumberFormat="0" applyAlignment="0" applyProtection="0"/>
    <xf numFmtId="168" fontId="21" fillId="0" borderId="80" applyNumberFormat="0" applyFill="0" applyAlignment="0" applyProtection="0"/>
    <xf numFmtId="168" fontId="8" fillId="41" borderId="83" applyNumberFormat="0" applyAlignment="0" applyProtection="0"/>
    <xf numFmtId="168" fontId="3" fillId="35" borderId="90" applyNumberFormat="0" applyAlignment="0" applyProtection="0"/>
    <xf numFmtId="168" fontId="14" fillId="41" borderId="79" applyNumberFormat="0" applyAlignment="0" applyProtection="0"/>
    <xf numFmtId="168" fontId="3" fillId="35" borderId="96" applyNumberFormat="0" applyAlignment="0" applyProtection="0"/>
    <xf numFmtId="168" fontId="8" fillId="41" borderId="89" applyNumberFormat="0" applyAlignment="0" applyProtection="0"/>
    <xf numFmtId="168" fontId="11" fillId="33" borderId="77" applyNumberFormat="0" applyAlignment="0" applyProtection="0"/>
    <xf numFmtId="168" fontId="3" fillId="35" borderId="78" applyNumberFormat="0" applyAlignment="0" applyProtection="0"/>
    <xf numFmtId="168" fontId="14" fillId="41" borderId="79" applyNumberFormat="0" applyAlignment="0" applyProtection="0"/>
    <xf numFmtId="0" fontId="3" fillId="35" borderId="78" applyNumberFormat="0" applyAlignment="0" applyProtection="0"/>
    <xf numFmtId="168" fontId="11" fillId="7" borderId="83" applyNumberFormat="0" applyAlignment="0" applyProtection="0"/>
    <xf numFmtId="168" fontId="3" fillId="35" borderId="96" applyNumberFormat="0" applyAlignment="0" applyProtection="0"/>
    <xf numFmtId="168" fontId="14" fillId="41" borderId="85" applyNumberFormat="0" applyAlignment="0" applyProtection="0"/>
    <xf numFmtId="168" fontId="8" fillId="41" borderId="83" applyNumberFormat="0" applyAlignment="0" applyProtection="0"/>
    <xf numFmtId="168" fontId="8" fillId="41" borderId="89" applyNumberFormat="0" applyAlignment="0" applyProtection="0"/>
    <xf numFmtId="0" fontId="3" fillId="35" borderId="78" applyNumberFormat="0" applyAlignment="0" applyProtection="0"/>
    <xf numFmtId="168" fontId="21" fillId="0" borderId="92" applyNumberFormat="0" applyFill="0" applyAlignment="0" applyProtection="0"/>
    <xf numFmtId="168" fontId="3" fillId="35" borderId="84" applyNumberFormat="0" applyAlignment="0" applyProtection="0"/>
    <xf numFmtId="168" fontId="8" fillId="41" borderId="89" applyNumberFormat="0" applyAlignment="0" applyProtection="0"/>
    <xf numFmtId="168" fontId="3" fillId="35" borderId="78" applyNumberFormat="0" applyAlignment="0" applyProtection="0"/>
    <xf numFmtId="168" fontId="21" fillId="0" borderId="86" applyNumberFormat="0" applyFill="0" applyAlignment="0" applyProtection="0"/>
    <xf numFmtId="168" fontId="3" fillId="35" borderId="84" applyNumberFormat="0" applyAlignment="0" applyProtection="0"/>
    <xf numFmtId="168" fontId="3" fillId="35" borderId="78" applyNumberFormat="0" applyAlignment="0" applyProtection="0"/>
    <xf numFmtId="168" fontId="14" fillId="41" borderId="91" applyNumberFormat="0" applyAlignment="0" applyProtection="0"/>
    <xf numFmtId="168" fontId="11" fillId="33" borderId="83" applyNumberFormat="0" applyAlignment="0" applyProtection="0"/>
    <xf numFmtId="0" fontId="11" fillId="33" borderId="77" applyNumberFormat="0" applyAlignment="0" applyProtection="0"/>
    <xf numFmtId="168" fontId="3" fillId="23" borderId="111" applyNumberFormat="0" applyFont="0" applyAlignment="0" applyProtection="0"/>
    <xf numFmtId="168" fontId="3" fillId="35" borderId="78" applyNumberFormat="0" applyAlignment="0" applyProtection="0"/>
    <xf numFmtId="168" fontId="8" fillId="41" borderId="83" applyNumberFormat="0" applyAlignment="0" applyProtection="0"/>
    <xf numFmtId="168" fontId="14" fillId="41" borderId="85" applyNumberFormat="0" applyAlignment="0" applyProtection="0"/>
    <xf numFmtId="168" fontId="3" fillId="35" borderId="90" applyNumberFormat="0" applyAlignment="0" applyProtection="0"/>
    <xf numFmtId="0" fontId="14" fillId="41" borderId="79" applyNumberFormat="0" applyAlignment="0" applyProtection="0"/>
    <xf numFmtId="168" fontId="21" fillId="0" borderId="80" applyNumberFormat="0" applyFill="0" applyAlignment="0" applyProtection="0"/>
    <xf numFmtId="168" fontId="21" fillId="0" borderId="92" applyNumberFormat="0" applyFill="0" applyAlignment="0" applyProtection="0"/>
    <xf numFmtId="0" fontId="14" fillId="41" borderId="79" applyNumberFormat="0" applyAlignment="0" applyProtection="0"/>
    <xf numFmtId="0" fontId="11" fillId="33" borderId="77" applyNumberFormat="0" applyAlignment="0" applyProtection="0"/>
    <xf numFmtId="168" fontId="11" fillId="33" borderId="83" applyNumberFormat="0" applyAlignment="0" applyProtection="0"/>
    <xf numFmtId="168" fontId="3" fillId="35" borderId="84" applyNumberFormat="0" applyAlignment="0" applyProtection="0"/>
    <xf numFmtId="168" fontId="3" fillId="35" borderId="84" applyNumberFormat="0" applyAlignment="0" applyProtection="0"/>
    <xf numFmtId="0" fontId="3" fillId="35" borderId="78" applyNumberFormat="0" applyAlignment="0" applyProtection="0"/>
    <xf numFmtId="168" fontId="11" fillId="7" borderId="83" applyNumberFormat="0" applyAlignment="0" applyProtection="0"/>
    <xf numFmtId="168" fontId="11" fillId="33" borderId="83" applyNumberFormat="0" applyAlignment="0" applyProtection="0"/>
    <xf numFmtId="168" fontId="14" fillId="41" borderId="79" applyNumberFormat="0" applyAlignment="0" applyProtection="0"/>
    <xf numFmtId="0" fontId="14" fillId="41" borderId="79" applyNumberFormat="0" applyAlignment="0" applyProtection="0"/>
    <xf numFmtId="0" fontId="21" fillId="0" borderId="80" applyNumberFormat="0" applyFill="0" applyAlignment="0" applyProtection="0"/>
    <xf numFmtId="168" fontId="11" fillId="7" borderId="95" applyNumberFormat="0" applyAlignment="0" applyProtection="0"/>
    <xf numFmtId="168" fontId="21" fillId="0" borderId="80" applyNumberFormat="0" applyFill="0" applyAlignment="0" applyProtection="0"/>
    <xf numFmtId="168" fontId="11" fillId="33" borderId="89" applyNumberFormat="0" applyAlignment="0" applyProtection="0"/>
    <xf numFmtId="168" fontId="21" fillId="0" borderId="110" applyNumberFormat="0" applyFill="0" applyAlignment="0" applyProtection="0"/>
    <xf numFmtId="0" fontId="3" fillId="35" borderId="102" applyNumberFormat="0" applyAlignment="0" applyProtection="0"/>
    <xf numFmtId="168" fontId="8" fillId="41" borderId="83" applyNumberFormat="0" applyAlignment="0" applyProtection="0"/>
    <xf numFmtId="168" fontId="14" fillId="20" borderId="91" applyNumberFormat="0" applyAlignment="0" applyProtection="0"/>
    <xf numFmtId="168" fontId="8" fillId="41" borderId="89" applyNumberFormat="0" applyAlignment="0" applyProtection="0"/>
    <xf numFmtId="168" fontId="3" fillId="35" borderId="90" applyNumberFormat="0" applyAlignment="0" applyProtection="0"/>
    <xf numFmtId="168" fontId="11" fillId="33" borderId="83" applyNumberFormat="0" applyAlignment="0" applyProtection="0"/>
    <xf numFmtId="0" fontId="8" fillId="41" borderId="77" applyNumberFormat="0" applyAlignment="0" applyProtection="0"/>
    <xf numFmtId="0" fontId="21" fillId="0" borderId="80" applyNumberFormat="0" applyFill="0" applyAlignment="0" applyProtection="0"/>
    <xf numFmtId="168" fontId="8" fillId="41" borderId="83" applyNumberFormat="0" applyAlignment="0" applyProtection="0"/>
    <xf numFmtId="0" fontId="3" fillId="35" borderId="78" applyNumberFormat="0" applyAlignment="0" applyProtection="0"/>
    <xf numFmtId="168" fontId="14" fillId="41" borderId="79" applyNumberFormat="0" applyAlignment="0" applyProtection="0"/>
    <xf numFmtId="168" fontId="21" fillId="0" borderId="92" applyNumberFormat="0" applyFill="0" applyAlignment="0" applyProtection="0"/>
    <xf numFmtId="168" fontId="8" fillId="41" borderId="89" applyNumberFormat="0" applyAlignment="0" applyProtection="0"/>
    <xf numFmtId="168" fontId="8" fillId="41" borderId="89" applyNumberFormat="0" applyAlignment="0" applyProtection="0"/>
    <xf numFmtId="168" fontId="8" fillId="41" borderId="89" applyNumberFormat="0" applyAlignment="0" applyProtection="0"/>
    <xf numFmtId="168" fontId="3" fillId="35" borderId="84" applyNumberFormat="0" applyAlignment="0" applyProtection="0"/>
    <xf numFmtId="0" fontId="8" fillId="41" borderId="77" applyNumberFormat="0" applyAlignment="0" applyProtection="0"/>
    <xf numFmtId="0" fontId="14" fillId="41" borderId="79" applyNumberFormat="0" applyAlignment="0" applyProtection="0"/>
    <xf numFmtId="168" fontId="21" fillId="0" borderId="86" applyNumberFormat="0" applyFill="0" applyAlignment="0" applyProtection="0"/>
    <xf numFmtId="168" fontId="11" fillId="33" borderId="89" applyNumberFormat="0" applyAlignment="0" applyProtection="0"/>
    <xf numFmtId="168" fontId="14" fillId="20" borderId="85" applyNumberFormat="0" applyAlignment="0" applyProtection="0"/>
    <xf numFmtId="168" fontId="11" fillId="33" borderId="95" applyNumberFormat="0" applyAlignment="0" applyProtection="0"/>
    <xf numFmtId="0" fontId="21" fillId="0" borderId="80" applyNumberFormat="0" applyFill="0" applyAlignment="0" applyProtection="0"/>
    <xf numFmtId="0" fontId="3" fillId="35" borderId="78" applyNumberFormat="0" applyAlignment="0" applyProtection="0"/>
    <xf numFmtId="0" fontId="3" fillId="35" borderId="78" applyNumberFormat="0" applyAlignment="0" applyProtection="0"/>
    <xf numFmtId="168" fontId="21" fillId="0" borderId="86" applyNumberFormat="0" applyFill="0" applyAlignment="0" applyProtection="0"/>
    <xf numFmtId="0" fontId="14" fillId="41" borderId="79" applyNumberFormat="0" applyAlignment="0" applyProtection="0"/>
    <xf numFmtId="168" fontId="11" fillId="33" borderId="83" applyNumberFormat="0" applyAlignment="0" applyProtection="0"/>
    <xf numFmtId="168" fontId="8" fillId="41" borderId="83" applyNumberFormat="0" applyAlignment="0" applyProtection="0"/>
    <xf numFmtId="0" fontId="3" fillId="35" borderId="78" applyNumberFormat="0" applyAlignment="0" applyProtection="0"/>
    <xf numFmtId="168" fontId="8" fillId="41" borderId="89" applyNumberFormat="0" applyAlignment="0" applyProtection="0"/>
    <xf numFmtId="0" fontId="3" fillId="35" borderId="78" applyNumberFormat="0" applyAlignment="0" applyProtection="0"/>
    <xf numFmtId="168" fontId="11" fillId="33" borderId="83" applyNumberFormat="0" applyAlignment="0" applyProtection="0"/>
    <xf numFmtId="168" fontId="3" fillId="35" borderId="78" applyNumberFormat="0" applyAlignment="0" applyProtection="0"/>
    <xf numFmtId="168" fontId="14" fillId="20" borderId="79" applyNumberFormat="0" applyAlignment="0" applyProtection="0"/>
    <xf numFmtId="168" fontId="21" fillId="0" borderId="86" applyNumberFormat="0" applyFill="0" applyAlignment="0" applyProtection="0"/>
    <xf numFmtId="0" fontId="8" fillId="41" borderId="77" applyNumberFormat="0" applyAlignment="0" applyProtection="0"/>
    <xf numFmtId="0" fontId="14" fillId="41" borderId="103" applyNumberFormat="0" applyAlignment="0" applyProtection="0"/>
    <xf numFmtId="168" fontId="3" fillId="35" borderId="96" applyNumberFormat="0" applyAlignment="0" applyProtection="0"/>
    <xf numFmtId="0" fontId="14" fillId="41" borderId="103" applyNumberFormat="0" applyAlignment="0" applyProtection="0"/>
    <xf numFmtId="168" fontId="14" fillId="41" borderId="91" applyNumberFormat="0" applyAlignment="0" applyProtection="0"/>
    <xf numFmtId="0" fontId="8" fillId="41" borderId="77" applyNumberFormat="0" applyAlignment="0" applyProtection="0"/>
    <xf numFmtId="168" fontId="8" fillId="41" borderId="95" applyNumberFormat="0" applyAlignment="0" applyProtection="0"/>
    <xf numFmtId="168" fontId="21" fillId="0" borderId="86" applyNumberFormat="0" applyFill="0" applyAlignment="0" applyProtection="0"/>
    <xf numFmtId="168" fontId="21" fillId="0" borderId="86" applyNumberFormat="0" applyFill="0" applyAlignment="0" applyProtection="0"/>
    <xf numFmtId="168" fontId="11" fillId="33" borderId="77" applyNumberFormat="0" applyAlignment="0" applyProtection="0"/>
    <xf numFmtId="168" fontId="11" fillId="33" borderId="89" applyNumberFormat="0" applyAlignment="0" applyProtection="0"/>
    <xf numFmtId="168" fontId="3" fillId="35" borderId="84" applyNumberFormat="0" applyAlignment="0" applyProtection="0"/>
    <xf numFmtId="168" fontId="14" fillId="41" borderId="91" applyNumberFormat="0" applyAlignment="0" applyProtection="0"/>
    <xf numFmtId="168" fontId="11" fillId="33" borderId="83" applyNumberFormat="0" applyAlignment="0" applyProtection="0"/>
    <xf numFmtId="168" fontId="21" fillId="0" borderId="92" applyNumberFormat="0" applyFill="0" applyAlignment="0" applyProtection="0"/>
    <xf numFmtId="168" fontId="8" fillId="41" borderId="83" applyNumberFormat="0" applyAlignment="0" applyProtection="0"/>
    <xf numFmtId="168" fontId="11" fillId="33" borderId="83" applyNumberFormat="0" applyAlignment="0" applyProtection="0"/>
    <xf numFmtId="168" fontId="3" fillId="35" borderId="84" applyNumberFormat="0" applyAlignment="0" applyProtection="0"/>
    <xf numFmtId="0" fontId="8" fillId="20" borderId="77" applyNumberFormat="0" applyAlignment="0" applyProtection="0"/>
    <xf numFmtId="168" fontId="14" fillId="41" borderId="97" applyNumberFormat="0" applyAlignment="0" applyProtection="0"/>
    <xf numFmtId="168" fontId="21" fillId="0" borderId="86" applyNumberFormat="0" applyFill="0" applyAlignment="0" applyProtection="0"/>
    <xf numFmtId="168" fontId="11" fillId="33" borderId="77" applyNumberFormat="0" applyAlignment="0" applyProtection="0"/>
    <xf numFmtId="168" fontId="21" fillId="0" borderId="98" applyNumberFormat="0" applyFill="0" applyAlignment="0" applyProtection="0"/>
    <xf numFmtId="168" fontId="14" fillId="41" borderId="97" applyNumberFormat="0" applyAlignment="0" applyProtection="0"/>
    <xf numFmtId="168" fontId="14" fillId="41" borderId="103" applyNumberFormat="0" applyAlignment="0" applyProtection="0"/>
    <xf numFmtId="0" fontId="3" fillId="35" borderId="102" applyNumberFormat="0" applyAlignment="0" applyProtection="0"/>
    <xf numFmtId="168" fontId="3" fillId="35" borderId="96" applyNumberFormat="0" applyAlignment="0" applyProtection="0"/>
    <xf numFmtId="168" fontId="14" fillId="20" borderId="115" applyNumberFormat="0" applyAlignment="0" applyProtection="0"/>
    <xf numFmtId="168" fontId="8" fillId="20" borderId="89" applyNumberFormat="0" applyAlignment="0" applyProtection="0"/>
    <xf numFmtId="168" fontId="3" fillId="35" borderId="114" applyNumberFormat="0" applyAlignment="0" applyProtection="0"/>
    <xf numFmtId="168" fontId="11" fillId="33" borderId="95" applyNumberFormat="0" applyAlignment="0" applyProtection="0"/>
    <xf numFmtId="168" fontId="11" fillId="33" borderId="95" applyNumberFormat="0" applyAlignment="0" applyProtection="0"/>
    <xf numFmtId="168" fontId="11" fillId="33" borderId="95" applyNumberFormat="0" applyAlignment="0" applyProtection="0"/>
    <xf numFmtId="168" fontId="8" fillId="41" borderId="95" applyNumberFormat="0" applyAlignment="0" applyProtection="0"/>
    <xf numFmtId="168" fontId="11" fillId="33" borderId="95" applyNumberFormat="0" applyAlignment="0" applyProtection="0"/>
    <xf numFmtId="168" fontId="8" fillId="41" borderId="95" applyNumberFormat="0" applyAlignment="0" applyProtection="0"/>
    <xf numFmtId="168" fontId="8" fillId="41" borderId="95" applyNumberFormat="0" applyAlignment="0" applyProtection="0"/>
    <xf numFmtId="168" fontId="8" fillId="41" borderId="95" applyNumberFormat="0" applyAlignment="0" applyProtection="0"/>
    <xf numFmtId="168" fontId="8" fillId="41" borderId="95" applyNumberFormat="0" applyAlignment="0" applyProtection="0"/>
    <xf numFmtId="168" fontId="3" fillId="35" borderId="96" applyNumberFormat="0" applyAlignment="0" applyProtection="0"/>
    <xf numFmtId="168" fontId="14" fillId="41" borderId="97" applyNumberFormat="0" applyAlignment="0" applyProtection="0"/>
    <xf numFmtId="168" fontId="21" fillId="0" borderId="98" applyNumberFormat="0" applyFill="0" applyAlignment="0" applyProtection="0"/>
    <xf numFmtId="168" fontId="8" fillId="20" borderId="95" applyNumberFormat="0" applyAlignment="0" applyProtection="0"/>
    <xf numFmtId="168" fontId="11" fillId="7" borderId="95" applyNumberFormat="0" applyAlignment="0" applyProtection="0"/>
    <xf numFmtId="0" fontId="3" fillId="35" borderId="102" applyNumberFormat="0" applyAlignment="0" applyProtection="0"/>
    <xf numFmtId="0" fontId="8" fillId="41" borderId="101" applyNumberFormat="0" applyAlignment="0" applyProtection="0"/>
    <xf numFmtId="0" fontId="8" fillId="41" borderId="101" applyNumberFormat="0" applyAlignment="0" applyProtection="0"/>
    <xf numFmtId="0" fontId="8" fillId="41" borderId="101" applyNumberFormat="0" applyAlignment="0" applyProtection="0"/>
    <xf numFmtId="168" fontId="8" fillId="41" borderId="107" applyNumberFormat="0" applyAlignment="0" applyProtection="0"/>
    <xf numFmtId="0" fontId="14" fillId="41" borderId="121" applyNumberFormat="0" applyAlignment="0" applyProtection="0"/>
    <xf numFmtId="0" fontId="8" fillId="41" borderId="101" applyNumberFormat="0" applyAlignment="0" applyProtection="0"/>
    <xf numFmtId="168" fontId="11" fillId="33" borderId="107" applyNumberFormat="0" applyAlignment="0" applyProtection="0"/>
    <xf numFmtId="168" fontId="21" fillId="0" borderId="92" applyNumberFormat="0" applyFill="0" applyAlignment="0" applyProtection="0"/>
    <xf numFmtId="0" fontId="14" fillId="20" borderId="121" applyNumberFormat="0" applyAlignment="0" applyProtection="0"/>
    <xf numFmtId="0" fontId="11" fillId="33" borderId="101" applyNumberFormat="0" applyAlignment="0" applyProtection="0"/>
    <xf numFmtId="0" fontId="14" fillId="41" borderId="103" applyNumberFormat="0" applyAlignment="0" applyProtection="0"/>
    <xf numFmtId="168" fontId="11" fillId="7" borderId="107" applyNumberFormat="0" applyAlignment="0" applyProtection="0"/>
    <xf numFmtId="168" fontId="14" fillId="41" borderId="91" applyNumberFormat="0" applyAlignment="0" applyProtection="0"/>
    <xf numFmtId="168" fontId="3" fillId="35" borderId="90" applyNumberFormat="0" applyAlignment="0" applyProtection="0"/>
    <xf numFmtId="168" fontId="11" fillId="33" borderId="89" applyNumberFormat="0" applyAlignment="0" applyProtection="0"/>
    <xf numFmtId="168" fontId="3" fillId="35" borderId="96" applyNumberFormat="0" applyAlignment="0" applyProtection="0"/>
    <xf numFmtId="168" fontId="8" fillId="41" borderId="95" applyNumberFormat="0" applyAlignment="0" applyProtection="0"/>
    <xf numFmtId="168" fontId="11" fillId="33" borderId="95" applyNumberFormat="0" applyAlignment="0" applyProtection="0"/>
    <xf numFmtId="0" fontId="8" fillId="41" borderId="83" applyNumberFormat="0" applyAlignment="0" applyProtection="0"/>
    <xf numFmtId="0" fontId="11" fillId="33" borderId="83" applyNumberFormat="0" applyAlignment="0" applyProtection="0"/>
    <xf numFmtId="0" fontId="3" fillId="35" borderId="84" applyNumberFormat="0" applyAlignment="0" applyProtection="0"/>
    <xf numFmtId="0" fontId="14" fillId="41" borderId="85" applyNumberFormat="0" applyAlignment="0" applyProtection="0"/>
    <xf numFmtId="0" fontId="21" fillId="0" borderId="86" applyNumberFormat="0" applyFill="0" applyAlignment="0" applyProtection="0"/>
    <xf numFmtId="168" fontId="3" fillId="35" borderId="108" applyNumberFormat="0" applyAlignment="0" applyProtection="0"/>
    <xf numFmtId="168" fontId="11" fillId="33" borderId="113" applyNumberFormat="0" applyAlignment="0" applyProtection="0"/>
    <xf numFmtId="168" fontId="21" fillId="0" borderId="110" applyNumberFormat="0" applyFill="0" applyAlignment="0" applyProtection="0"/>
    <xf numFmtId="168" fontId="3" fillId="35" borderId="114" applyNumberFormat="0" applyAlignment="0" applyProtection="0"/>
    <xf numFmtId="168" fontId="14" fillId="41" borderId="103" applyNumberFormat="0" applyAlignment="0" applyProtection="0"/>
    <xf numFmtId="168" fontId="14" fillId="41" borderId="109" applyNumberFormat="0" applyAlignment="0" applyProtection="0"/>
    <xf numFmtId="168" fontId="3" fillId="35" borderId="108" applyNumberFormat="0" applyAlignment="0" applyProtection="0"/>
    <xf numFmtId="168" fontId="8" fillId="41" borderId="101" applyNumberFormat="0" applyAlignment="0" applyProtection="0"/>
    <xf numFmtId="168" fontId="3" fillId="35" borderId="108" applyNumberFormat="0" applyAlignment="0" applyProtection="0"/>
    <xf numFmtId="168" fontId="8" fillId="41" borderId="101" applyNumberFormat="0" applyAlignment="0" applyProtection="0"/>
    <xf numFmtId="168" fontId="11" fillId="33" borderId="101" applyNumberFormat="0" applyAlignment="0" applyProtection="0"/>
    <xf numFmtId="168" fontId="14" fillId="20" borderId="91" applyNumberFormat="0" applyAlignment="0" applyProtection="0"/>
    <xf numFmtId="168" fontId="11" fillId="7" borderId="89" applyNumberFormat="0" applyAlignment="0" applyProtection="0"/>
    <xf numFmtId="168" fontId="8" fillId="20" borderId="89" applyNumberFormat="0" applyAlignment="0" applyProtection="0"/>
    <xf numFmtId="168" fontId="8" fillId="41" borderId="119" applyNumberFormat="0" applyAlignment="0" applyProtection="0"/>
    <xf numFmtId="168" fontId="21" fillId="0" borderId="92" applyNumberFormat="0" applyFill="0" applyAlignment="0" applyProtection="0"/>
    <xf numFmtId="168" fontId="21" fillId="0" borderId="92" applyNumberFormat="0" applyFill="0" applyAlignment="0" applyProtection="0"/>
    <xf numFmtId="168" fontId="14" fillId="41" borderId="91" applyNumberFormat="0" applyAlignment="0" applyProtection="0"/>
    <xf numFmtId="168" fontId="14" fillId="41" borderId="91" applyNumberFormat="0" applyAlignment="0" applyProtection="0"/>
    <xf numFmtId="168" fontId="11" fillId="33" borderId="89" applyNumberFormat="0" applyAlignment="0" applyProtection="0"/>
    <xf numFmtId="168" fontId="14" fillId="41" borderId="91" applyNumberFormat="0" applyAlignment="0" applyProtection="0"/>
    <xf numFmtId="168" fontId="11" fillId="33" borderId="89" applyNumberFormat="0" applyAlignment="0" applyProtection="0"/>
    <xf numFmtId="168" fontId="11" fillId="33" borderId="89" applyNumberFormat="0" applyAlignment="0" applyProtection="0"/>
    <xf numFmtId="168" fontId="11" fillId="33" borderId="89" applyNumberFormat="0" applyAlignment="0" applyProtection="0"/>
    <xf numFmtId="168" fontId="8" fillId="41" borderId="89" applyNumberFormat="0" applyAlignment="0" applyProtection="0"/>
    <xf numFmtId="168" fontId="8" fillId="41" borderId="89" applyNumberFormat="0" applyAlignment="0" applyProtection="0"/>
    <xf numFmtId="168" fontId="8" fillId="41" borderId="89" applyNumberFormat="0" applyAlignment="0" applyProtection="0"/>
    <xf numFmtId="168" fontId="3" fillId="35" borderId="90" applyNumberFormat="0" applyAlignment="0" applyProtection="0"/>
    <xf numFmtId="168" fontId="14" fillId="41" borderId="91" applyNumberFormat="0" applyAlignment="0" applyProtection="0"/>
    <xf numFmtId="168" fontId="21" fillId="0" borderId="92" applyNumberFormat="0" applyFill="0" applyAlignment="0" applyProtection="0"/>
    <xf numFmtId="168" fontId="14" fillId="41" borderId="91" applyNumberFormat="0" applyAlignment="0" applyProtection="0"/>
    <xf numFmtId="168" fontId="14" fillId="41" borderId="91" applyNumberFormat="0" applyAlignment="0" applyProtection="0"/>
    <xf numFmtId="168" fontId="3" fillId="35" borderId="90" applyNumberFormat="0" applyAlignment="0" applyProtection="0"/>
    <xf numFmtId="168" fontId="21" fillId="0" borderId="92" applyNumberFormat="0" applyFill="0" applyAlignment="0" applyProtection="0"/>
    <xf numFmtId="168" fontId="21" fillId="0" borderId="92" applyNumberFormat="0" applyFill="0" applyAlignment="0" applyProtection="0"/>
    <xf numFmtId="168" fontId="11" fillId="33" borderId="89" applyNumberFormat="0" applyAlignment="0" applyProtection="0"/>
    <xf numFmtId="168" fontId="11" fillId="33" borderId="89" applyNumberFormat="0" applyAlignment="0" applyProtection="0"/>
    <xf numFmtId="168" fontId="21" fillId="0" borderId="92" applyNumberFormat="0" applyFill="0" applyAlignment="0" applyProtection="0"/>
    <xf numFmtId="168" fontId="11" fillId="33" borderId="89" applyNumberFormat="0" applyAlignment="0" applyProtection="0"/>
    <xf numFmtId="168" fontId="14" fillId="41" borderId="91" applyNumberFormat="0" applyAlignment="0" applyProtection="0"/>
    <xf numFmtId="168" fontId="3" fillId="35" borderId="90" applyNumberFormat="0" applyAlignment="0" applyProtection="0"/>
    <xf numFmtId="168" fontId="14" fillId="41" borderId="91" applyNumberFormat="0" applyAlignment="0" applyProtection="0"/>
    <xf numFmtId="0" fontId="8" fillId="20" borderId="83" applyNumberFormat="0" applyAlignment="0" applyProtection="0"/>
    <xf numFmtId="0" fontId="8" fillId="20" borderId="83" applyNumberFormat="0" applyAlignment="0" applyProtection="0"/>
    <xf numFmtId="168" fontId="8" fillId="41" borderId="89" applyNumberFormat="0" applyAlignment="0" applyProtection="0"/>
    <xf numFmtId="168" fontId="11" fillId="33" borderId="89" applyNumberFormat="0" applyAlignment="0" applyProtection="0"/>
    <xf numFmtId="168" fontId="11" fillId="33" borderId="89" applyNumberFormat="0" applyAlignment="0" applyProtection="0"/>
    <xf numFmtId="168" fontId="8" fillId="41" borderId="89" applyNumberFormat="0" applyAlignment="0" applyProtection="0"/>
    <xf numFmtId="168" fontId="3" fillId="35" borderId="90" applyNumberFormat="0" applyAlignment="0" applyProtection="0"/>
    <xf numFmtId="168" fontId="14" fillId="41" borderId="91" applyNumberFormat="0" applyAlignment="0" applyProtection="0"/>
    <xf numFmtId="168" fontId="3" fillId="35" borderId="90" applyNumberFormat="0" applyAlignment="0" applyProtection="0"/>
    <xf numFmtId="168" fontId="11" fillId="33" borderId="101" applyNumberFormat="0" applyAlignment="0" applyProtection="0"/>
    <xf numFmtId="0" fontId="11" fillId="7" borderId="83" applyNumberFormat="0" applyAlignment="0" applyProtection="0"/>
    <xf numFmtId="0" fontId="14" fillId="41" borderId="103" applyNumberFormat="0" applyAlignment="0" applyProtection="0"/>
    <xf numFmtId="168" fontId="11" fillId="7" borderId="107" applyNumberFormat="0" applyAlignment="0" applyProtection="0"/>
    <xf numFmtId="168" fontId="8" fillId="41" borderId="113" applyNumberFormat="0" applyAlignment="0" applyProtection="0"/>
    <xf numFmtId="168" fontId="3" fillId="23" borderId="93" applyNumberFormat="0" applyFont="0" applyAlignment="0" applyProtection="0"/>
    <xf numFmtId="0" fontId="8" fillId="20" borderId="101" applyNumberFormat="0" applyAlignment="0" applyProtection="0"/>
    <xf numFmtId="168" fontId="11" fillId="33" borderId="107" applyNumberFormat="0" applyAlignment="0" applyProtection="0"/>
    <xf numFmtId="168" fontId="21" fillId="0" borderId="110" applyNumberFormat="0" applyFill="0" applyAlignment="0" applyProtection="0"/>
    <xf numFmtId="0" fontId="11" fillId="7" borderId="83" applyNumberFormat="0" applyAlignment="0" applyProtection="0"/>
    <xf numFmtId="168" fontId="14" fillId="20" borderId="97" applyNumberFormat="0" applyAlignment="0" applyProtection="0"/>
    <xf numFmtId="168" fontId="8" fillId="41" borderId="95" applyNumberFormat="0" applyAlignment="0" applyProtection="0"/>
    <xf numFmtId="168" fontId="8" fillId="41" borderId="95" applyNumberFormat="0" applyAlignment="0" applyProtection="0"/>
    <xf numFmtId="0" fontId="3" fillId="23" borderId="87" applyNumberFormat="0" applyFont="0" applyAlignment="0" applyProtection="0"/>
    <xf numFmtId="0" fontId="3" fillId="23" borderId="87" applyNumberFormat="0" applyFont="0" applyAlignment="0" applyProtection="0"/>
    <xf numFmtId="0" fontId="14" fillId="20" borderId="85" applyNumberFormat="0" applyAlignment="0" applyProtection="0"/>
    <xf numFmtId="0" fontId="14" fillId="20" borderId="85" applyNumberFormat="0" applyAlignment="0" applyProtection="0"/>
    <xf numFmtId="168" fontId="14" fillId="41" borderId="97" applyNumberFormat="0" applyAlignment="0" applyProtection="0"/>
    <xf numFmtId="168" fontId="11" fillId="33" borderId="107" applyNumberFormat="0" applyAlignment="0" applyProtection="0"/>
    <xf numFmtId="168" fontId="11" fillId="33" borderId="101" applyNumberFormat="0" applyAlignment="0" applyProtection="0"/>
    <xf numFmtId="168" fontId="11" fillId="33" borderId="107" applyNumberFormat="0" applyAlignment="0" applyProtection="0"/>
    <xf numFmtId="0" fontId="21" fillId="0" borderId="88" applyNumberFormat="0" applyFill="0" applyAlignment="0" applyProtection="0"/>
    <xf numFmtId="168" fontId="8" fillId="20" borderId="95" applyNumberFormat="0" applyAlignment="0" applyProtection="0"/>
    <xf numFmtId="0" fontId="11" fillId="33" borderId="83" applyNumberFormat="0" applyAlignment="0" applyProtection="0"/>
    <xf numFmtId="0" fontId="8" fillId="41" borderId="83" applyNumberFormat="0" applyAlignment="0" applyProtection="0"/>
    <xf numFmtId="0" fontId="21" fillId="0" borderId="86" applyNumberFormat="0" applyFill="0" applyAlignment="0" applyProtection="0"/>
    <xf numFmtId="0" fontId="3" fillId="35" borderId="84" applyNumberFormat="0" applyAlignment="0" applyProtection="0"/>
    <xf numFmtId="0" fontId="21" fillId="0" borderId="86" applyNumberFormat="0" applyFill="0" applyAlignment="0" applyProtection="0"/>
    <xf numFmtId="0" fontId="14" fillId="41" borderId="85" applyNumberFormat="0" applyAlignment="0" applyProtection="0"/>
    <xf numFmtId="0" fontId="14" fillId="41" borderId="85" applyNumberFormat="0" applyAlignment="0" applyProtection="0"/>
    <xf numFmtId="0" fontId="14" fillId="41" borderId="85" applyNumberFormat="0" applyAlignment="0" applyProtection="0"/>
    <xf numFmtId="0" fontId="3" fillId="35" borderId="84" applyNumberFormat="0" applyAlignment="0" applyProtection="0"/>
    <xf numFmtId="0" fontId="14" fillId="41" borderId="85" applyNumberFormat="0" applyAlignment="0" applyProtection="0"/>
    <xf numFmtId="0" fontId="3" fillId="35" borderId="84" applyNumberFormat="0" applyAlignment="0" applyProtection="0"/>
    <xf numFmtId="0" fontId="3" fillId="35" borderId="84" applyNumberFormat="0" applyAlignment="0" applyProtection="0"/>
    <xf numFmtId="0" fontId="3" fillId="35" borderId="84" applyNumberFormat="0" applyAlignment="0" applyProtection="0"/>
    <xf numFmtId="0" fontId="8" fillId="41" borderId="83" applyNumberFormat="0" applyAlignment="0" applyProtection="0"/>
    <xf numFmtId="0" fontId="11" fillId="33" borderId="83" applyNumberFormat="0" applyAlignment="0" applyProtection="0"/>
    <xf numFmtId="0" fontId="8" fillId="41" borderId="83" applyNumberFormat="0" applyAlignment="0" applyProtection="0"/>
    <xf numFmtId="0" fontId="11" fillId="33" borderId="83" applyNumberFormat="0" applyAlignment="0" applyProtection="0"/>
    <xf numFmtId="0" fontId="8" fillId="41" borderId="83" applyNumberFormat="0" applyAlignment="0" applyProtection="0"/>
    <xf numFmtId="0" fontId="8" fillId="41" borderId="83" applyNumberFormat="0" applyAlignment="0" applyProtection="0"/>
    <xf numFmtId="0" fontId="11" fillId="33" borderId="83" applyNumberFormat="0" applyAlignment="0" applyProtection="0"/>
    <xf numFmtId="0" fontId="8" fillId="41" borderId="83" applyNumberFormat="0" applyAlignment="0" applyProtection="0"/>
    <xf numFmtId="0" fontId="11" fillId="33" borderId="83" applyNumberFormat="0" applyAlignment="0" applyProtection="0"/>
    <xf numFmtId="0" fontId="11" fillId="33" borderId="83" applyNumberFormat="0" applyAlignment="0" applyProtection="0"/>
    <xf numFmtId="0" fontId="8" fillId="41" borderId="83" applyNumberFormat="0" applyAlignment="0" applyProtection="0"/>
    <xf numFmtId="0" fontId="8" fillId="41" borderId="83" applyNumberFormat="0" applyAlignment="0" applyProtection="0"/>
    <xf numFmtId="0" fontId="8" fillId="41" borderId="83" applyNumberFormat="0" applyAlignment="0" applyProtection="0"/>
    <xf numFmtId="0" fontId="11" fillId="33" borderId="83" applyNumberFormat="0" applyAlignment="0" applyProtection="0"/>
    <xf numFmtId="0" fontId="8" fillId="41" borderId="83" applyNumberFormat="0" applyAlignment="0" applyProtection="0"/>
    <xf numFmtId="0" fontId="8" fillId="41" borderId="83" applyNumberFormat="0" applyAlignment="0" applyProtection="0"/>
    <xf numFmtId="0" fontId="3" fillId="35" borderId="84" applyNumberFormat="0" applyAlignment="0" applyProtection="0"/>
    <xf numFmtId="0" fontId="3" fillId="35" borderId="84" applyNumberFormat="0" applyAlignment="0" applyProtection="0"/>
    <xf numFmtId="0" fontId="3" fillId="35" borderId="84" applyNumberFormat="0" applyAlignment="0" applyProtection="0"/>
    <xf numFmtId="0" fontId="14" fillId="41" borderId="85" applyNumberFormat="0" applyAlignment="0" applyProtection="0"/>
    <xf numFmtId="0" fontId="14" fillId="41" borderId="85" applyNumberFormat="0" applyAlignment="0" applyProtection="0"/>
    <xf numFmtId="0" fontId="14" fillId="41" borderId="85" applyNumberFormat="0" applyAlignment="0" applyProtection="0"/>
    <xf numFmtId="0" fontId="3" fillId="35" borderId="84" applyNumberFormat="0" applyAlignment="0" applyProtection="0"/>
    <xf numFmtId="0" fontId="14" fillId="41" borderId="85" applyNumberFormat="0" applyAlignment="0" applyProtection="0"/>
    <xf numFmtId="0" fontId="14" fillId="41" borderId="85" applyNumberFormat="0" applyAlignment="0" applyProtection="0"/>
    <xf numFmtId="0" fontId="11" fillId="33" borderId="83" applyNumberFormat="0" applyAlignment="0" applyProtection="0"/>
    <xf numFmtId="0" fontId="11" fillId="33" borderId="83" applyNumberFormat="0" applyAlignment="0" applyProtection="0"/>
    <xf numFmtId="0" fontId="21" fillId="0" borderId="86" applyNumberFormat="0" applyFill="0" applyAlignment="0" applyProtection="0"/>
    <xf numFmtId="0" fontId="11" fillId="33" borderId="83" applyNumberFormat="0" applyAlignment="0" applyProtection="0"/>
    <xf numFmtId="0" fontId="11" fillId="33" borderId="83" applyNumberFormat="0" applyAlignment="0" applyProtection="0"/>
    <xf numFmtId="0" fontId="21" fillId="0" borderId="86" applyNumberFormat="0" applyFill="0" applyAlignment="0" applyProtection="0"/>
    <xf numFmtId="0" fontId="11" fillId="33" borderId="83" applyNumberFormat="0" applyAlignment="0" applyProtection="0"/>
    <xf numFmtId="0" fontId="11" fillId="33" borderId="83" applyNumberFormat="0" applyAlignment="0" applyProtection="0"/>
    <xf numFmtId="0" fontId="21" fillId="0" borderId="86" applyNumberFormat="0" applyFill="0" applyAlignment="0" applyProtection="0"/>
    <xf numFmtId="0" fontId="21" fillId="0" borderId="86" applyNumberFormat="0" applyFill="0" applyAlignment="0" applyProtection="0"/>
    <xf numFmtId="0" fontId="3" fillId="35" borderId="84" applyNumberFormat="0" applyAlignment="0" applyProtection="0"/>
    <xf numFmtId="0" fontId="21" fillId="0" borderId="86" applyNumberFormat="0" applyFill="0" applyAlignment="0" applyProtection="0"/>
    <xf numFmtId="0" fontId="3" fillId="35" borderId="84" applyNumberFormat="0" applyAlignment="0" applyProtection="0"/>
    <xf numFmtId="0" fontId="14" fillId="41" borderId="85" applyNumberFormat="0" applyAlignment="0" applyProtection="0"/>
    <xf numFmtId="0" fontId="21" fillId="0" borderId="86" applyNumberFormat="0" applyFill="0" applyAlignment="0" applyProtection="0"/>
    <xf numFmtId="0" fontId="3" fillId="35" borderId="84" applyNumberFormat="0" applyAlignment="0" applyProtection="0"/>
    <xf numFmtId="0" fontId="21" fillId="0" borderId="86" applyNumberFormat="0" applyFill="0" applyAlignment="0" applyProtection="0"/>
    <xf numFmtId="0" fontId="14" fillId="41" borderId="85" applyNumberFormat="0" applyAlignment="0" applyProtection="0"/>
    <xf numFmtId="0" fontId="8" fillId="41" borderId="83" applyNumberFormat="0" applyAlignment="0" applyProtection="0"/>
    <xf numFmtId="0" fontId="14" fillId="41" borderId="85" applyNumberFormat="0" applyAlignment="0" applyProtection="0"/>
    <xf numFmtId="0" fontId="21" fillId="0" borderId="86" applyNumberFormat="0" applyFill="0" applyAlignment="0" applyProtection="0"/>
    <xf numFmtId="0" fontId="3" fillId="35" borderId="84" applyNumberFormat="0" applyAlignment="0" applyProtection="0"/>
    <xf numFmtId="0" fontId="21" fillId="0" borderId="86" applyNumberFormat="0" applyFill="0" applyAlignment="0" applyProtection="0"/>
    <xf numFmtId="0" fontId="14" fillId="41" borderId="85" applyNumberFormat="0" applyAlignment="0" applyProtection="0"/>
    <xf numFmtId="0" fontId="8" fillId="41" borderId="83" applyNumberFormat="0" applyAlignment="0" applyProtection="0"/>
    <xf numFmtId="0" fontId="21" fillId="0" borderId="86" applyNumberFormat="0" applyFill="0" applyAlignment="0" applyProtection="0"/>
    <xf numFmtId="0" fontId="14" fillId="41" borderId="85" applyNumberFormat="0" applyAlignment="0" applyProtection="0"/>
    <xf numFmtId="0" fontId="21" fillId="0" borderId="86" applyNumberFormat="0" applyFill="0" applyAlignment="0" applyProtection="0"/>
    <xf numFmtId="0" fontId="3" fillId="35" borderId="84" applyNumberFormat="0" applyAlignment="0" applyProtection="0"/>
    <xf numFmtId="0" fontId="3" fillId="35" borderId="84" applyNumberFormat="0" applyAlignment="0" applyProtection="0"/>
    <xf numFmtId="0" fontId="3" fillId="35" borderId="84" applyNumberFormat="0" applyAlignment="0" applyProtection="0"/>
    <xf numFmtId="0" fontId="14" fillId="41" borderId="85" applyNumberFormat="0" applyAlignment="0" applyProtection="0"/>
    <xf numFmtId="0" fontId="8" fillId="41" borderId="83" applyNumberFormat="0" applyAlignment="0" applyProtection="0"/>
    <xf numFmtId="0" fontId="11" fillId="33" borderId="83" applyNumberFormat="0" applyAlignment="0" applyProtection="0"/>
    <xf numFmtId="0" fontId="3" fillId="35" borderId="84" applyNumberFormat="0" applyAlignment="0" applyProtection="0"/>
    <xf numFmtId="0" fontId="8" fillId="41" borderId="83" applyNumberFormat="0" applyAlignment="0" applyProtection="0"/>
    <xf numFmtId="0" fontId="8" fillId="41" borderId="83" applyNumberFormat="0" applyAlignment="0" applyProtection="0"/>
    <xf numFmtId="0" fontId="11" fillId="33" borderId="83" applyNumberFormat="0" applyAlignment="0" applyProtection="0"/>
    <xf numFmtId="0" fontId="8" fillId="41" borderId="83" applyNumberFormat="0" applyAlignment="0" applyProtection="0"/>
    <xf numFmtId="0" fontId="8" fillId="41" borderId="83" applyNumberFormat="0" applyAlignment="0" applyProtection="0"/>
    <xf numFmtId="0" fontId="8" fillId="41" borderId="83" applyNumberFormat="0" applyAlignment="0" applyProtection="0"/>
    <xf numFmtId="0" fontId="8" fillId="41" borderId="83" applyNumberFormat="0" applyAlignment="0" applyProtection="0"/>
    <xf numFmtId="0" fontId="11" fillId="33" borderId="83" applyNumberFormat="0" applyAlignment="0" applyProtection="0"/>
    <xf numFmtId="0" fontId="8" fillId="41" borderId="83" applyNumberFormat="0" applyAlignment="0" applyProtection="0"/>
    <xf numFmtId="0" fontId="11" fillId="33" borderId="83" applyNumberFormat="0" applyAlignment="0" applyProtection="0"/>
    <xf numFmtId="0" fontId="8" fillId="41" borderId="83" applyNumberFormat="0" applyAlignment="0" applyProtection="0"/>
    <xf numFmtId="0" fontId="11" fillId="33" borderId="83" applyNumberFormat="0" applyAlignment="0" applyProtection="0"/>
    <xf numFmtId="0" fontId="11" fillId="33" borderId="83" applyNumberFormat="0" applyAlignment="0" applyProtection="0"/>
    <xf numFmtId="0" fontId="3" fillId="35" borderId="84" applyNumberFormat="0" applyAlignment="0" applyProtection="0"/>
    <xf numFmtId="0" fontId="3" fillId="35" borderId="84" applyNumberFormat="0" applyAlignment="0" applyProtection="0"/>
    <xf numFmtId="0" fontId="3" fillId="35" borderId="84" applyNumberFormat="0" applyAlignment="0" applyProtection="0"/>
    <xf numFmtId="0" fontId="14" fillId="41" borderId="85" applyNumberFormat="0" applyAlignment="0" applyProtection="0"/>
    <xf numFmtId="0" fontId="14" fillId="41" borderId="85" applyNumberFormat="0" applyAlignment="0" applyProtection="0"/>
    <xf numFmtId="0" fontId="14" fillId="41" borderId="85" applyNumberFormat="0" applyAlignment="0" applyProtection="0"/>
    <xf numFmtId="0" fontId="14" fillId="41" borderId="85" applyNumberFormat="0" applyAlignment="0" applyProtection="0"/>
    <xf numFmtId="0" fontId="11" fillId="33" borderId="83" applyNumberFormat="0" applyAlignment="0" applyProtection="0"/>
    <xf numFmtId="0" fontId="21" fillId="0" borderId="86" applyNumberFormat="0" applyFill="0" applyAlignment="0" applyProtection="0"/>
    <xf numFmtId="0" fontId="3" fillId="35" borderId="84" applyNumberFormat="0" applyAlignment="0" applyProtection="0"/>
    <xf numFmtId="0" fontId="21" fillId="0" borderId="86" applyNumberFormat="0" applyFill="0" applyAlignment="0" applyProtection="0"/>
    <xf numFmtId="0" fontId="14" fillId="41" borderId="85" applyNumberFormat="0" applyAlignment="0" applyProtection="0"/>
    <xf numFmtId="0" fontId="11" fillId="33" borderId="83" applyNumberFormat="0" applyAlignment="0" applyProtection="0"/>
    <xf numFmtId="0" fontId="3" fillId="35" borderId="84" applyNumberFormat="0" applyAlignment="0" applyProtection="0"/>
    <xf numFmtId="0" fontId="21" fillId="0" borderId="86" applyNumberFormat="0" applyFill="0" applyAlignment="0" applyProtection="0"/>
    <xf numFmtId="0" fontId="14" fillId="41" borderId="85" applyNumberFormat="0" applyAlignment="0" applyProtection="0"/>
    <xf numFmtId="0" fontId="14" fillId="41" borderId="85" applyNumberFormat="0" applyAlignment="0" applyProtection="0"/>
    <xf numFmtId="0" fontId="21" fillId="0" borderId="86" applyNumberFormat="0" applyFill="0" applyAlignment="0" applyProtection="0"/>
    <xf numFmtId="0" fontId="11" fillId="33" borderId="83" applyNumberFormat="0" applyAlignment="0" applyProtection="0"/>
    <xf numFmtId="0" fontId="21" fillId="0" borderId="86" applyNumberFormat="0" applyFill="0" applyAlignment="0" applyProtection="0"/>
    <xf numFmtId="0" fontId="21" fillId="0" borderId="86" applyNumberFormat="0" applyFill="0" applyAlignment="0" applyProtection="0"/>
    <xf numFmtId="0" fontId="21" fillId="0" borderId="86" applyNumberFormat="0" applyFill="0" applyAlignment="0" applyProtection="0"/>
    <xf numFmtId="0" fontId="21" fillId="0" borderId="86" applyNumberFormat="0" applyFill="0" applyAlignment="0" applyProtection="0"/>
    <xf numFmtId="0" fontId="21" fillId="0" borderId="86" applyNumberFormat="0" applyFill="0" applyAlignment="0" applyProtection="0"/>
    <xf numFmtId="168" fontId="8" fillId="41" borderId="95" applyNumberFormat="0" applyAlignment="0" applyProtection="0"/>
    <xf numFmtId="0" fontId="8" fillId="20" borderId="83" applyNumberFormat="0" applyAlignment="0" applyProtection="0"/>
    <xf numFmtId="0" fontId="8" fillId="20" borderId="83" applyNumberFormat="0" applyAlignment="0" applyProtection="0"/>
    <xf numFmtId="0" fontId="11" fillId="7" borderId="83" applyNumberFormat="0" applyAlignment="0" applyProtection="0"/>
    <xf numFmtId="0" fontId="11" fillId="7" borderId="83" applyNumberFormat="0" applyAlignment="0" applyProtection="0"/>
    <xf numFmtId="0" fontId="14" fillId="20" borderId="85" applyNumberFormat="0" applyAlignment="0" applyProtection="0"/>
    <xf numFmtId="0" fontId="14" fillId="20" borderId="85" applyNumberFormat="0" applyAlignment="0" applyProtection="0"/>
    <xf numFmtId="168" fontId="21" fillId="0" borderId="116" applyNumberFormat="0" applyFill="0" applyAlignment="0" applyProtection="0"/>
    <xf numFmtId="168" fontId="3" fillId="35" borderId="96" applyNumberFormat="0" applyAlignment="0" applyProtection="0"/>
    <xf numFmtId="168" fontId="21" fillId="0" borderId="98" applyNumberFormat="0" applyFill="0" applyAlignment="0" applyProtection="0"/>
    <xf numFmtId="168" fontId="8" fillId="41" borderId="95" applyNumberFormat="0" applyAlignment="0" applyProtection="0"/>
    <xf numFmtId="168" fontId="21" fillId="0" borderId="98" applyNumberFormat="0" applyFill="0" applyAlignment="0" applyProtection="0"/>
    <xf numFmtId="0" fontId="14" fillId="41" borderId="103" applyNumberFormat="0" applyAlignment="0" applyProtection="0"/>
    <xf numFmtId="168" fontId="21" fillId="0" borderId="98" applyNumberFormat="0" applyFill="0" applyAlignment="0" applyProtection="0"/>
    <xf numFmtId="168" fontId="14" fillId="41" borderId="97" applyNumberFormat="0" applyAlignment="0" applyProtection="0"/>
    <xf numFmtId="168" fontId="14" fillId="41" borderId="97" applyNumberFormat="0" applyAlignment="0" applyProtection="0"/>
    <xf numFmtId="168" fontId="3" fillId="35" borderId="96" applyNumberFormat="0" applyAlignment="0" applyProtection="0"/>
    <xf numFmtId="168" fontId="21" fillId="0" borderId="98" applyNumberFormat="0" applyFill="0" applyAlignment="0" applyProtection="0"/>
    <xf numFmtId="168" fontId="3" fillId="35" borderId="96" applyNumberFormat="0" applyAlignment="0" applyProtection="0"/>
    <xf numFmtId="168" fontId="11" fillId="33" borderId="95" applyNumberFormat="0" applyAlignment="0" applyProtection="0"/>
    <xf numFmtId="0" fontId="8" fillId="41" borderId="101" applyNumberFormat="0" applyAlignment="0" applyProtection="0"/>
    <xf numFmtId="168" fontId="21" fillId="0" borderId="98" applyNumberFormat="0" applyFill="0" applyAlignment="0" applyProtection="0"/>
    <xf numFmtId="168" fontId="8" fillId="41" borderId="95" applyNumberFormat="0" applyAlignment="0" applyProtection="0"/>
    <xf numFmtId="168" fontId="8" fillId="41" borderId="107" applyNumberFormat="0" applyAlignment="0" applyProtection="0"/>
    <xf numFmtId="168" fontId="11" fillId="33" borderId="107" applyNumberFormat="0" applyAlignment="0" applyProtection="0"/>
    <xf numFmtId="0" fontId="21" fillId="0" borderId="104" applyNumberFormat="0" applyFill="0" applyAlignment="0" applyProtection="0"/>
    <xf numFmtId="168" fontId="3" fillId="35" borderId="108" applyNumberFormat="0" applyAlignment="0" applyProtection="0"/>
    <xf numFmtId="168" fontId="14" fillId="41" borderId="103" applyNumberFormat="0" applyAlignment="0" applyProtection="0"/>
    <xf numFmtId="168" fontId="8" fillId="41" borderId="119" applyNumberFormat="0" applyAlignment="0" applyProtection="0"/>
    <xf numFmtId="168" fontId="8" fillId="20" borderId="95" applyNumberFormat="0" applyAlignment="0" applyProtection="0"/>
    <xf numFmtId="168" fontId="3" fillId="35" borderId="102" applyNumberFormat="0" applyAlignment="0" applyProtection="0"/>
    <xf numFmtId="0" fontId="3" fillId="35" borderId="102" applyNumberFormat="0" applyAlignment="0" applyProtection="0"/>
    <xf numFmtId="168" fontId="14" fillId="41" borderId="115" applyNumberFormat="0" applyAlignment="0" applyProtection="0"/>
    <xf numFmtId="168" fontId="8" fillId="41" borderId="113" applyNumberFormat="0" applyAlignment="0" applyProtection="0"/>
    <xf numFmtId="0" fontId="11" fillId="7" borderId="101" applyNumberFormat="0" applyAlignment="0" applyProtection="0"/>
    <xf numFmtId="168" fontId="21" fillId="0" borderId="110" applyNumberFormat="0" applyFill="0" applyAlignment="0" applyProtection="0"/>
    <xf numFmtId="0" fontId="3" fillId="23" borderId="105" applyNumberFormat="0" applyFont="0" applyAlignment="0" applyProtection="0"/>
    <xf numFmtId="168" fontId="3" fillId="35" borderId="108" applyNumberFormat="0" applyAlignment="0" applyProtection="0"/>
    <xf numFmtId="168" fontId="8" fillId="41" borderId="113" applyNumberFormat="0" applyAlignment="0" applyProtection="0"/>
    <xf numFmtId="168" fontId="3" fillId="35" borderId="102" applyNumberFormat="0" applyAlignment="0" applyProtection="0"/>
    <xf numFmtId="168" fontId="8" fillId="20" borderId="101" applyNumberFormat="0" applyAlignment="0" applyProtection="0"/>
    <xf numFmtId="168" fontId="21" fillId="0" borderId="110" applyNumberFormat="0" applyFill="0" applyAlignment="0" applyProtection="0"/>
    <xf numFmtId="0" fontId="14" fillId="41" borderId="103" applyNumberFormat="0" applyAlignment="0" applyProtection="0"/>
    <xf numFmtId="168" fontId="8" fillId="41" borderId="113" applyNumberFormat="0" applyAlignment="0" applyProtection="0"/>
    <xf numFmtId="168" fontId="14" fillId="41" borderId="103" applyNumberFormat="0" applyAlignment="0" applyProtection="0"/>
    <xf numFmtId="168" fontId="11" fillId="7" borderId="101" applyNumberFormat="0" applyAlignment="0" applyProtection="0"/>
    <xf numFmtId="168" fontId="3" fillId="35" borderId="120" applyNumberFormat="0" applyAlignment="0" applyProtection="0"/>
    <xf numFmtId="168" fontId="14" fillId="41" borderId="109" applyNumberFormat="0" applyAlignment="0" applyProtection="0"/>
    <xf numFmtId="168" fontId="3" fillId="35" borderId="108" applyNumberFormat="0" applyAlignment="0" applyProtection="0"/>
    <xf numFmtId="168" fontId="11" fillId="33" borderId="101" applyNumberFormat="0" applyAlignment="0" applyProtection="0"/>
    <xf numFmtId="168" fontId="14" fillId="41" borderId="103" applyNumberFormat="0" applyAlignment="0" applyProtection="0"/>
    <xf numFmtId="168" fontId="11" fillId="33" borderId="101" applyNumberFormat="0" applyAlignment="0" applyProtection="0"/>
    <xf numFmtId="0" fontId="11" fillId="33" borderId="101" applyNumberFormat="0" applyAlignment="0" applyProtection="0"/>
    <xf numFmtId="168" fontId="21" fillId="0" borderId="98" applyNumberFormat="0" applyFill="0" applyAlignment="0" applyProtection="0"/>
    <xf numFmtId="0" fontId="14" fillId="41" borderId="121" applyNumberFormat="0" applyAlignment="0" applyProtection="0"/>
    <xf numFmtId="168" fontId="14" fillId="41" borderId="103" applyNumberFormat="0" applyAlignment="0" applyProtection="0"/>
    <xf numFmtId="168" fontId="3" fillId="23" borderId="117" applyNumberFormat="0" applyFont="0" applyAlignment="0" applyProtection="0"/>
    <xf numFmtId="168" fontId="21" fillId="0" borderId="104" applyNumberFormat="0" applyFill="0" applyAlignment="0" applyProtection="0"/>
    <xf numFmtId="168" fontId="14" fillId="41" borderId="97" applyNumberFormat="0" applyAlignment="0" applyProtection="0"/>
    <xf numFmtId="168" fontId="3" fillId="35" borderId="96" applyNumberFormat="0" applyAlignment="0" applyProtection="0"/>
    <xf numFmtId="168" fontId="11" fillId="33" borderId="95" applyNumberFormat="0" applyAlignment="0" applyProtection="0"/>
    <xf numFmtId="168" fontId="21" fillId="0" borderId="122" applyNumberFormat="0" applyFill="0" applyAlignment="0" applyProtection="0"/>
    <xf numFmtId="168" fontId="11" fillId="33" borderId="107" applyNumberFormat="0" applyAlignment="0" applyProtection="0"/>
    <xf numFmtId="168" fontId="11" fillId="33" borderId="119" applyNumberFormat="0" applyAlignment="0" applyProtection="0"/>
    <xf numFmtId="0" fontId="8" fillId="41" borderId="89" applyNumberFormat="0" applyAlignment="0" applyProtection="0"/>
    <xf numFmtId="0" fontId="11" fillId="33" borderId="89" applyNumberFormat="0" applyAlignment="0" applyProtection="0"/>
    <xf numFmtId="0" fontId="3" fillId="35" borderId="90" applyNumberFormat="0" applyAlignment="0" applyProtection="0"/>
    <xf numFmtId="0" fontId="14" fillId="41" borderId="91" applyNumberFormat="0" applyAlignment="0" applyProtection="0"/>
    <xf numFmtId="0" fontId="21" fillId="0" borderId="92" applyNumberFormat="0" applyFill="0" applyAlignment="0" applyProtection="0"/>
    <xf numFmtId="0" fontId="21" fillId="0" borderId="104" applyNumberFormat="0" applyFill="0" applyAlignment="0" applyProtection="0"/>
    <xf numFmtId="0" fontId="8" fillId="41" borderId="101" applyNumberFormat="0" applyAlignment="0" applyProtection="0"/>
    <xf numFmtId="0" fontId="8" fillId="41" borderId="101" applyNumberFormat="0" applyAlignment="0" applyProtection="0"/>
    <xf numFmtId="168" fontId="3" fillId="35" borderId="114" applyNumberFormat="0" applyAlignment="0" applyProtection="0"/>
    <xf numFmtId="0" fontId="8" fillId="41" borderId="101" applyNumberFormat="0" applyAlignment="0" applyProtection="0"/>
    <xf numFmtId="0" fontId="21" fillId="0" borderId="104" applyNumberFormat="0" applyFill="0" applyAlignment="0" applyProtection="0"/>
    <xf numFmtId="0" fontId="8" fillId="20" borderId="101" applyNumberFormat="0" applyAlignment="0" applyProtection="0"/>
    <xf numFmtId="0" fontId="21" fillId="0" borderId="104" applyNumberFormat="0" applyFill="0" applyAlignment="0" applyProtection="0"/>
    <xf numFmtId="168" fontId="14" fillId="41" borderId="109" applyNumberFormat="0" applyAlignment="0" applyProtection="0"/>
    <xf numFmtId="0" fontId="11" fillId="7" borderId="101" applyNumberFormat="0" applyAlignment="0" applyProtection="0"/>
    <xf numFmtId="0" fontId="14" fillId="41" borderId="103" applyNumberFormat="0" applyAlignment="0" applyProtection="0"/>
    <xf numFmtId="168" fontId="14" fillId="41" borderId="121" applyNumberFormat="0" applyAlignment="0" applyProtection="0"/>
    <xf numFmtId="168" fontId="8" fillId="41" borderId="107" applyNumberFormat="0" applyAlignment="0" applyProtection="0"/>
    <xf numFmtId="168" fontId="14" fillId="20" borderId="97" applyNumberFormat="0" applyAlignment="0" applyProtection="0"/>
    <xf numFmtId="168" fontId="11" fillId="7" borderId="95" applyNumberFormat="0" applyAlignment="0" applyProtection="0"/>
    <xf numFmtId="168" fontId="8" fillId="20" borderId="95" applyNumberFormat="0" applyAlignment="0" applyProtection="0"/>
    <xf numFmtId="168" fontId="8" fillId="20" borderId="107" applyNumberFormat="0" applyAlignment="0" applyProtection="0"/>
    <xf numFmtId="168" fontId="21" fillId="0" borderId="98" applyNumberFormat="0" applyFill="0" applyAlignment="0" applyProtection="0"/>
    <xf numFmtId="168" fontId="21" fillId="0" borderId="98" applyNumberFormat="0" applyFill="0" applyAlignment="0" applyProtection="0"/>
    <xf numFmtId="168" fontId="14" fillId="41" borderId="97" applyNumberFormat="0" applyAlignment="0" applyProtection="0"/>
    <xf numFmtId="168" fontId="14" fillId="41" borderId="97" applyNumberFormat="0" applyAlignment="0" applyProtection="0"/>
    <xf numFmtId="168" fontId="11" fillId="33" borderId="95" applyNumberFormat="0" applyAlignment="0" applyProtection="0"/>
    <xf numFmtId="168" fontId="14" fillId="41" borderId="97" applyNumberFormat="0" applyAlignment="0" applyProtection="0"/>
    <xf numFmtId="168" fontId="11" fillId="33" borderId="95" applyNumberFormat="0" applyAlignment="0" applyProtection="0"/>
    <xf numFmtId="168" fontId="11" fillId="33" borderId="95" applyNumberFormat="0" applyAlignment="0" applyProtection="0"/>
    <xf numFmtId="168" fontId="11" fillId="33" borderId="95" applyNumberFormat="0" applyAlignment="0" applyProtection="0"/>
    <xf numFmtId="168" fontId="8" fillId="41" borderId="95" applyNumberFormat="0" applyAlignment="0" applyProtection="0"/>
    <xf numFmtId="168" fontId="8" fillId="41" borderId="95" applyNumberFormat="0" applyAlignment="0" applyProtection="0"/>
    <xf numFmtId="168" fontId="8" fillId="41" borderId="95" applyNumberFormat="0" applyAlignment="0" applyProtection="0"/>
    <xf numFmtId="168" fontId="3" fillId="35" borderId="96" applyNumberFormat="0" applyAlignment="0" applyProtection="0"/>
    <xf numFmtId="168" fontId="14" fillId="41" borderId="97" applyNumberFormat="0" applyAlignment="0" applyProtection="0"/>
    <xf numFmtId="168" fontId="21" fillId="0" borderId="98" applyNumberFormat="0" applyFill="0" applyAlignment="0" applyProtection="0"/>
    <xf numFmtId="168" fontId="14" fillId="41" borderId="97" applyNumberFormat="0" applyAlignment="0" applyProtection="0"/>
    <xf numFmtId="168" fontId="14" fillId="41" borderId="97" applyNumberFormat="0" applyAlignment="0" applyProtection="0"/>
    <xf numFmtId="168" fontId="3" fillId="35" borderId="96" applyNumberFormat="0" applyAlignment="0" applyProtection="0"/>
    <xf numFmtId="168" fontId="21" fillId="0" borderId="98" applyNumberFormat="0" applyFill="0" applyAlignment="0" applyProtection="0"/>
    <xf numFmtId="168" fontId="21" fillId="0" borderId="98" applyNumberFormat="0" applyFill="0" applyAlignment="0" applyProtection="0"/>
    <xf numFmtId="168" fontId="11" fillId="33" borderId="95" applyNumberFormat="0" applyAlignment="0" applyProtection="0"/>
    <xf numFmtId="168" fontId="11" fillId="33" borderId="95" applyNumberFormat="0" applyAlignment="0" applyProtection="0"/>
    <xf numFmtId="168" fontId="21" fillId="0" borderId="98" applyNumberFormat="0" applyFill="0" applyAlignment="0" applyProtection="0"/>
    <xf numFmtId="168" fontId="11" fillId="33" borderId="95" applyNumberFormat="0" applyAlignment="0" applyProtection="0"/>
    <xf numFmtId="168" fontId="14" fillId="41" borderId="97" applyNumberFormat="0" applyAlignment="0" applyProtection="0"/>
    <xf numFmtId="168" fontId="3" fillId="35" borderId="96" applyNumberFormat="0" applyAlignment="0" applyProtection="0"/>
    <xf numFmtId="168" fontId="14" fillId="41" borderId="97" applyNumberFormat="0" applyAlignment="0" applyProtection="0"/>
    <xf numFmtId="0" fontId="8" fillId="20" borderId="89" applyNumberFormat="0" applyAlignment="0" applyProtection="0"/>
    <xf numFmtId="0" fontId="8" fillId="20" borderId="89" applyNumberFormat="0" applyAlignment="0" applyProtection="0"/>
    <xf numFmtId="168" fontId="8" fillId="41" borderId="95" applyNumberFormat="0" applyAlignment="0" applyProtection="0"/>
    <xf numFmtId="168" fontId="11" fillId="33" borderId="95" applyNumberFormat="0" applyAlignment="0" applyProtection="0"/>
    <xf numFmtId="168" fontId="11" fillId="33" borderId="95" applyNumberFormat="0" applyAlignment="0" applyProtection="0"/>
    <xf numFmtId="168" fontId="8" fillId="41" borderId="95" applyNumberFormat="0" applyAlignment="0" applyProtection="0"/>
    <xf numFmtId="168" fontId="3" fillId="35" borderId="96" applyNumberFormat="0" applyAlignment="0" applyProtection="0"/>
    <xf numFmtId="168" fontId="14" fillId="41" borderId="97" applyNumberFormat="0" applyAlignment="0" applyProtection="0"/>
    <xf numFmtId="168" fontId="3" fillId="35" borderId="96" applyNumberFormat="0" applyAlignment="0" applyProtection="0"/>
    <xf numFmtId="168" fontId="8" fillId="41" borderId="113" applyNumberFormat="0" applyAlignment="0" applyProtection="0"/>
    <xf numFmtId="0" fontId="11" fillId="7" borderId="89" applyNumberFormat="0" applyAlignment="0" applyProtection="0"/>
    <xf numFmtId="168" fontId="14" fillId="41" borderId="103" applyNumberFormat="0" applyAlignment="0" applyProtection="0"/>
    <xf numFmtId="168" fontId="8" fillId="41" borderId="107" applyNumberFormat="0" applyAlignment="0" applyProtection="0"/>
    <xf numFmtId="0" fontId="8" fillId="41" borderId="101" applyNumberFormat="0" applyAlignment="0" applyProtection="0"/>
    <xf numFmtId="168" fontId="3" fillId="23" borderId="99" applyNumberFormat="0" applyFont="0" applyAlignment="0" applyProtection="0"/>
    <xf numFmtId="168" fontId="11" fillId="33" borderId="107" applyNumberFormat="0" applyAlignment="0" applyProtection="0"/>
    <xf numFmtId="168" fontId="14" fillId="41" borderId="115" applyNumberFormat="0" applyAlignment="0" applyProtection="0"/>
    <xf numFmtId="0" fontId="11" fillId="7" borderId="89" applyNumberFormat="0" applyAlignment="0" applyProtection="0"/>
    <xf numFmtId="168" fontId="3" fillId="23" borderId="105" applyNumberFormat="0" applyFont="0" applyAlignment="0" applyProtection="0"/>
    <xf numFmtId="168" fontId="14" fillId="41" borderId="109" applyNumberFormat="0" applyAlignment="0" applyProtection="0"/>
    <xf numFmtId="168" fontId="3" fillId="35" borderId="108" applyNumberFormat="0" applyAlignment="0" applyProtection="0"/>
    <xf numFmtId="0" fontId="3" fillId="23" borderId="93" applyNumberFormat="0" applyFont="0" applyAlignment="0" applyProtection="0"/>
    <xf numFmtId="0" fontId="3" fillId="23" borderId="93" applyNumberFormat="0" applyFont="0" applyAlignment="0" applyProtection="0"/>
    <xf numFmtId="0" fontId="14" fillId="20" borderId="91" applyNumberFormat="0" applyAlignment="0" applyProtection="0"/>
    <xf numFmtId="0" fontId="14" fillId="20" borderId="91" applyNumberFormat="0" applyAlignment="0" applyProtection="0"/>
    <xf numFmtId="0" fontId="14" fillId="41" borderId="103" applyNumberFormat="0" applyAlignment="0" applyProtection="0"/>
    <xf numFmtId="168" fontId="21" fillId="0" borderId="110" applyNumberFormat="0" applyFill="0" applyAlignment="0" applyProtection="0"/>
    <xf numFmtId="168" fontId="8" fillId="41" borderId="113" applyNumberFormat="0" applyAlignment="0" applyProtection="0"/>
    <xf numFmtId="0" fontId="21" fillId="0" borderId="104" applyNumberFormat="0" applyFill="0" applyAlignment="0" applyProtection="0"/>
    <xf numFmtId="0" fontId="11" fillId="33" borderId="101" applyNumberFormat="0" applyAlignment="0" applyProtection="0"/>
    <xf numFmtId="168" fontId="21" fillId="0" borderId="122" applyNumberFormat="0" applyFill="0" applyAlignment="0" applyProtection="0"/>
    <xf numFmtId="0" fontId="21" fillId="0" borderId="94" applyNumberFormat="0" applyFill="0" applyAlignment="0" applyProtection="0"/>
    <xf numFmtId="0" fontId="3" fillId="35" borderId="120" applyNumberFormat="0" applyAlignment="0" applyProtection="0"/>
    <xf numFmtId="0" fontId="11" fillId="33" borderId="89" applyNumberFormat="0" applyAlignment="0" applyProtection="0"/>
    <xf numFmtId="0" fontId="8" fillId="41" borderId="89" applyNumberFormat="0" applyAlignment="0" applyProtection="0"/>
    <xf numFmtId="0" fontId="21" fillId="0" borderId="92" applyNumberFormat="0" applyFill="0" applyAlignment="0" applyProtection="0"/>
    <xf numFmtId="0" fontId="3" fillId="35" borderId="90" applyNumberFormat="0" applyAlignment="0" applyProtection="0"/>
    <xf numFmtId="0" fontId="21" fillId="0" borderId="92" applyNumberFormat="0" applyFill="0" applyAlignment="0" applyProtection="0"/>
    <xf numFmtId="0" fontId="14" fillId="41" borderId="91" applyNumberFormat="0" applyAlignment="0" applyProtection="0"/>
    <xf numFmtId="0" fontId="14" fillId="41" borderId="91" applyNumberFormat="0" applyAlignment="0" applyProtection="0"/>
    <xf numFmtId="0" fontId="14" fillId="41" borderId="91" applyNumberFormat="0" applyAlignment="0" applyProtection="0"/>
    <xf numFmtId="0" fontId="3" fillId="35" borderId="90" applyNumberFormat="0" applyAlignment="0" applyProtection="0"/>
    <xf numFmtId="0" fontId="14" fillId="41" borderId="91" applyNumberFormat="0" applyAlignment="0" applyProtection="0"/>
    <xf numFmtId="0" fontId="3" fillId="35" borderId="90" applyNumberFormat="0" applyAlignment="0" applyProtection="0"/>
    <xf numFmtId="0" fontId="3" fillId="35" borderId="90" applyNumberFormat="0" applyAlignment="0" applyProtection="0"/>
    <xf numFmtId="0" fontId="3" fillId="35" borderId="90" applyNumberFormat="0" applyAlignment="0" applyProtection="0"/>
    <xf numFmtId="0" fontId="8" fillId="41" borderId="89" applyNumberFormat="0" applyAlignment="0" applyProtection="0"/>
    <xf numFmtId="0" fontId="11" fillId="33" borderId="89" applyNumberFormat="0" applyAlignment="0" applyProtection="0"/>
    <xf numFmtId="0" fontId="8" fillId="41" borderId="89" applyNumberFormat="0" applyAlignment="0" applyProtection="0"/>
    <xf numFmtId="0" fontId="11" fillId="33" borderId="89" applyNumberFormat="0" applyAlignment="0" applyProtection="0"/>
    <xf numFmtId="0" fontId="8" fillId="41" borderId="89" applyNumberFormat="0" applyAlignment="0" applyProtection="0"/>
    <xf numFmtId="0" fontId="8" fillId="41" borderId="89" applyNumberFormat="0" applyAlignment="0" applyProtection="0"/>
    <xf numFmtId="0" fontId="11" fillId="33" borderId="89" applyNumberFormat="0" applyAlignment="0" applyProtection="0"/>
    <xf numFmtId="0" fontId="8" fillId="41" borderId="89" applyNumberFormat="0" applyAlignment="0" applyProtection="0"/>
    <xf numFmtId="0" fontId="11" fillId="33" borderId="89" applyNumberFormat="0" applyAlignment="0" applyProtection="0"/>
    <xf numFmtId="0" fontId="11" fillId="33" borderId="89" applyNumberFormat="0" applyAlignment="0" applyProtection="0"/>
    <xf numFmtId="0" fontId="8" fillId="41" borderId="89" applyNumberFormat="0" applyAlignment="0" applyProtection="0"/>
    <xf numFmtId="0" fontId="8" fillId="41" borderId="89" applyNumberFormat="0" applyAlignment="0" applyProtection="0"/>
    <xf numFmtId="0" fontId="8" fillId="41" borderId="89" applyNumberFormat="0" applyAlignment="0" applyProtection="0"/>
    <xf numFmtId="0" fontId="11" fillId="33" borderId="89" applyNumberFormat="0" applyAlignment="0" applyProtection="0"/>
    <xf numFmtId="0" fontId="8" fillId="41" borderId="89" applyNumberFormat="0" applyAlignment="0" applyProtection="0"/>
    <xf numFmtId="0" fontId="8" fillId="41" borderId="89" applyNumberFormat="0" applyAlignment="0" applyProtection="0"/>
    <xf numFmtId="0" fontId="3" fillId="35" borderId="90" applyNumberFormat="0" applyAlignment="0" applyProtection="0"/>
    <xf numFmtId="0" fontId="3" fillId="35" borderId="90" applyNumberFormat="0" applyAlignment="0" applyProtection="0"/>
    <xf numFmtId="0" fontId="3" fillId="35" borderId="90" applyNumberFormat="0" applyAlignment="0" applyProtection="0"/>
    <xf numFmtId="0" fontId="14" fillId="41" borderId="91" applyNumberFormat="0" applyAlignment="0" applyProtection="0"/>
    <xf numFmtId="0" fontId="14" fillId="41" borderId="91" applyNumberFormat="0" applyAlignment="0" applyProtection="0"/>
    <xf numFmtId="0" fontId="14" fillId="41" borderId="91" applyNumberFormat="0" applyAlignment="0" applyProtection="0"/>
    <xf numFmtId="0" fontId="3" fillId="35" borderId="90" applyNumberFormat="0" applyAlignment="0" applyProtection="0"/>
    <xf numFmtId="0" fontId="14" fillId="41" borderId="91" applyNumberFormat="0" applyAlignment="0" applyProtection="0"/>
    <xf numFmtId="0" fontId="14" fillId="41" borderId="91" applyNumberFormat="0" applyAlignment="0" applyProtection="0"/>
    <xf numFmtId="0" fontId="11" fillId="33" borderId="89" applyNumberFormat="0" applyAlignment="0" applyProtection="0"/>
    <xf numFmtId="0" fontId="11" fillId="33" borderId="89" applyNumberFormat="0" applyAlignment="0" applyProtection="0"/>
    <xf numFmtId="0" fontId="21" fillId="0" borderId="92" applyNumberFormat="0" applyFill="0" applyAlignment="0" applyProtection="0"/>
    <xf numFmtId="0" fontId="11" fillId="33" borderId="89" applyNumberFormat="0" applyAlignment="0" applyProtection="0"/>
    <xf numFmtId="0" fontId="11" fillId="33" borderId="89" applyNumberFormat="0" applyAlignment="0" applyProtection="0"/>
    <xf numFmtId="0" fontId="21" fillId="0" borderId="92" applyNumberFormat="0" applyFill="0" applyAlignment="0" applyProtection="0"/>
    <xf numFmtId="0" fontId="11" fillId="33" borderId="89" applyNumberFormat="0" applyAlignment="0" applyProtection="0"/>
    <xf numFmtId="0" fontId="11" fillId="33" borderId="89" applyNumberFormat="0" applyAlignment="0" applyProtection="0"/>
    <xf numFmtId="0" fontId="21" fillId="0" borderId="92" applyNumberFormat="0" applyFill="0" applyAlignment="0" applyProtection="0"/>
    <xf numFmtId="0" fontId="21" fillId="0" borderId="92" applyNumberFormat="0" applyFill="0" applyAlignment="0" applyProtection="0"/>
    <xf numFmtId="0" fontId="3" fillId="35" borderId="90" applyNumberFormat="0" applyAlignment="0" applyProtection="0"/>
    <xf numFmtId="0" fontId="21" fillId="0" borderId="92" applyNumberFormat="0" applyFill="0" applyAlignment="0" applyProtection="0"/>
    <xf numFmtId="0" fontId="3" fillId="35" borderId="90" applyNumberFormat="0" applyAlignment="0" applyProtection="0"/>
    <xf numFmtId="0" fontId="14" fillId="41" borderId="91" applyNumberFormat="0" applyAlignment="0" applyProtection="0"/>
    <xf numFmtId="0" fontId="21" fillId="0" borderId="92" applyNumberFormat="0" applyFill="0" applyAlignment="0" applyProtection="0"/>
    <xf numFmtId="0" fontId="3" fillId="35" borderId="90" applyNumberFormat="0" applyAlignment="0" applyProtection="0"/>
    <xf numFmtId="0" fontId="21" fillId="0" borderId="92" applyNumberFormat="0" applyFill="0" applyAlignment="0" applyProtection="0"/>
    <xf numFmtId="0" fontId="14" fillId="41" borderId="91" applyNumberFormat="0" applyAlignment="0" applyProtection="0"/>
    <xf numFmtId="0" fontId="8" fillId="41" borderId="89" applyNumberFormat="0" applyAlignment="0" applyProtection="0"/>
    <xf numFmtId="0" fontId="14" fillId="41" borderId="91" applyNumberFormat="0" applyAlignment="0" applyProtection="0"/>
    <xf numFmtId="0" fontId="21" fillId="0" borderId="92" applyNumberFormat="0" applyFill="0" applyAlignment="0" applyProtection="0"/>
    <xf numFmtId="0" fontId="3" fillId="35" borderId="90" applyNumberFormat="0" applyAlignment="0" applyProtection="0"/>
    <xf numFmtId="0" fontId="21" fillId="0" borderId="92" applyNumberFormat="0" applyFill="0" applyAlignment="0" applyProtection="0"/>
    <xf numFmtId="0" fontId="14" fillId="41" borderId="91" applyNumberFormat="0" applyAlignment="0" applyProtection="0"/>
    <xf numFmtId="0" fontId="8" fillId="41" borderId="89" applyNumberFormat="0" applyAlignment="0" applyProtection="0"/>
    <xf numFmtId="0" fontId="21" fillId="0" borderId="92" applyNumberFormat="0" applyFill="0" applyAlignment="0" applyProtection="0"/>
    <xf numFmtId="0" fontId="14" fillId="41" borderId="91" applyNumberFormat="0" applyAlignment="0" applyProtection="0"/>
    <xf numFmtId="0" fontId="21" fillId="0" borderId="92" applyNumberFormat="0" applyFill="0" applyAlignment="0" applyProtection="0"/>
    <xf numFmtId="0" fontId="3" fillId="35" borderId="90" applyNumberFormat="0" applyAlignment="0" applyProtection="0"/>
    <xf numFmtId="0" fontId="3" fillId="35" borderId="90" applyNumberFormat="0" applyAlignment="0" applyProtection="0"/>
    <xf numFmtId="0" fontId="3" fillId="35" borderId="90" applyNumberFormat="0" applyAlignment="0" applyProtection="0"/>
    <xf numFmtId="0" fontId="14" fillId="41" borderId="91" applyNumberFormat="0" applyAlignment="0" applyProtection="0"/>
    <xf numFmtId="0" fontId="8" fillId="41" borderId="89" applyNumberFormat="0" applyAlignment="0" applyProtection="0"/>
    <xf numFmtId="0" fontId="11" fillId="33" borderId="89" applyNumberFormat="0" applyAlignment="0" applyProtection="0"/>
    <xf numFmtId="0" fontId="3" fillId="35" borderId="90" applyNumberFormat="0" applyAlignment="0" applyProtection="0"/>
    <xf numFmtId="0" fontId="8" fillId="41" borderId="89" applyNumberFormat="0" applyAlignment="0" applyProtection="0"/>
    <xf numFmtId="0" fontId="8" fillId="41" borderId="89" applyNumberFormat="0" applyAlignment="0" applyProtection="0"/>
    <xf numFmtId="0" fontId="11" fillId="33" borderId="89" applyNumberFormat="0" applyAlignment="0" applyProtection="0"/>
    <xf numFmtId="0" fontId="8" fillId="41" borderId="89" applyNumberFormat="0" applyAlignment="0" applyProtection="0"/>
    <xf numFmtId="0" fontId="8" fillId="41" borderId="89" applyNumberFormat="0" applyAlignment="0" applyProtection="0"/>
    <xf numFmtId="0" fontId="8" fillId="41" borderId="89" applyNumberFormat="0" applyAlignment="0" applyProtection="0"/>
    <xf numFmtId="0" fontId="8" fillId="41" borderId="89" applyNumberFormat="0" applyAlignment="0" applyProtection="0"/>
    <xf numFmtId="0" fontId="11" fillId="33" borderId="89" applyNumberFormat="0" applyAlignment="0" applyProtection="0"/>
    <xf numFmtId="0" fontId="8" fillId="41" borderId="89" applyNumberFormat="0" applyAlignment="0" applyProtection="0"/>
    <xf numFmtId="0" fontId="11" fillId="33" borderId="89" applyNumberFormat="0" applyAlignment="0" applyProtection="0"/>
    <xf numFmtId="0" fontId="8" fillId="41" borderId="89" applyNumberFormat="0" applyAlignment="0" applyProtection="0"/>
    <xf numFmtId="0" fontId="11" fillId="33" borderId="89" applyNumberFormat="0" applyAlignment="0" applyProtection="0"/>
    <xf numFmtId="0" fontId="11" fillId="33" borderId="89" applyNumberFormat="0" applyAlignment="0" applyProtection="0"/>
    <xf numFmtId="0" fontId="3" fillId="35" borderId="90" applyNumberFormat="0" applyAlignment="0" applyProtection="0"/>
    <xf numFmtId="0" fontId="3" fillId="35" borderId="90" applyNumberFormat="0" applyAlignment="0" applyProtection="0"/>
    <xf numFmtId="0" fontId="3" fillId="35" borderId="90" applyNumberFormat="0" applyAlignment="0" applyProtection="0"/>
    <xf numFmtId="0" fontId="14" fillId="41" borderId="91" applyNumberFormat="0" applyAlignment="0" applyProtection="0"/>
    <xf numFmtId="0" fontId="14" fillId="41" borderId="91" applyNumberFormat="0" applyAlignment="0" applyProtection="0"/>
    <xf numFmtId="0" fontId="14" fillId="41" borderId="91" applyNumberFormat="0" applyAlignment="0" applyProtection="0"/>
    <xf numFmtId="0" fontId="14" fillId="41" borderId="91" applyNumberFormat="0" applyAlignment="0" applyProtection="0"/>
    <xf numFmtId="0" fontId="11" fillId="33" borderId="89" applyNumberFormat="0" applyAlignment="0" applyProtection="0"/>
    <xf numFmtId="0" fontId="21" fillId="0" borderId="92" applyNumberFormat="0" applyFill="0" applyAlignment="0" applyProtection="0"/>
    <xf numFmtId="0" fontId="3" fillId="35" borderId="90" applyNumberFormat="0" applyAlignment="0" applyProtection="0"/>
    <xf numFmtId="0" fontId="21" fillId="0" borderId="92" applyNumberFormat="0" applyFill="0" applyAlignment="0" applyProtection="0"/>
    <xf numFmtId="0" fontId="14" fillId="41" borderId="91" applyNumberFormat="0" applyAlignment="0" applyProtection="0"/>
    <xf numFmtId="0" fontId="11" fillId="33" borderId="89" applyNumberFormat="0" applyAlignment="0" applyProtection="0"/>
    <xf numFmtId="0" fontId="3" fillId="35" borderId="90" applyNumberFormat="0" applyAlignment="0" applyProtection="0"/>
    <xf numFmtId="0" fontId="21" fillId="0" borderId="92" applyNumberFormat="0" applyFill="0" applyAlignment="0" applyProtection="0"/>
    <xf numFmtId="0" fontId="14" fillId="41" borderId="91" applyNumberFormat="0" applyAlignment="0" applyProtection="0"/>
    <xf numFmtId="0" fontId="14" fillId="41" borderId="91" applyNumberFormat="0" applyAlignment="0" applyProtection="0"/>
    <xf numFmtId="0" fontId="21" fillId="0" borderId="92" applyNumberFormat="0" applyFill="0" applyAlignment="0" applyProtection="0"/>
    <xf numFmtId="0" fontId="11" fillId="33" borderId="89" applyNumberFormat="0" applyAlignment="0" applyProtection="0"/>
    <xf numFmtId="0" fontId="21" fillId="0" borderId="92" applyNumberFormat="0" applyFill="0" applyAlignment="0" applyProtection="0"/>
    <xf numFmtId="0" fontId="21" fillId="0" borderId="92" applyNumberFormat="0" applyFill="0" applyAlignment="0" applyProtection="0"/>
    <xf numFmtId="0" fontId="21" fillId="0" borderId="92" applyNumberFormat="0" applyFill="0" applyAlignment="0" applyProtection="0"/>
    <xf numFmtId="0" fontId="21" fillId="0" borderId="92" applyNumberFormat="0" applyFill="0" applyAlignment="0" applyProtection="0"/>
    <xf numFmtId="0" fontId="21" fillId="0" borderId="92" applyNumberFormat="0" applyFill="0" applyAlignment="0" applyProtection="0"/>
    <xf numFmtId="168" fontId="14" fillId="41" borderId="115" applyNumberFormat="0" applyAlignment="0" applyProtection="0"/>
    <xf numFmtId="0" fontId="8" fillId="20" borderId="89" applyNumberFormat="0" applyAlignment="0" applyProtection="0"/>
    <xf numFmtId="0" fontId="8" fillId="20" borderId="89" applyNumberFormat="0" applyAlignment="0" applyProtection="0"/>
    <xf numFmtId="0" fontId="11" fillId="7" borderId="89" applyNumberFormat="0" applyAlignment="0" applyProtection="0"/>
    <xf numFmtId="0" fontId="11" fillId="7" borderId="89" applyNumberFormat="0" applyAlignment="0" applyProtection="0"/>
    <xf numFmtId="0" fontId="14" fillId="20" borderId="91" applyNumberFormat="0" applyAlignment="0" applyProtection="0"/>
    <xf numFmtId="0" fontId="14" fillId="20" borderId="91" applyNumberFormat="0" applyAlignment="0" applyProtection="0"/>
    <xf numFmtId="168" fontId="11" fillId="33" borderId="101" applyNumberFormat="0" applyAlignment="0" applyProtection="0"/>
    <xf numFmtId="168" fontId="3" fillId="35" borderId="102" applyNumberFormat="0" applyAlignment="0" applyProtection="0"/>
    <xf numFmtId="168" fontId="14" fillId="41" borderId="115" applyNumberFormat="0" applyAlignment="0" applyProtection="0"/>
    <xf numFmtId="0" fontId="14" fillId="20" borderId="103" applyNumberFormat="0" applyAlignment="0" applyProtection="0"/>
    <xf numFmtId="168" fontId="8" fillId="41" borderId="113" applyNumberFormat="0" applyAlignment="0" applyProtection="0"/>
    <xf numFmtId="168" fontId="8" fillId="20" borderId="101" applyNumberFormat="0" applyAlignment="0" applyProtection="0"/>
    <xf numFmtId="168" fontId="11" fillId="7" borderId="107" applyNumberFormat="0" applyAlignment="0" applyProtection="0"/>
    <xf numFmtId="168" fontId="21" fillId="0" borderId="106" applyNumberFormat="0" applyFill="0" applyAlignment="0" applyProtection="0"/>
    <xf numFmtId="168" fontId="3" fillId="35" borderId="108" applyNumberFormat="0" applyAlignment="0" applyProtection="0"/>
    <xf numFmtId="168" fontId="3" fillId="35" borderId="102" applyNumberFormat="0" applyAlignment="0" applyProtection="0"/>
    <xf numFmtId="168" fontId="11" fillId="7" borderId="113" applyNumberFormat="0" applyAlignment="0" applyProtection="0"/>
    <xf numFmtId="168" fontId="3" fillId="35" borderId="102" applyNumberFormat="0" applyAlignment="0" applyProtection="0"/>
    <xf numFmtId="168" fontId="21" fillId="0" borderId="118" applyNumberFormat="0" applyFill="0" applyAlignment="0" applyProtection="0"/>
    <xf numFmtId="0" fontId="11" fillId="33" borderId="119" applyNumberFormat="0" applyAlignment="0" applyProtection="0"/>
    <xf numFmtId="0" fontId="3" fillId="35" borderId="102" applyNumberFormat="0" applyAlignment="0" applyProtection="0"/>
    <xf numFmtId="168" fontId="21" fillId="0" borderId="104" applyNumberFormat="0" applyFill="0" applyAlignment="0" applyProtection="0"/>
    <xf numFmtId="0" fontId="21" fillId="0" borderId="104" applyNumberFormat="0" applyFill="0" applyAlignment="0" applyProtection="0"/>
    <xf numFmtId="0" fontId="14" fillId="41" borderId="103" applyNumberFormat="0" applyAlignment="0" applyProtection="0"/>
    <xf numFmtId="0" fontId="21" fillId="0" borderId="104" applyNumberFormat="0" applyFill="0" applyAlignment="0" applyProtection="0"/>
    <xf numFmtId="0" fontId="14" fillId="41" borderId="103" applyNumberFormat="0" applyAlignment="0" applyProtection="0"/>
    <xf numFmtId="0" fontId="11" fillId="33" borderId="101" applyNumberFormat="0" applyAlignment="0" applyProtection="0"/>
    <xf numFmtId="0" fontId="11" fillId="33" borderId="101" applyNumberFormat="0" applyAlignment="0" applyProtection="0"/>
    <xf numFmtId="0" fontId="8" fillId="41" borderId="101" applyNumberFormat="0" applyAlignment="0" applyProtection="0"/>
    <xf numFmtId="0" fontId="11" fillId="33" borderId="101" applyNumberFormat="0" applyAlignment="0" applyProtection="0"/>
    <xf numFmtId="0" fontId="3" fillId="35" borderId="102" applyNumberFormat="0" applyAlignment="0" applyProtection="0"/>
    <xf numFmtId="0" fontId="21" fillId="0" borderId="104" applyNumberFormat="0" applyFill="0" applyAlignment="0" applyProtection="0"/>
    <xf numFmtId="0" fontId="21" fillId="0" borderId="104" applyNumberFormat="0" applyFill="0" applyAlignment="0" applyProtection="0"/>
    <xf numFmtId="0" fontId="8" fillId="41" borderId="101" applyNumberFormat="0" applyAlignment="0" applyProtection="0"/>
    <xf numFmtId="0" fontId="21" fillId="0" borderId="104" applyNumberFormat="0" applyFill="0" applyAlignment="0" applyProtection="0"/>
    <xf numFmtId="0" fontId="21" fillId="0" borderId="104" applyNumberFormat="0" applyFill="0" applyAlignment="0" applyProtection="0"/>
    <xf numFmtId="0" fontId="21" fillId="0" borderId="104" applyNumberFormat="0" applyFill="0" applyAlignment="0" applyProtection="0"/>
    <xf numFmtId="0" fontId="3" fillId="35" borderId="102" applyNumberFormat="0" applyAlignment="0" applyProtection="0"/>
    <xf numFmtId="0" fontId="11" fillId="33" borderId="101" applyNumberFormat="0" applyAlignment="0" applyProtection="0"/>
    <xf numFmtId="0" fontId="3" fillId="35" borderId="102" applyNumberFormat="0" applyAlignment="0" applyProtection="0"/>
    <xf numFmtId="0" fontId="14" fillId="41" borderId="103" applyNumberFormat="0" applyAlignment="0" applyProtection="0"/>
    <xf numFmtId="0" fontId="3" fillId="35" borderId="102" applyNumberFormat="0" applyAlignment="0" applyProtection="0"/>
    <xf numFmtId="0" fontId="21" fillId="0" borderId="104" applyNumberFormat="0" applyFill="0" applyAlignment="0" applyProtection="0"/>
    <xf numFmtId="0" fontId="21" fillId="0" borderId="104" applyNumberFormat="0" applyFill="0" applyAlignment="0" applyProtection="0"/>
    <xf numFmtId="0" fontId="8" fillId="20" borderId="101" applyNumberFormat="0" applyAlignment="0" applyProtection="0"/>
    <xf numFmtId="0" fontId="14" fillId="20" borderId="103" applyNumberFormat="0" applyAlignment="0" applyProtection="0"/>
    <xf numFmtId="168" fontId="3" fillId="35" borderId="114" applyNumberFormat="0" applyAlignment="0" applyProtection="0"/>
    <xf numFmtId="168" fontId="8" fillId="41" borderId="113" applyNumberFormat="0" applyAlignment="0" applyProtection="0"/>
    <xf numFmtId="168" fontId="11" fillId="33" borderId="101" applyNumberFormat="0" applyAlignment="0" applyProtection="0"/>
    <xf numFmtId="0" fontId="3" fillId="35" borderId="120" applyNumberFormat="0" applyAlignment="0" applyProtection="0"/>
    <xf numFmtId="168" fontId="3" fillId="35" borderId="108" applyNumberFormat="0" applyAlignment="0" applyProtection="0"/>
    <xf numFmtId="168" fontId="21" fillId="0" borderId="110" applyNumberFormat="0" applyFill="0" applyAlignment="0" applyProtection="0"/>
    <xf numFmtId="168" fontId="3" fillId="35" borderId="114" applyNumberFormat="0" applyAlignment="0" applyProtection="0"/>
    <xf numFmtId="0" fontId="14" fillId="20" borderId="121" applyNumberFormat="0" applyAlignment="0" applyProtection="0"/>
    <xf numFmtId="168" fontId="11" fillId="33" borderId="119" applyNumberFormat="0" applyAlignment="0" applyProtection="0"/>
    <xf numFmtId="168" fontId="3" fillId="35" borderId="108" applyNumberFormat="0" applyAlignment="0" applyProtection="0"/>
    <xf numFmtId="168" fontId="14" fillId="41" borderId="103" applyNumberFormat="0" applyAlignment="0" applyProtection="0"/>
    <xf numFmtId="168" fontId="8" fillId="41" borderId="113" applyNumberFormat="0" applyAlignment="0" applyProtection="0"/>
    <xf numFmtId="168" fontId="11" fillId="33" borderId="107" applyNumberFormat="0" applyAlignment="0" applyProtection="0"/>
    <xf numFmtId="168" fontId="8" fillId="41" borderId="107" applyNumberFormat="0" applyAlignment="0" applyProtection="0"/>
    <xf numFmtId="0" fontId="8" fillId="41" borderId="95" applyNumberFormat="0" applyAlignment="0" applyProtection="0"/>
    <xf numFmtId="0" fontId="11" fillId="33" borderId="95" applyNumberFormat="0" applyAlignment="0" applyProtection="0"/>
    <xf numFmtId="0" fontId="3" fillId="35" borderId="96" applyNumberFormat="0" applyAlignment="0" applyProtection="0"/>
    <xf numFmtId="0" fontId="14" fillId="41" borderId="97" applyNumberFormat="0" applyAlignment="0" applyProtection="0"/>
    <xf numFmtId="0" fontId="21" fillId="0" borderId="98" applyNumberFormat="0" applyFill="0" applyAlignment="0" applyProtection="0"/>
    <xf numFmtId="168" fontId="3" fillId="35" borderId="102" applyNumberFormat="0" applyAlignment="0" applyProtection="0"/>
    <xf numFmtId="168" fontId="21" fillId="0" borderId="104" applyNumberFormat="0" applyFill="0" applyAlignment="0" applyProtection="0"/>
    <xf numFmtId="168" fontId="21" fillId="0" borderId="104" applyNumberFormat="0" applyFill="0" applyAlignment="0" applyProtection="0"/>
    <xf numFmtId="168" fontId="14" fillId="41" borderId="103" applyNumberFormat="0" applyAlignment="0" applyProtection="0"/>
    <xf numFmtId="168" fontId="21" fillId="0" borderId="104" applyNumberFormat="0" applyFill="0" applyAlignment="0" applyProtection="0"/>
    <xf numFmtId="168" fontId="11" fillId="33" borderId="101" applyNumberFormat="0" applyAlignment="0" applyProtection="0"/>
    <xf numFmtId="168" fontId="3" fillId="35" borderId="108" applyNumberFormat="0" applyAlignment="0" applyProtection="0"/>
    <xf numFmtId="0" fontId="11" fillId="33" borderId="119" applyNumberFormat="0" applyAlignment="0" applyProtection="0"/>
    <xf numFmtId="168" fontId="14" fillId="20" borderId="109" applyNumberFormat="0" applyAlignment="0" applyProtection="0"/>
    <xf numFmtId="168" fontId="21" fillId="0" borderId="116" applyNumberFormat="0" applyFill="0" applyAlignment="0" applyProtection="0"/>
    <xf numFmtId="168" fontId="3" fillId="35" borderId="120" applyNumberFormat="0" applyAlignment="0" applyProtection="0"/>
    <xf numFmtId="168" fontId="8" fillId="41" borderId="107" applyNumberFormat="0" applyAlignment="0" applyProtection="0"/>
    <xf numFmtId="168" fontId="8" fillId="41" borderId="113" applyNumberFormat="0" applyAlignment="0" applyProtection="0"/>
    <xf numFmtId="168" fontId="11" fillId="33" borderId="107" applyNumberFormat="0" applyAlignment="0" applyProtection="0"/>
    <xf numFmtId="168" fontId="21" fillId="0" borderId="104" applyNumberFormat="0" applyFill="0" applyAlignment="0" applyProtection="0"/>
    <xf numFmtId="168" fontId="3" fillId="35" borderId="108" applyNumberFormat="0" applyAlignment="0" applyProtection="0"/>
    <xf numFmtId="168" fontId="21" fillId="0" borderId="110" applyNumberFormat="0" applyFill="0" applyAlignment="0" applyProtection="0"/>
    <xf numFmtId="168" fontId="3" fillId="35" borderId="114" applyNumberFormat="0" applyAlignment="0" applyProtection="0"/>
    <xf numFmtId="168" fontId="3" fillId="35" borderId="108" applyNumberFormat="0" applyAlignment="0" applyProtection="0"/>
    <xf numFmtId="0" fontId="21" fillId="0" borderId="124" applyNumberFormat="0" applyFill="0" applyAlignment="0" applyProtection="0"/>
    <xf numFmtId="168" fontId="21" fillId="0" borderId="116" applyNumberFormat="0" applyFill="0" applyAlignment="0" applyProtection="0"/>
    <xf numFmtId="0" fontId="11" fillId="33" borderId="119" applyNumberFormat="0" applyAlignment="0" applyProtection="0"/>
    <xf numFmtId="168" fontId="14" fillId="20" borderId="115" applyNumberFormat="0" applyAlignment="0" applyProtection="0"/>
    <xf numFmtId="168" fontId="21" fillId="0" borderId="122" applyNumberFormat="0" applyFill="0" applyAlignment="0" applyProtection="0"/>
    <xf numFmtId="168" fontId="8" fillId="41" borderId="101" applyNumberFormat="0" applyAlignment="0" applyProtection="0"/>
    <xf numFmtId="168" fontId="14" fillId="41" borderId="109" applyNumberFormat="0" applyAlignment="0" applyProtection="0"/>
    <xf numFmtId="168" fontId="3" fillId="35" borderId="108" applyNumberFormat="0" applyAlignment="0" applyProtection="0"/>
    <xf numFmtId="168" fontId="3" fillId="35" borderId="108" applyNumberFormat="0" applyAlignment="0" applyProtection="0"/>
    <xf numFmtId="168" fontId="11" fillId="33" borderId="107" applyNumberFormat="0" applyAlignment="0" applyProtection="0"/>
    <xf numFmtId="168" fontId="8" fillId="41" borderId="101" applyNumberFormat="0" applyAlignment="0" applyProtection="0"/>
    <xf numFmtId="168" fontId="3" fillId="35" borderId="114" applyNumberFormat="0" applyAlignment="0" applyProtection="0"/>
    <xf numFmtId="168" fontId="14" fillId="41" borderId="109" applyNumberFormat="0" applyAlignment="0" applyProtection="0"/>
    <xf numFmtId="0" fontId="8" fillId="41" borderId="101" applyNumberFormat="0" applyAlignment="0" applyProtection="0"/>
    <xf numFmtId="168" fontId="11" fillId="33" borderId="113" applyNumberFormat="0" applyAlignment="0" applyProtection="0"/>
    <xf numFmtId="168" fontId="14" fillId="41" borderId="115" applyNumberFormat="0" applyAlignment="0" applyProtection="0"/>
    <xf numFmtId="0" fontId="11" fillId="33" borderId="119" applyNumberFormat="0" applyAlignment="0" applyProtection="0"/>
    <xf numFmtId="168" fontId="14" fillId="41" borderId="109" applyNumberFormat="0" applyAlignment="0" applyProtection="0"/>
    <xf numFmtId="0" fontId="8" fillId="20" borderId="95" applyNumberFormat="0" applyAlignment="0" applyProtection="0"/>
    <xf numFmtId="0" fontId="8" fillId="20" borderId="95" applyNumberFormat="0" applyAlignment="0" applyProtection="0"/>
    <xf numFmtId="168" fontId="8" fillId="20" borderId="113" applyNumberFormat="0" applyAlignment="0" applyProtection="0"/>
    <xf numFmtId="168" fontId="3" fillId="35" borderId="114" applyNumberFormat="0" applyAlignment="0" applyProtection="0"/>
    <xf numFmtId="168" fontId="11" fillId="33" borderId="107" applyNumberFormat="0" applyAlignment="0" applyProtection="0"/>
    <xf numFmtId="168" fontId="11" fillId="33" borderId="119" applyNumberFormat="0" applyAlignment="0" applyProtection="0"/>
    <xf numFmtId="168" fontId="21" fillId="0" borderId="110" applyNumberFormat="0" applyFill="0" applyAlignment="0" applyProtection="0"/>
    <xf numFmtId="168" fontId="3" fillId="35" borderId="102" applyNumberFormat="0" applyAlignment="0" applyProtection="0"/>
    <xf numFmtId="0" fontId="11" fillId="7" borderId="95" applyNumberFormat="0" applyAlignment="0" applyProtection="0"/>
    <xf numFmtId="168" fontId="3" fillId="35" borderId="102" applyNumberFormat="0" applyAlignment="0" applyProtection="0"/>
    <xf numFmtId="168" fontId="8" fillId="41" borderId="113" applyNumberFormat="0" applyAlignment="0" applyProtection="0"/>
    <xf numFmtId="168" fontId="21" fillId="0" borderId="122" applyNumberFormat="0" applyFill="0" applyAlignment="0" applyProtection="0"/>
    <xf numFmtId="168" fontId="11" fillId="33" borderId="113" applyNumberFormat="0" applyAlignment="0" applyProtection="0"/>
    <xf numFmtId="168" fontId="14" fillId="20" borderId="103" applyNumberFormat="0" applyAlignment="0" applyProtection="0"/>
    <xf numFmtId="168" fontId="21" fillId="0" borderId="116" applyNumberFormat="0" applyFill="0" applyAlignment="0" applyProtection="0"/>
    <xf numFmtId="168" fontId="21" fillId="0" borderId="116" applyNumberFormat="0" applyFill="0" applyAlignment="0" applyProtection="0"/>
    <xf numFmtId="0" fontId="11" fillId="7" borderId="95" applyNumberFormat="0" applyAlignment="0" applyProtection="0"/>
    <xf numFmtId="168" fontId="21" fillId="0" borderId="116" applyNumberFormat="0" applyFill="0" applyAlignment="0" applyProtection="0"/>
    <xf numFmtId="168" fontId="11" fillId="33" borderId="107" applyNumberFormat="0" applyAlignment="0" applyProtection="0"/>
    <xf numFmtId="168" fontId="3" fillId="35" borderId="108" applyNumberFormat="0" applyAlignment="0" applyProtection="0"/>
    <xf numFmtId="0" fontId="3" fillId="23" borderId="99" applyNumberFormat="0" applyFont="0" applyAlignment="0" applyProtection="0"/>
    <xf numFmtId="0" fontId="3" fillId="23" borderId="99" applyNumberFormat="0" applyFont="0" applyAlignment="0" applyProtection="0"/>
    <xf numFmtId="0" fontId="14" fillId="20" borderId="97" applyNumberFormat="0" applyAlignment="0" applyProtection="0"/>
    <xf numFmtId="0" fontId="14" fillId="20" borderId="97" applyNumberFormat="0" applyAlignment="0" applyProtection="0"/>
    <xf numFmtId="168" fontId="14" fillId="41" borderId="109" applyNumberFormat="0" applyAlignment="0" applyProtection="0"/>
    <xf numFmtId="0" fontId="21" fillId="0" borderId="122" applyNumberFormat="0" applyFill="0" applyAlignment="0" applyProtection="0"/>
    <xf numFmtId="168" fontId="14" fillId="20" borderId="109" applyNumberFormat="0" applyAlignment="0" applyProtection="0"/>
    <xf numFmtId="168" fontId="11" fillId="33" borderId="101" applyNumberFormat="0" applyAlignment="0" applyProtection="0"/>
    <xf numFmtId="168" fontId="8" fillId="41" borderId="119" applyNumberFormat="0" applyAlignment="0" applyProtection="0"/>
    <xf numFmtId="0" fontId="21" fillId="0" borderId="100" applyNumberFormat="0" applyFill="0" applyAlignment="0" applyProtection="0"/>
    <xf numFmtId="168" fontId="11" fillId="7" borderId="101" applyNumberFormat="0" applyAlignment="0" applyProtection="0"/>
    <xf numFmtId="0" fontId="11" fillId="33" borderId="95" applyNumberFormat="0" applyAlignment="0" applyProtection="0"/>
    <xf numFmtId="0" fontId="8" fillId="41" borderId="95" applyNumberFormat="0" applyAlignment="0" applyProtection="0"/>
    <xf numFmtId="0" fontId="21" fillId="0" borderId="98" applyNumberFormat="0" applyFill="0" applyAlignment="0" applyProtection="0"/>
    <xf numFmtId="0" fontId="3" fillId="35" borderId="96" applyNumberFormat="0" applyAlignment="0" applyProtection="0"/>
    <xf numFmtId="0" fontId="21" fillId="0" borderId="98" applyNumberFormat="0" applyFill="0" applyAlignment="0" applyProtection="0"/>
    <xf numFmtId="0" fontId="14" fillId="41" borderId="97" applyNumberFormat="0" applyAlignment="0" applyProtection="0"/>
    <xf numFmtId="0" fontId="14" fillId="41" borderId="97" applyNumberFormat="0" applyAlignment="0" applyProtection="0"/>
    <xf numFmtId="0" fontId="14" fillId="41" borderId="97" applyNumberFormat="0" applyAlignment="0" applyProtection="0"/>
    <xf numFmtId="0" fontId="3" fillId="35" borderId="96" applyNumberFormat="0" applyAlignment="0" applyProtection="0"/>
    <xf numFmtId="0" fontId="14" fillId="41" borderId="97" applyNumberFormat="0" applyAlignment="0" applyProtection="0"/>
    <xf numFmtId="0" fontId="3" fillId="35" borderId="96" applyNumberFormat="0" applyAlignment="0" applyProtection="0"/>
    <xf numFmtId="0" fontId="3" fillId="35" borderId="96" applyNumberFormat="0" applyAlignment="0" applyProtection="0"/>
    <xf numFmtId="0" fontId="3" fillId="35" borderId="96" applyNumberFormat="0" applyAlignment="0" applyProtection="0"/>
    <xf numFmtId="0" fontId="8" fillId="41" borderId="95" applyNumberFormat="0" applyAlignment="0" applyProtection="0"/>
    <xf numFmtId="0" fontId="11" fillId="33" borderId="95" applyNumberFormat="0" applyAlignment="0" applyProtection="0"/>
    <xf numFmtId="0" fontId="8" fillId="41" borderId="95" applyNumberFormat="0" applyAlignment="0" applyProtection="0"/>
    <xf numFmtId="0" fontId="11" fillId="33" borderId="95" applyNumberFormat="0" applyAlignment="0" applyProtection="0"/>
    <xf numFmtId="0" fontId="8" fillId="41" borderId="95" applyNumberFormat="0" applyAlignment="0" applyProtection="0"/>
    <xf numFmtId="0" fontId="8" fillId="41" borderId="95" applyNumberFormat="0" applyAlignment="0" applyProtection="0"/>
    <xf numFmtId="0" fontId="11" fillId="33" borderId="95" applyNumberFormat="0" applyAlignment="0" applyProtection="0"/>
    <xf numFmtId="0" fontId="8" fillId="41" borderId="95" applyNumberFormat="0" applyAlignment="0" applyProtection="0"/>
    <xf numFmtId="0" fontId="11" fillId="33" borderId="95" applyNumberFormat="0" applyAlignment="0" applyProtection="0"/>
    <xf numFmtId="0" fontId="11" fillId="33" borderId="95" applyNumberFormat="0" applyAlignment="0" applyProtection="0"/>
    <xf numFmtId="0" fontId="8" fillId="41" borderId="95" applyNumberFormat="0" applyAlignment="0" applyProtection="0"/>
    <xf numFmtId="0" fontId="8" fillId="41" borderId="95" applyNumberFormat="0" applyAlignment="0" applyProtection="0"/>
    <xf numFmtId="0" fontId="8" fillId="41" borderId="95" applyNumberFormat="0" applyAlignment="0" applyProtection="0"/>
    <xf numFmtId="0" fontId="11" fillId="33" borderId="95" applyNumberFormat="0" applyAlignment="0" applyProtection="0"/>
    <xf numFmtId="0" fontId="8" fillId="41" borderId="95" applyNumberFormat="0" applyAlignment="0" applyProtection="0"/>
    <xf numFmtId="0" fontId="8" fillId="41" borderId="95" applyNumberFormat="0" applyAlignment="0" applyProtection="0"/>
    <xf numFmtId="0" fontId="3" fillId="35" borderId="96" applyNumberFormat="0" applyAlignment="0" applyProtection="0"/>
    <xf numFmtId="0" fontId="3" fillId="35" borderId="96" applyNumberFormat="0" applyAlignment="0" applyProtection="0"/>
    <xf numFmtId="0" fontId="3" fillId="35" borderId="96" applyNumberFormat="0" applyAlignment="0" applyProtection="0"/>
    <xf numFmtId="0" fontId="14" fillId="41" borderId="97" applyNumberFormat="0" applyAlignment="0" applyProtection="0"/>
    <xf numFmtId="0" fontId="14" fillId="41" borderId="97" applyNumberFormat="0" applyAlignment="0" applyProtection="0"/>
    <xf numFmtId="0" fontId="14" fillId="41" borderId="97" applyNumberFormat="0" applyAlignment="0" applyProtection="0"/>
    <xf numFmtId="0" fontId="3" fillId="35" borderId="96" applyNumberFormat="0" applyAlignment="0" applyProtection="0"/>
    <xf numFmtId="0" fontId="14" fillId="41" borderId="97" applyNumberFormat="0" applyAlignment="0" applyProtection="0"/>
    <xf numFmtId="0" fontId="14" fillId="41" borderId="97" applyNumberFormat="0" applyAlignment="0" applyProtection="0"/>
    <xf numFmtId="0" fontId="11" fillId="33" borderId="95" applyNumberFormat="0" applyAlignment="0" applyProtection="0"/>
    <xf numFmtId="0" fontId="11" fillId="33" borderId="95" applyNumberFormat="0" applyAlignment="0" applyProtection="0"/>
    <xf numFmtId="0" fontId="21" fillId="0" borderId="98" applyNumberFormat="0" applyFill="0" applyAlignment="0" applyProtection="0"/>
    <xf numFmtId="0" fontId="11" fillId="33" borderId="95" applyNumberFormat="0" applyAlignment="0" applyProtection="0"/>
    <xf numFmtId="0" fontId="11" fillId="33" borderId="95" applyNumberFormat="0" applyAlignment="0" applyProtection="0"/>
    <xf numFmtId="0" fontId="21" fillId="0" borderId="98" applyNumberFormat="0" applyFill="0" applyAlignment="0" applyProtection="0"/>
    <xf numFmtId="0" fontId="11" fillId="33" borderId="95" applyNumberFormat="0" applyAlignment="0" applyProtection="0"/>
    <xf numFmtId="0" fontId="11" fillId="33" borderId="95" applyNumberFormat="0" applyAlignment="0" applyProtection="0"/>
    <xf numFmtId="0" fontId="21" fillId="0" borderId="98" applyNumberFormat="0" applyFill="0" applyAlignment="0" applyProtection="0"/>
    <xf numFmtId="0" fontId="21" fillId="0" borderId="98" applyNumberFormat="0" applyFill="0" applyAlignment="0" applyProtection="0"/>
    <xf numFmtId="0" fontId="3" fillId="35" borderId="96" applyNumberFormat="0" applyAlignment="0" applyProtection="0"/>
    <xf numFmtId="0" fontId="21" fillId="0" borderId="98" applyNumberFormat="0" applyFill="0" applyAlignment="0" applyProtection="0"/>
    <xf numFmtId="0" fontId="3" fillId="35" borderId="96" applyNumberFormat="0" applyAlignment="0" applyProtection="0"/>
    <xf numFmtId="0" fontId="14" fillId="41" borderId="97" applyNumberFormat="0" applyAlignment="0" applyProtection="0"/>
    <xf numFmtId="0" fontId="21" fillId="0" borderId="98" applyNumberFormat="0" applyFill="0" applyAlignment="0" applyProtection="0"/>
    <xf numFmtId="0" fontId="3" fillId="35" borderId="96" applyNumberFormat="0" applyAlignment="0" applyProtection="0"/>
    <xf numFmtId="0" fontId="21" fillId="0" borderId="98" applyNumberFormat="0" applyFill="0" applyAlignment="0" applyProtection="0"/>
    <xf numFmtId="0" fontId="14" fillId="41" borderId="97" applyNumberFormat="0" applyAlignment="0" applyProtection="0"/>
    <xf numFmtId="0" fontId="8" fillId="41" borderId="95" applyNumberFormat="0" applyAlignment="0" applyProtection="0"/>
    <xf numFmtId="0" fontId="14" fillId="41" borderId="97" applyNumberFormat="0" applyAlignment="0" applyProtection="0"/>
    <xf numFmtId="0" fontId="21" fillId="0" borderId="98" applyNumberFormat="0" applyFill="0" applyAlignment="0" applyProtection="0"/>
    <xf numFmtId="0" fontId="3" fillId="35" borderId="96" applyNumberFormat="0" applyAlignment="0" applyProtection="0"/>
    <xf numFmtId="0" fontId="21" fillId="0" borderId="98" applyNumberFormat="0" applyFill="0" applyAlignment="0" applyProtection="0"/>
    <xf numFmtId="0" fontId="14" fillId="41" borderId="97" applyNumberFormat="0" applyAlignment="0" applyProtection="0"/>
    <xf numFmtId="0" fontId="8" fillId="41" borderId="95" applyNumberFormat="0" applyAlignment="0" applyProtection="0"/>
    <xf numFmtId="0" fontId="21" fillId="0" borderId="98" applyNumberFormat="0" applyFill="0" applyAlignment="0" applyProtection="0"/>
    <xf numFmtId="0" fontId="14" fillId="41" borderId="97" applyNumberFormat="0" applyAlignment="0" applyProtection="0"/>
    <xf numFmtId="0" fontId="21" fillId="0" borderId="98" applyNumberFormat="0" applyFill="0" applyAlignment="0" applyProtection="0"/>
    <xf numFmtId="0" fontId="3" fillId="35" borderId="96" applyNumberFormat="0" applyAlignment="0" applyProtection="0"/>
    <xf numFmtId="0" fontId="3" fillId="35" borderId="96" applyNumberFormat="0" applyAlignment="0" applyProtection="0"/>
    <xf numFmtId="0" fontId="3" fillId="35" borderId="96" applyNumberFormat="0" applyAlignment="0" applyProtection="0"/>
    <xf numFmtId="0" fontId="14" fillId="41" borderId="97" applyNumberFormat="0" applyAlignment="0" applyProtection="0"/>
    <xf numFmtId="0" fontId="8" fillId="41" borderId="95" applyNumberFormat="0" applyAlignment="0" applyProtection="0"/>
    <xf numFmtId="0" fontId="11" fillId="33" borderId="95" applyNumberFormat="0" applyAlignment="0" applyProtection="0"/>
    <xf numFmtId="0" fontId="3" fillId="35" borderId="96" applyNumberFormat="0" applyAlignment="0" applyProtection="0"/>
    <xf numFmtId="0" fontId="8" fillId="41" borderId="95" applyNumberFormat="0" applyAlignment="0" applyProtection="0"/>
    <xf numFmtId="0" fontId="8" fillId="41" borderId="95" applyNumberFormat="0" applyAlignment="0" applyProtection="0"/>
    <xf numFmtId="0" fontId="11" fillId="33" borderId="95" applyNumberFormat="0" applyAlignment="0" applyProtection="0"/>
    <xf numFmtId="0" fontId="8" fillId="41" borderId="95" applyNumberFormat="0" applyAlignment="0" applyProtection="0"/>
    <xf numFmtId="0" fontId="8" fillId="41" borderId="95" applyNumberFormat="0" applyAlignment="0" applyProtection="0"/>
    <xf numFmtId="0" fontId="8" fillId="41" borderId="95" applyNumberFormat="0" applyAlignment="0" applyProtection="0"/>
    <xf numFmtId="0" fontId="8" fillId="41" borderId="95" applyNumberFormat="0" applyAlignment="0" applyProtection="0"/>
    <xf numFmtId="0" fontId="11" fillId="33" borderId="95" applyNumberFormat="0" applyAlignment="0" applyProtection="0"/>
    <xf numFmtId="0" fontId="8" fillId="41" borderId="95" applyNumberFormat="0" applyAlignment="0" applyProtection="0"/>
    <xf numFmtId="0" fontId="11" fillId="33" borderId="95" applyNumberFormat="0" applyAlignment="0" applyProtection="0"/>
    <xf numFmtId="0" fontId="8" fillId="41" borderId="95" applyNumberFormat="0" applyAlignment="0" applyProtection="0"/>
    <xf numFmtId="0" fontId="11" fillId="33" borderId="95" applyNumberFormat="0" applyAlignment="0" applyProtection="0"/>
    <xf numFmtId="0" fontId="11" fillId="33" borderId="95" applyNumberFormat="0" applyAlignment="0" applyProtection="0"/>
    <xf numFmtId="0" fontId="3" fillId="35" borderId="96" applyNumberFormat="0" applyAlignment="0" applyProtection="0"/>
    <xf numFmtId="0" fontId="3" fillId="35" borderId="96" applyNumberFormat="0" applyAlignment="0" applyProtection="0"/>
    <xf numFmtId="0" fontId="3" fillId="35" borderId="96" applyNumberFormat="0" applyAlignment="0" applyProtection="0"/>
    <xf numFmtId="0" fontId="14" fillId="41" borderId="97" applyNumberFormat="0" applyAlignment="0" applyProtection="0"/>
    <xf numFmtId="0" fontId="14" fillId="41" borderId="97" applyNumberFormat="0" applyAlignment="0" applyProtection="0"/>
    <xf numFmtId="0" fontId="14" fillId="41" borderId="97" applyNumberFormat="0" applyAlignment="0" applyProtection="0"/>
    <xf numFmtId="0" fontId="14" fillId="41" borderId="97" applyNumberFormat="0" applyAlignment="0" applyProtection="0"/>
    <xf numFmtId="0" fontId="11" fillId="33" borderId="95" applyNumberFormat="0" applyAlignment="0" applyProtection="0"/>
    <xf numFmtId="0" fontId="21" fillId="0" borderId="98" applyNumberFormat="0" applyFill="0" applyAlignment="0" applyProtection="0"/>
    <xf numFmtId="0" fontId="3" fillId="35" borderId="96" applyNumberFormat="0" applyAlignment="0" applyProtection="0"/>
    <xf numFmtId="0" fontId="21" fillId="0" borderId="98" applyNumberFormat="0" applyFill="0" applyAlignment="0" applyProtection="0"/>
    <xf numFmtId="0" fontId="14" fillId="41" borderId="97" applyNumberFormat="0" applyAlignment="0" applyProtection="0"/>
    <xf numFmtId="0" fontId="11" fillId="33" borderId="95" applyNumberFormat="0" applyAlignment="0" applyProtection="0"/>
    <xf numFmtId="0" fontId="3" fillId="35" borderId="96" applyNumberFormat="0" applyAlignment="0" applyProtection="0"/>
    <xf numFmtId="0" fontId="21" fillId="0" borderId="98" applyNumberFormat="0" applyFill="0" applyAlignment="0" applyProtection="0"/>
    <xf numFmtId="0" fontId="14" fillId="41" borderId="97" applyNumberFormat="0" applyAlignment="0" applyProtection="0"/>
    <xf numFmtId="0" fontId="14" fillId="41" borderId="97" applyNumberFormat="0" applyAlignment="0" applyProtection="0"/>
    <xf numFmtId="0" fontId="21" fillId="0" borderId="98" applyNumberFormat="0" applyFill="0" applyAlignment="0" applyProtection="0"/>
    <xf numFmtId="0" fontId="11" fillId="33" borderId="95" applyNumberFormat="0" applyAlignment="0" applyProtection="0"/>
    <xf numFmtId="0" fontId="21" fillId="0" borderId="98" applyNumberFormat="0" applyFill="0" applyAlignment="0" applyProtection="0"/>
    <xf numFmtId="0" fontId="21" fillId="0" borderId="98" applyNumberFormat="0" applyFill="0" applyAlignment="0" applyProtection="0"/>
    <xf numFmtId="0" fontId="21" fillId="0" borderId="98" applyNumberFormat="0" applyFill="0" applyAlignment="0" applyProtection="0"/>
    <xf numFmtId="0" fontId="21" fillId="0" borderId="98" applyNumberFormat="0" applyFill="0" applyAlignment="0" applyProtection="0"/>
    <xf numFmtId="0" fontId="21" fillId="0" borderId="98" applyNumberFormat="0" applyFill="0" applyAlignment="0" applyProtection="0"/>
    <xf numFmtId="168" fontId="14" fillId="41" borderId="109" applyNumberFormat="0" applyAlignment="0" applyProtection="0"/>
    <xf numFmtId="0" fontId="8" fillId="20" borderId="95" applyNumberFormat="0" applyAlignment="0" applyProtection="0"/>
    <xf numFmtId="0" fontId="8" fillId="20" borderId="95" applyNumberFormat="0" applyAlignment="0" applyProtection="0"/>
    <xf numFmtId="0" fontId="11" fillId="7" borderId="95" applyNumberFormat="0" applyAlignment="0" applyProtection="0"/>
    <xf numFmtId="0" fontId="11" fillId="7" borderId="95" applyNumberFormat="0" applyAlignment="0" applyProtection="0"/>
    <xf numFmtId="0" fontId="14" fillId="20" borderId="97" applyNumberFormat="0" applyAlignment="0" applyProtection="0"/>
    <xf numFmtId="0" fontId="14" fillId="20" borderId="97" applyNumberFormat="0" applyAlignment="0" applyProtection="0"/>
    <xf numFmtId="168" fontId="8" fillId="41" borderId="119" applyNumberFormat="0" applyAlignment="0" applyProtection="0"/>
    <xf numFmtId="0" fontId="11" fillId="33" borderId="119" applyNumberFormat="0" applyAlignment="0" applyProtection="0"/>
    <xf numFmtId="0" fontId="11" fillId="33" borderId="101" applyNumberFormat="0" applyAlignment="0" applyProtection="0"/>
    <xf numFmtId="0" fontId="8" fillId="41" borderId="101" applyNumberFormat="0" applyAlignment="0" applyProtection="0"/>
    <xf numFmtId="168" fontId="14" fillId="41" borderId="115" applyNumberFormat="0" applyAlignment="0" applyProtection="0"/>
    <xf numFmtId="0" fontId="8" fillId="41" borderId="101" applyNumberFormat="0" applyAlignment="0" applyProtection="0"/>
    <xf numFmtId="0" fontId="3" fillId="35" borderId="102" applyNumberFormat="0" applyAlignment="0" applyProtection="0"/>
    <xf numFmtId="0" fontId="3" fillId="35" borderId="102" applyNumberFormat="0" applyAlignment="0" applyProtection="0"/>
    <xf numFmtId="0" fontId="21" fillId="0" borderId="104" applyNumberFormat="0" applyFill="0" applyAlignment="0" applyProtection="0"/>
    <xf numFmtId="0" fontId="21" fillId="0" borderId="104" applyNumberFormat="0" applyFill="0" applyAlignment="0" applyProtection="0"/>
    <xf numFmtId="0" fontId="14" fillId="41" borderId="103" applyNumberFormat="0" applyAlignment="0" applyProtection="0"/>
    <xf numFmtId="0" fontId="3" fillId="35" borderId="102" applyNumberFormat="0" applyAlignment="0" applyProtection="0"/>
    <xf numFmtId="0" fontId="21" fillId="0" borderId="104" applyNumberFormat="0" applyFill="0" applyAlignment="0" applyProtection="0"/>
    <xf numFmtId="0" fontId="11" fillId="33" borderId="101" applyNumberFormat="0" applyAlignment="0" applyProtection="0"/>
    <xf numFmtId="0" fontId="14" fillId="41" borderId="103" applyNumberFormat="0" applyAlignment="0" applyProtection="0"/>
    <xf numFmtId="168" fontId="21" fillId="0" borderId="104" applyNumberFormat="0" applyFill="0" applyAlignment="0" applyProtection="0"/>
    <xf numFmtId="168" fontId="8" fillId="20" borderId="101" applyNumberFormat="0" applyAlignment="0" applyProtection="0"/>
    <xf numFmtId="168" fontId="8" fillId="41" borderId="101" applyNumberFormat="0" applyAlignment="0" applyProtection="0"/>
    <xf numFmtId="168" fontId="3" fillId="35" borderId="102" applyNumberFormat="0" applyAlignment="0" applyProtection="0"/>
    <xf numFmtId="168" fontId="11" fillId="33" borderId="101" applyNumberFormat="0" applyAlignment="0" applyProtection="0"/>
    <xf numFmtId="168" fontId="8" fillId="41" borderId="101" applyNumberFormat="0" applyAlignment="0" applyProtection="0"/>
    <xf numFmtId="168" fontId="11" fillId="7" borderId="101" applyNumberFormat="0" applyAlignment="0" applyProtection="0"/>
    <xf numFmtId="168" fontId="11" fillId="33" borderId="113" applyNumberFormat="0" applyAlignment="0" applyProtection="0"/>
    <xf numFmtId="168" fontId="21" fillId="0" borderId="104" applyNumberFormat="0" applyFill="0" applyAlignment="0" applyProtection="0"/>
    <xf numFmtId="168" fontId="21" fillId="0" borderId="104" applyNumberFormat="0" applyFill="0" applyAlignment="0" applyProtection="0"/>
    <xf numFmtId="168" fontId="21" fillId="0" borderId="104" applyNumberFormat="0" applyFill="0" applyAlignment="0" applyProtection="0"/>
    <xf numFmtId="168" fontId="11" fillId="33" borderId="101" applyNumberFormat="0" applyAlignment="0" applyProtection="0"/>
    <xf numFmtId="168" fontId="14" fillId="41" borderId="103" applyNumberFormat="0" applyAlignment="0" applyProtection="0"/>
    <xf numFmtId="168" fontId="21" fillId="0" borderId="104" applyNumberFormat="0" applyFill="0" applyAlignment="0" applyProtection="0"/>
    <xf numFmtId="168" fontId="3" fillId="35" borderId="102" applyNumberFormat="0" applyAlignment="0" applyProtection="0"/>
    <xf numFmtId="168" fontId="21" fillId="0" borderId="104" applyNumberFormat="0" applyFill="0" applyAlignment="0" applyProtection="0"/>
    <xf numFmtId="168" fontId="11" fillId="33" borderId="101" applyNumberFormat="0" applyAlignment="0" applyProtection="0"/>
    <xf numFmtId="168" fontId="14" fillId="41" borderId="103" applyNumberFormat="0" applyAlignment="0" applyProtection="0"/>
    <xf numFmtId="168" fontId="14" fillId="41" borderId="103" applyNumberFormat="0" applyAlignment="0" applyProtection="0"/>
    <xf numFmtId="168" fontId="14" fillId="41" borderId="103" applyNumberFormat="0" applyAlignment="0" applyProtection="0"/>
    <xf numFmtId="168" fontId="11" fillId="33" borderId="101" applyNumberFormat="0" applyAlignment="0" applyProtection="0"/>
    <xf numFmtId="168" fontId="11" fillId="33" borderId="101" applyNumberFormat="0" applyAlignment="0" applyProtection="0"/>
    <xf numFmtId="168" fontId="11" fillId="33" borderId="101" applyNumberFormat="0" applyAlignment="0" applyProtection="0"/>
    <xf numFmtId="168" fontId="8" fillId="41" borderId="101" applyNumberFormat="0" applyAlignment="0" applyProtection="0"/>
    <xf numFmtId="168" fontId="8" fillId="41" borderId="101" applyNumberFormat="0" applyAlignment="0" applyProtection="0"/>
    <xf numFmtId="168" fontId="8" fillId="41" borderId="101" applyNumberFormat="0" applyAlignment="0" applyProtection="0"/>
    <xf numFmtId="168" fontId="8" fillId="41" borderId="101" applyNumberFormat="0" applyAlignment="0" applyProtection="0"/>
    <xf numFmtId="168" fontId="11" fillId="33" borderId="101" applyNumberFormat="0" applyAlignment="0" applyProtection="0"/>
    <xf numFmtId="168" fontId="8" fillId="41" borderId="101" applyNumberFormat="0" applyAlignment="0" applyProtection="0"/>
    <xf numFmtId="168" fontId="14" fillId="41" borderId="103" applyNumberFormat="0" applyAlignment="0" applyProtection="0"/>
    <xf numFmtId="168" fontId="3" fillId="35" borderId="102" applyNumberFormat="0" applyAlignment="0" applyProtection="0"/>
    <xf numFmtId="168" fontId="3" fillId="35" borderId="102" applyNumberFormat="0" applyAlignment="0" applyProtection="0"/>
    <xf numFmtId="168" fontId="3" fillId="35" borderId="102" applyNumberFormat="0" applyAlignment="0" applyProtection="0"/>
    <xf numFmtId="168" fontId="21" fillId="0" borderId="104" applyNumberFormat="0" applyFill="0" applyAlignment="0" applyProtection="0"/>
    <xf numFmtId="168" fontId="14" fillId="41" borderId="103" applyNumberFormat="0" applyAlignment="0" applyProtection="0"/>
    <xf numFmtId="168" fontId="21" fillId="0" borderId="104" applyNumberFormat="0" applyFill="0" applyAlignment="0" applyProtection="0"/>
    <xf numFmtId="168" fontId="8" fillId="41" borderId="101" applyNumberFormat="0" applyAlignment="0" applyProtection="0"/>
    <xf numFmtId="168" fontId="3" fillId="35" borderId="102" applyNumberFormat="0" applyAlignment="0" applyProtection="0"/>
    <xf numFmtId="168" fontId="21" fillId="0" borderId="104" applyNumberFormat="0" applyFill="0" applyAlignment="0" applyProtection="0"/>
    <xf numFmtId="168" fontId="21" fillId="0" borderId="104" applyNumberFormat="0" applyFill="0" applyAlignment="0" applyProtection="0"/>
    <xf numFmtId="168" fontId="3" fillId="35" borderId="102" applyNumberFormat="0" applyAlignment="0" applyProtection="0"/>
    <xf numFmtId="168" fontId="21" fillId="0" borderId="104" applyNumberFormat="0" applyFill="0" applyAlignment="0" applyProtection="0"/>
    <xf numFmtId="168" fontId="21" fillId="0" borderId="104" applyNumberFormat="0" applyFill="0" applyAlignment="0" applyProtection="0"/>
    <xf numFmtId="0" fontId="8" fillId="20" borderId="101" applyNumberFormat="0" applyAlignment="0" applyProtection="0"/>
    <xf numFmtId="168" fontId="11" fillId="33" borderId="113" applyNumberFormat="0" applyAlignment="0" applyProtection="0"/>
    <xf numFmtId="168" fontId="21" fillId="0" borderId="104" applyNumberFormat="0" applyFill="0" applyAlignment="0" applyProtection="0"/>
    <xf numFmtId="168" fontId="14" fillId="41" borderId="109" applyNumberFormat="0" applyAlignment="0" applyProtection="0"/>
    <xf numFmtId="168" fontId="21" fillId="0" borderId="116" applyNumberFormat="0" applyFill="0" applyAlignment="0" applyProtection="0"/>
    <xf numFmtId="168" fontId="11" fillId="33" borderId="113" applyNumberFormat="0" applyAlignment="0" applyProtection="0"/>
    <xf numFmtId="168" fontId="21" fillId="0" borderId="116" applyNumberFormat="0" applyFill="0" applyAlignment="0" applyProtection="0"/>
    <xf numFmtId="168" fontId="14" fillId="41" borderId="115" applyNumberFormat="0" applyAlignment="0" applyProtection="0"/>
    <xf numFmtId="168" fontId="21" fillId="0" borderId="116" applyNumberFormat="0" applyFill="0" applyAlignment="0" applyProtection="0"/>
    <xf numFmtId="168" fontId="21" fillId="0" borderId="116" applyNumberFormat="0" applyFill="0" applyAlignment="0" applyProtection="0"/>
    <xf numFmtId="168" fontId="3" fillId="35" borderId="114" applyNumberFormat="0" applyAlignment="0" applyProtection="0"/>
    <xf numFmtId="0" fontId="11" fillId="7" borderId="101" applyNumberFormat="0" applyAlignment="0" applyProtection="0"/>
    <xf numFmtId="168" fontId="8" fillId="41" borderId="113" applyNumberFormat="0" applyAlignment="0" applyProtection="0"/>
    <xf numFmtId="0" fontId="21" fillId="0" borderId="104" applyNumberFormat="0" applyFill="0" applyAlignment="0" applyProtection="0"/>
    <xf numFmtId="0" fontId="14" fillId="41" borderId="103" applyNumberFormat="0" applyAlignment="0" applyProtection="0"/>
    <xf numFmtId="0" fontId="11" fillId="33" borderId="101" applyNumberFormat="0" applyAlignment="0" applyProtection="0"/>
    <xf numFmtId="0" fontId="3" fillId="35" borderId="102" applyNumberFormat="0" applyAlignment="0" applyProtection="0"/>
    <xf numFmtId="0" fontId="11" fillId="33" borderId="101" applyNumberFormat="0" applyAlignment="0" applyProtection="0"/>
    <xf numFmtId="0" fontId="14" fillId="41" borderId="103" applyNumberFormat="0" applyAlignment="0" applyProtection="0"/>
    <xf numFmtId="0" fontId="14" fillId="41" borderId="103" applyNumberFormat="0" applyAlignment="0" applyProtection="0"/>
    <xf numFmtId="0" fontId="3" fillId="35" borderId="102" applyNumberFormat="0" applyAlignment="0" applyProtection="0"/>
    <xf numFmtId="0" fontId="11" fillId="33" borderId="101" applyNumberFormat="0" applyAlignment="0" applyProtection="0"/>
    <xf numFmtId="0" fontId="11" fillId="33" borderId="101" applyNumberFormat="0" applyAlignment="0" applyProtection="0"/>
    <xf numFmtId="0" fontId="8" fillId="41" borderId="101" applyNumberFormat="0" applyAlignment="0" applyProtection="0"/>
    <xf numFmtId="0" fontId="8" fillId="41" borderId="101" applyNumberFormat="0" applyAlignment="0" applyProtection="0"/>
    <xf numFmtId="0" fontId="8" fillId="41" borderId="101" applyNumberFormat="0" applyAlignment="0" applyProtection="0"/>
    <xf numFmtId="0" fontId="3" fillId="35" borderId="102" applyNumberFormat="0" applyAlignment="0" applyProtection="0"/>
    <xf numFmtId="0" fontId="8" fillId="41" borderId="101" applyNumberFormat="0" applyAlignment="0" applyProtection="0"/>
    <xf numFmtId="0" fontId="3" fillId="35" borderId="102" applyNumberFormat="0" applyAlignment="0" applyProtection="0"/>
    <xf numFmtId="0" fontId="14" fillId="41" borderId="103" applyNumberFormat="0" applyAlignment="0" applyProtection="0"/>
    <xf numFmtId="0" fontId="14" fillId="41" borderId="103" applyNumberFormat="0" applyAlignment="0" applyProtection="0"/>
    <xf numFmtId="0" fontId="3" fillId="35" borderId="102" applyNumberFormat="0" applyAlignment="0" applyProtection="0"/>
    <xf numFmtId="0" fontId="14" fillId="41" borderId="103" applyNumberFormat="0" applyAlignment="0" applyProtection="0"/>
    <xf numFmtId="0" fontId="21" fillId="0" borderId="104" applyNumberFormat="0" applyFill="0" applyAlignment="0" applyProtection="0"/>
    <xf numFmtId="0" fontId="21" fillId="0" borderId="104" applyNumberFormat="0" applyFill="0" applyAlignment="0" applyProtection="0"/>
    <xf numFmtId="0" fontId="11" fillId="33" borderId="101" applyNumberFormat="0" applyAlignment="0" applyProtection="0"/>
    <xf numFmtId="0" fontId="11" fillId="33" borderId="101" applyNumberFormat="0" applyAlignment="0" applyProtection="0"/>
    <xf numFmtId="0" fontId="14" fillId="41" borderId="103" applyNumberFormat="0" applyAlignment="0" applyProtection="0"/>
    <xf numFmtId="0" fontId="3" fillId="35" borderId="102" applyNumberFormat="0" applyAlignment="0" applyProtection="0"/>
    <xf numFmtId="0" fontId="11" fillId="33" borderId="101" applyNumberFormat="0" applyAlignment="0" applyProtection="0"/>
    <xf numFmtId="0" fontId="8" fillId="41" borderId="101" applyNumberFormat="0" applyAlignment="0" applyProtection="0"/>
    <xf numFmtId="0" fontId="11" fillId="33" borderId="101" applyNumberFormat="0" applyAlignment="0" applyProtection="0"/>
    <xf numFmtId="0" fontId="11" fillId="33" borderId="101" applyNumberFormat="0" applyAlignment="0" applyProtection="0"/>
    <xf numFmtId="0" fontId="8" fillId="41" borderId="101" applyNumberFormat="0" applyAlignment="0" applyProtection="0"/>
    <xf numFmtId="0" fontId="8" fillId="41" borderId="101" applyNumberFormat="0" applyAlignment="0" applyProtection="0"/>
    <xf numFmtId="0" fontId="8" fillId="41" borderId="101" applyNumberFormat="0" applyAlignment="0" applyProtection="0"/>
    <xf numFmtId="0" fontId="3" fillId="35" borderId="102" applyNumberFormat="0" applyAlignment="0" applyProtection="0"/>
    <xf numFmtId="0" fontId="3" fillId="35" borderId="102" applyNumberFormat="0" applyAlignment="0" applyProtection="0"/>
    <xf numFmtId="0" fontId="3" fillId="35" borderId="102" applyNumberFormat="0" applyAlignment="0" applyProtection="0"/>
    <xf numFmtId="168" fontId="3" fillId="23" borderId="111" applyNumberFormat="0" applyFont="0" applyAlignment="0" applyProtection="0"/>
    <xf numFmtId="168" fontId="8" fillId="41" borderId="107" applyNumberFormat="0" applyAlignment="0" applyProtection="0"/>
    <xf numFmtId="168" fontId="11" fillId="33" borderId="107" applyNumberFormat="0" applyAlignment="0" applyProtection="0"/>
    <xf numFmtId="168" fontId="14" fillId="41" borderId="109" applyNumberFormat="0" applyAlignment="0" applyProtection="0"/>
    <xf numFmtId="168" fontId="8" fillId="41" borderId="119" applyNumberFormat="0" applyAlignment="0" applyProtection="0"/>
    <xf numFmtId="168" fontId="21" fillId="0" borderId="122" applyNumberFormat="0" applyFill="0" applyAlignment="0" applyProtection="0"/>
    <xf numFmtId="168" fontId="21" fillId="0" borderId="116" applyNumberFormat="0" applyFill="0" applyAlignment="0" applyProtection="0"/>
    <xf numFmtId="168" fontId="11" fillId="7" borderId="113" applyNumberFormat="0" applyAlignment="0" applyProtection="0"/>
    <xf numFmtId="168" fontId="3" fillId="35" borderId="114" applyNumberFormat="0" applyAlignment="0" applyProtection="0"/>
    <xf numFmtId="168" fontId="3" fillId="35" borderId="114" applyNumberFormat="0" applyAlignment="0" applyProtection="0"/>
    <xf numFmtId="168" fontId="14" fillId="41" borderId="115" applyNumberFormat="0" applyAlignment="0" applyProtection="0"/>
    <xf numFmtId="0" fontId="14" fillId="41" borderId="121" applyNumberFormat="0" applyAlignment="0" applyProtection="0"/>
    <xf numFmtId="0" fontId="11" fillId="33" borderId="119" applyNumberFormat="0" applyAlignment="0" applyProtection="0"/>
    <xf numFmtId="168" fontId="14" fillId="20" borderId="103" applyNumberFormat="0" applyAlignment="0" applyProtection="0"/>
    <xf numFmtId="168" fontId="11" fillId="33" borderId="101" applyNumberFormat="0" applyAlignment="0" applyProtection="0"/>
    <xf numFmtId="168" fontId="14" fillId="20" borderId="103" applyNumberFormat="0" applyAlignment="0" applyProtection="0"/>
    <xf numFmtId="168" fontId="11" fillId="33" borderId="113" applyNumberFormat="0" applyAlignment="0" applyProtection="0"/>
    <xf numFmtId="168" fontId="21" fillId="0" borderId="110" applyNumberFormat="0" applyFill="0" applyAlignment="0" applyProtection="0"/>
    <xf numFmtId="168" fontId="14" fillId="41" borderId="115" applyNumberFormat="0" applyAlignment="0" applyProtection="0"/>
    <xf numFmtId="168" fontId="8" fillId="41" borderId="107" applyNumberFormat="0" applyAlignment="0" applyProtection="0"/>
    <xf numFmtId="0" fontId="3" fillId="35" borderId="120" applyNumberFormat="0" applyAlignment="0" applyProtection="0"/>
    <xf numFmtId="168" fontId="21" fillId="0" borderId="116" applyNumberFormat="0" applyFill="0" applyAlignment="0" applyProtection="0"/>
    <xf numFmtId="168" fontId="21" fillId="0" borderId="116" applyNumberFormat="0" applyFill="0" applyAlignment="0" applyProtection="0"/>
    <xf numFmtId="168" fontId="8" fillId="20" borderId="107" applyNumberFormat="0" applyAlignment="0" applyProtection="0"/>
    <xf numFmtId="168" fontId="8" fillId="20" borderId="107" applyNumberFormat="0" applyAlignment="0" applyProtection="0"/>
    <xf numFmtId="168" fontId="14" fillId="41" borderId="109" applyNumberFormat="0" applyAlignment="0" applyProtection="0"/>
    <xf numFmtId="168" fontId="8" fillId="41" borderId="101" applyNumberFormat="0" applyAlignment="0" applyProtection="0"/>
    <xf numFmtId="168" fontId="3" fillId="35" borderId="114" applyNumberFormat="0" applyAlignment="0" applyProtection="0"/>
    <xf numFmtId="168" fontId="11" fillId="7" borderId="101" applyNumberFormat="0" applyAlignment="0" applyProtection="0"/>
    <xf numFmtId="168" fontId="8" fillId="20" borderId="107" applyNumberFormat="0" applyAlignment="0" applyProtection="0"/>
    <xf numFmtId="168" fontId="14" fillId="41" borderId="103" applyNumberFormat="0" applyAlignment="0" applyProtection="0"/>
    <xf numFmtId="168" fontId="11" fillId="33" borderId="107" applyNumberFormat="0" applyAlignment="0" applyProtection="0"/>
    <xf numFmtId="168" fontId="3" fillId="35" borderId="114" applyNumberFormat="0" applyAlignment="0" applyProtection="0"/>
    <xf numFmtId="168" fontId="21" fillId="0" borderId="104" applyNumberFormat="0" applyFill="0" applyAlignment="0" applyProtection="0"/>
    <xf numFmtId="0" fontId="11" fillId="33" borderId="101" applyNumberFormat="0" applyAlignment="0" applyProtection="0"/>
    <xf numFmtId="168" fontId="3" fillId="35" borderId="114" applyNumberFormat="0" applyAlignment="0" applyProtection="0"/>
    <xf numFmtId="168" fontId="11" fillId="33" borderId="107" applyNumberFormat="0" applyAlignment="0" applyProtection="0"/>
    <xf numFmtId="168" fontId="11" fillId="33" borderId="113" applyNumberFormat="0" applyAlignment="0" applyProtection="0"/>
    <xf numFmtId="168" fontId="14" fillId="41" borderId="109" applyNumberFormat="0" applyAlignment="0" applyProtection="0"/>
    <xf numFmtId="168" fontId="8" fillId="41" borderId="113" applyNumberFormat="0" applyAlignment="0" applyProtection="0"/>
    <xf numFmtId="168" fontId="21" fillId="0" borderId="110" applyNumberFormat="0" applyFill="0" applyAlignment="0" applyProtection="0"/>
    <xf numFmtId="168" fontId="3" fillId="35" borderId="108" applyNumberFormat="0" applyAlignment="0" applyProtection="0"/>
    <xf numFmtId="168" fontId="14" fillId="41" borderId="109" applyNumberFormat="0" applyAlignment="0" applyProtection="0"/>
    <xf numFmtId="168" fontId="21" fillId="0" borderId="110" applyNumberFormat="0" applyFill="0" applyAlignment="0" applyProtection="0"/>
    <xf numFmtId="168" fontId="21" fillId="0" borderId="110" applyNumberFormat="0" applyFill="0" applyAlignment="0" applyProtection="0"/>
    <xf numFmtId="0" fontId="21" fillId="0" borderId="106" applyNumberFormat="0" applyFill="0" applyAlignment="0" applyProtection="0"/>
    <xf numFmtId="168" fontId="14" fillId="41" borderId="109" applyNumberFormat="0" applyAlignment="0" applyProtection="0"/>
    <xf numFmtId="168" fontId="11" fillId="33" borderId="101" applyNumberFormat="0" applyAlignment="0" applyProtection="0"/>
    <xf numFmtId="168" fontId="3" fillId="35" borderId="120" applyNumberFormat="0" applyAlignment="0" applyProtection="0"/>
    <xf numFmtId="168" fontId="14" fillId="41" borderId="103" applyNumberFormat="0" applyAlignment="0" applyProtection="0"/>
    <xf numFmtId="168" fontId="21" fillId="0" borderId="110" applyNumberFormat="0" applyFill="0" applyAlignment="0" applyProtection="0"/>
    <xf numFmtId="168" fontId="8" fillId="41" borderId="107" applyNumberFormat="0" applyAlignment="0" applyProtection="0"/>
    <xf numFmtId="168" fontId="14" fillId="20" borderId="109" applyNumberFormat="0" applyAlignment="0" applyProtection="0"/>
    <xf numFmtId="168" fontId="14" fillId="20" borderId="103" applyNumberFormat="0" applyAlignment="0" applyProtection="0"/>
    <xf numFmtId="168" fontId="21" fillId="0" borderId="110" applyNumberFormat="0" applyFill="0" applyAlignment="0" applyProtection="0"/>
    <xf numFmtId="0" fontId="3" fillId="35" borderId="120" applyNumberFormat="0" applyAlignment="0" applyProtection="0"/>
    <xf numFmtId="168" fontId="21" fillId="0" borderId="116" applyNumberFormat="0" applyFill="0" applyAlignment="0" applyProtection="0"/>
    <xf numFmtId="0" fontId="11" fillId="33" borderId="101" applyNumberFormat="0" applyAlignment="0" applyProtection="0"/>
    <xf numFmtId="168" fontId="3" fillId="35" borderId="114" applyNumberFormat="0" applyAlignment="0" applyProtection="0"/>
    <xf numFmtId="168" fontId="21" fillId="0" borderId="116" applyNumberFormat="0" applyFill="0" applyAlignment="0" applyProtection="0"/>
    <xf numFmtId="168" fontId="11" fillId="33" borderId="113" applyNumberFormat="0" applyAlignment="0" applyProtection="0"/>
    <xf numFmtId="168" fontId="21" fillId="0" borderId="116" applyNumberFormat="0" applyFill="0" applyAlignment="0" applyProtection="0"/>
    <xf numFmtId="168" fontId="3" fillId="35" borderId="114" applyNumberFormat="0" applyAlignment="0" applyProtection="0"/>
    <xf numFmtId="168" fontId="14" fillId="20" borderId="115" applyNumberFormat="0" applyAlignment="0" applyProtection="0"/>
    <xf numFmtId="168" fontId="14" fillId="41" borderId="109" applyNumberFormat="0" applyAlignment="0" applyProtection="0"/>
    <xf numFmtId="168" fontId="14" fillId="41" borderId="115" applyNumberFormat="0" applyAlignment="0" applyProtection="0"/>
    <xf numFmtId="168" fontId="21" fillId="0" borderId="112" applyNumberFormat="0" applyFill="0" applyAlignment="0" applyProtection="0"/>
    <xf numFmtId="168" fontId="14" fillId="41" borderId="103" applyNumberFormat="0" applyAlignment="0" applyProtection="0"/>
    <xf numFmtId="0" fontId="8" fillId="41" borderId="119" applyNumberFormat="0" applyAlignment="0" applyProtection="0"/>
    <xf numFmtId="168" fontId="8" fillId="41" borderId="101" applyNumberFormat="0" applyAlignment="0" applyProtection="0"/>
    <xf numFmtId="168" fontId="11" fillId="33" borderId="101" applyNumberFormat="0" applyAlignment="0" applyProtection="0"/>
    <xf numFmtId="168" fontId="8" fillId="41" borderId="107" applyNumberFormat="0" applyAlignment="0" applyProtection="0"/>
    <xf numFmtId="168" fontId="8" fillId="41" borderId="107" applyNumberFormat="0" applyAlignment="0" applyProtection="0"/>
    <xf numFmtId="168" fontId="3" fillId="35" borderId="108" applyNumberFormat="0" applyAlignment="0" applyProtection="0"/>
    <xf numFmtId="168" fontId="3" fillId="35" borderId="102" applyNumberFormat="0" applyAlignment="0" applyProtection="0"/>
    <xf numFmtId="168" fontId="8" fillId="41" borderId="107" applyNumberFormat="0" applyAlignment="0" applyProtection="0"/>
    <xf numFmtId="168" fontId="3" fillId="35" borderId="108" applyNumberFormat="0" applyAlignment="0" applyProtection="0"/>
    <xf numFmtId="0" fontId="14" fillId="20" borderId="103" applyNumberFormat="0" applyAlignment="0" applyProtection="0"/>
    <xf numFmtId="168" fontId="11" fillId="33" borderId="107" applyNumberFormat="0" applyAlignment="0" applyProtection="0"/>
    <xf numFmtId="168" fontId="21" fillId="0" borderId="110" applyNumberFormat="0" applyFill="0" applyAlignment="0" applyProtection="0"/>
    <xf numFmtId="168" fontId="14" fillId="41" borderId="109" applyNumberFormat="0" applyAlignment="0" applyProtection="0"/>
    <xf numFmtId="168" fontId="3" fillId="35" borderId="102" applyNumberFormat="0" applyAlignment="0" applyProtection="0"/>
    <xf numFmtId="168" fontId="3" fillId="35" borderId="102" applyNumberFormat="0" applyAlignment="0" applyProtection="0"/>
    <xf numFmtId="168" fontId="8" fillId="41" borderId="101" applyNumberFormat="0" applyAlignment="0" applyProtection="0"/>
    <xf numFmtId="168" fontId="14" fillId="41" borderId="109" applyNumberFormat="0" applyAlignment="0" applyProtection="0"/>
    <xf numFmtId="168" fontId="8" fillId="41" borderId="107" applyNumberFormat="0" applyAlignment="0" applyProtection="0"/>
    <xf numFmtId="168" fontId="8" fillId="20" borderId="113" applyNumberFormat="0" applyAlignment="0" applyProtection="0"/>
    <xf numFmtId="168" fontId="11" fillId="33" borderId="101" applyNumberFormat="0" applyAlignment="0" applyProtection="0"/>
    <xf numFmtId="0" fontId="8" fillId="41" borderId="119" applyNumberFormat="0" applyAlignment="0" applyProtection="0"/>
    <xf numFmtId="0" fontId="14" fillId="41" borderId="121" applyNumberFormat="0" applyAlignment="0" applyProtection="0"/>
    <xf numFmtId="0" fontId="8" fillId="41" borderId="119" applyNumberFormat="0" applyAlignment="0" applyProtection="0"/>
    <xf numFmtId="0" fontId="11" fillId="7" borderId="101" applyNumberFormat="0" applyAlignment="0" applyProtection="0"/>
    <xf numFmtId="0" fontId="3" fillId="23" borderId="105" applyNumberFormat="0" applyFont="0" applyAlignment="0" applyProtection="0"/>
    <xf numFmtId="168" fontId="14" fillId="20" borderId="121" applyNumberFormat="0" applyAlignment="0" applyProtection="0"/>
    <xf numFmtId="168" fontId="14" fillId="41" borderId="109" applyNumberFormat="0" applyAlignment="0" applyProtection="0"/>
    <xf numFmtId="168" fontId="14" fillId="41" borderId="115" applyNumberFormat="0" applyAlignment="0" applyProtection="0"/>
    <xf numFmtId="168" fontId="8" fillId="41" borderId="113" applyNumberFormat="0" applyAlignment="0" applyProtection="0"/>
    <xf numFmtId="0" fontId="11" fillId="7" borderId="119" applyNumberFormat="0" applyAlignment="0" applyProtection="0"/>
    <xf numFmtId="168" fontId="3" fillId="35" borderId="102" applyNumberFormat="0" applyAlignment="0" applyProtection="0"/>
    <xf numFmtId="168" fontId="8" fillId="41" borderId="101" applyNumberFormat="0" applyAlignment="0" applyProtection="0"/>
    <xf numFmtId="168" fontId="8" fillId="41" borderId="101" applyNumberFormat="0" applyAlignment="0" applyProtection="0"/>
    <xf numFmtId="168" fontId="8" fillId="41" borderId="107" applyNumberFormat="0" applyAlignment="0" applyProtection="0"/>
    <xf numFmtId="168" fontId="8" fillId="20" borderId="101" applyNumberFormat="0" applyAlignment="0" applyProtection="0"/>
    <xf numFmtId="168" fontId="11" fillId="33" borderId="107" applyNumberFormat="0" applyAlignment="0" applyProtection="0"/>
    <xf numFmtId="168" fontId="8" fillId="41" borderId="107" applyNumberFormat="0" applyAlignment="0" applyProtection="0"/>
    <xf numFmtId="168" fontId="8" fillId="41" borderId="113" applyNumberFormat="0" applyAlignment="0" applyProtection="0"/>
    <xf numFmtId="168" fontId="21" fillId="0" borderId="110" applyNumberFormat="0" applyFill="0" applyAlignment="0" applyProtection="0"/>
    <xf numFmtId="168" fontId="14" fillId="41" borderId="103" applyNumberFormat="0" applyAlignment="0" applyProtection="0"/>
    <xf numFmtId="168" fontId="11" fillId="7" borderId="113" applyNumberFormat="0" applyAlignment="0" applyProtection="0"/>
    <xf numFmtId="168" fontId="8" fillId="41" borderId="107" applyNumberFormat="0" applyAlignment="0" applyProtection="0"/>
    <xf numFmtId="0" fontId="11" fillId="7" borderId="119" applyNumberFormat="0" applyAlignment="0" applyProtection="0"/>
    <xf numFmtId="168" fontId="11" fillId="33" borderId="101" applyNumberFormat="0" applyAlignment="0" applyProtection="0"/>
    <xf numFmtId="168" fontId="21" fillId="0" borderId="110" applyNumberFormat="0" applyFill="0" applyAlignment="0" applyProtection="0"/>
    <xf numFmtId="168" fontId="11" fillId="33" borderId="107" applyNumberFormat="0" applyAlignment="0" applyProtection="0"/>
    <xf numFmtId="0" fontId="8" fillId="41" borderId="119" applyNumberFormat="0" applyAlignment="0" applyProtection="0"/>
    <xf numFmtId="168" fontId="8" fillId="41" borderId="113" applyNumberFormat="0" applyAlignment="0" applyProtection="0"/>
    <xf numFmtId="168" fontId="11" fillId="33" borderId="113" applyNumberFormat="0" applyAlignment="0" applyProtection="0"/>
    <xf numFmtId="168" fontId="8" fillId="41" borderId="113" applyNumberFormat="0" applyAlignment="0" applyProtection="0"/>
    <xf numFmtId="0" fontId="3" fillId="35" borderId="120" applyNumberFormat="0" applyAlignment="0" applyProtection="0"/>
    <xf numFmtId="168" fontId="21" fillId="0" borderId="122" applyNumberFormat="0" applyFill="0" applyAlignment="0" applyProtection="0"/>
    <xf numFmtId="168" fontId="3" fillId="35" borderId="102" applyNumberFormat="0" applyAlignment="0" applyProtection="0"/>
    <xf numFmtId="0" fontId="21" fillId="0" borderId="104" applyNumberFormat="0" applyFill="0" applyAlignment="0" applyProtection="0"/>
    <xf numFmtId="168" fontId="11" fillId="33" borderId="107" applyNumberFormat="0" applyAlignment="0" applyProtection="0"/>
    <xf numFmtId="168" fontId="11" fillId="33" borderId="113" applyNumberFormat="0" applyAlignment="0" applyProtection="0"/>
    <xf numFmtId="168" fontId="3" fillId="35" borderId="114" applyNumberFormat="0" applyAlignment="0" applyProtection="0"/>
    <xf numFmtId="168" fontId="8" fillId="41" borderId="113" applyNumberFormat="0" applyAlignment="0" applyProtection="0"/>
    <xf numFmtId="168" fontId="8" fillId="41" borderId="107" applyNumberFormat="0" applyAlignment="0" applyProtection="0"/>
    <xf numFmtId="168" fontId="21" fillId="0" borderId="104" applyNumberFormat="0" applyFill="0" applyAlignment="0" applyProtection="0"/>
    <xf numFmtId="168" fontId="11" fillId="7" borderId="107" applyNumberFormat="0" applyAlignment="0" applyProtection="0"/>
    <xf numFmtId="168" fontId="11" fillId="33" borderId="113" applyNumberFormat="0" applyAlignment="0" applyProtection="0"/>
    <xf numFmtId="168" fontId="14" fillId="41" borderId="103" applyNumberFormat="0" applyAlignment="0" applyProtection="0"/>
    <xf numFmtId="168" fontId="3" fillId="35" borderId="102" applyNumberFormat="0" applyAlignment="0" applyProtection="0"/>
    <xf numFmtId="168" fontId="8" fillId="41" borderId="101" applyNumberFormat="0" applyAlignment="0" applyProtection="0"/>
    <xf numFmtId="168" fontId="14" fillId="41" borderId="109" applyNumberFormat="0" applyAlignment="0" applyProtection="0"/>
    <xf numFmtId="168" fontId="14" fillId="41" borderId="109" applyNumberFormat="0" applyAlignment="0" applyProtection="0"/>
    <xf numFmtId="168" fontId="3" fillId="35" borderId="108" applyNumberFormat="0" applyAlignment="0" applyProtection="0"/>
    <xf numFmtId="168" fontId="21" fillId="0" borderId="110" applyNumberFormat="0" applyFill="0" applyAlignment="0" applyProtection="0"/>
    <xf numFmtId="168" fontId="3" fillId="35" borderId="108" applyNumberFormat="0" applyAlignment="0" applyProtection="0"/>
    <xf numFmtId="168" fontId="11" fillId="33" borderId="107" applyNumberFormat="0" applyAlignment="0" applyProtection="0"/>
    <xf numFmtId="0" fontId="3" fillId="35" borderId="120" applyNumberFormat="0" applyAlignment="0" applyProtection="0"/>
    <xf numFmtId="168" fontId="21" fillId="0" borderId="110" applyNumberFormat="0" applyFill="0" applyAlignment="0" applyProtection="0"/>
    <xf numFmtId="168" fontId="11" fillId="33" borderId="101" applyNumberFormat="0" applyAlignment="0" applyProtection="0"/>
    <xf numFmtId="0" fontId="3" fillId="35" borderId="120" applyNumberFormat="0" applyAlignment="0" applyProtection="0"/>
    <xf numFmtId="168" fontId="8" fillId="20" borderId="113" applyNumberFormat="0" applyAlignment="0" applyProtection="0"/>
    <xf numFmtId="168" fontId="8" fillId="41" borderId="119" applyNumberFormat="0" applyAlignment="0" applyProtection="0"/>
    <xf numFmtId="168" fontId="21" fillId="0" borderId="122" applyNumberFormat="0" applyFill="0" applyAlignment="0" applyProtection="0"/>
    <xf numFmtId="168" fontId="14" fillId="41" borderId="121" applyNumberFormat="0" applyAlignment="0" applyProtection="0"/>
    <xf numFmtId="168" fontId="21" fillId="0" borderId="122" applyNumberFormat="0" applyFill="0" applyAlignment="0" applyProtection="0"/>
    <xf numFmtId="168" fontId="3" fillId="35" borderId="120" applyNumberFormat="0" applyAlignment="0" applyProtection="0"/>
    <xf numFmtId="168" fontId="14" fillId="20" borderId="121" applyNumberFormat="0" applyAlignment="0" applyProtection="0"/>
    <xf numFmtId="168" fontId="14" fillId="20" borderId="121" applyNumberFormat="0" applyAlignment="0" applyProtection="0"/>
    <xf numFmtId="0" fontId="8" fillId="41" borderId="119" applyNumberFormat="0" applyAlignment="0" applyProtection="0"/>
    <xf numFmtId="168" fontId="11" fillId="7" borderId="119" applyNumberFormat="0" applyAlignment="0" applyProtection="0"/>
    <xf numFmtId="168" fontId="21" fillId="0" borderId="122" applyNumberFormat="0" applyFill="0" applyAlignment="0" applyProtection="0"/>
    <xf numFmtId="0" fontId="8" fillId="41" borderId="119" applyNumberFormat="0" applyAlignment="0" applyProtection="0"/>
    <xf numFmtId="0" fontId="8" fillId="41" borderId="119" applyNumberFormat="0" applyAlignment="0" applyProtection="0"/>
    <xf numFmtId="168" fontId="21" fillId="0" borderId="116" applyNumberFormat="0" applyFill="0" applyAlignment="0" applyProtection="0"/>
    <xf numFmtId="168" fontId="14" fillId="41" borderId="115" applyNumberFormat="0" applyAlignment="0" applyProtection="0"/>
    <xf numFmtId="168" fontId="3" fillId="35" borderId="114" applyNumberFormat="0" applyAlignment="0" applyProtection="0"/>
    <xf numFmtId="168" fontId="11" fillId="33" borderId="113" applyNumberFormat="0" applyAlignment="0" applyProtection="0"/>
    <xf numFmtId="168" fontId="3" fillId="35" borderId="120" applyNumberFormat="0" applyAlignment="0" applyProtection="0"/>
    <xf numFmtId="0" fontId="8" fillId="41" borderId="119" applyNumberFormat="0" applyAlignment="0" applyProtection="0"/>
    <xf numFmtId="168" fontId="3" fillId="35" borderId="120" applyNumberFormat="0" applyAlignment="0" applyProtection="0"/>
    <xf numFmtId="0" fontId="8" fillId="41" borderId="107" applyNumberFormat="0" applyAlignment="0" applyProtection="0"/>
    <xf numFmtId="0" fontId="11" fillId="33" borderId="107" applyNumberFormat="0" applyAlignment="0" applyProtection="0"/>
    <xf numFmtId="0" fontId="3" fillId="35" borderId="108" applyNumberFormat="0" applyAlignment="0" applyProtection="0"/>
    <xf numFmtId="0" fontId="14" fillId="41" borderId="109" applyNumberFormat="0" applyAlignment="0" applyProtection="0"/>
    <xf numFmtId="0" fontId="21" fillId="0" borderId="110" applyNumberFormat="0" applyFill="0" applyAlignment="0" applyProtection="0"/>
    <xf numFmtId="0" fontId="21" fillId="0" borderId="122" applyNumberFormat="0" applyFill="0" applyAlignment="0" applyProtection="0"/>
    <xf numFmtId="168" fontId="11" fillId="33" borderId="119" applyNumberFormat="0" applyAlignment="0" applyProtection="0"/>
    <xf numFmtId="168" fontId="14" fillId="20" borderId="115" applyNumberFormat="0" applyAlignment="0" applyProtection="0"/>
    <xf numFmtId="168" fontId="11" fillId="7" borderId="113" applyNumberFormat="0" applyAlignment="0" applyProtection="0"/>
    <xf numFmtId="168" fontId="8" fillId="20" borderId="113" applyNumberFormat="0" applyAlignment="0" applyProtection="0"/>
    <xf numFmtId="0" fontId="14" fillId="41" borderId="121" applyNumberFormat="0" applyAlignment="0" applyProtection="0"/>
    <xf numFmtId="168" fontId="21" fillId="0" borderId="116" applyNumberFormat="0" applyFill="0" applyAlignment="0" applyProtection="0"/>
    <xf numFmtId="168" fontId="21" fillId="0" borderId="116" applyNumberFormat="0" applyFill="0" applyAlignment="0" applyProtection="0"/>
    <xf numFmtId="168" fontId="14" fillId="41" borderId="115" applyNumberFormat="0" applyAlignment="0" applyProtection="0"/>
    <xf numFmtId="168" fontId="14" fillId="41" borderId="115" applyNumberFormat="0" applyAlignment="0" applyProtection="0"/>
    <xf numFmtId="168" fontId="11" fillId="33" borderId="113" applyNumberFormat="0" applyAlignment="0" applyProtection="0"/>
    <xf numFmtId="168" fontId="14" fillId="41" borderId="115" applyNumberFormat="0" applyAlignment="0" applyProtection="0"/>
    <xf numFmtId="168" fontId="11" fillId="33" borderId="113" applyNumberFormat="0" applyAlignment="0" applyProtection="0"/>
    <xf numFmtId="168" fontId="11" fillId="33" borderId="113" applyNumberFormat="0" applyAlignment="0" applyProtection="0"/>
    <xf numFmtId="168" fontId="11" fillId="33" borderId="113" applyNumberFormat="0" applyAlignment="0" applyProtection="0"/>
    <xf numFmtId="168" fontId="8" fillId="41" borderId="113" applyNumberFormat="0" applyAlignment="0" applyProtection="0"/>
    <xf numFmtId="168" fontId="8" fillId="41" borderId="113" applyNumberFormat="0" applyAlignment="0" applyProtection="0"/>
    <xf numFmtId="168" fontId="8" fillId="41" borderId="113" applyNumberFormat="0" applyAlignment="0" applyProtection="0"/>
    <xf numFmtId="168" fontId="3" fillId="35" borderId="114" applyNumberFormat="0" applyAlignment="0" applyProtection="0"/>
    <xf numFmtId="168" fontId="14" fillId="41" borderId="115" applyNumberFormat="0" applyAlignment="0" applyProtection="0"/>
    <xf numFmtId="168" fontId="21" fillId="0" borderId="116" applyNumberFormat="0" applyFill="0" applyAlignment="0" applyProtection="0"/>
    <xf numFmtId="168" fontId="14" fillId="41" borderId="115" applyNumberFormat="0" applyAlignment="0" applyProtection="0"/>
    <xf numFmtId="168" fontId="14" fillId="41" borderId="115" applyNumberFormat="0" applyAlignment="0" applyProtection="0"/>
    <xf numFmtId="168" fontId="3" fillId="35" borderId="114" applyNumberFormat="0" applyAlignment="0" applyProtection="0"/>
    <xf numFmtId="168" fontId="21" fillId="0" borderId="116" applyNumberFormat="0" applyFill="0" applyAlignment="0" applyProtection="0"/>
    <xf numFmtId="168" fontId="21" fillId="0" borderId="116" applyNumberFormat="0" applyFill="0" applyAlignment="0" applyProtection="0"/>
    <xf numFmtId="168" fontId="11" fillId="33" borderId="113" applyNumberFormat="0" applyAlignment="0" applyProtection="0"/>
    <xf numFmtId="168" fontId="11" fillId="33" borderId="113" applyNumberFormat="0" applyAlignment="0" applyProtection="0"/>
    <xf numFmtId="168" fontId="21" fillId="0" borderId="116" applyNumberFormat="0" applyFill="0" applyAlignment="0" applyProtection="0"/>
    <xf numFmtId="168" fontId="11" fillId="33" borderId="113" applyNumberFormat="0" applyAlignment="0" applyProtection="0"/>
    <xf numFmtId="168" fontId="14" fillId="41" borderId="115" applyNumberFormat="0" applyAlignment="0" applyProtection="0"/>
    <xf numFmtId="168" fontId="3" fillId="35" borderId="114" applyNumberFormat="0" applyAlignment="0" applyProtection="0"/>
    <xf numFmtId="168" fontId="14" fillId="41" borderId="115" applyNumberFormat="0" applyAlignment="0" applyProtection="0"/>
    <xf numFmtId="0" fontId="8" fillId="20" borderId="107" applyNumberFormat="0" applyAlignment="0" applyProtection="0"/>
    <xf numFmtId="0" fontId="8" fillId="20" borderId="107" applyNumberFormat="0" applyAlignment="0" applyProtection="0"/>
    <xf numFmtId="168" fontId="8" fillId="41" borderId="113" applyNumberFormat="0" applyAlignment="0" applyProtection="0"/>
    <xf numFmtId="168" fontId="11" fillId="33" borderId="113" applyNumberFormat="0" applyAlignment="0" applyProtection="0"/>
    <xf numFmtId="168" fontId="11" fillId="33" borderId="113" applyNumberFormat="0" applyAlignment="0" applyProtection="0"/>
    <xf numFmtId="168" fontId="8" fillId="41" borderId="113" applyNumberFormat="0" applyAlignment="0" applyProtection="0"/>
    <xf numFmtId="168" fontId="3" fillId="35" borderId="114" applyNumberFormat="0" applyAlignment="0" applyProtection="0"/>
    <xf numFmtId="168" fontId="14" fillId="41" borderId="115" applyNumberFormat="0" applyAlignment="0" applyProtection="0"/>
    <xf numFmtId="168" fontId="3" fillId="35" borderId="114" applyNumberFormat="0" applyAlignment="0" applyProtection="0"/>
    <xf numFmtId="168" fontId="14" fillId="41" borderId="121" applyNumberFormat="0" applyAlignment="0" applyProtection="0"/>
    <xf numFmtId="0" fontId="11" fillId="7" borderId="107" applyNumberFormat="0" applyAlignment="0" applyProtection="0"/>
    <xf numFmtId="168" fontId="3" fillId="35" borderId="120" applyNumberFormat="0" applyAlignment="0" applyProtection="0"/>
    <xf numFmtId="168" fontId="3" fillId="23" borderId="117" applyNumberFormat="0" applyFont="0" applyAlignment="0" applyProtection="0"/>
    <xf numFmtId="0" fontId="3" fillId="35" borderId="120" applyNumberFormat="0" applyAlignment="0" applyProtection="0"/>
    <xf numFmtId="168" fontId="8" fillId="20" borderId="119" applyNumberFormat="0" applyAlignment="0" applyProtection="0"/>
    <xf numFmtId="0" fontId="11" fillId="7" borderId="107" applyNumberFormat="0" applyAlignment="0" applyProtection="0"/>
    <xf numFmtId="0" fontId="11" fillId="33" borderId="119" applyNumberFormat="0" applyAlignment="0" applyProtection="0"/>
    <xf numFmtId="0" fontId="3" fillId="35" borderId="120" applyNumberFormat="0" applyAlignment="0" applyProtection="0"/>
    <xf numFmtId="0" fontId="3" fillId="23" borderId="111" applyNumberFormat="0" applyFont="0" applyAlignment="0" applyProtection="0"/>
    <xf numFmtId="0" fontId="3" fillId="23" borderId="111" applyNumberFormat="0" applyFont="0" applyAlignment="0" applyProtection="0"/>
    <xf numFmtId="0" fontId="14" fillId="20" borderId="109" applyNumberFormat="0" applyAlignment="0" applyProtection="0"/>
    <xf numFmtId="0" fontId="14" fillId="20" borderId="109" applyNumberFormat="0" applyAlignment="0" applyProtection="0"/>
    <xf numFmtId="0" fontId="11" fillId="33" borderId="119" applyNumberFormat="0" applyAlignment="0" applyProtection="0"/>
    <xf numFmtId="168" fontId="14" fillId="41" borderId="121" applyNumberFormat="0" applyAlignment="0" applyProtection="0"/>
    <xf numFmtId="0" fontId="21" fillId="0" borderId="112" applyNumberFormat="0" applyFill="0" applyAlignment="0" applyProtection="0"/>
    <xf numFmtId="0" fontId="11" fillId="33" borderId="107" applyNumberFormat="0" applyAlignment="0" applyProtection="0"/>
    <xf numFmtId="0" fontId="8" fillId="41" borderId="107" applyNumberFormat="0" applyAlignment="0" applyProtection="0"/>
    <xf numFmtId="0" fontId="21" fillId="0" borderId="110" applyNumberFormat="0" applyFill="0" applyAlignment="0" applyProtection="0"/>
    <xf numFmtId="0" fontId="3" fillId="35" borderId="108" applyNumberFormat="0" applyAlignment="0" applyProtection="0"/>
    <xf numFmtId="0" fontId="21" fillId="0" borderId="110" applyNumberFormat="0" applyFill="0" applyAlignment="0" applyProtection="0"/>
    <xf numFmtId="0" fontId="14" fillId="41" borderId="109" applyNumberFormat="0" applyAlignment="0" applyProtection="0"/>
    <xf numFmtId="0" fontId="14" fillId="41" borderId="109" applyNumberFormat="0" applyAlignment="0" applyProtection="0"/>
    <xf numFmtId="0" fontId="14" fillId="41" borderId="109" applyNumberFormat="0" applyAlignment="0" applyProtection="0"/>
    <xf numFmtId="0" fontId="3" fillId="35" borderId="108" applyNumberFormat="0" applyAlignment="0" applyProtection="0"/>
    <xf numFmtId="0" fontId="14" fillId="41" borderId="109" applyNumberFormat="0" applyAlignment="0" applyProtection="0"/>
    <xf numFmtId="0" fontId="3" fillId="35" borderId="108" applyNumberFormat="0" applyAlignment="0" applyProtection="0"/>
    <xf numFmtId="0" fontId="3" fillId="35" borderId="108" applyNumberFormat="0" applyAlignment="0" applyProtection="0"/>
    <xf numFmtId="0" fontId="3" fillId="35" borderId="108" applyNumberFormat="0" applyAlignment="0" applyProtection="0"/>
    <xf numFmtId="0" fontId="8" fillId="41" borderId="107" applyNumberFormat="0" applyAlignment="0" applyProtection="0"/>
    <xf numFmtId="0" fontId="11" fillId="33" borderId="107" applyNumberFormat="0" applyAlignment="0" applyProtection="0"/>
    <xf numFmtId="0" fontId="8" fillId="41" borderId="107" applyNumberFormat="0" applyAlignment="0" applyProtection="0"/>
    <xf numFmtId="0" fontId="11" fillId="33" borderId="107" applyNumberFormat="0" applyAlignment="0" applyProtection="0"/>
    <xf numFmtId="0" fontId="8" fillId="41" borderId="107" applyNumberFormat="0" applyAlignment="0" applyProtection="0"/>
    <xf numFmtId="0" fontId="8" fillId="41" borderId="107" applyNumberFormat="0" applyAlignment="0" applyProtection="0"/>
    <xf numFmtId="0" fontId="11" fillId="33" borderId="107" applyNumberFormat="0" applyAlignment="0" applyProtection="0"/>
    <xf numFmtId="0" fontId="8" fillId="41" borderId="107" applyNumberFormat="0" applyAlignment="0" applyProtection="0"/>
    <xf numFmtId="0" fontId="11" fillId="33" borderId="107" applyNumberFormat="0" applyAlignment="0" applyProtection="0"/>
    <xf numFmtId="0" fontId="11" fillId="33" borderId="107" applyNumberFormat="0" applyAlignment="0" applyProtection="0"/>
    <xf numFmtId="0" fontId="8" fillId="41" borderId="107" applyNumberFormat="0" applyAlignment="0" applyProtection="0"/>
    <xf numFmtId="0" fontId="8" fillId="41" borderId="107" applyNumberFormat="0" applyAlignment="0" applyProtection="0"/>
    <xf numFmtId="0" fontId="8" fillId="41" borderId="107" applyNumberFormat="0" applyAlignment="0" applyProtection="0"/>
    <xf numFmtId="0" fontId="11" fillId="33" borderId="107" applyNumberFormat="0" applyAlignment="0" applyProtection="0"/>
    <xf numFmtId="0" fontId="8" fillId="41" borderId="107" applyNumberFormat="0" applyAlignment="0" applyProtection="0"/>
    <xf numFmtId="0" fontId="8" fillId="41" borderId="107" applyNumberFormat="0" applyAlignment="0" applyProtection="0"/>
    <xf numFmtId="0" fontId="3" fillId="35" borderId="108" applyNumberFormat="0" applyAlignment="0" applyProtection="0"/>
    <xf numFmtId="0" fontId="3" fillId="35" borderId="108" applyNumberFormat="0" applyAlignment="0" applyProtection="0"/>
    <xf numFmtId="0" fontId="3" fillId="35" borderId="108" applyNumberFormat="0" applyAlignment="0" applyProtection="0"/>
    <xf numFmtId="0" fontId="14" fillId="41" borderId="109" applyNumberFormat="0" applyAlignment="0" applyProtection="0"/>
    <xf numFmtId="0" fontId="14" fillId="41" borderId="109" applyNumberFormat="0" applyAlignment="0" applyProtection="0"/>
    <xf numFmtId="0" fontId="14" fillId="41" borderId="109" applyNumberFormat="0" applyAlignment="0" applyProtection="0"/>
    <xf numFmtId="0" fontId="3" fillId="35" borderId="108" applyNumberFormat="0" applyAlignment="0" applyProtection="0"/>
    <xf numFmtId="0" fontId="14" fillId="41" borderId="109" applyNumberFormat="0" applyAlignment="0" applyProtection="0"/>
    <xf numFmtId="0" fontId="14" fillId="41" borderId="109" applyNumberFormat="0" applyAlignment="0" applyProtection="0"/>
    <xf numFmtId="0" fontId="11" fillId="33" borderId="107" applyNumberFormat="0" applyAlignment="0" applyProtection="0"/>
    <xf numFmtId="0" fontId="11" fillId="33" borderId="107" applyNumberFormat="0" applyAlignment="0" applyProtection="0"/>
    <xf numFmtId="0" fontId="21" fillId="0" borderId="110" applyNumberFormat="0" applyFill="0" applyAlignment="0" applyProtection="0"/>
    <xf numFmtId="0" fontId="11" fillId="33" borderId="107" applyNumberFormat="0" applyAlignment="0" applyProtection="0"/>
    <xf numFmtId="0" fontId="11" fillId="33" borderId="107" applyNumberFormat="0" applyAlignment="0" applyProtection="0"/>
    <xf numFmtId="0" fontId="21" fillId="0" borderId="110" applyNumberFormat="0" applyFill="0" applyAlignment="0" applyProtection="0"/>
    <xf numFmtId="0" fontId="11" fillId="33" borderId="107" applyNumberFormat="0" applyAlignment="0" applyProtection="0"/>
    <xf numFmtId="0" fontId="11" fillId="33" borderId="107" applyNumberFormat="0" applyAlignment="0" applyProtection="0"/>
    <xf numFmtId="0" fontId="21" fillId="0" borderId="110" applyNumberFormat="0" applyFill="0" applyAlignment="0" applyProtection="0"/>
    <xf numFmtId="0" fontId="21" fillId="0" borderId="110" applyNumberFormat="0" applyFill="0" applyAlignment="0" applyProtection="0"/>
    <xf numFmtId="0" fontId="3" fillId="35" borderId="108" applyNumberFormat="0" applyAlignment="0" applyProtection="0"/>
    <xf numFmtId="0" fontId="21" fillId="0" borderId="110" applyNumberFormat="0" applyFill="0" applyAlignment="0" applyProtection="0"/>
    <xf numFmtId="0" fontId="3" fillId="35" borderId="108" applyNumberFormat="0" applyAlignment="0" applyProtection="0"/>
    <xf numFmtId="0" fontId="14" fillId="41" borderId="109" applyNumberFormat="0" applyAlignment="0" applyProtection="0"/>
    <xf numFmtId="0" fontId="21" fillId="0" borderId="110" applyNumberFormat="0" applyFill="0" applyAlignment="0" applyProtection="0"/>
    <xf numFmtId="0" fontId="3" fillId="35" borderId="108" applyNumberFormat="0" applyAlignment="0" applyProtection="0"/>
    <xf numFmtId="0" fontId="21" fillId="0" borderId="110" applyNumberFormat="0" applyFill="0" applyAlignment="0" applyProtection="0"/>
    <xf numFmtId="0" fontId="14" fillId="41" borderId="109" applyNumberFormat="0" applyAlignment="0" applyProtection="0"/>
    <xf numFmtId="0" fontId="8" fillId="41" borderId="107" applyNumberFormat="0" applyAlignment="0" applyProtection="0"/>
    <xf numFmtId="0" fontId="14" fillId="41" borderId="109" applyNumberFormat="0" applyAlignment="0" applyProtection="0"/>
    <xf numFmtId="0" fontId="21" fillId="0" borderId="110" applyNumberFormat="0" applyFill="0" applyAlignment="0" applyProtection="0"/>
    <xf numFmtId="0" fontId="3" fillId="35" borderId="108" applyNumberFormat="0" applyAlignment="0" applyProtection="0"/>
    <xf numFmtId="0" fontId="21" fillId="0" borderId="110" applyNumberFormat="0" applyFill="0" applyAlignment="0" applyProtection="0"/>
    <xf numFmtId="0" fontId="14" fillId="41" borderId="109" applyNumberFormat="0" applyAlignment="0" applyProtection="0"/>
    <xf numFmtId="0" fontId="8" fillId="41" borderId="107" applyNumberFormat="0" applyAlignment="0" applyProtection="0"/>
    <xf numFmtId="0" fontId="21" fillId="0" borderId="110" applyNumberFormat="0" applyFill="0" applyAlignment="0" applyProtection="0"/>
    <xf numFmtId="0" fontId="14" fillId="41" borderId="109" applyNumberFormat="0" applyAlignment="0" applyProtection="0"/>
    <xf numFmtId="0" fontId="21" fillId="0" borderId="110" applyNumberFormat="0" applyFill="0" applyAlignment="0" applyProtection="0"/>
    <xf numFmtId="0" fontId="3" fillId="35" borderId="108" applyNumberFormat="0" applyAlignment="0" applyProtection="0"/>
    <xf numFmtId="0" fontId="3" fillId="35" borderId="108" applyNumberFormat="0" applyAlignment="0" applyProtection="0"/>
    <xf numFmtId="0" fontId="3" fillId="35" borderId="108" applyNumberFormat="0" applyAlignment="0" applyProtection="0"/>
    <xf numFmtId="0" fontId="14" fillId="41" borderId="109" applyNumberFormat="0" applyAlignment="0" applyProtection="0"/>
    <xf numFmtId="0" fontId="8" fillId="41" borderId="107" applyNumberFormat="0" applyAlignment="0" applyProtection="0"/>
    <xf numFmtId="0" fontId="11" fillId="33" borderId="107" applyNumberFormat="0" applyAlignment="0" applyProtection="0"/>
    <xf numFmtId="0" fontId="3" fillId="35" borderId="108" applyNumberFormat="0" applyAlignment="0" applyProtection="0"/>
    <xf numFmtId="0" fontId="8" fillId="41" borderId="107" applyNumberFormat="0" applyAlignment="0" applyProtection="0"/>
    <xf numFmtId="0" fontId="8" fillId="41" borderId="107" applyNumberFormat="0" applyAlignment="0" applyProtection="0"/>
    <xf numFmtId="0" fontId="11" fillId="33" borderId="107" applyNumberFormat="0" applyAlignment="0" applyProtection="0"/>
    <xf numFmtId="0" fontId="8" fillId="41" borderId="107" applyNumberFormat="0" applyAlignment="0" applyProtection="0"/>
    <xf numFmtId="0" fontId="8" fillId="41" borderId="107" applyNumberFormat="0" applyAlignment="0" applyProtection="0"/>
    <xf numFmtId="0" fontId="8" fillId="41" borderId="107" applyNumberFormat="0" applyAlignment="0" applyProtection="0"/>
    <xf numFmtId="0" fontId="8" fillId="41" borderId="107" applyNumberFormat="0" applyAlignment="0" applyProtection="0"/>
    <xf numFmtId="0" fontId="11" fillId="33" borderId="107" applyNumberFormat="0" applyAlignment="0" applyProtection="0"/>
    <xf numFmtId="0" fontId="8" fillId="41" borderId="107" applyNumberFormat="0" applyAlignment="0" applyProtection="0"/>
    <xf numFmtId="0" fontId="11" fillId="33" borderId="107" applyNumberFormat="0" applyAlignment="0" applyProtection="0"/>
    <xf numFmtId="0" fontId="8" fillId="41" borderId="107" applyNumberFormat="0" applyAlignment="0" applyProtection="0"/>
    <xf numFmtId="0" fontId="11" fillId="33" borderId="107" applyNumberFormat="0" applyAlignment="0" applyProtection="0"/>
    <xf numFmtId="0" fontId="11" fillId="33" borderId="107" applyNumberFormat="0" applyAlignment="0" applyProtection="0"/>
    <xf numFmtId="0" fontId="3" fillId="35" borderId="108" applyNumberFormat="0" applyAlignment="0" applyProtection="0"/>
    <xf numFmtId="0" fontId="3" fillId="35" borderId="108" applyNumberFormat="0" applyAlignment="0" applyProtection="0"/>
    <xf numFmtId="0" fontId="3" fillId="35" borderId="108" applyNumberFormat="0" applyAlignment="0" applyProtection="0"/>
    <xf numFmtId="0" fontId="14" fillId="41" borderId="109" applyNumberFormat="0" applyAlignment="0" applyProtection="0"/>
    <xf numFmtId="0" fontId="14" fillId="41" borderId="109" applyNumberFormat="0" applyAlignment="0" applyProtection="0"/>
    <xf numFmtId="0" fontId="14" fillId="41" borderId="109" applyNumberFormat="0" applyAlignment="0" applyProtection="0"/>
    <xf numFmtId="0" fontId="14" fillId="41" borderId="109" applyNumberFormat="0" applyAlignment="0" applyProtection="0"/>
    <xf numFmtId="0" fontId="11" fillId="33" borderId="107" applyNumberFormat="0" applyAlignment="0" applyProtection="0"/>
    <xf numFmtId="0" fontId="21" fillId="0" borderId="110" applyNumberFormat="0" applyFill="0" applyAlignment="0" applyProtection="0"/>
    <xf numFmtId="0" fontId="3" fillId="35" borderId="108" applyNumberFormat="0" applyAlignment="0" applyProtection="0"/>
    <xf numFmtId="0" fontId="21" fillId="0" borderId="110" applyNumberFormat="0" applyFill="0" applyAlignment="0" applyProtection="0"/>
    <xf numFmtId="0" fontId="14" fillId="41" borderId="109" applyNumberFormat="0" applyAlignment="0" applyProtection="0"/>
    <xf numFmtId="0" fontId="11" fillId="33" borderId="107" applyNumberFormat="0" applyAlignment="0" applyProtection="0"/>
    <xf numFmtId="0" fontId="3" fillId="35" borderId="108" applyNumberFormat="0" applyAlignment="0" applyProtection="0"/>
    <xf numFmtId="0" fontId="21" fillId="0" borderId="110" applyNumberFormat="0" applyFill="0" applyAlignment="0" applyProtection="0"/>
    <xf numFmtId="0" fontId="14" fillId="41" borderId="109" applyNumberFormat="0" applyAlignment="0" applyProtection="0"/>
    <xf numFmtId="0" fontId="14" fillId="41" borderId="109" applyNumberFormat="0" applyAlignment="0" applyProtection="0"/>
    <xf numFmtId="0" fontId="21" fillId="0" borderId="110" applyNumberFormat="0" applyFill="0" applyAlignment="0" applyProtection="0"/>
    <xf numFmtId="0" fontId="11" fillId="33" borderId="107" applyNumberFormat="0" applyAlignment="0" applyProtection="0"/>
    <xf numFmtId="0" fontId="21" fillId="0" borderId="110" applyNumberFormat="0" applyFill="0" applyAlignment="0" applyProtection="0"/>
    <xf numFmtId="0" fontId="21" fillId="0" borderId="110" applyNumberFormat="0" applyFill="0" applyAlignment="0" applyProtection="0"/>
    <xf numFmtId="0" fontId="21" fillId="0" borderId="110" applyNumberFormat="0" applyFill="0" applyAlignment="0" applyProtection="0"/>
    <xf numFmtId="0" fontId="21" fillId="0" borderId="110" applyNumberFormat="0" applyFill="0" applyAlignment="0" applyProtection="0"/>
    <xf numFmtId="0" fontId="21" fillId="0" borderId="110" applyNumberFormat="0" applyFill="0" applyAlignment="0" applyProtection="0"/>
    <xf numFmtId="0" fontId="8" fillId="20" borderId="107" applyNumberFormat="0" applyAlignment="0" applyProtection="0"/>
    <xf numFmtId="0" fontId="8" fillId="20" borderId="107" applyNumberFormat="0" applyAlignment="0" applyProtection="0"/>
    <xf numFmtId="0" fontId="11" fillId="7" borderId="107" applyNumberFormat="0" applyAlignment="0" applyProtection="0"/>
    <xf numFmtId="0" fontId="11" fillId="7" borderId="107" applyNumberFormat="0" applyAlignment="0" applyProtection="0"/>
    <xf numFmtId="0" fontId="14" fillId="20" borderId="109" applyNumberFormat="0" applyAlignment="0" applyProtection="0"/>
    <xf numFmtId="0" fontId="14" fillId="20" borderId="109" applyNumberFormat="0" applyAlignment="0" applyProtection="0"/>
    <xf numFmtId="0" fontId="14" fillId="41" borderId="121" applyNumberFormat="0" applyAlignment="0" applyProtection="0"/>
    <xf numFmtId="0" fontId="11" fillId="33" borderId="119" applyNumberFormat="0" applyAlignment="0" applyProtection="0"/>
    <xf numFmtId="0" fontId="14" fillId="41" borderId="121" applyNumberFormat="0" applyAlignment="0" applyProtection="0"/>
    <xf numFmtId="0" fontId="11" fillId="33" borderId="119" applyNumberFormat="0" applyAlignment="0" applyProtection="0"/>
    <xf numFmtId="168" fontId="14" fillId="41" borderId="121" applyNumberFormat="0" applyAlignment="0" applyProtection="0"/>
    <xf numFmtId="168" fontId="11" fillId="33" borderId="119" applyNumberFormat="0" applyAlignment="0" applyProtection="0"/>
    <xf numFmtId="168" fontId="11" fillId="33" borderId="119" applyNumberFormat="0" applyAlignment="0" applyProtection="0"/>
    <xf numFmtId="168" fontId="21" fillId="0" borderId="122" applyNumberFormat="0" applyFill="0" applyAlignment="0" applyProtection="0"/>
    <xf numFmtId="168" fontId="14" fillId="41" borderId="121" applyNumberFormat="0" applyAlignment="0" applyProtection="0"/>
    <xf numFmtId="168" fontId="8" fillId="41" borderId="119" applyNumberFormat="0" applyAlignment="0" applyProtection="0"/>
    <xf numFmtId="168" fontId="3" fillId="35" borderId="120" applyNumberFormat="0" applyAlignment="0" applyProtection="0"/>
    <xf numFmtId="168" fontId="8" fillId="41" borderId="119" applyNumberFormat="0" applyAlignment="0" applyProtection="0"/>
    <xf numFmtId="168" fontId="8" fillId="20" borderId="119" applyNumberFormat="0" applyAlignment="0" applyProtection="0"/>
    <xf numFmtId="168" fontId="11" fillId="33" borderId="119" applyNumberFormat="0" applyAlignment="0" applyProtection="0"/>
    <xf numFmtId="0" fontId="21" fillId="0" borderId="122" applyNumberFormat="0" applyFill="0" applyAlignment="0" applyProtection="0"/>
    <xf numFmtId="168" fontId="11" fillId="33" borderId="119" applyNumberFormat="0" applyAlignment="0" applyProtection="0"/>
    <xf numFmtId="0" fontId="3" fillId="35" borderId="120" applyNumberFormat="0" applyAlignment="0" applyProtection="0"/>
    <xf numFmtId="168" fontId="21" fillId="0" borderId="122" applyNumberFormat="0" applyFill="0" applyAlignment="0" applyProtection="0"/>
    <xf numFmtId="0" fontId="21" fillId="0" borderId="122" applyNumberFormat="0" applyFill="0" applyAlignment="0" applyProtection="0"/>
    <xf numFmtId="168" fontId="11" fillId="33" borderId="119" applyNumberFormat="0" applyAlignment="0" applyProtection="0"/>
    <xf numFmtId="0" fontId="11" fillId="33" borderId="119" applyNumberFormat="0" applyAlignment="0" applyProtection="0"/>
    <xf numFmtId="0" fontId="14" fillId="41" borderId="121" applyNumberFormat="0" applyAlignment="0" applyProtection="0"/>
    <xf numFmtId="0" fontId="3" fillId="35" borderId="120" applyNumberFormat="0" applyAlignment="0" applyProtection="0"/>
    <xf numFmtId="0" fontId="8" fillId="41" borderId="113" applyNumberFormat="0" applyAlignment="0" applyProtection="0"/>
    <xf numFmtId="0" fontId="11" fillId="33" borderId="113" applyNumberFormat="0" applyAlignment="0" applyProtection="0"/>
    <xf numFmtId="0" fontId="3" fillId="35" borderId="114" applyNumberFormat="0" applyAlignment="0" applyProtection="0"/>
    <xf numFmtId="0" fontId="14" fillId="41" borderId="115" applyNumberFormat="0" applyAlignment="0" applyProtection="0"/>
    <xf numFmtId="0" fontId="21" fillId="0" borderId="116" applyNumberFormat="0" applyFill="0" applyAlignment="0" applyProtection="0"/>
    <xf numFmtId="168" fontId="8" fillId="41" borderId="119" applyNumberFormat="0" applyAlignment="0" applyProtection="0"/>
    <xf numFmtId="0" fontId="8" fillId="20" borderId="119" applyNumberFormat="0" applyAlignment="0" applyProtection="0"/>
    <xf numFmtId="0" fontId="21" fillId="0" borderId="122" applyNumberFormat="0" applyFill="0" applyAlignment="0" applyProtection="0"/>
    <xf numFmtId="168" fontId="14" fillId="41" borderId="121" applyNumberFormat="0" applyAlignment="0" applyProtection="0"/>
    <xf numFmtId="168" fontId="8" fillId="41" borderId="119" applyNumberFormat="0" applyAlignment="0" applyProtection="0"/>
    <xf numFmtId="0" fontId="21" fillId="0" borderId="122" applyNumberFormat="0" applyFill="0" applyAlignment="0" applyProtection="0"/>
    <xf numFmtId="168" fontId="14" fillId="41" borderId="121" applyNumberFormat="0" applyAlignment="0" applyProtection="0"/>
    <xf numFmtId="168" fontId="11" fillId="33" borderId="119" applyNumberFormat="0" applyAlignment="0" applyProtection="0"/>
    <xf numFmtId="0" fontId="8" fillId="41" borderId="119" applyNumberFormat="0" applyAlignment="0" applyProtection="0"/>
    <xf numFmtId="0" fontId="3" fillId="35" borderId="120" applyNumberFormat="0" applyAlignment="0" applyProtection="0"/>
    <xf numFmtId="168" fontId="14" fillId="41" borderId="121" applyNumberFormat="0" applyAlignment="0" applyProtection="0"/>
    <xf numFmtId="0" fontId="21" fillId="0" borderId="122" applyNumberFormat="0" applyFill="0" applyAlignment="0" applyProtection="0"/>
    <xf numFmtId="168" fontId="14" fillId="41" borderId="121" applyNumberFormat="0" applyAlignment="0" applyProtection="0"/>
    <xf numFmtId="168" fontId="14" fillId="41" borderId="121" applyNumberFormat="0" applyAlignment="0" applyProtection="0"/>
    <xf numFmtId="168" fontId="8" fillId="41" borderId="119" applyNumberFormat="0" applyAlignment="0" applyProtection="0"/>
    <xf numFmtId="0" fontId="8" fillId="20" borderId="119" applyNumberFormat="0" applyAlignment="0" applyProtection="0"/>
    <xf numFmtId="0" fontId="14" fillId="41" borderId="121" applyNumberFormat="0" applyAlignment="0" applyProtection="0"/>
    <xf numFmtId="0" fontId="21" fillId="0" borderId="122" applyNumberFormat="0" applyFill="0" applyAlignment="0" applyProtection="0"/>
    <xf numFmtId="168" fontId="3" fillId="35" borderId="120" applyNumberFormat="0" applyAlignment="0" applyProtection="0"/>
    <xf numFmtId="0" fontId="8" fillId="20" borderId="119" applyNumberFormat="0" applyAlignment="0" applyProtection="0"/>
    <xf numFmtId="168" fontId="8" fillId="20" borderId="119" applyNumberFormat="0" applyAlignment="0" applyProtection="0"/>
    <xf numFmtId="0" fontId="21" fillId="0" borderId="122" applyNumberFormat="0" applyFill="0" applyAlignment="0" applyProtection="0"/>
    <xf numFmtId="0" fontId="8" fillId="41" borderId="119" applyNumberFormat="0" applyAlignment="0" applyProtection="0"/>
    <xf numFmtId="0" fontId="8" fillId="20" borderId="113" applyNumberFormat="0" applyAlignment="0" applyProtection="0"/>
    <xf numFmtId="0" fontId="8" fillId="20" borderId="113" applyNumberFormat="0" applyAlignment="0" applyProtection="0"/>
    <xf numFmtId="168" fontId="21" fillId="0" borderId="122" applyNumberFormat="0" applyFill="0" applyAlignment="0" applyProtection="0"/>
    <xf numFmtId="168" fontId="11" fillId="33" borderId="119" applyNumberFormat="0" applyAlignment="0" applyProtection="0"/>
    <xf numFmtId="0" fontId="11" fillId="33" borderId="119" applyNumberFormat="0" applyAlignment="0" applyProtection="0"/>
    <xf numFmtId="0" fontId="3" fillId="35" borderId="120" applyNumberFormat="0" applyAlignment="0" applyProtection="0"/>
    <xf numFmtId="168" fontId="8" fillId="41" borderId="119" applyNumberFormat="0" applyAlignment="0" applyProtection="0"/>
    <xf numFmtId="0" fontId="11" fillId="7" borderId="113" applyNumberFormat="0" applyAlignment="0" applyProtection="0"/>
    <xf numFmtId="168" fontId="14" fillId="41" borderId="121" applyNumberFormat="0" applyAlignment="0" applyProtection="0"/>
    <xf numFmtId="168" fontId="11" fillId="7" borderId="119" applyNumberFormat="0" applyAlignment="0" applyProtection="0"/>
    <xf numFmtId="0" fontId="11" fillId="7" borderId="113" applyNumberFormat="0" applyAlignment="0" applyProtection="0"/>
    <xf numFmtId="168" fontId="11" fillId="33" borderId="119" applyNumberFormat="0" applyAlignment="0" applyProtection="0"/>
    <xf numFmtId="0" fontId="8" fillId="41" borderId="119" applyNumberFormat="0" applyAlignment="0" applyProtection="0"/>
    <xf numFmtId="0" fontId="21" fillId="0" borderId="122" applyNumberFormat="0" applyFill="0" applyAlignment="0" applyProtection="0"/>
    <xf numFmtId="0" fontId="3" fillId="23" borderId="117" applyNumberFormat="0" applyFont="0" applyAlignment="0" applyProtection="0"/>
    <xf numFmtId="0" fontId="3" fillId="23" borderId="117" applyNumberFormat="0" applyFont="0" applyAlignment="0" applyProtection="0"/>
    <xf numFmtId="0" fontId="14" fillId="20" borderId="115" applyNumberFormat="0" applyAlignment="0" applyProtection="0"/>
    <xf numFmtId="0" fontId="14" fillId="20" borderId="115" applyNumberFormat="0" applyAlignment="0" applyProtection="0"/>
    <xf numFmtId="0" fontId="14" fillId="41" borderId="121" applyNumberFormat="0" applyAlignment="0" applyProtection="0"/>
    <xf numFmtId="0" fontId="21" fillId="0" borderId="118" applyNumberFormat="0" applyFill="0" applyAlignment="0" applyProtection="0"/>
    <xf numFmtId="0" fontId="11" fillId="33" borderId="113" applyNumberFormat="0" applyAlignment="0" applyProtection="0"/>
    <xf numFmtId="0" fontId="8" fillId="41" borderId="113" applyNumberFormat="0" applyAlignment="0" applyProtection="0"/>
    <xf numFmtId="0" fontId="21" fillId="0" borderId="116" applyNumberFormat="0" applyFill="0" applyAlignment="0" applyProtection="0"/>
    <xf numFmtId="0" fontId="3" fillId="35" borderId="114" applyNumberFormat="0" applyAlignment="0" applyProtection="0"/>
    <xf numFmtId="0" fontId="21" fillId="0" borderId="116" applyNumberFormat="0" applyFill="0" applyAlignment="0" applyProtection="0"/>
    <xf numFmtId="0" fontId="14" fillId="41" borderId="115" applyNumberFormat="0" applyAlignment="0" applyProtection="0"/>
    <xf numFmtId="0" fontId="14" fillId="41" borderId="115" applyNumberFormat="0" applyAlignment="0" applyProtection="0"/>
    <xf numFmtId="0" fontId="14" fillId="41" borderId="115" applyNumberFormat="0" applyAlignment="0" applyProtection="0"/>
    <xf numFmtId="0" fontId="3" fillId="35" borderId="114" applyNumberFormat="0" applyAlignment="0" applyProtection="0"/>
    <xf numFmtId="0" fontId="14" fillId="41" borderId="115" applyNumberFormat="0" applyAlignment="0" applyProtection="0"/>
    <xf numFmtId="0" fontId="3" fillId="35" borderId="114" applyNumberFormat="0" applyAlignment="0" applyProtection="0"/>
    <xf numFmtId="0" fontId="3" fillId="35" borderId="114" applyNumberFormat="0" applyAlignment="0" applyProtection="0"/>
    <xf numFmtId="0" fontId="3" fillId="35" borderId="114" applyNumberFormat="0" applyAlignment="0" applyProtection="0"/>
    <xf numFmtId="0" fontId="8" fillId="41" borderId="113" applyNumberFormat="0" applyAlignment="0" applyProtection="0"/>
    <xf numFmtId="0" fontId="11" fillId="33" borderId="113" applyNumberFormat="0" applyAlignment="0" applyProtection="0"/>
    <xf numFmtId="0" fontId="8" fillId="41" borderId="113" applyNumberFormat="0" applyAlignment="0" applyProtection="0"/>
    <xf numFmtId="0" fontId="11" fillId="33" borderId="113" applyNumberFormat="0" applyAlignment="0" applyProtection="0"/>
    <xf numFmtId="0" fontId="8" fillId="41" borderId="113" applyNumberFormat="0" applyAlignment="0" applyProtection="0"/>
    <xf numFmtId="0" fontId="8" fillId="41" borderId="113" applyNumberFormat="0" applyAlignment="0" applyProtection="0"/>
    <xf numFmtId="0" fontId="11" fillId="33" borderId="113" applyNumberFormat="0" applyAlignment="0" applyProtection="0"/>
    <xf numFmtId="0" fontId="8" fillId="41" borderId="113" applyNumberFormat="0" applyAlignment="0" applyProtection="0"/>
    <xf numFmtId="0" fontId="11" fillId="33" borderId="113" applyNumberFormat="0" applyAlignment="0" applyProtection="0"/>
    <xf numFmtId="0" fontId="11" fillId="33" borderId="113" applyNumberFormat="0" applyAlignment="0" applyProtection="0"/>
    <xf numFmtId="0" fontId="8" fillId="41" borderId="113" applyNumberFormat="0" applyAlignment="0" applyProtection="0"/>
    <xf numFmtId="0" fontId="8" fillId="41" borderId="113" applyNumberFormat="0" applyAlignment="0" applyProtection="0"/>
    <xf numFmtId="0" fontId="8" fillId="41" borderId="113" applyNumberFormat="0" applyAlignment="0" applyProtection="0"/>
    <xf numFmtId="0" fontId="11" fillId="33" borderId="113" applyNumberFormat="0" applyAlignment="0" applyProtection="0"/>
    <xf numFmtId="0" fontId="8" fillId="41" borderId="113" applyNumberFormat="0" applyAlignment="0" applyProtection="0"/>
    <xf numFmtId="0" fontId="8" fillId="41" borderId="113" applyNumberFormat="0" applyAlignment="0" applyProtection="0"/>
    <xf numFmtId="0" fontId="3" fillId="35" borderId="114" applyNumberFormat="0" applyAlignment="0" applyProtection="0"/>
    <xf numFmtId="0" fontId="3" fillId="35" borderId="114" applyNumberFormat="0" applyAlignment="0" applyProtection="0"/>
    <xf numFmtId="0" fontId="3" fillId="35" borderId="114" applyNumberFormat="0" applyAlignment="0" applyProtection="0"/>
    <xf numFmtId="0" fontId="14" fillId="41" borderId="115" applyNumberFormat="0" applyAlignment="0" applyProtection="0"/>
    <xf numFmtId="0" fontId="14" fillId="41" borderId="115" applyNumberFormat="0" applyAlignment="0" applyProtection="0"/>
    <xf numFmtId="0" fontId="14" fillId="41" borderId="115" applyNumberFormat="0" applyAlignment="0" applyProtection="0"/>
    <xf numFmtId="0" fontId="3" fillId="35" borderId="114" applyNumberFormat="0" applyAlignment="0" applyProtection="0"/>
    <xf numFmtId="0" fontId="14" fillId="41" borderId="115" applyNumberFormat="0" applyAlignment="0" applyProtection="0"/>
    <xf numFmtId="0" fontId="14" fillId="41" borderId="115" applyNumberFormat="0" applyAlignment="0" applyProtection="0"/>
    <xf numFmtId="0" fontId="11" fillId="33" borderId="113" applyNumberFormat="0" applyAlignment="0" applyProtection="0"/>
    <xf numFmtId="0" fontId="11" fillId="33" borderId="113" applyNumberFormat="0" applyAlignment="0" applyProtection="0"/>
    <xf numFmtId="0" fontId="21" fillId="0" borderId="116" applyNumberFormat="0" applyFill="0" applyAlignment="0" applyProtection="0"/>
    <xf numFmtId="0" fontId="11" fillId="33" borderId="113" applyNumberFormat="0" applyAlignment="0" applyProtection="0"/>
    <xf numFmtId="0" fontId="11" fillId="33" borderId="113" applyNumberFormat="0" applyAlignment="0" applyProtection="0"/>
    <xf numFmtId="0" fontId="21" fillId="0" borderId="116" applyNumberFormat="0" applyFill="0" applyAlignment="0" applyProtection="0"/>
    <xf numFmtId="0" fontId="11" fillId="33" borderId="113" applyNumberFormat="0" applyAlignment="0" applyProtection="0"/>
    <xf numFmtId="0" fontId="11" fillId="33" borderId="113" applyNumberFormat="0" applyAlignment="0" applyProtection="0"/>
    <xf numFmtId="0" fontId="21" fillId="0" borderId="116" applyNumberFormat="0" applyFill="0" applyAlignment="0" applyProtection="0"/>
    <xf numFmtId="0" fontId="21" fillId="0" borderId="116" applyNumberFormat="0" applyFill="0" applyAlignment="0" applyProtection="0"/>
    <xf numFmtId="0" fontId="3" fillId="35" borderId="114" applyNumberFormat="0" applyAlignment="0" applyProtection="0"/>
    <xf numFmtId="0" fontId="21" fillId="0" borderId="116" applyNumberFormat="0" applyFill="0" applyAlignment="0" applyProtection="0"/>
    <xf numFmtId="0" fontId="3" fillId="35" borderId="114" applyNumberFormat="0" applyAlignment="0" applyProtection="0"/>
    <xf numFmtId="0" fontId="14" fillId="41" borderId="115" applyNumberFormat="0" applyAlignment="0" applyProtection="0"/>
    <xf numFmtId="0" fontId="21" fillId="0" borderId="116" applyNumberFormat="0" applyFill="0" applyAlignment="0" applyProtection="0"/>
    <xf numFmtId="0" fontId="3" fillId="35" borderId="114" applyNumberFormat="0" applyAlignment="0" applyProtection="0"/>
    <xf numFmtId="0" fontId="21" fillId="0" borderId="116" applyNumberFormat="0" applyFill="0" applyAlignment="0" applyProtection="0"/>
    <xf numFmtId="0" fontId="14" fillId="41" borderId="115" applyNumberFormat="0" applyAlignment="0" applyProtection="0"/>
    <xf numFmtId="0" fontId="8" fillId="41" borderId="113" applyNumberFormat="0" applyAlignment="0" applyProtection="0"/>
    <xf numFmtId="0" fontId="14" fillId="41" borderId="115" applyNumberFormat="0" applyAlignment="0" applyProtection="0"/>
    <xf numFmtId="0" fontId="21" fillId="0" borderId="116" applyNumberFormat="0" applyFill="0" applyAlignment="0" applyProtection="0"/>
    <xf numFmtId="0" fontId="3" fillId="35" borderId="114" applyNumberFormat="0" applyAlignment="0" applyProtection="0"/>
    <xf numFmtId="0" fontId="21" fillId="0" borderId="116" applyNumberFormat="0" applyFill="0" applyAlignment="0" applyProtection="0"/>
    <xf numFmtId="0" fontId="14" fillId="41" borderId="115" applyNumberFormat="0" applyAlignment="0" applyProtection="0"/>
    <xf numFmtId="0" fontId="8" fillId="41" borderId="113" applyNumberFormat="0" applyAlignment="0" applyProtection="0"/>
    <xf numFmtId="0" fontId="21" fillId="0" borderId="116" applyNumberFormat="0" applyFill="0" applyAlignment="0" applyProtection="0"/>
    <xf numFmtId="0" fontId="14" fillId="41" borderId="115" applyNumberFormat="0" applyAlignment="0" applyProtection="0"/>
    <xf numFmtId="0" fontId="21" fillId="0" borderId="116" applyNumberFormat="0" applyFill="0" applyAlignment="0" applyProtection="0"/>
    <xf numFmtId="0" fontId="3" fillId="35" borderId="114" applyNumberFormat="0" applyAlignment="0" applyProtection="0"/>
    <xf numFmtId="0" fontId="3" fillId="35" borderId="114" applyNumberFormat="0" applyAlignment="0" applyProtection="0"/>
    <xf numFmtId="0" fontId="3" fillId="35" borderId="114" applyNumberFormat="0" applyAlignment="0" applyProtection="0"/>
    <xf numFmtId="0" fontId="14" fillId="41" borderId="115" applyNumberFormat="0" applyAlignment="0" applyProtection="0"/>
    <xf numFmtId="0" fontId="8" fillId="41" borderId="113" applyNumberFormat="0" applyAlignment="0" applyProtection="0"/>
    <xf numFmtId="0" fontId="11" fillId="33" borderId="113" applyNumberFormat="0" applyAlignment="0" applyProtection="0"/>
    <xf numFmtId="0" fontId="3" fillId="35" borderId="114" applyNumberFormat="0" applyAlignment="0" applyProtection="0"/>
    <xf numFmtId="0" fontId="8" fillId="41" borderId="113" applyNumberFormat="0" applyAlignment="0" applyProtection="0"/>
    <xf numFmtId="0" fontId="8" fillId="41" borderId="113" applyNumberFormat="0" applyAlignment="0" applyProtection="0"/>
    <xf numFmtId="0" fontId="11" fillId="33" borderId="113" applyNumberFormat="0" applyAlignment="0" applyProtection="0"/>
    <xf numFmtId="0" fontId="8" fillId="41" borderId="113" applyNumberFormat="0" applyAlignment="0" applyProtection="0"/>
    <xf numFmtId="0" fontId="8" fillId="41" borderId="113" applyNumberFormat="0" applyAlignment="0" applyProtection="0"/>
    <xf numFmtId="0" fontId="8" fillId="41" borderId="113" applyNumberFormat="0" applyAlignment="0" applyProtection="0"/>
    <xf numFmtId="0" fontId="8" fillId="41" borderId="113" applyNumberFormat="0" applyAlignment="0" applyProtection="0"/>
    <xf numFmtId="0" fontId="11" fillId="33" borderId="113" applyNumberFormat="0" applyAlignment="0" applyProtection="0"/>
    <xf numFmtId="0" fontId="8" fillId="41" borderId="113" applyNumberFormat="0" applyAlignment="0" applyProtection="0"/>
    <xf numFmtId="0" fontId="11" fillId="33" borderId="113" applyNumberFormat="0" applyAlignment="0" applyProtection="0"/>
    <xf numFmtId="0" fontId="8" fillId="41" borderId="113" applyNumberFormat="0" applyAlignment="0" applyProtection="0"/>
    <xf numFmtId="0" fontId="11" fillId="33" borderId="113" applyNumberFormat="0" applyAlignment="0" applyProtection="0"/>
    <xf numFmtId="0" fontId="11" fillId="33" borderId="113" applyNumberFormat="0" applyAlignment="0" applyProtection="0"/>
    <xf numFmtId="0" fontId="3" fillId="35" borderId="114" applyNumberFormat="0" applyAlignment="0" applyProtection="0"/>
    <xf numFmtId="0" fontId="3" fillId="35" borderId="114" applyNumberFormat="0" applyAlignment="0" applyProtection="0"/>
    <xf numFmtId="0" fontId="3" fillId="35" borderId="114" applyNumberFormat="0" applyAlignment="0" applyProtection="0"/>
    <xf numFmtId="0" fontId="14" fillId="41" borderId="115" applyNumberFormat="0" applyAlignment="0" applyProtection="0"/>
    <xf numFmtId="0" fontId="14" fillId="41" borderId="115" applyNumberFormat="0" applyAlignment="0" applyProtection="0"/>
    <xf numFmtId="0" fontId="14" fillId="41" borderId="115" applyNumberFormat="0" applyAlignment="0" applyProtection="0"/>
    <xf numFmtId="0" fontId="14" fillId="41" borderId="115" applyNumberFormat="0" applyAlignment="0" applyProtection="0"/>
    <xf numFmtId="0" fontId="11" fillId="33" borderId="113" applyNumberFormat="0" applyAlignment="0" applyProtection="0"/>
    <xf numFmtId="0" fontId="21" fillId="0" borderId="116" applyNumberFormat="0" applyFill="0" applyAlignment="0" applyProtection="0"/>
    <xf numFmtId="0" fontId="3" fillId="35" borderId="114" applyNumberFormat="0" applyAlignment="0" applyProtection="0"/>
    <xf numFmtId="0" fontId="21" fillId="0" borderId="116" applyNumberFormat="0" applyFill="0" applyAlignment="0" applyProtection="0"/>
    <xf numFmtId="0" fontId="14" fillId="41" borderId="115" applyNumberFormat="0" applyAlignment="0" applyProtection="0"/>
    <xf numFmtId="0" fontId="11" fillId="33" borderId="113" applyNumberFormat="0" applyAlignment="0" applyProtection="0"/>
    <xf numFmtId="0" fontId="3" fillId="35" borderId="114" applyNumberFormat="0" applyAlignment="0" applyProtection="0"/>
    <xf numFmtId="0" fontId="21" fillId="0" borderId="116" applyNumberFormat="0" applyFill="0" applyAlignment="0" applyProtection="0"/>
    <xf numFmtId="0" fontId="14" fillId="41" borderId="115" applyNumberFormat="0" applyAlignment="0" applyProtection="0"/>
    <xf numFmtId="0" fontId="14" fillId="41" borderId="115" applyNumberFormat="0" applyAlignment="0" applyProtection="0"/>
    <xf numFmtId="0" fontId="21" fillId="0" borderId="116" applyNumberFormat="0" applyFill="0" applyAlignment="0" applyProtection="0"/>
    <xf numFmtId="0" fontId="11" fillId="33" borderId="113" applyNumberFormat="0" applyAlignment="0" applyProtection="0"/>
    <xf numFmtId="0" fontId="21" fillId="0" borderId="116" applyNumberFormat="0" applyFill="0" applyAlignment="0" applyProtection="0"/>
    <xf numFmtId="0" fontId="21" fillId="0" borderId="116" applyNumberFormat="0" applyFill="0" applyAlignment="0" applyProtection="0"/>
    <xf numFmtId="0" fontId="21" fillId="0" borderId="116" applyNumberFormat="0" applyFill="0" applyAlignment="0" applyProtection="0"/>
    <xf numFmtId="0" fontId="21" fillId="0" borderId="116" applyNumberFormat="0" applyFill="0" applyAlignment="0" applyProtection="0"/>
    <xf numFmtId="0" fontId="21" fillId="0" borderId="116" applyNumberFormat="0" applyFill="0" applyAlignment="0" applyProtection="0"/>
    <xf numFmtId="0" fontId="8" fillId="41" borderId="119" applyNumberFormat="0" applyAlignment="0" applyProtection="0"/>
    <xf numFmtId="0" fontId="8" fillId="20" borderId="113" applyNumberFormat="0" applyAlignment="0" applyProtection="0"/>
    <xf numFmtId="0" fontId="8" fillId="20" borderId="113" applyNumberFormat="0" applyAlignment="0" applyProtection="0"/>
    <xf numFmtId="0" fontId="11" fillId="7" borderId="113" applyNumberFormat="0" applyAlignment="0" applyProtection="0"/>
    <xf numFmtId="0" fontId="11" fillId="7" borderId="113" applyNumberFormat="0" applyAlignment="0" applyProtection="0"/>
    <xf numFmtId="0" fontId="14" fillId="20" borderId="115" applyNumberFormat="0" applyAlignment="0" applyProtection="0"/>
    <xf numFmtId="0" fontId="14" fillId="20" borderId="115" applyNumberFormat="0" applyAlignment="0" applyProtection="0"/>
    <xf numFmtId="0" fontId="21" fillId="0" borderId="122" applyNumberFormat="0" applyFill="0" applyAlignment="0" applyProtection="0"/>
    <xf numFmtId="0" fontId="11" fillId="33" borderId="119" applyNumberFormat="0" applyAlignment="0" applyProtection="0"/>
    <xf numFmtId="0" fontId="3" fillId="23" borderId="123" applyNumberFormat="0" applyFont="0" applyAlignment="0" applyProtection="0"/>
    <xf numFmtId="168" fontId="8" fillId="41" borderId="119" applyNumberFormat="0" applyAlignment="0" applyProtection="0"/>
    <xf numFmtId="0" fontId="14" fillId="41" borderId="121" applyNumberFormat="0" applyAlignment="0" applyProtection="0"/>
    <xf numFmtId="168" fontId="8" fillId="41" borderId="119" applyNumberFormat="0" applyAlignment="0" applyProtection="0"/>
    <xf numFmtId="168" fontId="21" fillId="0" borderId="122" applyNumberFormat="0" applyFill="0" applyAlignment="0" applyProtection="0"/>
    <xf numFmtId="168" fontId="14" fillId="41" borderId="121" applyNumberFormat="0" applyAlignment="0" applyProtection="0"/>
    <xf numFmtId="168" fontId="8" fillId="20" borderId="119" applyNumberFormat="0" applyAlignment="0" applyProtection="0"/>
    <xf numFmtId="0" fontId="3" fillId="23" borderId="123" applyNumberFormat="0" applyFont="0" applyAlignment="0" applyProtection="0"/>
    <xf numFmtId="168" fontId="11" fillId="33" borderId="119" applyNumberFormat="0" applyAlignment="0" applyProtection="0"/>
    <xf numFmtId="168" fontId="8" fillId="41" borderId="119" applyNumberFormat="0" applyAlignment="0" applyProtection="0"/>
    <xf numFmtId="168" fontId="14" fillId="41" borderId="121" applyNumberFormat="0" applyAlignment="0" applyProtection="0"/>
    <xf numFmtId="0" fontId="14" fillId="20" borderId="121" applyNumberFormat="0" applyAlignment="0" applyProtection="0"/>
    <xf numFmtId="168" fontId="3" fillId="35" borderId="120" applyNumberFormat="0" applyAlignment="0" applyProtection="0"/>
    <xf numFmtId="168" fontId="14" fillId="41" borderId="121" applyNumberFormat="0" applyAlignment="0" applyProtection="0"/>
    <xf numFmtId="168" fontId="21" fillId="0" borderId="122" applyNumberFormat="0" applyFill="0" applyAlignment="0" applyProtection="0"/>
    <xf numFmtId="0" fontId="3" fillId="35" borderId="120" applyNumberFormat="0" applyAlignment="0" applyProtection="0"/>
    <xf numFmtId="168" fontId="3" fillId="35" borderId="120" applyNumberFormat="0" applyAlignment="0" applyProtection="0"/>
    <xf numFmtId="168" fontId="3" fillId="35" borderId="120" applyNumberFormat="0" applyAlignment="0" applyProtection="0"/>
    <xf numFmtId="168" fontId="14" fillId="41" borderId="121" applyNumberFormat="0" applyAlignment="0" applyProtection="0"/>
    <xf numFmtId="168" fontId="8" fillId="41" borderId="119" applyNumberFormat="0" applyAlignment="0" applyProtection="0"/>
    <xf numFmtId="168" fontId="3" fillId="35" borderId="120" applyNumberFormat="0" applyAlignment="0" applyProtection="0"/>
    <xf numFmtId="0" fontId="14" fillId="20" borderId="121" applyNumberFormat="0" applyAlignment="0" applyProtection="0"/>
    <xf numFmtId="168" fontId="3" fillId="35" borderId="120" applyNumberFormat="0" applyAlignment="0" applyProtection="0"/>
    <xf numFmtId="168" fontId="11" fillId="33" borderId="119" applyNumberFormat="0" applyAlignment="0" applyProtection="0"/>
    <xf numFmtId="0" fontId="11" fillId="33" borderId="119" applyNumberFormat="0" applyAlignment="0" applyProtection="0"/>
    <xf numFmtId="168" fontId="14" fillId="41" borderId="121" applyNumberFormat="0" applyAlignment="0" applyProtection="0"/>
    <xf numFmtId="168" fontId="8" fillId="41" borderId="119" applyNumberFormat="0" applyAlignment="0" applyProtection="0"/>
    <xf numFmtId="0" fontId="14" fillId="41" borderId="121" applyNumberFormat="0" applyAlignment="0" applyProtection="0"/>
    <xf numFmtId="0" fontId="8" fillId="41" borderId="119" applyNumberFormat="0" applyAlignment="0" applyProtection="0"/>
    <xf numFmtId="0" fontId="8" fillId="41" borderId="119" applyNumberFormat="0" applyAlignment="0" applyProtection="0"/>
    <xf numFmtId="0" fontId="3" fillId="35" borderId="120" applyNumberFormat="0" applyAlignment="0" applyProtection="0"/>
    <xf numFmtId="0" fontId="3" fillId="35" borderId="120" applyNumberFormat="0" applyAlignment="0" applyProtection="0"/>
    <xf numFmtId="168" fontId="8" fillId="41" borderId="119" applyNumberFormat="0" applyAlignment="0" applyProtection="0"/>
    <xf numFmtId="168" fontId="21" fillId="0" borderId="122" applyNumberFormat="0" applyFill="0" applyAlignment="0" applyProtection="0"/>
    <xf numFmtId="168" fontId="14" fillId="41" borderId="121" applyNumberFormat="0" applyAlignment="0" applyProtection="0"/>
    <xf numFmtId="168" fontId="21" fillId="0" borderId="122" applyNumberFormat="0" applyFill="0" applyAlignment="0" applyProtection="0"/>
    <xf numFmtId="168" fontId="11" fillId="33" borderId="119" applyNumberFormat="0" applyAlignment="0" applyProtection="0"/>
    <xf numFmtId="168" fontId="14" fillId="41" borderId="121" applyNumberFormat="0" applyAlignment="0" applyProtection="0"/>
    <xf numFmtId="168" fontId="3" fillId="23" borderId="123" applyNumberFormat="0" applyFont="0" applyAlignment="0" applyProtection="0"/>
    <xf numFmtId="168" fontId="3" fillId="23" borderId="123" applyNumberFormat="0" applyFont="0" applyAlignment="0" applyProtection="0"/>
    <xf numFmtId="0" fontId="8" fillId="41" borderId="119" applyNumberFormat="0" applyAlignment="0" applyProtection="0"/>
    <xf numFmtId="168" fontId="11" fillId="33" borderId="119" applyNumberFormat="0" applyAlignment="0" applyProtection="0"/>
    <xf numFmtId="168" fontId="3" fillId="35" borderId="120" applyNumberFormat="0" applyAlignment="0" applyProtection="0"/>
    <xf numFmtId="0" fontId="21" fillId="0" borderId="122" applyNumberFormat="0" applyFill="0" applyAlignment="0" applyProtection="0"/>
    <xf numFmtId="168" fontId="21" fillId="0" borderId="122" applyNumberFormat="0" applyFill="0" applyAlignment="0" applyProtection="0"/>
    <xf numFmtId="168" fontId="11" fillId="7" borderId="119" applyNumberFormat="0" applyAlignment="0" applyProtection="0"/>
    <xf numFmtId="168" fontId="11" fillId="7" borderId="119" applyNumberFormat="0" applyAlignment="0" applyProtection="0"/>
    <xf numFmtId="0" fontId="21" fillId="0" borderId="122" applyNumberFormat="0" applyFill="0" applyAlignment="0" applyProtection="0"/>
    <xf numFmtId="0" fontId="3" fillId="35" borderId="120" applyNumberFormat="0" applyAlignment="0" applyProtection="0"/>
    <xf numFmtId="0" fontId="11" fillId="33" borderId="119" applyNumberFormat="0" applyAlignment="0" applyProtection="0"/>
    <xf numFmtId="168" fontId="11" fillId="33" borderId="119" applyNumberFormat="0" applyAlignment="0" applyProtection="0"/>
    <xf numFmtId="0" fontId="11" fillId="33" borderId="119" applyNumberFormat="0" applyAlignment="0" applyProtection="0"/>
    <xf numFmtId="168" fontId="21" fillId="0" borderId="122" applyNumberFormat="0" applyFill="0" applyAlignment="0" applyProtection="0"/>
    <xf numFmtId="0" fontId="8" fillId="41" borderId="119" applyNumberFormat="0" applyAlignment="0" applyProtection="0"/>
    <xf numFmtId="168" fontId="3" fillId="35" borderId="120" applyNumberFormat="0" applyAlignment="0" applyProtection="0"/>
    <xf numFmtId="0" fontId="11" fillId="33" borderId="119" applyNumberFormat="0" applyAlignment="0" applyProtection="0"/>
    <xf numFmtId="168" fontId="21" fillId="0" borderId="122" applyNumberFormat="0" applyFill="0" applyAlignment="0" applyProtection="0"/>
    <xf numFmtId="168" fontId="14" fillId="41" borderId="121" applyNumberFormat="0" applyAlignment="0" applyProtection="0"/>
    <xf numFmtId="0" fontId="3" fillId="35" borderId="120" applyNumberFormat="0" applyAlignment="0" applyProtection="0"/>
    <xf numFmtId="0" fontId="8" fillId="41" borderId="119" applyNumberFormat="0" applyAlignment="0" applyProtection="0"/>
    <xf numFmtId="0" fontId="11" fillId="33" borderId="119" applyNumberFormat="0" applyAlignment="0" applyProtection="0"/>
    <xf numFmtId="168" fontId="8" fillId="41" borderId="119" applyNumberFormat="0" applyAlignment="0" applyProtection="0"/>
    <xf numFmtId="0" fontId="14" fillId="41" borderId="121" applyNumberFormat="0" applyAlignment="0" applyProtection="0"/>
    <xf numFmtId="168" fontId="11" fillId="33" borderId="119" applyNumberFormat="0" applyAlignment="0" applyProtection="0"/>
    <xf numFmtId="0" fontId="8" fillId="41" borderId="119" applyNumberFormat="0" applyAlignment="0" applyProtection="0"/>
    <xf numFmtId="0" fontId="14" fillId="41" borderId="121" applyNumberFormat="0" applyAlignment="0" applyProtection="0"/>
    <xf numFmtId="0" fontId="8" fillId="20" borderId="119" applyNumberFormat="0" applyAlignment="0" applyProtection="0"/>
    <xf numFmtId="168" fontId="21" fillId="0" borderId="122" applyNumberFormat="0" applyFill="0" applyAlignment="0" applyProtection="0"/>
    <xf numFmtId="168" fontId="11" fillId="33" borderId="119" applyNumberFormat="0" applyAlignment="0" applyProtection="0"/>
    <xf numFmtId="168" fontId="21" fillId="0" borderId="122" applyNumberFormat="0" applyFill="0" applyAlignment="0" applyProtection="0"/>
    <xf numFmtId="168" fontId="21" fillId="0" borderId="122" applyNumberFormat="0" applyFill="0" applyAlignment="0" applyProtection="0"/>
    <xf numFmtId="168" fontId="21" fillId="0" borderId="122" applyNumberFormat="0" applyFill="0" applyAlignment="0" applyProtection="0"/>
    <xf numFmtId="168" fontId="8" fillId="41" borderId="119" applyNumberFormat="0" applyAlignment="0" applyProtection="0"/>
    <xf numFmtId="168" fontId="3" fillId="35" borderId="120" applyNumberFormat="0" applyAlignment="0" applyProtection="0"/>
    <xf numFmtId="0" fontId="11" fillId="33" borderId="119" applyNumberFormat="0" applyAlignment="0" applyProtection="0"/>
    <xf numFmtId="0" fontId="14" fillId="41" borderId="121" applyNumberFormat="0" applyAlignment="0" applyProtection="0"/>
    <xf numFmtId="0" fontId="21" fillId="0" borderId="122" applyNumberFormat="0" applyFill="0" applyAlignment="0" applyProtection="0"/>
    <xf numFmtId="0" fontId="8" fillId="41" borderId="119" applyNumberFormat="0" applyAlignment="0" applyProtection="0"/>
    <xf numFmtId="168" fontId="21" fillId="0" borderId="124" applyNumberFormat="0" applyFill="0" applyAlignment="0" applyProtection="0"/>
    <xf numFmtId="0" fontId="14" fillId="41" borderId="121" applyNumberFormat="0" applyAlignment="0" applyProtection="0"/>
    <xf numFmtId="0" fontId="14" fillId="41" borderId="121" applyNumberFormat="0" applyAlignment="0" applyProtection="0"/>
    <xf numFmtId="0" fontId="8" fillId="41" borderId="119" applyNumberFormat="0" applyAlignment="0" applyProtection="0"/>
    <xf numFmtId="0" fontId="14" fillId="41" borderId="121" applyNumberFormat="0" applyAlignment="0" applyProtection="0"/>
    <xf numFmtId="168" fontId="3" fillId="35" borderId="120" applyNumberFormat="0" applyAlignment="0" applyProtection="0"/>
    <xf numFmtId="168" fontId="3" fillId="35" borderId="120" applyNumberFormat="0" applyAlignment="0" applyProtection="0"/>
    <xf numFmtId="0" fontId="3" fillId="35" borderId="120" applyNumberFormat="0" applyAlignment="0" applyProtection="0"/>
    <xf numFmtId="168" fontId="11" fillId="33" borderId="119" applyNumberFormat="0" applyAlignment="0" applyProtection="0"/>
    <xf numFmtId="168" fontId="3" fillId="35" borderId="120" applyNumberFormat="0" applyAlignment="0" applyProtection="0"/>
    <xf numFmtId="168" fontId="11" fillId="33" borderId="119" applyNumberFormat="0" applyAlignment="0" applyProtection="0"/>
    <xf numFmtId="168" fontId="11" fillId="33" borderId="119" applyNumberFormat="0" applyAlignment="0" applyProtection="0"/>
    <xf numFmtId="168" fontId="14" fillId="41" borderId="121" applyNumberFormat="0" applyAlignment="0" applyProtection="0"/>
    <xf numFmtId="168" fontId="3" fillId="35" borderId="120" applyNumberFormat="0" applyAlignment="0" applyProtection="0"/>
    <xf numFmtId="168" fontId="8" fillId="41" borderId="119" applyNumberFormat="0" applyAlignment="0" applyProtection="0"/>
    <xf numFmtId="0" fontId="21" fillId="0" borderId="122" applyNumberFormat="0" applyFill="0" applyAlignment="0" applyProtection="0"/>
    <xf numFmtId="0" fontId="14" fillId="41" borderId="121" applyNumberFormat="0" applyAlignment="0" applyProtection="0"/>
    <xf numFmtId="0" fontId="11" fillId="33" borderId="119" applyNumberFormat="0" applyAlignment="0" applyProtection="0"/>
    <xf numFmtId="0" fontId="8" fillId="41" borderId="119" applyNumberFormat="0" applyAlignment="0" applyProtection="0"/>
    <xf numFmtId="168" fontId="11" fillId="33" borderId="119" applyNumberFormat="0" applyAlignment="0" applyProtection="0"/>
    <xf numFmtId="0" fontId="8" fillId="41" borderId="119" applyNumberFormat="0" applyAlignment="0" applyProtection="0"/>
    <xf numFmtId="0" fontId="14" fillId="41" borderId="121" applyNumberFormat="0" applyAlignment="0" applyProtection="0"/>
    <xf numFmtId="0" fontId="11" fillId="33" borderId="119" applyNumberFormat="0" applyAlignment="0" applyProtection="0"/>
    <xf numFmtId="168" fontId="8" fillId="41" borderId="119" applyNumberFormat="0" applyAlignment="0" applyProtection="0"/>
    <xf numFmtId="0" fontId="21" fillId="0" borderId="122" applyNumberFormat="0" applyFill="0" applyAlignment="0" applyProtection="0"/>
    <xf numFmtId="0" fontId="3" fillId="35" borderId="120" applyNumberFormat="0" applyAlignment="0" applyProtection="0"/>
    <xf numFmtId="0" fontId="21" fillId="0" borderId="122" applyNumberFormat="0" applyFill="0" applyAlignment="0" applyProtection="0"/>
    <xf numFmtId="0" fontId="11" fillId="7" borderId="119" applyNumberFormat="0" applyAlignment="0" applyProtection="0"/>
    <xf numFmtId="168" fontId="3" fillId="35" borderId="120" applyNumberFormat="0" applyAlignment="0" applyProtection="0"/>
    <xf numFmtId="168" fontId="14" fillId="41" borderId="121" applyNumberFormat="0" applyAlignment="0" applyProtection="0"/>
    <xf numFmtId="168" fontId="14" fillId="20" borderId="121" applyNumberFormat="0" applyAlignment="0" applyProtection="0"/>
    <xf numFmtId="0" fontId="21" fillId="0" borderId="122" applyNumberFormat="0" applyFill="0" applyAlignment="0" applyProtection="0"/>
    <xf numFmtId="168" fontId="8" fillId="41" borderId="119" applyNumberFormat="0" applyAlignment="0" applyProtection="0"/>
    <xf numFmtId="0" fontId="11" fillId="7" borderId="119" applyNumberFormat="0" applyAlignment="0" applyProtection="0"/>
    <xf numFmtId="0" fontId="3" fillId="35" borderId="120" applyNumberFormat="0" applyAlignment="0" applyProtection="0"/>
    <xf numFmtId="0" fontId="3" fillId="35" borderId="120" applyNumberFormat="0" applyAlignment="0" applyProtection="0"/>
    <xf numFmtId="0" fontId="21" fillId="0" borderId="122" applyNumberFormat="0" applyFill="0" applyAlignment="0" applyProtection="0"/>
    <xf numFmtId="0" fontId="21" fillId="0" borderId="122" applyNumberFormat="0" applyFill="0" applyAlignment="0" applyProtection="0"/>
    <xf numFmtId="0" fontId="14" fillId="41" borderId="121" applyNumberFormat="0" applyAlignment="0" applyProtection="0"/>
    <xf numFmtId="0" fontId="3" fillId="35" borderId="120" applyNumberFormat="0" applyAlignment="0" applyProtection="0"/>
    <xf numFmtId="0" fontId="21" fillId="0" borderId="122" applyNumberFormat="0" applyFill="0" applyAlignment="0" applyProtection="0"/>
    <xf numFmtId="0" fontId="11" fillId="33" borderId="119" applyNumberFormat="0" applyAlignment="0" applyProtection="0"/>
  </cellStyleXfs>
  <cellXfs count="396">
    <xf numFmtId="0" fontId="0" fillId="0" borderId="0" xfId="0"/>
    <xf numFmtId="0" fontId="3" fillId="0" borderId="0" xfId="0" applyFont="1"/>
    <xf numFmtId="0" fontId="22" fillId="0" borderId="0" xfId="0" applyFont="1"/>
    <xf numFmtId="0" fontId="24" fillId="0" borderId="0" xfId="0" applyFont="1" applyAlignment="1">
      <alignment horizontal="center"/>
    </xf>
    <xf numFmtId="0" fontId="3" fillId="0" borderId="0" xfId="0" applyFont="1" applyAlignment="1">
      <alignment horizontal="center"/>
    </xf>
    <xf numFmtId="0" fontId="0" fillId="0" borderId="0" xfId="0" applyAlignment="1">
      <alignment horizontal="left"/>
    </xf>
    <xf numFmtId="49" fontId="24" fillId="24" borderId="10" xfId="0" applyNumberFormat="1" applyFont="1" applyFill="1" applyBorder="1" applyAlignment="1">
      <alignment horizontal="center" vertical="center"/>
    </xf>
    <xf numFmtId="164" fontId="24" fillId="24" borderId="10" xfId="87" applyFont="1" applyFill="1" applyBorder="1" applyAlignment="1" applyProtection="1">
      <alignment horizontal="center" vertical="center"/>
    </xf>
    <xf numFmtId="10" fontId="24" fillId="24" borderId="10" xfId="76" applyNumberFormat="1" applyFont="1" applyFill="1" applyBorder="1" applyAlignment="1" applyProtection="1">
      <alignment horizontal="center" vertical="center"/>
    </xf>
    <xf numFmtId="0" fontId="25" fillId="0" borderId="0" xfId="0" applyFont="1"/>
    <xf numFmtId="0" fontId="3" fillId="0" borderId="0" xfId="0" applyFont="1" applyAlignment="1">
      <alignment horizontal="left"/>
    </xf>
    <xf numFmtId="0" fontId="3" fillId="0" borderId="0" xfId="0" applyFont="1" applyAlignment="1">
      <alignment horizontal="center" vertical="center"/>
    </xf>
    <xf numFmtId="164" fontId="3" fillId="0" borderId="0" xfId="87" applyFont="1"/>
    <xf numFmtId="0" fontId="29" fillId="0" borderId="0" xfId="0" applyFont="1" applyAlignment="1">
      <alignment vertical="center"/>
    </xf>
    <xf numFmtId="0" fontId="3" fillId="0" borderId="0" xfId="0" applyFont="1" applyAlignment="1">
      <alignment horizontal="right"/>
    </xf>
    <xf numFmtId="0" fontId="24" fillId="0" borderId="0" xfId="0" applyFont="1" applyAlignment="1">
      <alignment horizontal="right"/>
    </xf>
    <xf numFmtId="0" fontId="3" fillId="0" borderId="0" xfId="0" applyFont="1" applyAlignment="1">
      <alignment wrapText="1"/>
    </xf>
    <xf numFmtId="0" fontId="0" fillId="0" borderId="0" xfId="0" applyAlignment="1">
      <alignment horizontal="left" wrapText="1"/>
    </xf>
    <xf numFmtId="0" fontId="3" fillId="0" borderId="0" xfId="0" applyFont="1" applyAlignment="1">
      <alignment horizontal="left" wrapText="1" indent="2"/>
    </xf>
    <xf numFmtId="0" fontId="0" fillId="0" borderId="0" xfId="0" applyAlignment="1">
      <alignment horizontal="center"/>
    </xf>
    <xf numFmtId="0" fontId="24" fillId="0" borderId="11" xfId="72" applyFont="1" applyBorder="1" applyAlignment="1">
      <alignment horizontal="left" vertical="top"/>
    </xf>
    <xf numFmtId="0" fontId="24" fillId="0" borderId="0" xfId="72" applyFont="1" applyAlignment="1">
      <alignment horizontal="left" vertical="top"/>
    </xf>
    <xf numFmtId="0" fontId="24" fillId="0" borderId="12" xfId="72" applyFont="1" applyBorder="1" applyAlignment="1">
      <alignment horizontal="left" vertical="top"/>
    </xf>
    <xf numFmtId="10" fontId="3" fillId="0" borderId="0" xfId="76" applyNumberFormat="1" applyFont="1" applyBorder="1" applyAlignment="1" applyProtection="1">
      <alignment horizontal="left"/>
    </xf>
    <xf numFmtId="0" fontId="0" fillId="0" borderId="0" xfId="0" applyAlignment="1">
      <alignment horizontal="left" indent="2"/>
    </xf>
    <xf numFmtId="14" fontId="30" fillId="0" borderId="0" xfId="0" applyNumberFormat="1" applyFont="1" applyAlignment="1">
      <alignment vertical="top" wrapText="1"/>
    </xf>
    <xf numFmtId="0" fontId="31" fillId="0" borderId="0" xfId="0" applyFont="1" applyAlignment="1">
      <alignment horizontal="center"/>
    </xf>
    <xf numFmtId="0" fontId="31" fillId="0" borderId="0" xfId="0" applyFont="1"/>
    <xf numFmtId="0" fontId="23"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3" fillId="0" borderId="0" xfId="0" applyFont="1" applyProtection="1">
      <protection hidden="1"/>
    </xf>
    <xf numFmtId="0" fontId="24" fillId="0" borderId="0" xfId="0" applyFont="1" applyAlignment="1" applyProtection="1">
      <alignment wrapText="1"/>
      <protection hidden="1"/>
    </xf>
    <xf numFmtId="0" fontId="24" fillId="0" borderId="0" xfId="0" applyFont="1" applyAlignment="1" applyProtection="1">
      <alignment horizontal="center" vertical="center"/>
      <protection hidden="1"/>
    </xf>
    <xf numFmtId="0" fontId="4" fillId="0" borderId="0" xfId="0" applyFont="1" applyProtection="1">
      <protection hidden="1"/>
    </xf>
    <xf numFmtId="0" fontId="3" fillId="0" borderId="0" xfId="0" applyFont="1" applyAlignment="1" applyProtection="1">
      <alignment horizontal="center"/>
      <protection hidden="1"/>
    </xf>
    <xf numFmtId="0" fontId="3" fillId="0" borderId="0" xfId="0" applyFont="1" applyAlignment="1">
      <alignment horizontal="left" wrapText="1"/>
    </xf>
    <xf numFmtId="0" fontId="3" fillId="0" borderId="0" xfId="0" applyFont="1" applyAlignment="1">
      <alignment horizontal="left" wrapText="1" indent="1"/>
    </xf>
    <xf numFmtId="0" fontId="24" fillId="0" borderId="0" xfId="0" applyFont="1" applyAlignment="1">
      <alignment horizontal="left" wrapText="1" indent="1"/>
    </xf>
    <xf numFmtId="0" fontId="24" fillId="0" borderId="0" xfId="0" applyFont="1" applyAlignment="1">
      <alignment horizontal="left" indent="1"/>
    </xf>
    <xf numFmtId="0" fontId="3" fillId="0" borderId="0" xfId="71"/>
    <xf numFmtId="0" fontId="24" fillId="0" borderId="0" xfId="71" applyFont="1" applyAlignment="1">
      <alignment horizontal="center"/>
    </xf>
    <xf numFmtId="0" fontId="24" fillId="0" borderId="14" xfId="71" applyFont="1" applyBorder="1" applyAlignment="1">
      <alignment horizontal="center"/>
    </xf>
    <xf numFmtId="10" fontId="33" fillId="0" borderId="14" xfId="71" applyNumberFormat="1" applyFont="1" applyBorder="1" applyAlignment="1">
      <alignment horizontal="center"/>
    </xf>
    <xf numFmtId="0" fontId="23" fillId="0" borderId="0" xfId="71" applyFont="1" applyAlignment="1">
      <alignment horizontal="center"/>
    </xf>
    <xf numFmtId="0" fontId="34" fillId="0" borderId="0" xfId="71" applyFont="1"/>
    <xf numFmtId="0" fontId="24" fillId="0" borderId="0" xfId="71" applyFont="1"/>
    <xf numFmtId="0" fontId="24" fillId="0" borderId="14" xfId="71" applyFont="1" applyBorder="1" applyAlignment="1">
      <alignment horizontal="center" vertical="center" wrapText="1"/>
    </xf>
    <xf numFmtId="0" fontId="32" fillId="0" borderId="14" xfId="71" applyFont="1" applyBorder="1" applyAlignment="1">
      <alignment horizontal="center" vertical="center"/>
    </xf>
    <xf numFmtId="10" fontId="32" fillId="25" borderId="14" xfId="71" applyNumberFormat="1" applyFont="1" applyFill="1" applyBorder="1" applyAlignment="1" applyProtection="1">
      <alignment horizontal="center" vertical="center"/>
      <protection locked="0"/>
    </xf>
    <xf numFmtId="4" fontId="28" fillId="0" borderId="14" xfId="71" applyNumberFormat="1" applyFont="1" applyBorder="1" applyAlignment="1">
      <alignment horizontal="center" vertical="center"/>
    </xf>
    <xf numFmtId="10" fontId="32" fillId="0" borderId="14" xfId="71" applyNumberFormat="1" applyFont="1" applyBorder="1" applyAlignment="1">
      <alignment horizontal="center" vertical="center"/>
    </xf>
    <xf numFmtId="10" fontId="32" fillId="0" borderId="14" xfId="71" applyNumberFormat="1" applyFont="1" applyBorder="1" applyAlignment="1">
      <alignment horizontal="center" vertical="center" wrapText="1"/>
    </xf>
    <xf numFmtId="0" fontId="32" fillId="0" borderId="14" xfId="71" applyFont="1" applyBorder="1" applyAlignment="1">
      <alignment horizontal="center" vertical="center" wrapText="1"/>
    </xf>
    <xf numFmtId="0" fontId="41" fillId="0" borderId="0" xfId="71" applyFont="1" applyAlignment="1">
      <alignment horizontal="center" vertical="center" wrapText="1"/>
    </xf>
    <xf numFmtId="10" fontId="41" fillId="0" borderId="0" xfId="71" applyNumberFormat="1" applyFont="1" applyAlignment="1">
      <alignment horizontal="center" vertical="center"/>
    </xf>
    <xf numFmtId="170" fontId="3" fillId="0" borderId="0" xfId="71" applyNumberFormat="1"/>
    <xf numFmtId="0" fontId="32" fillId="0" borderId="0" xfId="71" applyFont="1"/>
    <xf numFmtId="0" fontId="32" fillId="0" borderId="0" xfId="71" applyFont="1" applyAlignment="1">
      <alignment vertical="top"/>
    </xf>
    <xf numFmtId="0" fontId="36" fillId="0" borderId="0" xfId="71" applyFont="1" applyAlignment="1">
      <alignment horizontal="center" vertical="top"/>
    </xf>
    <xf numFmtId="0" fontId="24" fillId="0" borderId="14" xfId="0" applyFont="1" applyBorder="1" applyAlignment="1">
      <alignment horizontal="center" vertical="center" wrapText="1"/>
    </xf>
    <xf numFmtId="0" fontId="24" fillId="0" borderId="14" xfId="0" applyFont="1" applyBorder="1" applyAlignment="1">
      <alignment horizontal="center" vertical="center"/>
    </xf>
    <xf numFmtId="0" fontId="24" fillId="24" borderId="14" xfId="0" applyFont="1" applyFill="1" applyBorder="1" applyAlignment="1">
      <alignment horizontal="center" vertical="center"/>
    </xf>
    <xf numFmtId="0" fontId="3" fillId="0" borderId="15" xfId="0" applyFont="1" applyBorder="1" applyAlignment="1">
      <alignment horizontal="center"/>
    </xf>
    <xf numFmtId="0" fontId="24" fillId="0" borderId="16" xfId="0" applyFont="1" applyBorder="1" applyAlignment="1">
      <alignment horizontal="center"/>
    </xf>
    <xf numFmtId="0" fontId="38" fillId="0" borderId="0" xfId="0" applyFont="1" applyAlignment="1">
      <alignment vertical="center"/>
    </xf>
    <xf numFmtId="0" fontId="3" fillId="0" borderId="0" xfId="0" applyFont="1" applyAlignment="1">
      <alignment horizontal="center" vertical="top"/>
    </xf>
    <xf numFmtId="0" fontId="3" fillId="0" borderId="17" xfId="0" applyFont="1" applyBorder="1"/>
    <xf numFmtId="0" fontId="32" fillId="0" borderId="0" xfId="0" applyFont="1"/>
    <xf numFmtId="0" fontId="23" fillId="0" borderId="0" xfId="0" applyFont="1" applyAlignment="1">
      <alignment horizontal="right"/>
    </xf>
    <xf numFmtId="0" fontId="24" fillId="25" borderId="0" xfId="0" applyFont="1" applyFill="1" applyProtection="1">
      <protection locked="0"/>
    </xf>
    <xf numFmtId="0" fontId="24" fillId="24" borderId="10" xfId="0" applyFont="1" applyFill="1" applyBorder="1" applyAlignment="1">
      <alignment horizontal="center" vertical="center" wrapText="1"/>
    </xf>
    <xf numFmtId="0" fontId="3" fillId="25" borderId="18" xfId="0" applyFont="1" applyFill="1" applyBorder="1" applyAlignment="1" applyProtection="1">
      <alignment horizontal="left" vertical="top" wrapText="1"/>
      <protection locked="0"/>
    </xf>
    <xf numFmtId="0" fontId="3" fillId="0" borderId="12" xfId="0" applyFont="1" applyBorder="1"/>
    <xf numFmtId="0" fontId="32" fillId="0" borderId="11" xfId="0" applyFont="1" applyBorder="1" applyAlignment="1">
      <alignment horizontal="left" vertical="center"/>
    </xf>
    <xf numFmtId="0" fontId="3" fillId="25" borderId="18" xfId="0" applyFont="1" applyFill="1" applyBorder="1" applyAlignment="1" applyProtection="1">
      <alignment vertical="top" wrapText="1"/>
      <protection locked="0"/>
    </xf>
    <xf numFmtId="0" fontId="24" fillId="0" borderId="11" xfId="72" applyFont="1" applyBorder="1" applyAlignment="1">
      <alignment vertical="top"/>
    </xf>
    <xf numFmtId="0" fontId="24" fillId="0" borderId="15" xfId="72" applyFont="1" applyBorder="1" applyAlignment="1">
      <alignment horizontal="center" vertical="top"/>
    </xf>
    <xf numFmtId="10" fontId="39"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4" fillId="24" borderId="19" xfId="87" applyFont="1" applyFill="1" applyBorder="1" applyAlignment="1" applyProtection="1">
      <alignment horizontal="center" vertical="center" shrinkToFit="1"/>
    </xf>
    <xf numFmtId="164" fontId="3" fillId="0" borderId="20" xfId="87" applyFont="1" applyFill="1" applyBorder="1" applyAlignment="1">
      <alignment horizontal="center" vertical="center" shrinkToFit="1"/>
    </xf>
    <xf numFmtId="0" fontId="23" fillId="0" borderId="0" xfId="0" applyFont="1" applyAlignment="1">
      <alignment horizontal="left" vertical="center"/>
    </xf>
    <xf numFmtId="0" fontId="3" fillId="0" borderId="0" xfId="71" applyAlignment="1">
      <alignment horizontal="center" vertical="top"/>
    </xf>
    <xf numFmtId="0" fontId="40" fillId="0" borderId="0" xfId="72" applyFont="1" applyAlignment="1">
      <alignment horizontal="left" vertical="top"/>
    </xf>
    <xf numFmtId="0" fontId="37" fillId="0" borderId="0" xfId="0" applyFont="1" applyAlignment="1">
      <alignment horizontal="left" vertical="center"/>
    </xf>
    <xf numFmtId="3" fontId="0" fillId="26" borderId="21" xfId="0" applyNumberFormat="1" applyFill="1" applyBorder="1" applyAlignment="1">
      <alignment horizontal="left"/>
    </xf>
    <xf numFmtId="10" fontId="39" fillId="25" borderId="18" xfId="76" applyNumberFormat="1" applyFont="1" applyFill="1" applyBorder="1" applyAlignment="1" applyProtection="1">
      <alignment horizontal="left" vertical="top" wrapText="1"/>
      <protection locked="0"/>
    </xf>
    <xf numFmtId="0" fontId="3" fillId="26" borderId="18" xfId="0" applyFont="1" applyFill="1" applyBorder="1" applyAlignment="1">
      <alignment horizontal="left"/>
    </xf>
    <xf numFmtId="4" fontId="28" fillId="0" borderId="14" xfId="71" applyNumberFormat="1" applyFont="1" applyBorder="1" applyAlignment="1">
      <alignment horizontal="center" vertical="center" wrapText="1"/>
    </xf>
    <xf numFmtId="0" fontId="48" fillId="0" borderId="0" xfId="71" applyFont="1" applyAlignment="1">
      <alignment wrapText="1"/>
    </xf>
    <xf numFmtId="0" fontId="49" fillId="0" borderId="0" xfId="71" applyFont="1" applyAlignment="1">
      <alignment vertical="top" wrapText="1"/>
    </xf>
    <xf numFmtId="0" fontId="46" fillId="0" borderId="14" xfId="71" applyFont="1" applyBorder="1" applyAlignment="1">
      <alignment horizontal="center" vertical="center"/>
    </xf>
    <xf numFmtId="4" fontId="28" fillId="0" borderId="0" xfId="71" applyNumberFormat="1" applyFont="1" applyAlignment="1">
      <alignment horizontal="center" vertical="center" wrapText="1"/>
    </xf>
    <xf numFmtId="0" fontId="3" fillId="0" borderId="0" xfId="71" applyProtection="1">
      <protection locked="0"/>
    </xf>
    <xf numFmtId="0" fontId="24" fillId="0" borderId="0" xfId="0" applyFont="1"/>
    <xf numFmtId="0" fontId="24" fillId="0" borderId="0" xfId="0" applyFont="1" applyAlignment="1">
      <alignment horizontal="left"/>
    </xf>
    <xf numFmtId="0" fontId="24" fillId="0" borderId="22" xfId="0" applyFont="1" applyBorder="1" applyAlignment="1">
      <alignment horizontal="center" vertical="center" wrapText="1"/>
    </xf>
    <xf numFmtId="0" fontId="24" fillId="0" borderId="0" xfId="0" applyFont="1" applyAlignment="1">
      <alignment horizontal="center" vertical="center" wrapText="1"/>
    </xf>
    <xf numFmtId="0" fontId="25" fillId="0" borderId="16" xfId="0" applyFont="1" applyBorder="1" applyAlignment="1">
      <alignment horizontal="center"/>
    </xf>
    <xf numFmtId="0" fontId="4" fillId="25" borderId="23" xfId="0" applyFont="1" applyFill="1" applyBorder="1" applyAlignment="1" applyProtection="1">
      <alignment vertical="center" wrapText="1"/>
      <protection locked="0"/>
    </xf>
    <xf numFmtId="164" fontId="3" fillId="0" borderId="24" xfId="87" applyFont="1" applyFill="1" applyBorder="1" applyAlignment="1">
      <alignment vertical="center" shrinkToFit="1"/>
    </xf>
    <xf numFmtId="0" fontId="3" fillId="25" borderId="25" xfId="0" applyFont="1" applyFill="1" applyBorder="1" applyAlignment="1" applyProtection="1">
      <alignment horizontal="center" textRotation="90" wrapText="1"/>
      <protection locked="0"/>
    </xf>
    <xf numFmtId="0" fontId="24" fillId="0" borderId="15" xfId="0" applyFont="1" applyBorder="1" applyAlignment="1">
      <alignment horizontal="center" vertical="center" wrapText="1"/>
    </xf>
    <xf numFmtId="0" fontId="24" fillId="0" borderId="15" xfId="0" applyFont="1" applyBorder="1" applyAlignment="1">
      <alignment horizontal="center" vertical="center"/>
    </xf>
    <xf numFmtId="0" fontId="29" fillId="0" borderId="26" xfId="0" applyFont="1" applyBorder="1" applyAlignment="1">
      <alignment horizontal="center" vertical="center"/>
    </xf>
    <xf numFmtId="0" fontId="4" fillId="0" borderId="27" xfId="0" applyFont="1" applyBorder="1" applyAlignment="1">
      <alignment vertical="center"/>
    </xf>
    <xf numFmtId="0" fontId="3" fillId="0" borderId="28" xfId="0" applyFont="1" applyBorder="1" applyAlignment="1">
      <alignment vertical="center" wrapText="1"/>
    </xf>
    <xf numFmtId="0" fontId="4" fillId="0" borderId="28" xfId="0" applyFont="1" applyBorder="1" applyAlignment="1">
      <alignment vertical="center"/>
    </xf>
    <xf numFmtId="0" fontId="3" fillId="0" borderId="28" xfId="0" applyFont="1" applyBorder="1" applyAlignment="1">
      <alignment horizontal="center" vertical="center" wrapText="1"/>
    </xf>
    <xf numFmtId="0" fontId="3" fillId="0" borderId="28" xfId="0" applyFont="1" applyBorder="1" applyAlignment="1">
      <alignment vertical="center" shrinkToFit="1"/>
    </xf>
    <xf numFmtId="10" fontId="3" fillId="0" borderId="24" xfId="87" applyNumberFormat="1" applyFont="1" applyFill="1" applyBorder="1" applyAlignment="1">
      <alignment vertical="center" shrinkToFit="1"/>
    </xf>
    <xf numFmtId="10" fontId="24" fillId="24" borderId="10" xfId="87" applyNumberFormat="1" applyFont="1" applyFill="1" applyBorder="1" applyAlignment="1" applyProtection="1">
      <alignment horizontal="center" vertical="center"/>
    </xf>
    <xf numFmtId="0" fontId="3" fillId="0" borderId="18" xfId="0" applyFont="1" applyBorder="1" applyAlignment="1">
      <alignment vertical="top" wrapText="1"/>
    </xf>
    <xf numFmtId="0" fontId="3" fillId="0" borderId="18" xfId="0" applyFont="1" applyBorder="1" applyAlignment="1">
      <alignment horizontal="left" vertical="top" wrapText="1"/>
    </xf>
    <xf numFmtId="10" fontId="39" fillId="0" borderId="16" xfId="76" applyNumberFormat="1" applyFont="1" applyFill="1" applyBorder="1" applyAlignment="1" applyProtection="1">
      <alignment horizontal="center" vertical="top" wrapText="1"/>
    </xf>
    <xf numFmtId="10" fontId="39" fillId="0" borderId="18" xfId="76" applyNumberFormat="1" applyFont="1" applyFill="1" applyBorder="1" applyAlignment="1" applyProtection="1">
      <alignment horizontal="left" vertical="top" wrapText="1"/>
    </xf>
    <xf numFmtId="0" fontId="24" fillId="0" borderId="17" xfId="0" applyFont="1" applyBorder="1"/>
    <xf numFmtId="0" fontId="24" fillId="0" borderId="17" xfId="0" applyFont="1" applyBorder="1" applyAlignment="1">
      <alignment horizontal="left"/>
    </xf>
    <xf numFmtId="0" fontId="3" fillId="0" borderId="17" xfId="0" applyFont="1" applyBorder="1" applyAlignment="1">
      <alignment horizontal="left"/>
    </xf>
    <xf numFmtId="0" fontId="24" fillId="0" borderId="17" xfId="71" applyFont="1" applyBorder="1" applyAlignment="1">
      <alignment horizontal="left"/>
    </xf>
    <xf numFmtId="0" fontId="3" fillId="0" borderId="17" xfId="71" applyBorder="1"/>
    <xf numFmtId="0" fontId="29" fillId="0" borderId="0" xfId="0" applyFont="1" applyAlignment="1">
      <alignment horizontal="center" vertical="center"/>
    </xf>
    <xf numFmtId="0" fontId="40" fillId="0" borderId="29" xfId="0" applyFont="1" applyBorder="1" applyAlignment="1">
      <alignment horizontal="center" vertical="center" wrapText="1"/>
    </xf>
    <xf numFmtId="0" fontId="31" fillId="0" borderId="0" xfId="0" applyFont="1" applyAlignment="1">
      <alignment horizontal="center" vertical="center" wrapText="1"/>
    </xf>
    <xf numFmtId="4" fontId="28" fillId="27" borderId="13" xfId="87" applyNumberFormat="1" applyFont="1" applyFill="1" applyBorder="1" applyAlignment="1" applyProtection="1">
      <alignment horizontal="center" vertical="center" shrinkToFit="1"/>
    </xf>
    <xf numFmtId="10" fontId="28" fillId="28" borderId="0" xfId="76" applyNumberFormat="1" applyFont="1" applyFill="1" applyBorder="1" applyAlignment="1" applyProtection="1">
      <alignment horizontal="center" vertical="center" shrinkToFit="1"/>
    </xf>
    <xf numFmtId="4" fontId="28" fillId="28" borderId="13" xfId="87" applyNumberFormat="1" applyFont="1" applyFill="1" applyBorder="1" applyAlignment="1" applyProtection="1">
      <alignment horizontal="center" vertical="center" shrinkToFit="1"/>
    </xf>
    <xf numFmtId="0" fontId="40" fillId="0" borderId="30" xfId="0" applyFont="1" applyBorder="1" applyAlignment="1">
      <alignment horizontal="center" vertical="center" wrapText="1"/>
    </xf>
    <xf numFmtId="0" fontId="3" fillId="0" borderId="17" xfId="0" applyFont="1" applyBorder="1" applyAlignment="1">
      <alignment horizontal="center"/>
    </xf>
    <xf numFmtId="0" fontId="24" fillId="27" borderId="18" xfId="0" applyFont="1" applyFill="1" applyBorder="1" applyAlignment="1">
      <alignment horizontal="center" vertical="center"/>
    </xf>
    <xf numFmtId="0" fontId="24" fillId="28" borderId="11" xfId="0" applyFont="1" applyFill="1" applyBorder="1" applyAlignment="1">
      <alignment horizontal="center" vertical="center"/>
    </xf>
    <xf numFmtId="0" fontId="24"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40" fillId="0" borderId="0" xfId="0" applyFont="1" applyAlignment="1">
      <alignment horizontal="center" wrapText="1"/>
    </xf>
    <xf numFmtId="0" fontId="52" fillId="0" borderId="0" xfId="0" applyFont="1"/>
    <xf numFmtId="0" fontId="3" fillId="0" borderId="31" xfId="0" applyFont="1" applyBorder="1" applyAlignment="1">
      <alignment vertical="center" wrapText="1" shrinkToFit="1"/>
    </xf>
    <xf numFmtId="0" fontId="42" fillId="24" borderId="32" xfId="0" applyFont="1" applyFill="1" applyBorder="1" applyAlignment="1">
      <alignment horizontal="center" vertical="center" wrapText="1"/>
    </xf>
    <xf numFmtId="164" fontId="3" fillId="0" borderId="28" xfId="87" applyFont="1" applyFill="1" applyBorder="1" applyAlignment="1" applyProtection="1">
      <alignment vertical="center" shrinkToFit="1"/>
    </xf>
    <xf numFmtId="0" fontId="3" fillId="0" borderId="0" xfId="0" applyFont="1" applyAlignment="1" applyProtection="1">
      <alignment horizontal="center"/>
      <protection locked="0"/>
    </xf>
    <xf numFmtId="0" fontId="24" fillId="27" borderId="11" xfId="0" applyFont="1" applyFill="1" applyBorder="1" applyAlignment="1">
      <alignment horizontal="center" vertical="center"/>
    </xf>
    <xf numFmtId="10" fontId="32" fillId="0" borderId="0" xfId="76" applyNumberFormat="1" applyFont="1" applyFill="1" applyBorder="1" applyAlignment="1" applyProtection="1">
      <alignment horizontal="center" vertical="center"/>
    </xf>
    <xf numFmtId="4" fontId="32" fillId="0" borderId="0" xfId="76" applyNumberFormat="1" applyFont="1" applyFill="1" applyBorder="1" applyAlignment="1" applyProtection="1">
      <alignment horizontal="center" vertical="center"/>
    </xf>
    <xf numFmtId="0" fontId="3" fillId="0" borderId="11" xfId="0" applyFont="1" applyBorder="1" applyAlignment="1">
      <alignment horizontal="center" vertical="center"/>
    </xf>
    <xf numFmtId="0" fontId="24" fillId="0" borderId="11" xfId="0" applyFont="1" applyBorder="1" applyAlignment="1">
      <alignment horizontal="center" vertical="center"/>
    </xf>
    <xf numFmtId="0" fontId="26" fillId="0" borderId="0" xfId="0" applyFont="1" applyAlignment="1">
      <alignment vertical="center"/>
    </xf>
    <xf numFmtId="0" fontId="23" fillId="0" borderId="0" xfId="0" applyFont="1" applyAlignment="1">
      <alignment horizontal="right" vertical="center"/>
    </xf>
    <xf numFmtId="0" fontId="0" fillId="0" borderId="0" xfId="0" applyAlignment="1">
      <alignment horizontal="center" vertical="top"/>
    </xf>
    <xf numFmtId="0" fontId="3" fillId="0" borderId="0" xfId="0" applyFont="1" applyAlignment="1">
      <alignment horizontal="center" wrapText="1"/>
    </xf>
    <xf numFmtId="0" fontId="50" fillId="0" borderId="0" xfId="0" applyFont="1" applyAlignment="1">
      <alignment wrapText="1"/>
    </xf>
    <xf numFmtId="0" fontId="24" fillId="0" borderId="0" xfId="0" applyFont="1" applyAlignment="1">
      <alignment horizontal="center" wrapText="1"/>
    </xf>
    <xf numFmtId="0" fontId="28" fillId="0" borderId="15" xfId="0" applyFont="1" applyBorder="1" applyAlignment="1">
      <alignment horizontal="center" vertical="center"/>
    </xf>
    <xf numFmtId="0" fontId="28" fillId="0" borderId="15" xfId="0" applyFont="1" applyBorder="1" applyAlignment="1">
      <alignment horizontal="center" vertical="center" wrapText="1"/>
    </xf>
    <xf numFmtId="0" fontId="28" fillId="0" borderId="30" xfId="0" applyFont="1" applyBorder="1" applyAlignment="1">
      <alignment horizontal="center" vertical="center" wrapText="1"/>
    </xf>
    <xf numFmtId="4" fontId="3" fillId="0" borderId="0" xfId="0" applyNumberFormat="1" applyFont="1" applyAlignment="1">
      <alignment horizontal="center" vertical="center"/>
    </xf>
    <xf numFmtId="0" fontId="4" fillId="0" borderId="0" xfId="0" applyFont="1"/>
    <xf numFmtId="0" fontId="3" fillId="0" borderId="0" xfId="0" applyFont="1" applyAlignment="1">
      <alignment vertical="top"/>
    </xf>
    <xf numFmtId="0" fontId="24" fillId="0" borderId="0" xfId="0" applyFont="1" applyAlignment="1">
      <alignment vertical="center"/>
    </xf>
    <xf numFmtId="4" fontId="4" fillId="0" borderId="0" xfId="0" applyNumberFormat="1" applyFont="1"/>
    <xf numFmtId="0" fontId="24" fillId="0" borderId="17" xfId="0" applyFont="1" applyBorder="1" applyAlignment="1">
      <alignment horizontal="left" vertical="center"/>
    </xf>
    <xf numFmtId="0" fontId="24" fillId="0" borderId="11" xfId="0" applyFont="1" applyBorder="1" applyAlignment="1">
      <alignment wrapText="1"/>
    </xf>
    <xf numFmtId="0" fontId="0" fillId="0" borderId="11" xfId="0" applyBorder="1"/>
    <xf numFmtId="0" fontId="0" fillId="0" borderId="11" xfId="0" quotePrefix="1" applyBorder="1"/>
    <xf numFmtId="10" fontId="32" fillId="0" borderId="11" xfId="76" applyNumberFormat="1" applyFont="1" applyFill="1" applyBorder="1" applyAlignment="1" applyProtection="1">
      <alignment horizontal="center" vertical="center"/>
    </xf>
    <xf numFmtId="4" fontId="32" fillId="0" borderId="11" xfId="76" applyNumberFormat="1" applyFont="1" applyFill="1" applyBorder="1" applyAlignment="1" applyProtection="1">
      <alignment horizontal="center" vertical="center"/>
    </xf>
    <xf numFmtId="4" fontId="28" fillId="27" borderId="18" xfId="87" applyNumberFormat="1" applyFont="1" applyFill="1" applyBorder="1" applyAlignment="1" applyProtection="1">
      <alignment horizontal="center" vertical="center" shrinkToFit="1"/>
    </xf>
    <xf numFmtId="10" fontId="28" fillId="28" borderId="11" xfId="76" applyNumberFormat="1" applyFont="1" applyFill="1" applyBorder="1" applyAlignment="1" applyProtection="1">
      <alignment horizontal="center" vertical="center" shrinkToFit="1"/>
    </xf>
    <xf numFmtId="4" fontId="28" fillId="28" borderId="18" xfId="87" applyNumberFormat="1" applyFont="1" applyFill="1" applyBorder="1" applyAlignment="1" applyProtection="1">
      <alignment horizontal="center" vertical="center" shrinkToFit="1"/>
    </xf>
    <xf numFmtId="0" fontId="3" fillId="0" borderId="15" xfId="0" applyFont="1" applyBorder="1" applyAlignment="1">
      <alignment horizontal="center" vertical="center"/>
    </xf>
    <xf numFmtId="0" fontId="3" fillId="0" borderId="33" xfId="0" applyFont="1" applyBorder="1" applyAlignment="1">
      <alignment horizontal="center" vertical="center"/>
    </xf>
    <xf numFmtId="10" fontId="28" fillId="27" borderId="11" xfId="76" applyNumberFormat="1" applyFont="1" applyFill="1" applyBorder="1" applyAlignment="1" applyProtection="1">
      <alignment horizontal="center" vertical="center" shrinkToFit="1"/>
    </xf>
    <xf numFmtId="10" fontId="28" fillId="27" borderId="0" xfId="76" applyNumberFormat="1" applyFont="1" applyFill="1" applyBorder="1" applyAlignment="1" applyProtection="1">
      <alignment horizontal="center" vertical="center" shrinkToFit="1"/>
    </xf>
    <xf numFmtId="4" fontId="32" fillId="0" borderId="12" xfId="76" applyNumberFormat="1" applyFont="1" applyFill="1" applyBorder="1" applyAlignment="1" applyProtection="1">
      <alignment horizontal="center" vertical="center"/>
    </xf>
    <xf numFmtId="10" fontId="0" fillId="0" borderId="14" xfId="0" applyNumberFormat="1" applyBorder="1"/>
    <xf numFmtId="49" fontId="3" fillId="25" borderId="24" xfId="0" applyNumberFormat="1" applyFont="1" applyFill="1" applyBorder="1" applyAlignment="1" applyProtection="1">
      <alignment horizontal="center" vertical="center" wrapText="1"/>
      <protection locked="0"/>
    </xf>
    <xf numFmtId="0" fontId="28" fillId="0" borderId="0" xfId="0" applyFont="1" applyAlignment="1">
      <alignment horizontal="center" vertical="center" wrapText="1"/>
    </xf>
    <xf numFmtId="0" fontId="3" fillId="0" borderId="14" xfId="0" applyFont="1" applyBorder="1"/>
    <xf numFmtId="0" fontId="0" fillId="0" borderId="0" xfId="0" quotePrefix="1"/>
    <xf numFmtId="0" fontId="32" fillId="0" borderId="0" xfId="0" applyFont="1" applyAlignment="1" applyProtection="1">
      <alignment horizontal="left" wrapText="1"/>
      <protection locked="0"/>
    </xf>
    <xf numFmtId="0" fontId="3" fillId="0" borderId="14" xfId="0" applyFont="1" applyBorder="1" applyProtection="1">
      <protection locked="0"/>
    </xf>
    <xf numFmtId="164" fontId="3" fillId="25" borderId="34" xfId="87" applyFont="1" applyFill="1" applyBorder="1" applyAlignment="1" applyProtection="1">
      <alignment vertical="center" shrinkToFit="1"/>
      <protection locked="0"/>
    </xf>
    <xf numFmtId="0" fontId="24" fillId="24" borderId="32" xfId="0" applyFont="1" applyFill="1" applyBorder="1" applyAlignment="1">
      <alignment horizontal="center" vertical="center" shrinkToFit="1"/>
    </xf>
    <xf numFmtId="0" fontId="24" fillId="24" borderId="25" xfId="0" applyFont="1" applyFill="1" applyBorder="1" applyAlignment="1">
      <alignment horizontal="center" vertical="center" shrinkToFit="1"/>
    </xf>
    <xf numFmtId="0" fontId="24" fillId="0" borderId="11" xfId="0" applyFont="1" applyBorder="1" applyAlignment="1">
      <alignment horizontal="center" vertical="center" wrapText="1" shrinkToFit="1"/>
    </xf>
    <xf numFmtId="14" fontId="28" fillId="0" borderId="11" xfId="0" applyNumberFormat="1" applyFont="1" applyBorder="1" applyAlignment="1">
      <alignment horizontal="center" vertical="center" wrapText="1"/>
    </xf>
    <xf numFmtId="0" fontId="3" fillId="0" borderId="28" xfId="0" applyFont="1" applyBorder="1" applyAlignment="1">
      <alignment horizontal="center" vertical="center"/>
    </xf>
    <xf numFmtId="10" fontId="32" fillId="25" borderId="35" xfId="76" applyNumberFormat="1" applyFont="1" applyFill="1" applyBorder="1" applyAlignment="1" applyProtection="1">
      <alignment horizontal="center" vertical="center"/>
      <protection locked="0" hidden="1"/>
    </xf>
    <xf numFmtId="0" fontId="28" fillId="0" borderId="12" xfId="0" applyFont="1" applyBorder="1" applyAlignment="1">
      <alignment horizontal="center" vertical="center" wrapText="1"/>
    </xf>
    <xf numFmtId="0" fontId="24" fillId="0" borderId="0" xfId="0" applyFont="1" applyAlignment="1">
      <alignment wrapText="1"/>
    </xf>
    <xf numFmtId="0" fontId="3" fillId="26" borderId="0" xfId="0" applyFont="1" applyFill="1"/>
    <xf numFmtId="10" fontId="32" fillId="25" borderId="36" xfId="76" applyNumberFormat="1" applyFont="1" applyFill="1" applyBorder="1" applyAlignment="1" applyProtection="1">
      <alignment horizontal="center" vertical="center"/>
      <protection locked="0"/>
    </xf>
    <xf numFmtId="10" fontId="32" fillId="25" borderId="35" xfId="76" applyNumberFormat="1" applyFont="1" applyFill="1" applyBorder="1" applyAlignment="1" applyProtection="1">
      <alignment horizontal="center" vertical="center"/>
      <protection locked="0"/>
    </xf>
    <xf numFmtId="10" fontId="32" fillId="25" borderId="37" xfId="76" applyNumberFormat="1" applyFont="1" applyFill="1" applyBorder="1" applyAlignment="1" applyProtection="1">
      <alignment horizontal="center" vertical="center"/>
      <protection locked="0"/>
    </xf>
    <xf numFmtId="164" fontId="3" fillId="31" borderId="24" xfId="87" applyFont="1" applyFill="1" applyBorder="1" applyAlignment="1" applyProtection="1">
      <alignment vertical="center" wrapText="1"/>
      <protection locked="0"/>
    </xf>
    <xf numFmtId="0" fontId="3" fillId="31" borderId="24" xfId="0" applyFont="1" applyFill="1" applyBorder="1" applyAlignment="1" applyProtection="1">
      <alignment horizontal="center" vertical="center" wrapText="1"/>
      <protection locked="0"/>
    </xf>
    <xf numFmtId="0" fontId="3" fillId="31" borderId="24" xfId="0" applyFont="1" applyFill="1" applyBorder="1" applyAlignment="1" applyProtection="1">
      <alignment vertical="center" wrapText="1"/>
      <protection locked="0"/>
    </xf>
    <xf numFmtId="10" fontId="3" fillId="31" borderId="24" xfId="76" applyNumberFormat="1" applyFont="1" applyFill="1" applyBorder="1" applyAlignment="1" applyProtection="1">
      <alignment horizontal="center" vertical="center" wrapText="1"/>
      <protection locked="0"/>
    </xf>
    <xf numFmtId="164" fontId="3" fillId="25" borderId="24" xfId="87" applyFont="1" applyFill="1" applyBorder="1" applyAlignment="1" applyProtection="1">
      <alignment vertical="center" shrinkToFit="1"/>
      <protection locked="0"/>
    </xf>
    <xf numFmtId="0" fontId="24" fillId="0" borderId="0" xfId="72" applyFont="1" applyAlignment="1">
      <alignment horizontal="left" vertical="top"/>
    </xf>
    <xf numFmtId="4" fontId="28" fillId="0" borderId="14" xfId="71" applyNumberFormat="1" applyFont="1" applyBorder="1" applyAlignment="1">
      <alignment horizontal="center" vertical="center" wrapText="1"/>
    </xf>
    <xf numFmtId="0" fontId="3" fillId="25" borderId="18" xfId="0" applyFont="1" applyFill="1" applyBorder="1" applyAlignment="1" applyProtection="1">
      <alignment horizontal="left" vertical="top" wrapText="1"/>
      <protection locked="0"/>
    </xf>
    <xf numFmtId="0" fontId="3" fillId="25" borderId="13" xfId="0" applyFont="1" applyFill="1" applyBorder="1" applyAlignment="1" applyProtection="1">
      <alignment horizontal="left" vertical="top" wrapText="1"/>
      <protection locked="0"/>
    </xf>
    <xf numFmtId="0" fontId="3" fillId="25" borderId="38" xfId="0" applyFont="1" applyFill="1" applyBorder="1" applyAlignment="1" applyProtection="1">
      <alignment horizontal="left" vertical="top" wrapText="1"/>
      <protection locked="0"/>
    </xf>
    <xf numFmtId="0" fontId="3" fillId="0" borderId="0" xfId="0" applyFont="1" applyAlignment="1">
      <alignment horizontal="left" wrapText="1" indent="3"/>
    </xf>
    <xf numFmtId="0" fontId="0" fillId="0" borderId="0" xfId="0" applyAlignment="1">
      <alignment horizontal="left" indent="3"/>
    </xf>
    <xf numFmtId="0" fontId="24" fillId="0" borderId="11" xfId="72" applyFont="1" applyBorder="1" applyAlignment="1">
      <alignment horizontal="left" vertical="top"/>
    </xf>
    <xf numFmtId="0" fontId="24" fillId="0" borderId="0" xfId="72" applyFont="1" applyAlignment="1">
      <alignment horizontal="left" vertical="top"/>
    </xf>
    <xf numFmtId="0" fontId="3" fillId="0" borderId="0" xfId="0" applyFont="1" applyAlignment="1">
      <alignment horizontal="left" wrapText="1" indent="2"/>
    </xf>
    <xf numFmtId="0" fontId="0" fillId="0" borderId="0" xfId="0" applyAlignment="1">
      <alignment horizontal="left" indent="2"/>
    </xf>
    <xf numFmtId="0" fontId="24" fillId="0" borderId="40" xfId="0" applyFont="1" applyBorder="1" applyAlignment="1">
      <alignment horizontal="left" wrapText="1"/>
    </xf>
    <xf numFmtId="0" fontId="24" fillId="0" borderId="0" xfId="0" applyFont="1" applyAlignment="1">
      <alignment horizontal="left" wrapText="1"/>
    </xf>
    <xf numFmtId="0" fontId="24" fillId="0" borderId="0" xfId="0" applyFont="1" applyAlignment="1">
      <alignment horizontal="left" wrapText="1" indent="1"/>
    </xf>
    <xf numFmtId="0" fontId="24" fillId="0" borderId="0" xfId="0" applyFont="1" applyAlignment="1">
      <alignment horizontal="left" indent="1"/>
    </xf>
    <xf numFmtId="0" fontId="24"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3" fillId="29" borderId="0" xfId="0" applyFont="1" applyFill="1" applyAlignment="1">
      <alignment horizontal="left" vertical="top" wrapText="1" indent="2"/>
    </xf>
    <xf numFmtId="0" fontId="54" fillId="29" borderId="0" xfId="0" applyFont="1" applyFill="1" applyAlignment="1">
      <alignment horizontal="left" vertical="top" wrapText="1" indent="2"/>
    </xf>
    <xf numFmtId="0" fontId="54"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40" fillId="0" borderId="11" xfId="72" applyFont="1" applyBorder="1" applyAlignment="1">
      <alignment horizontal="left" vertical="top"/>
    </xf>
    <xf numFmtId="0" fontId="40" fillId="0" borderId="12" xfId="72" applyFont="1" applyBorder="1" applyAlignment="1">
      <alignment horizontal="left" vertical="top"/>
    </xf>
    <xf numFmtId="0" fontId="23" fillId="26" borderId="17" xfId="0" applyFont="1" applyFill="1" applyBorder="1" applyAlignment="1">
      <alignment horizontal="center" vertical="center" wrapText="1"/>
    </xf>
    <xf numFmtId="0" fontId="23" fillId="26" borderId="39" xfId="0" applyFont="1" applyFill="1" applyBorder="1" applyAlignment="1">
      <alignment horizontal="center" vertical="center" wrapText="1"/>
    </xf>
    <xf numFmtId="0" fontId="23" fillId="26" borderId="13" xfId="0" applyFont="1" applyFill="1" applyBorder="1" applyAlignment="1">
      <alignment horizontal="center" vertical="center" wrapText="1"/>
    </xf>
    <xf numFmtId="0" fontId="23" fillId="26" borderId="38" xfId="0" applyFont="1" applyFill="1" applyBorder="1" applyAlignment="1">
      <alignment horizontal="center" vertical="center" wrapText="1"/>
    </xf>
    <xf numFmtId="49" fontId="3" fillId="25" borderId="0" xfId="0" applyNumberFormat="1" applyFont="1" applyFill="1" applyAlignment="1" applyProtection="1">
      <alignment horizontal="left"/>
      <protection locked="0"/>
    </xf>
    <xf numFmtId="49" fontId="0" fillId="25" borderId="0" xfId="0" applyNumberFormat="1" applyFill="1" applyAlignment="1" applyProtection="1">
      <alignment horizontal="left"/>
      <protection locked="0"/>
    </xf>
    <xf numFmtId="14" fontId="3" fillId="25" borderId="18" xfId="76" applyNumberFormat="1" applyFont="1" applyFill="1" applyBorder="1" applyAlignment="1" applyProtection="1">
      <alignment horizontal="center" vertical="top" wrapText="1"/>
      <protection locked="0"/>
    </xf>
    <xf numFmtId="14" fontId="39" fillId="25" borderId="38" xfId="76" applyNumberFormat="1" applyFont="1" applyFill="1" applyBorder="1" applyAlignment="1" applyProtection="1">
      <alignment horizontal="center" vertical="top" wrapText="1"/>
      <protection locked="0"/>
    </xf>
    <xf numFmtId="49" fontId="3" fillId="25" borderId="18" xfId="76" applyNumberFormat="1" applyFont="1" applyFill="1" applyBorder="1" applyAlignment="1" applyProtection="1">
      <alignment horizontal="left" vertical="top" wrapText="1"/>
      <protection locked="0"/>
    </xf>
    <xf numFmtId="49" fontId="3" fillId="25" borderId="13" xfId="76" applyNumberFormat="1" applyFont="1" applyFill="1" applyBorder="1" applyAlignment="1" applyProtection="1">
      <alignment horizontal="left" vertical="top" wrapText="1"/>
      <protection locked="0"/>
    </xf>
    <xf numFmtId="49" fontId="39" fillId="25" borderId="13" xfId="76" applyNumberFormat="1" applyFont="1" applyFill="1" applyBorder="1" applyAlignment="1" applyProtection="1">
      <alignment horizontal="left" vertical="top" wrapText="1"/>
      <protection locked="0"/>
    </xf>
    <xf numFmtId="49" fontId="39" fillId="25" borderId="38" xfId="76" applyNumberFormat="1" applyFont="1" applyFill="1" applyBorder="1" applyAlignment="1" applyProtection="1">
      <alignment horizontal="left" vertical="top" wrapText="1"/>
      <protection locked="0"/>
    </xf>
    <xf numFmtId="14" fontId="3" fillId="25" borderId="38" xfId="76" applyNumberFormat="1" applyFont="1" applyFill="1" applyBorder="1" applyAlignment="1" applyProtection="1">
      <alignment horizontal="center" vertical="top" wrapText="1"/>
      <protection locked="0"/>
    </xf>
    <xf numFmtId="0" fontId="28" fillId="0" borderId="0" xfId="0" applyFont="1" applyAlignment="1">
      <alignment horizontal="center" vertical="center" wrapText="1"/>
    </xf>
    <xf numFmtId="0" fontId="3" fillId="0" borderId="40" xfId="0" applyFont="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wrapText="1"/>
    </xf>
    <xf numFmtId="0" fontId="3" fillId="0" borderId="40" xfId="0" applyFont="1" applyBorder="1" applyAlignment="1">
      <alignment horizontal="left" wrapText="1"/>
    </xf>
    <xf numFmtId="0" fontId="3" fillId="0" borderId="0" xfId="0" applyFont="1" applyAlignment="1">
      <alignment horizontal="left" wrapText="1" indent="1"/>
    </xf>
    <xf numFmtId="49" fontId="3" fillId="25" borderId="18" xfId="0" applyNumberFormat="1" applyFont="1" applyFill="1" applyBorder="1" applyAlignment="1" applyProtection="1">
      <alignment horizontal="left" vertical="top" wrapText="1"/>
      <protection locked="0"/>
    </xf>
    <xf numFmtId="49" fontId="3"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3" fillId="0" borderId="18" xfId="0" applyFont="1" applyBorder="1" applyAlignment="1">
      <alignment horizontal="left" vertical="top" wrapText="1"/>
    </xf>
    <xf numFmtId="0" fontId="3" fillId="0" borderId="13" xfId="0" applyFont="1" applyBorder="1" applyAlignment="1">
      <alignment horizontal="left" vertical="top" wrapText="1"/>
    </xf>
    <xf numFmtId="0" fontId="3"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3"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3" fillId="29" borderId="0" xfId="0" applyFont="1" applyFill="1" applyAlignment="1">
      <alignment horizontal="left" vertical="top" indent="2"/>
    </xf>
    <xf numFmtId="10" fontId="3" fillId="0" borderId="18" xfId="76" applyNumberFormat="1" applyFont="1" applyFill="1" applyBorder="1" applyAlignment="1" applyProtection="1">
      <alignment horizontal="left" vertical="top" wrapText="1"/>
    </xf>
    <xf numFmtId="10" fontId="3" fillId="0" borderId="13" xfId="76" applyNumberFormat="1" applyFont="1" applyFill="1" applyBorder="1" applyAlignment="1" applyProtection="1">
      <alignment horizontal="left" vertical="top" wrapText="1"/>
    </xf>
    <xf numFmtId="10" fontId="39" fillId="0" borderId="13" xfId="76" applyNumberFormat="1" applyFont="1" applyFill="1" applyBorder="1" applyAlignment="1" applyProtection="1">
      <alignment horizontal="left" vertical="top" wrapText="1"/>
    </xf>
    <xf numFmtId="10" fontId="39" fillId="0" borderId="38" xfId="76" applyNumberFormat="1" applyFont="1" applyFill="1" applyBorder="1" applyAlignment="1" applyProtection="1">
      <alignment horizontal="left" vertical="top" wrapText="1"/>
    </xf>
    <xf numFmtId="14" fontId="39" fillId="0" borderId="18" xfId="76" applyNumberFormat="1" applyFont="1" applyFill="1" applyBorder="1" applyAlignment="1" applyProtection="1">
      <alignment horizontal="center" vertical="top" wrapText="1"/>
    </xf>
    <xf numFmtId="14" fontId="39" fillId="0" borderId="38" xfId="76" applyNumberFormat="1" applyFont="1" applyFill="1" applyBorder="1" applyAlignment="1" applyProtection="1">
      <alignment horizontal="center" vertical="top" wrapText="1"/>
    </xf>
    <xf numFmtId="14" fontId="3" fillId="0" borderId="18" xfId="76" applyNumberFormat="1" applyFont="1" applyFill="1" applyBorder="1" applyAlignment="1" applyProtection="1">
      <alignment horizontal="center" vertical="top" wrapText="1"/>
    </xf>
    <xf numFmtId="14" fontId="3" fillId="0" borderId="38" xfId="76" applyNumberFormat="1" applyFont="1" applyFill="1" applyBorder="1" applyAlignment="1" applyProtection="1">
      <alignment horizontal="center" vertical="top" wrapText="1"/>
    </xf>
    <xf numFmtId="167" fontId="3" fillId="0" borderId="18" xfId="76" applyNumberFormat="1" applyFont="1" applyFill="1" applyBorder="1" applyAlignment="1" applyProtection="1">
      <alignment horizontal="left" vertical="top" wrapText="1"/>
    </xf>
    <xf numFmtId="167" fontId="3"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3" fillId="25" borderId="18" xfId="76" applyNumberFormat="1" applyFont="1" applyFill="1" applyBorder="1" applyAlignment="1" applyProtection="1">
      <alignment horizontal="left" vertical="top" wrapText="1"/>
      <protection locked="0"/>
    </xf>
    <xf numFmtId="10" fontId="39" fillId="25" borderId="13" xfId="76" applyNumberFormat="1" applyFont="1" applyFill="1" applyBorder="1" applyAlignment="1" applyProtection="1">
      <alignment horizontal="left" vertical="top" wrapText="1"/>
      <protection locked="0"/>
    </xf>
    <xf numFmtId="10" fontId="39" fillId="25" borderId="38" xfId="76" applyNumberFormat="1" applyFont="1" applyFill="1" applyBorder="1" applyAlignment="1" applyProtection="1">
      <alignment horizontal="left" vertical="top" wrapText="1"/>
      <protection locked="0"/>
    </xf>
    <xf numFmtId="171" fontId="3" fillId="0" borderId="0" xfId="71" applyNumberFormat="1" applyAlignment="1">
      <alignment horizontal="left"/>
    </xf>
    <xf numFmtId="0" fontId="47" fillId="0" borderId="0" xfId="71" applyFont="1" applyAlignment="1">
      <alignment horizontal="left" vertical="center" indent="1"/>
    </xf>
    <xf numFmtId="0" fontId="3" fillId="0" borderId="14" xfId="71" applyBorder="1" applyAlignment="1">
      <alignment horizontal="left" vertical="center" wrapText="1"/>
    </xf>
    <xf numFmtId="0" fontId="41" fillId="0" borderId="0" xfId="71" applyFont="1" applyAlignment="1">
      <alignment horizontal="left" vertical="center" wrapText="1"/>
    </xf>
    <xf numFmtId="2" fontId="35" fillId="0" borderId="17" xfId="71" applyNumberFormat="1" applyFont="1" applyBorder="1" applyAlignment="1">
      <alignment horizontal="center" vertical="center"/>
    </xf>
    <xf numFmtId="0" fontId="28" fillId="0" borderId="0" xfId="71" applyFont="1" applyAlignment="1">
      <alignment horizontal="left" vertical="center"/>
    </xf>
    <xf numFmtId="0" fontId="3" fillId="0" borderId="0" xfId="71" applyAlignment="1">
      <alignment horizontal="center" vertical="center"/>
    </xf>
    <xf numFmtId="0" fontId="37" fillId="0" borderId="14" xfId="71" applyFont="1" applyBorder="1" applyAlignment="1">
      <alignment horizontal="center" vertical="center" wrapText="1"/>
    </xf>
    <xf numFmtId="168" fontId="3" fillId="0" borderId="13" xfId="71" applyNumberFormat="1" applyBorder="1" applyAlignment="1">
      <alignment horizontal="left"/>
    </xf>
    <xf numFmtId="49" fontId="3" fillId="25" borderId="32" xfId="71" applyNumberFormat="1" applyFill="1" applyBorder="1" applyAlignment="1" applyProtection="1">
      <alignment horizontal="left" vertical="top" wrapText="1"/>
      <protection locked="0"/>
    </xf>
    <xf numFmtId="49" fontId="3" fillId="25" borderId="10" xfId="71" applyNumberFormat="1" applyFill="1" applyBorder="1" applyAlignment="1" applyProtection="1">
      <alignment horizontal="left" vertical="top" wrapText="1"/>
      <protection locked="0"/>
    </xf>
    <xf numFmtId="49" fontId="3" fillId="25" borderId="19" xfId="71" applyNumberFormat="1" applyFill="1" applyBorder="1" applyAlignment="1" applyProtection="1">
      <alignment horizontal="left" vertical="top" wrapText="1"/>
      <protection locked="0"/>
    </xf>
    <xf numFmtId="0" fontId="3" fillId="0" borderId="17" xfId="71" applyBorder="1" applyAlignment="1">
      <alignment horizontal="center" vertical="center"/>
    </xf>
    <xf numFmtId="49" fontId="3" fillId="0" borderId="0" xfId="71" applyNumberFormat="1" applyAlignment="1" applyProtection="1">
      <alignment horizontal="left"/>
      <protection locked="0"/>
    </xf>
    <xf numFmtId="0" fontId="49" fillId="0" borderId="0" xfId="71" applyFont="1" applyAlignment="1">
      <alignment horizontal="center" vertical="top" wrapText="1"/>
    </xf>
    <xf numFmtId="171" fontId="3" fillId="0" borderId="13" xfId="71" applyNumberFormat="1" applyBorder="1" applyAlignment="1">
      <alignment horizontal="left"/>
    </xf>
    <xf numFmtId="0" fontId="3" fillId="0" borderId="14" xfId="71" applyBorder="1" applyAlignment="1">
      <alignment horizontal="left" vertical="center"/>
    </xf>
    <xf numFmtId="0" fontId="24" fillId="0" borderId="14" xfId="71" applyFont="1" applyBorder="1" applyAlignment="1">
      <alignment horizontal="center" vertical="center"/>
    </xf>
    <xf numFmtId="0" fontId="43" fillId="0" borderId="0" xfId="0" quotePrefix="1" applyFont="1" applyAlignment="1">
      <alignment horizontal="left" vertical="center"/>
    </xf>
    <xf numFmtId="0" fontId="43" fillId="0" borderId="0" xfId="0" applyFont="1" applyAlignment="1">
      <alignment horizontal="left" vertical="center"/>
    </xf>
    <xf numFmtId="0" fontId="44" fillId="0" borderId="0" xfId="0" applyFont="1" applyAlignment="1">
      <alignment horizontal="center"/>
    </xf>
    <xf numFmtId="0" fontId="43" fillId="0" borderId="0" xfId="0" applyFont="1" applyAlignment="1">
      <alignment horizontal="center" vertical="top"/>
    </xf>
    <xf numFmtId="0" fontId="43" fillId="0" borderId="0" xfId="0" applyFont="1" applyAlignment="1">
      <alignment horizontal="right" vertical="center"/>
    </xf>
    <xf numFmtId="169" fontId="4" fillId="25" borderId="18" xfId="68" applyFont="1" applyFill="1" applyBorder="1" applyAlignment="1" applyProtection="1">
      <alignment horizontal="left"/>
      <protection locked="0"/>
    </xf>
    <xf numFmtId="169" fontId="4" fillId="25" borderId="13" xfId="68" applyFont="1" applyFill="1" applyBorder="1" applyAlignment="1" applyProtection="1">
      <alignment horizontal="left"/>
      <protection locked="0"/>
    </xf>
    <xf numFmtId="169" fontId="4" fillId="25" borderId="38" xfId="68" applyFont="1" applyFill="1" applyBorder="1" applyAlignment="1" applyProtection="1">
      <alignment horizontal="left"/>
      <protection locked="0"/>
    </xf>
    <xf numFmtId="0" fontId="3" fillId="0" borderId="18" xfId="71" applyBorder="1" applyAlignment="1">
      <alignment horizontal="center" vertical="top" wrapText="1"/>
    </xf>
    <xf numFmtId="0" fontId="3" fillId="0" borderId="38" xfId="71" applyBorder="1" applyAlignment="1">
      <alignment horizontal="center" vertical="top" wrapText="1"/>
    </xf>
    <xf numFmtId="0" fontId="3" fillId="0" borderId="18" xfId="71" applyBorder="1" applyAlignment="1">
      <alignment horizontal="left" vertical="top" wrapText="1"/>
    </xf>
    <xf numFmtId="0" fontId="3" fillId="0" borderId="38" xfId="71" applyBorder="1" applyAlignment="1">
      <alignment horizontal="left" vertical="top" wrapText="1"/>
    </xf>
    <xf numFmtId="49" fontId="3" fillId="0" borderId="18" xfId="71" applyNumberFormat="1" applyBorder="1" applyAlignment="1">
      <alignment horizontal="left" vertical="top" wrapText="1"/>
    </xf>
    <xf numFmtId="0" fontId="3" fillId="0" borderId="13" xfId="71" applyBorder="1" applyAlignment="1">
      <alignment horizontal="left" vertical="top" wrapText="1"/>
    </xf>
    <xf numFmtId="0" fontId="4" fillId="0" borderId="16" xfId="68" applyNumberFormat="1" applyFont="1" applyFill="1" applyBorder="1" applyAlignment="1" applyProtection="1">
      <alignment horizontal="left" wrapText="1"/>
    </xf>
    <xf numFmtId="0" fontId="24" fillId="0" borderId="0" xfId="71" applyFont="1" applyAlignment="1">
      <alignment horizontal="left" vertical="center"/>
    </xf>
    <xf numFmtId="10" fontId="4" fillId="25" borderId="14" xfId="71" applyNumberFormat="1" applyFont="1" applyFill="1" applyBorder="1" applyAlignment="1" applyProtection="1">
      <alignment horizontal="center"/>
      <protection locked="0"/>
    </xf>
    <xf numFmtId="0" fontId="4" fillId="0" borderId="14" xfId="71" applyFont="1" applyBorder="1" applyAlignment="1">
      <alignment horizontal="left"/>
    </xf>
    <xf numFmtId="0" fontId="28" fillId="0" borderId="14" xfId="71" applyFont="1" applyBorder="1" applyAlignment="1">
      <alignment horizontal="center" vertical="center"/>
    </xf>
    <xf numFmtId="0" fontId="4" fillId="0" borderId="14" xfId="71" applyFont="1" applyBorder="1" applyAlignment="1">
      <alignment horizontal="left" wrapText="1"/>
    </xf>
    <xf numFmtId="4" fontId="28" fillId="0" borderId="14" xfId="71" applyNumberFormat="1" applyFont="1" applyBorder="1" applyAlignment="1">
      <alignment horizontal="center" vertical="center" wrapText="1"/>
    </xf>
    <xf numFmtId="0" fontId="3" fillId="0" borderId="14" xfId="0" applyFont="1" applyBorder="1" applyAlignment="1">
      <alignment horizontal="center"/>
    </xf>
    <xf numFmtId="0" fontId="28" fillId="0" borderId="32" xfId="0" applyFont="1" applyBorder="1" applyAlignment="1">
      <alignment horizontal="left" wrapText="1"/>
    </xf>
    <xf numFmtId="0" fontId="28" fillId="0" borderId="10" xfId="0" applyFont="1" applyBorder="1" applyAlignment="1">
      <alignment horizontal="left" wrapText="1"/>
    </xf>
    <xf numFmtId="0" fontId="28" fillId="0" borderId="19" xfId="0" applyFont="1" applyBorder="1" applyAlignment="1">
      <alignment horizontal="left" wrapText="1"/>
    </xf>
    <xf numFmtId="0" fontId="32" fillId="25" borderId="11" xfId="0" applyFont="1" applyFill="1" applyBorder="1" applyAlignment="1" applyProtection="1">
      <alignment horizontal="left" wrapText="1"/>
      <protection locked="0"/>
    </xf>
    <xf numFmtId="0" fontId="32" fillId="25" borderId="0" xfId="0" applyFont="1" applyFill="1" applyAlignment="1" applyProtection="1">
      <alignment horizontal="left" wrapText="1"/>
      <protection locked="0"/>
    </xf>
    <xf numFmtId="0" fontId="32" fillId="25" borderId="12" xfId="0" applyFont="1" applyFill="1" applyBorder="1" applyAlignment="1" applyProtection="1">
      <alignment horizontal="left" wrapText="1"/>
      <protection locked="0"/>
    </xf>
    <xf numFmtId="0" fontId="32" fillId="25" borderId="18" xfId="0" applyFont="1" applyFill="1" applyBorder="1" applyAlignment="1" applyProtection="1">
      <alignment horizontal="left" wrapText="1"/>
      <protection locked="0"/>
    </xf>
    <xf numFmtId="0" fontId="32" fillId="25" borderId="13" xfId="0" applyFont="1" applyFill="1" applyBorder="1" applyAlignment="1" applyProtection="1">
      <alignment horizontal="left" wrapText="1"/>
      <protection locked="0"/>
    </xf>
    <xf numFmtId="0" fontId="32" fillId="25" borderId="38" xfId="0" applyFont="1" applyFill="1" applyBorder="1" applyAlignment="1" applyProtection="1">
      <alignment horizontal="left" wrapText="1"/>
      <protection locked="0"/>
    </xf>
    <xf numFmtId="0" fontId="32" fillId="0" borderId="32" xfId="0" applyFont="1" applyBorder="1" applyAlignment="1" applyProtection="1">
      <alignment horizontal="left" vertical="center"/>
      <protection locked="0"/>
    </xf>
    <xf numFmtId="0" fontId="32" fillId="0" borderId="10" xfId="0" applyFont="1" applyBorder="1" applyAlignment="1" applyProtection="1">
      <alignment horizontal="left" vertical="center"/>
      <protection locked="0"/>
    </xf>
    <xf numFmtId="0" fontId="32" fillId="0" borderId="19" xfId="0" applyFont="1" applyBorder="1" applyAlignment="1" applyProtection="1">
      <alignment horizontal="left" vertical="center"/>
      <protection locked="0"/>
    </xf>
    <xf numFmtId="170" fontId="3" fillId="0" borderId="0" xfId="0" applyNumberFormat="1" applyFont="1" applyAlignment="1" applyProtection="1">
      <alignment horizontal="left"/>
      <protection locked="0"/>
    </xf>
    <xf numFmtId="171" fontId="3" fillId="0" borderId="13" xfId="0" applyNumberFormat="1" applyFont="1" applyBorder="1" applyAlignment="1" applyProtection="1">
      <alignment horizontal="left"/>
      <protection locked="0"/>
    </xf>
    <xf numFmtId="171" fontId="3" fillId="0" borderId="13" xfId="0" applyNumberFormat="1" applyFont="1" applyBorder="1" applyAlignment="1">
      <alignment horizontal="left"/>
    </xf>
    <xf numFmtId="170" fontId="3" fillId="0" borderId="13" xfId="0" applyNumberFormat="1" applyFont="1" applyBorder="1" applyAlignment="1">
      <alignment horizontal="left"/>
    </xf>
    <xf numFmtId="0" fontId="51" fillId="0" borderId="0" xfId="0" applyFont="1" applyAlignment="1">
      <alignment horizontal="center" vertical="top" wrapText="1"/>
    </xf>
    <xf numFmtId="4" fontId="32" fillId="30" borderId="28" xfId="0" applyNumberFormat="1" applyFont="1" applyFill="1" applyBorder="1" applyAlignment="1">
      <alignment horizontal="center" vertical="center"/>
    </xf>
    <xf numFmtId="4" fontId="32" fillId="30" borderId="15" xfId="0" applyNumberFormat="1" applyFont="1" applyFill="1" applyBorder="1" applyAlignment="1">
      <alignment horizontal="center" vertical="center"/>
    </xf>
    <xf numFmtId="0" fontId="32" fillId="30" borderId="37" xfId="0" applyFont="1" applyFill="1" applyBorder="1" applyAlignment="1">
      <alignment horizontal="center" vertical="center" wrapText="1"/>
    </xf>
    <xf numFmtId="0" fontId="32" fillId="30" borderId="12" xfId="0" applyFont="1" applyFill="1" applyBorder="1" applyAlignment="1">
      <alignment horizontal="center" vertical="center" wrapText="1"/>
    </xf>
    <xf numFmtId="0" fontId="32" fillId="30" borderId="36" xfId="0" applyFont="1" applyFill="1" applyBorder="1" applyAlignment="1">
      <alignment horizontal="center" vertical="center" shrinkToFit="1"/>
    </xf>
    <xf numFmtId="0" fontId="32" fillId="30" borderId="11" xfId="0" applyFont="1" applyFill="1" applyBorder="1" applyAlignment="1">
      <alignment horizontal="center" vertical="center" shrinkToFit="1"/>
    </xf>
    <xf numFmtId="168" fontId="3" fillId="0" borderId="0" xfId="0" applyNumberFormat="1" applyFont="1" applyAlignment="1">
      <alignment horizontal="left"/>
    </xf>
    <xf numFmtId="49" fontId="3" fillId="0" borderId="0" xfId="0" applyNumberFormat="1" applyFont="1" applyAlignment="1">
      <alignment horizontal="left"/>
    </xf>
    <xf numFmtId="0" fontId="3" fillId="0" borderId="0" xfId="0" applyFont="1" applyAlignment="1">
      <alignment horizontal="left"/>
    </xf>
    <xf numFmtId="171" fontId="3" fillId="0" borderId="13" xfId="0" applyNumberFormat="1" applyFont="1" applyBorder="1" applyAlignment="1">
      <alignment horizontal="left" vertical="center"/>
    </xf>
    <xf numFmtId="170" fontId="3" fillId="0" borderId="13" xfId="0" applyNumberFormat="1" applyFont="1" applyBorder="1" applyAlignment="1">
      <alignment horizontal="left" vertical="center"/>
    </xf>
    <xf numFmtId="0" fontId="28" fillId="24" borderId="21" xfId="0" applyFont="1" applyFill="1" applyBorder="1" applyAlignment="1">
      <alignment horizontal="center" vertical="center" wrapText="1"/>
    </xf>
    <xf numFmtId="0" fontId="28" fillId="24" borderId="39" xfId="0" applyFont="1" applyFill="1" applyBorder="1" applyAlignment="1">
      <alignment horizontal="center" vertical="center" wrapText="1"/>
    </xf>
    <xf numFmtId="0" fontId="28" fillId="24" borderId="11" xfId="0" applyFont="1" applyFill="1" applyBorder="1" applyAlignment="1">
      <alignment horizontal="center" vertical="center" wrapText="1"/>
    </xf>
    <xf numFmtId="0" fontId="28" fillId="24" borderId="12" xfId="0" applyFont="1" applyFill="1" applyBorder="1" applyAlignment="1">
      <alignment horizontal="center" vertical="center" wrapText="1"/>
    </xf>
    <xf numFmtId="0" fontId="28" fillId="24" borderId="18" xfId="0" applyFont="1" applyFill="1" applyBorder="1" applyAlignment="1">
      <alignment horizontal="center" vertical="center" wrapText="1"/>
    </xf>
    <xf numFmtId="0" fontId="28" fillId="24" borderId="38" xfId="0" applyFont="1" applyFill="1" applyBorder="1" applyAlignment="1">
      <alignment horizontal="center" vertical="center" wrapText="1"/>
    </xf>
    <xf numFmtId="4" fontId="28" fillId="24" borderId="30" xfId="0" applyNumberFormat="1" applyFont="1" applyFill="1" applyBorder="1" applyAlignment="1">
      <alignment horizontal="center" vertical="center" shrinkToFit="1"/>
    </xf>
    <xf numFmtId="4" fontId="28" fillId="24" borderId="15" xfId="0" applyNumberFormat="1" applyFont="1" applyFill="1" applyBorder="1" applyAlignment="1">
      <alignment horizontal="center" vertical="center" shrinkToFit="1"/>
    </xf>
    <xf numFmtId="4" fontId="28" fillId="24" borderId="16" xfId="0" applyNumberFormat="1" applyFont="1" applyFill="1" applyBorder="1" applyAlignment="1">
      <alignment horizontal="center" vertical="center" shrinkToFit="1"/>
    </xf>
    <xf numFmtId="168" fontId="3" fillId="36" borderId="46" xfId="798" applyFill="1" applyBorder="1" applyAlignment="1" applyProtection="1">
      <alignment horizontal="left" vertical="center" wrapText="1"/>
    </xf>
    <xf numFmtId="0" fontId="3" fillId="25" borderId="25" xfId="0" applyFont="1" applyFill="1" applyBorder="1" applyAlignment="1" applyProtection="1">
      <alignment horizontal="center" textRotation="90" wrapText="1"/>
    </xf>
    <xf numFmtId="168" fontId="3" fillId="36" borderId="46" xfId="789" applyFill="1" applyBorder="1" applyAlignment="1" applyProtection="1">
      <alignment horizontal="left" vertical="center" wrapText="1"/>
    </xf>
    <xf numFmtId="168" fontId="3" fillId="36" borderId="46" xfId="804" applyFill="1" applyBorder="1" applyAlignment="1" applyProtection="1">
      <alignment horizontal="left" vertical="center" wrapText="1"/>
    </xf>
    <xf numFmtId="168" fontId="3" fillId="36" borderId="46" xfId="772" applyFill="1" applyBorder="1" applyAlignment="1" applyProtection="1">
      <alignment horizontal="left" vertical="center" wrapText="1"/>
    </xf>
    <xf numFmtId="168" fontId="3" fillId="36" borderId="46" xfId="805" applyFill="1" applyBorder="1" applyAlignment="1" applyProtection="1">
      <alignment horizontal="left" vertical="center" wrapText="1"/>
    </xf>
    <xf numFmtId="168" fontId="3" fillId="36" borderId="46" xfId="806" applyFill="1" applyBorder="1" applyAlignment="1" applyProtection="1">
      <alignment horizontal="left" vertical="center" wrapText="1"/>
    </xf>
    <xf numFmtId="168" fontId="3" fillId="36" borderId="46" xfId="803" applyFill="1" applyBorder="1" applyAlignment="1" applyProtection="1">
      <alignment horizontal="left" vertical="center" wrapText="1"/>
    </xf>
    <xf numFmtId="168" fontId="3" fillId="36" borderId="46" xfId="811" applyFill="1" applyBorder="1" applyAlignment="1" applyProtection="1">
      <alignment horizontal="left" vertical="center" wrapText="1"/>
    </xf>
    <xf numFmtId="164" fontId="3" fillId="25" borderId="24" xfId="87" applyFont="1" applyFill="1" applyBorder="1" applyAlignment="1" applyProtection="1">
      <alignment vertical="center" shrinkToFit="1"/>
    </xf>
    <xf numFmtId="168" fontId="3" fillId="36" borderId="46" xfId="794" applyFill="1" applyBorder="1" applyAlignment="1" applyProtection="1">
      <alignment horizontal="left" vertical="center" wrapText="1"/>
    </xf>
    <xf numFmtId="168" fontId="3" fillId="36" borderId="46" xfId="771" applyFill="1" applyBorder="1" applyAlignment="1" applyProtection="1">
      <alignment horizontal="left" vertical="center" wrapText="1"/>
    </xf>
    <xf numFmtId="168" fontId="3" fillId="36" borderId="46" xfId="799" applyFont="1" applyFill="1" applyBorder="1" applyAlignment="1" applyProtection="1">
      <alignment horizontal="left" vertical="center" wrapText="1"/>
    </xf>
    <xf numFmtId="168" fontId="3" fillId="36" borderId="46" xfId="791" applyFill="1" applyBorder="1" applyAlignment="1" applyProtection="1">
      <alignment horizontal="left" vertical="center" wrapText="1"/>
    </xf>
    <xf numFmtId="0" fontId="3" fillId="31" borderId="24" xfId="0" applyFont="1" applyFill="1" applyBorder="1" applyAlignment="1" applyProtection="1">
      <alignment vertical="center" wrapText="1"/>
    </xf>
    <xf numFmtId="168" fontId="3" fillId="36" borderId="46" xfId="792" applyFill="1" applyBorder="1" applyAlignment="1" applyProtection="1">
      <alignment horizontal="left" vertical="center" wrapText="1"/>
    </xf>
    <xf numFmtId="49" fontId="3" fillId="25" borderId="24" xfId="0" applyNumberFormat="1" applyFont="1" applyFill="1" applyBorder="1" applyAlignment="1" applyProtection="1">
      <alignment horizontal="center" vertical="center" wrapText="1"/>
    </xf>
    <xf numFmtId="0" fontId="4" fillId="28" borderId="23" xfId="0" applyFont="1" applyFill="1" applyBorder="1" applyAlignment="1" applyProtection="1">
      <alignment vertical="center" wrapText="1"/>
    </xf>
    <xf numFmtId="168" fontId="3" fillId="36" borderId="46" xfId="810" applyFill="1" applyBorder="1" applyAlignment="1" applyProtection="1">
      <alignment horizontal="left" vertical="center" wrapText="1"/>
    </xf>
    <xf numFmtId="168" fontId="3" fillId="36" borderId="46" xfId="809" applyFill="1" applyBorder="1" applyAlignment="1" applyProtection="1">
      <alignment horizontal="left" vertical="center" wrapText="1"/>
    </xf>
    <xf numFmtId="168" fontId="3" fillId="36" borderId="46" xfId="796" applyFill="1" applyBorder="1" applyAlignment="1" applyProtection="1">
      <alignment horizontal="left" vertical="center" wrapText="1"/>
    </xf>
    <xf numFmtId="168" fontId="3" fillId="36" borderId="46" xfId="800" applyFont="1" applyFill="1" applyBorder="1" applyAlignment="1" applyProtection="1">
      <alignment horizontal="left" vertical="center" wrapText="1"/>
    </xf>
    <xf numFmtId="168" fontId="3" fillId="36" borderId="46" xfId="795" applyFill="1" applyBorder="1" applyAlignment="1" applyProtection="1">
      <alignment horizontal="left" vertical="center" wrapText="1"/>
    </xf>
    <xf numFmtId="0" fontId="3" fillId="31" borderId="24" xfId="0" applyFont="1" applyFill="1" applyBorder="1" applyAlignment="1" applyProtection="1">
      <alignment horizontal="center" vertical="center" wrapText="1"/>
    </xf>
    <xf numFmtId="164" fontId="3" fillId="25" borderId="34" xfId="87" applyFont="1" applyFill="1" applyBorder="1" applyAlignment="1" applyProtection="1">
      <alignment vertical="center" shrinkToFit="1"/>
    </xf>
    <xf numFmtId="168" fontId="3" fillId="36" borderId="46" xfId="799" applyFill="1" applyBorder="1" applyAlignment="1" applyProtection="1">
      <alignment horizontal="left" vertical="center" wrapText="1"/>
    </xf>
    <xf numFmtId="168" fontId="3" fillId="36" borderId="46" xfId="802" applyFill="1" applyBorder="1" applyAlignment="1" applyProtection="1">
      <alignment horizontal="left" vertical="center" wrapText="1"/>
    </xf>
    <xf numFmtId="168" fontId="3" fillId="36" borderId="46" xfId="808" applyFill="1" applyBorder="1" applyAlignment="1" applyProtection="1">
      <alignment horizontal="left" vertical="center" wrapText="1"/>
    </xf>
    <xf numFmtId="49" fontId="3" fillId="36" borderId="46" xfId="71" applyNumberFormat="1" applyFill="1" applyBorder="1" applyAlignment="1" applyProtection="1">
      <alignment horizontal="center" vertical="center" wrapText="1"/>
    </xf>
    <xf numFmtId="168" fontId="3" fillId="36" borderId="46" xfId="776" applyFill="1" applyBorder="1" applyAlignment="1" applyProtection="1">
      <alignment horizontal="left" vertical="center" wrapText="1"/>
    </xf>
    <xf numFmtId="168" fontId="3" fillId="36" borderId="46" xfId="790" applyFill="1" applyBorder="1" applyAlignment="1" applyProtection="1">
      <alignment horizontal="left" vertical="center" wrapText="1"/>
    </xf>
    <xf numFmtId="0" fontId="3" fillId="36" borderId="46" xfId="71" applyFill="1" applyBorder="1" applyAlignment="1" applyProtection="1">
      <alignment horizontal="left" vertical="center" wrapText="1"/>
    </xf>
    <xf numFmtId="168" fontId="3" fillId="36" borderId="46" xfId="783" applyFill="1" applyBorder="1" applyAlignment="1" applyProtection="1">
      <alignment horizontal="left" vertical="center" wrapText="1"/>
    </xf>
    <xf numFmtId="168" fontId="3" fillId="36" borderId="46" xfId="801" applyFill="1" applyBorder="1" applyAlignment="1" applyProtection="1">
      <alignment horizontal="left" vertical="center" wrapText="1"/>
    </xf>
    <xf numFmtId="0" fontId="4" fillId="25" borderId="23" xfId="0" applyFont="1" applyFill="1" applyBorder="1" applyAlignment="1" applyProtection="1">
      <alignment vertical="center" wrapText="1"/>
    </xf>
    <xf numFmtId="168" fontId="3" fillId="36" borderId="46" xfId="784" applyFill="1" applyBorder="1" applyAlignment="1" applyProtection="1">
      <alignment horizontal="left" vertical="center" wrapText="1"/>
    </xf>
    <xf numFmtId="168" fontId="3" fillId="36" borderId="46" xfId="793" applyFont="1" applyFill="1" applyBorder="1" applyAlignment="1" applyProtection="1">
      <alignment horizontal="left" vertical="center" wrapText="1"/>
    </xf>
    <xf numFmtId="168" fontId="3" fillId="36" borderId="46" xfId="785" applyFill="1" applyBorder="1" applyAlignment="1" applyProtection="1">
      <alignment horizontal="left" vertical="center" wrapText="1"/>
    </xf>
    <xf numFmtId="168" fontId="3" fillId="36" borderId="46" xfId="766" applyFill="1" applyBorder="1" applyAlignment="1" applyProtection="1">
      <alignment horizontal="left" vertical="center" wrapText="1"/>
    </xf>
    <xf numFmtId="168" fontId="3" fillId="36" borderId="46" xfId="797" applyFill="1" applyBorder="1" applyAlignment="1" applyProtection="1">
      <alignment horizontal="left" vertical="center" wrapText="1"/>
    </xf>
    <xf numFmtId="168" fontId="3" fillId="36" borderId="46" xfId="807" applyFill="1" applyBorder="1" applyAlignment="1" applyProtection="1">
      <alignment horizontal="left" vertical="center" wrapText="1"/>
    </xf>
    <xf numFmtId="168" fontId="3" fillId="36" borderId="46" xfId="777" applyFill="1" applyBorder="1" applyAlignment="1" applyProtection="1">
      <alignment horizontal="left" vertical="center" wrapText="1"/>
    </xf>
  </cellXfs>
  <cellStyles count="4130">
    <cellStyle name="20% - Accent1" xfId="1"/>
    <cellStyle name="20% - Accent1 2" xfId="826"/>
    <cellStyle name="20% - Accent1 3" xfId="542"/>
    <cellStyle name="20% - Accent2" xfId="2"/>
    <cellStyle name="20% - Accent2 2" xfId="827"/>
    <cellStyle name="20% - Accent2 3" xfId="543"/>
    <cellStyle name="20% - Accent3" xfId="3"/>
    <cellStyle name="20% - Accent3 2" xfId="828"/>
    <cellStyle name="20% - Accent3 3" xfId="544"/>
    <cellStyle name="20% - Accent4" xfId="4"/>
    <cellStyle name="20% - Accent4 2" xfId="829"/>
    <cellStyle name="20% - Accent4 3" xfId="545"/>
    <cellStyle name="20% - Accent5" xfId="5"/>
    <cellStyle name="20% - Accent5 2" xfId="830"/>
    <cellStyle name="20% - Accent5 3" xfId="546"/>
    <cellStyle name="20% - Accent6" xfId="6"/>
    <cellStyle name="20% - Accent6 2" xfId="831"/>
    <cellStyle name="20% - Accent6 3" xfId="547"/>
    <cellStyle name="20% - Ênfase1" xfId="7" builtinId="30" customBuiltin="1"/>
    <cellStyle name="20% - Ênfase1 2" xfId="131"/>
    <cellStyle name="20% - Ênfase1 2 2" xfId="832"/>
    <cellStyle name="20% - Ênfase1 2 3" xfId="548"/>
    <cellStyle name="20% - Ênfase1 3" xfId="89"/>
    <cellStyle name="20% - Ênfase1 3 2" xfId="499"/>
    <cellStyle name="20% - Ênfase2" xfId="8" builtinId="34" customBuiltin="1"/>
    <cellStyle name="20% - Ênfase2 2" xfId="132"/>
    <cellStyle name="20% - Ênfase2 2 2" xfId="833"/>
    <cellStyle name="20% - Ênfase2 2 3" xfId="549"/>
    <cellStyle name="20% - Ênfase2 3" xfId="90"/>
    <cellStyle name="20% - Ênfase2 3 2" xfId="500"/>
    <cellStyle name="20% - Ênfase3" xfId="9" builtinId="38" customBuiltin="1"/>
    <cellStyle name="20% - Ênfase3 2" xfId="133"/>
    <cellStyle name="20% - Ênfase3 2 2" xfId="834"/>
    <cellStyle name="20% - Ênfase3 2 3" xfId="550"/>
    <cellStyle name="20% - Ênfase3 3" xfId="91"/>
    <cellStyle name="20% - Ênfase3 3 2" xfId="501"/>
    <cellStyle name="20% - Ênfase4" xfId="10" builtinId="42" customBuiltin="1"/>
    <cellStyle name="20% - Ênfase4 2" xfId="134"/>
    <cellStyle name="20% - Ênfase4 2 2" xfId="835"/>
    <cellStyle name="20% - Ênfase4 2 3" xfId="551"/>
    <cellStyle name="20% - Ênfase4 3" xfId="92"/>
    <cellStyle name="20% - Ênfase4 3 2" xfId="502"/>
    <cellStyle name="20% - Ênfase5" xfId="11" builtinId="46" customBuiltin="1"/>
    <cellStyle name="20% - Ênfase5 2" xfId="135"/>
    <cellStyle name="20% - Ênfase5 2 2" xfId="836"/>
    <cellStyle name="20% - Ênfase5 2 3" xfId="552"/>
    <cellStyle name="20% - Ênfase5 3" xfId="93"/>
    <cellStyle name="20% - Ênfase5 3 2" xfId="503"/>
    <cellStyle name="20% - Ênfase6" xfId="12" builtinId="50" customBuiltin="1"/>
    <cellStyle name="20% - Ênfase6 2" xfId="136"/>
    <cellStyle name="20% - Ênfase6 2 2" xfId="837"/>
    <cellStyle name="20% - Ênfase6 2 3" xfId="553"/>
    <cellStyle name="20% - Ênfase6 3" xfId="94"/>
    <cellStyle name="20% - Ênfase6 3 2" xfId="504"/>
    <cellStyle name="40% - Accent1" xfId="13"/>
    <cellStyle name="40% - Accent1 2" xfId="838"/>
    <cellStyle name="40% - Accent1 3" xfId="554"/>
    <cellStyle name="40% - Accent2" xfId="14"/>
    <cellStyle name="40% - Accent2 2" xfId="839"/>
    <cellStyle name="40% - Accent2 3" xfId="555"/>
    <cellStyle name="40% - Accent3" xfId="15"/>
    <cellStyle name="40% - Accent3 2" xfId="840"/>
    <cellStyle name="40% - Accent3 3" xfId="556"/>
    <cellStyle name="40% - Accent4" xfId="16"/>
    <cellStyle name="40% - Accent4 2" xfId="841"/>
    <cellStyle name="40% - Accent4 3" xfId="557"/>
    <cellStyle name="40% - Accent5" xfId="17"/>
    <cellStyle name="40% - Accent5 2" xfId="842"/>
    <cellStyle name="40% - Accent5 3" xfId="558"/>
    <cellStyle name="40% - Accent6" xfId="18"/>
    <cellStyle name="40% - Accent6 2" xfId="843"/>
    <cellStyle name="40% - Accent6 3" xfId="559"/>
    <cellStyle name="40% - Ênfase1" xfId="19" builtinId="31" customBuiltin="1"/>
    <cellStyle name="40% - Ênfase1 2" xfId="137"/>
    <cellStyle name="40% - Ênfase1 2 2" xfId="844"/>
    <cellStyle name="40% - Ênfase1 2 3" xfId="560"/>
    <cellStyle name="40% - Ênfase1 3" xfId="95"/>
    <cellStyle name="40% - Ênfase1 3 2" xfId="505"/>
    <cellStyle name="40% - Ênfase2" xfId="20" builtinId="35" customBuiltin="1"/>
    <cellStyle name="40% - Ênfase2 2" xfId="138"/>
    <cellStyle name="40% - Ênfase2 2 2" xfId="845"/>
    <cellStyle name="40% - Ênfase2 2 3" xfId="561"/>
    <cellStyle name="40% - Ênfase2 3" xfId="96"/>
    <cellStyle name="40% - Ênfase2 3 2" xfId="506"/>
    <cellStyle name="40% - Ênfase3" xfId="21" builtinId="39" customBuiltin="1"/>
    <cellStyle name="40% - Ênfase3 2" xfId="139"/>
    <cellStyle name="40% - Ênfase3 2 2" xfId="846"/>
    <cellStyle name="40% - Ênfase3 2 3" xfId="562"/>
    <cellStyle name="40% - Ênfase3 3" xfId="97"/>
    <cellStyle name="40% - Ênfase3 3 2" xfId="507"/>
    <cellStyle name="40% - Ênfase4" xfId="22" builtinId="43" customBuiltin="1"/>
    <cellStyle name="40% - Ênfase4 2" xfId="140"/>
    <cellStyle name="40% - Ênfase4 2 2" xfId="847"/>
    <cellStyle name="40% - Ênfase4 2 3" xfId="563"/>
    <cellStyle name="40% - Ênfase4 3" xfId="98"/>
    <cellStyle name="40% - Ênfase4 3 2" xfId="508"/>
    <cellStyle name="40% - Ênfase5" xfId="23" builtinId="47" customBuiltin="1"/>
    <cellStyle name="40% - Ênfase5 2" xfId="141"/>
    <cellStyle name="40% - Ênfase5 2 2" xfId="848"/>
    <cellStyle name="40% - Ênfase5 2 3" xfId="564"/>
    <cellStyle name="40% - Ênfase5 3" xfId="99"/>
    <cellStyle name="40% - Ênfase5 3 2" xfId="509"/>
    <cellStyle name="40% - Ênfase6" xfId="24" builtinId="51" customBuiltin="1"/>
    <cellStyle name="40% - Ênfase6 2" xfId="142"/>
    <cellStyle name="40% - Ênfase6 2 2" xfId="849"/>
    <cellStyle name="40% - Ênfase6 2 3" xfId="565"/>
    <cellStyle name="40% - Ênfase6 3" xfId="100"/>
    <cellStyle name="40% - Ênfase6 3 2" xfId="510"/>
    <cellStyle name="60% - Accent1" xfId="25"/>
    <cellStyle name="60% - Accent1 2" xfId="850"/>
    <cellStyle name="60% - Accent1 3" xfId="566"/>
    <cellStyle name="60% - Accent2" xfId="26"/>
    <cellStyle name="60% - Accent2 2" xfId="851"/>
    <cellStyle name="60% - Accent2 3" xfId="567"/>
    <cellStyle name="60% - Accent3" xfId="27"/>
    <cellStyle name="60% - Accent3 2" xfId="852"/>
    <cellStyle name="60% - Accent3 3" xfId="568"/>
    <cellStyle name="60% - Accent4" xfId="28"/>
    <cellStyle name="60% - Accent4 2" xfId="853"/>
    <cellStyle name="60% - Accent4 3" xfId="569"/>
    <cellStyle name="60% - Accent5" xfId="29"/>
    <cellStyle name="60% - Accent5 2" xfId="854"/>
    <cellStyle name="60% - Accent5 3" xfId="570"/>
    <cellStyle name="60% - Accent6" xfId="30"/>
    <cellStyle name="60% - Accent6 2" xfId="855"/>
    <cellStyle name="60% - Accent6 3" xfId="571"/>
    <cellStyle name="60% - Ênfase1" xfId="31" builtinId="32" customBuiltin="1"/>
    <cellStyle name="60% - Ênfase1 2" xfId="143"/>
    <cellStyle name="60% - Ênfase1 2 2" xfId="856"/>
    <cellStyle name="60% - Ênfase1 2 3" xfId="572"/>
    <cellStyle name="60% - Ênfase1 3" xfId="101"/>
    <cellStyle name="60% - Ênfase1 3 2" xfId="511"/>
    <cellStyle name="60% - Ênfase2" xfId="32" builtinId="36" customBuiltin="1"/>
    <cellStyle name="60% - Ênfase2 2" xfId="144"/>
    <cellStyle name="60% - Ênfase2 2 2" xfId="857"/>
    <cellStyle name="60% - Ênfase2 2 3" xfId="573"/>
    <cellStyle name="60% - Ênfase2 3" xfId="102"/>
    <cellStyle name="60% - Ênfase2 3 2" xfId="512"/>
    <cellStyle name="60% - Ênfase3" xfId="33" builtinId="40" customBuiltin="1"/>
    <cellStyle name="60% - Ênfase3 2" xfId="145"/>
    <cellStyle name="60% - Ênfase3 2 2" xfId="858"/>
    <cellStyle name="60% - Ênfase3 2 3" xfId="574"/>
    <cellStyle name="60% - Ênfase3 3" xfId="103"/>
    <cellStyle name="60% - Ênfase3 3 2" xfId="513"/>
    <cellStyle name="60% - Ênfase4" xfId="34" builtinId="44" customBuiltin="1"/>
    <cellStyle name="60% - Ênfase4 2" xfId="146"/>
    <cellStyle name="60% - Ênfase4 2 2" xfId="859"/>
    <cellStyle name="60% - Ênfase4 2 3" xfId="575"/>
    <cellStyle name="60% - Ênfase4 3" xfId="104"/>
    <cellStyle name="60% - Ênfase4 3 2" xfId="514"/>
    <cellStyle name="60% - Ênfase5" xfId="35" builtinId="48" customBuiltin="1"/>
    <cellStyle name="60% - Ênfase5 2" xfId="147"/>
    <cellStyle name="60% - Ênfase5 2 2" xfId="860"/>
    <cellStyle name="60% - Ênfase5 2 3" xfId="576"/>
    <cellStyle name="60% - Ênfase5 3" xfId="105"/>
    <cellStyle name="60% - Ênfase5 3 2" xfId="515"/>
    <cellStyle name="60% - Ênfase6" xfId="36" builtinId="52" customBuiltin="1"/>
    <cellStyle name="60% - Ênfase6 2" xfId="148"/>
    <cellStyle name="60% - Ênfase6 2 2" xfId="861"/>
    <cellStyle name="60% - Ênfase6 2 3" xfId="577"/>
    <cellStyle name="60% - Ênfase6 3" xfId="106"/>
    <cellStyle name="60% - Ênfase6 3 2" xfId="516"/>
    <cellStyle name="Accent1" xfId="37"/>
    <cellStyle name="Accent1 2" xfId="862"/>
    <cellStyle name="Accent1 3" xfId="578"/>
    <cellStyle name="Accent2" xfId="38"/>
    <cellStyle name="Accent2 2" xfId="863"/>
    <cellStyle name="Accent2 3" xfId="579"/>
    <cellStyle name="Accent3" xfId="39"/>
    <cellStyle name="Accent3 2" xfId="864"/>
    <cellStyle name="Accent3 3" xfId="580"/>
    <cellStyle name="Accent4" xfId="40"/>
    <cellStyle name="Accent4 2" xfId="865"/>
    <cellStyle name="Accent4 3" xfId="581"/>
    <cellStyle name="Accent5" xfId="41"/>
    <cellStyle name="Accent5 2" xfId="866"/>
    <cellStyle name="Accent5 3" xfId="582"/>
    <cellStyle name="Accent6" xfId="42"/>
    <cellStyle name="Accent6 2" xfId="867"/>
    <cellStyle name="Accent6 3" xfId="583"/>
    <cellStyle name="Bad" xfId="43"/>
    <cellStyle name="Bad 2" xfId="868"/>
    <cellStyle name="Bad 3" xfId="584"/>
    <cellStyle name="Bom" xfId="44" builtinId="26" customBuiltin="1"/>
    <cellStyle name="Bom 2" xfId="149"/>
    <cellStyle name="Bom 2 2" xfId="869"/>
    <cellStyle name="Bom 2 3" xfId="585"/>
    <cellStyle name="Bom 3" xfId="107"/>
    <cellStyle name="Bom 3 2" xfId="517"/>
    <cellStyle name="Calculation" xfId="45"/>
    <cellStyle name="Calculation 10" xfId="1649"/>
    <cellStyle name="Calculation 11" xfId="2640"/>
    <cellStyle name="Calculation 12" xfId="2893"/>
    <cellStyle name="Calculation 13" xfId="3580"/>
    <cellStyle name="Calculation 14" xfId="3502"/>
    <cellStyle name="Calculation 15" xfId="3621"/>
    <cellStyle name="Calculation 16" xfId="3832"/>
    <cellStyle name="Calculation 2" xfId="283"/>
    <cellStyle name="Calculation 2 10" xfId="2062"/>
    <cellStyle name="Calculation 2 11" xfId="2654"/>
    <cellStyle name="Calculation 2 12" xfId="3387"/>
    <cellStyle name="Calculation 2 13" xfId="3507"/>
    <cellStyle name="Calculation 2 14" xfId="3564"/>
    <cellStyle name="Calculation 2 15" xfId="3868"/>
    <cellStyle name="Calculation 2 2" xfId="1016"/>
    <cellStyle name="Calculation 2 2 10" xfId="3165"/>
    <cellStyle name="Calculation 2 2 11" xfId="3814"/>
    <cellStyle name="Calculation 2 2 12" xfId="4002"/>
    <cellStyle name="Calculation 2 2 13" xfId="4076"/>
    <cellStyle name="Calculation 2 2 2" xfId="1374"/>
    <cellStyle name="Calculation 2 2 3" xfId="1761"/>
    <cellStyle name="Calculation 2 2 4" xfId="1844"/>
    <cellStyle name="Calculation 2 2 5" xfId="2355"/>
    <cellStyle name="Calculation 2 2 6" xfId="2630"/>
    <cellStyle name="Calculation 2 2 7" xfId="2865"/>
    <cellStyle name="Calculation 2 2 8" xfId="3121"/>
    <cellStyle name="Calculation 2 2 9" xfId="3365"/>
    <cellStyle name="Calculation 2 3" xfId="736"/>
    <cellStyle name="Calculation 2 4" xfId="1332"/>
    <cellStyle name="Calculation 2 5" xfId="1264"/>
    <cellStyle name="Calculation 2 6" xfId="2027"/>
    <cellStyle name="Calculation 2 7" xfId="1898"/>
    <cellStyle name="Calculation 2 8" xfId="2393"/>
    <cellStyle name="Calculation 2 9" xfId="2119"/>
    <cellStyle name="Calculation 3" xfId="870"/>
    <cellStyle name="Calculation 3 10" xfId="2737"/>
    <cellStyle name="Calculation 3 11" xfId="3679"/>
    <cellStyle name="Calculation 3 12" xfId="3871"/>
    <cellStyle name="Calculation 3 13" xfId="3863"/>
    <cellStyle name="Calculation 3 2" xfId="1299"/>
    <cellStyle name="Calculation 3 3" xfId="1325"/>
    <cellStyle name="Calculation 3 4" xfId="497"/>
    <cellStyle name="Calculation 3 5" xfId="2209"/>
    <cellStyle name="Calculation 3 6" xfId="1449"/>
    <cellStyle name="Calculation 3 7" xfId="2722"/>
    <cellStyle name="Calculation 3 8" xfId="2977"/>
    <cellStyle name="Calculation 3 9" xfId="3223"/>
    <cellStyle name="Calculation 4" xfId="586"/>
    <cellStyle name="Calculation 5" xfId="1518"/>
    <cellStyle name="Calculation 6" xfId="1580"/>
    <cellStyle name="Calculation 7" xfId="1995"/>
    <cellStyle name="Calculation 8" xfId="2004"/>
    <cellStyle name="Calculation 9" xfId="1228"/>
    <cellStyle name="Cálculo" xfId="46" builtinId="22" customBuiltin="1"/>
    <cellStyle name="Cálculo 10" xfId="184"/>
    <cellStyle name="Cálculo 10 10" xfId="2541"/>
    <cellStyle name="Cálculo 10 11" xfId="2499"/>
    <cellStyle name="Cálculo 10 12" xfId="2486"/>
    <cellStyle name="Cálculo 10 13" xfId="3549"/>
    <cellStyle name="Cálculo 10 14" xfId="3595"/>
    <cellStyle name="Cálculo 10 15" xfId="4019"/>
    <cellStyle name="Cálculo 10 2" xfId="332"/>
    <cellStyle name="Cálculo 10 2 10" xfId="3267"/>
    <cellStyle name="Cálculo 10 2 11" xfId="3474"/>
    <cellStyle name="Cálculo 10 2 12" xfId="3717"/>
    <cellStyle name="Cálculo 10 2 13" xfId="3904"/>
    <cellStyle name="Cálculo 10 2 14" xfId="4063"/>
    <cellStyle name="Cálculo 10 2 2" xfId="918"/>
    <cellStyle name="Cálculo 10 2 3" xfId="1098"/>
    <cellStyle name="Cálculo 10 2 4" xfId="1741"/>
    <cellStyle name="Cálculo 10 2 5" xfId="2011"/>
    <cellStyle name="Cálculo 10 2 6" xfId="2257"/>
    <cellStyle name="Cálculo 10 2 7" xfId="2018"/>
    <cellStyle name="Cálculo 10 2 8" xfId="2767"/>
    <cellStyle name="Cálculo 10 2 9" xfId="3023"/>
    <cellStyle name="Cálculo 10 3" xfId="637"/>
    <cellStyle name="Cálculo 10 4" xfId="1402"/>
    <cellStyle name="Cálculo 10 5" xfId="1630"/>
    <cellStyle name="Cálculo 10 6" xfId="1100"/>
    <cellStyle name="Cálculo 10 7" xfId="1877"/>
    <cellStyle name="Cálculo 10 8" xfId="1976"/>
    <cellStyle name="Cálculo 10 9" xfId="2604"/>
    <cellStyle name="Cálculo 11" xfId="198"/>
    <cellStyle name="Cálculo 11 10" xfId="2724"/>
    <cellStyle name="Cálculo 11 11" xfId="2979"/>
    <cellStyle name="Cálculo 11 12" xfId="3215"/>
    <cellStyle name="Cálculo 11 13" xfId="2660"/>
    <cellStyle name="Cálculo 11 14" xfId="3681"/>
    <cellStyle name="Cálculo 11 15" xfId="4013"/>
    <cellStyle name="Cálculo 11 2" xfId="346"/>
    <cellStyle name="Cálculo 11 2 10" xfId="3281"/>
    <cellStyle name="Cálculo 11 2 11" xfId="2662"/>
    <cellStyle name="Cálculo 11 2 12" xfId="3731"/>
    <cellStyle name="Cálculo 11 2 13" xfId="3918"/>
    <cellStyle name="Cálculo 11 2 14" xfId="3856"/>
    <cellStyle name="Cálculo 11 2 2" xfId="932"/>
    <cellStyle name="Cálculo 11 2 3" xfId="1415"/>
    <cellStyle name="Cálculo 11 2 4" xfId="1256"/>
    <cellStyle name="Cálculo 11 2 5" xfId="750"/>
    <cellStyle name="Cálculo 11 2 6" xfId="2271"/>
    <cellStyle name="Cálculo 11 2 7" xfId="2612"/>
    <cellStyle name="Cálculo 11 2 8" xfId="2781"/>
    <cellStyle name="Cálculo 11 2 9" xfId="3037"/>
    <cellStyle name="Cálculo 11 3" xfId="651"/>
    <cellStyle name="Cálculo 11 4" xfId="1474"/>
    <cellStyle name="Cálculo 11 5" xfId="1602"/>
    <cellStyle name="Cálculo 11 6" xfId="2040"/>
    <cellStyle name="Cálculo 11 7" xfId="2088"/>
    <cellStyle name="Cálculo 11 8" xfId="2525"/>
    <cellStyle name="Cálculo 11 9" xfId="2368"/>
    <cellStyle name="Cálculo 12" xfId="228"/>
    <cellStyle name="Cálculo 12 10" xfId="2606"/>
    <cellStyle name="Cálculo 12 11" xfId="2886"/>
    <cellStyle name="Cálculo 12 12" xfId="3388"/>
    <cellStyle name="Cálculo 12 13" xfId="3553"/>
    <cellStyle name="Cálculo 12 14" xfId="3168"/>
    <cellStyle name="Cálculo 12 15" xfId="4071"/>
    <cellStyle name="Cálculo 12 2" xfId="375"/>
    <cellStyle name="Cálculo 12 2 10" xfId="3310"/>
    <cellStyle name="Cálculo 12 2 11" xfId="3154"/>
    <cellStyle name="Cálculo 12 2 12" xfId="3760"/>
    <cellStyle name="Cálculo 12 2 13" xfId="3947"/>
    <cellStyle name="Cálculo 12 2 14" xfId="4106"/>
    <cellStyle name="Cálculo 12 2 2" xfId="961"/>
    <cellStyle name="Cálculo 12 2 3" xfId="1356"/>
    <cellStyle name="Cálculo 12 2 4" xfId="1816"/>
    <cellStyle name="Cálculo 12 2 5" xfId="2021"/>
    <cellStyle name="Cálculo 12 2 6" xfId="2300"/>
    <cellStyle name="Cálculo 12 2 7" xfId="2617"/>
    <cellStyle name="Cálculo 12 2 8" xfId="2810"/>
    <cellStyle name="Cálculo 12 2 9" xfId="3066"/>
    <cellStyle name="Cálculo 12 3" xfId="681"/>
    <cellStyle name="Cálculo 12 4" xfId="1377"/>
    <cellStyle name="Cálculo 12 5" xfId="1750"/>
    <cellStyle name="Cálculo 12 6" xfId="2012"/>
    <cellStyle name="Cálculo 12 7" xfId="1365"/>
    <cellStyle name="Cálculo 12 8" xfId="1962"/>
    <cellStyle name="Cálculo 12 9" xfId="2183"/>
    <cellStyle name="Cálculo 13" xfId="172"/>
    <cellStyle name="Cálculo 13 10" xfId="2504"/>
    <cellStyle name="Cálculo 13 11" xfId="2443"/>
    <cellStyle name="Cálculo 13 12" xfId="2687"/>
    <cellStyle name="Cálculo 13 13" xfId="2887"/>
    <cellStyle name="Cálculo 13 14" xfId="3233"/>
    <cellStyle name="Cálculo 13 15" xfId="3877"/>
    <cellStyle name="Cálculo 13 2" xfId="320"/>
    <cellStyle name="Cálculo 13 2 10" xfId="3255"/>
    <cellStyle name="Cálculo 13 2 11" xfId="1672"/>
    <cellStyle name="Cálculo 13 2 12" xfId="3705"/>
    <cellStyle name="Cálculo 13 2 13" xfId="3892"/>
    <cellStyle name="Cálculo 13 2 14" xfId="3592"/>
    <cellStyle name="Cálculo 13 2 2" xfId="906"/>
    <cellStyle name="Cálculo 13 2 3" xfId="1058"/>
    <cellStyle name="Cálculo 13 2 4" xfId="1178"/>
    <cellStyle name="Cálculo 13 2 5" xfId="1439"/>
    <cellStyle name="Cálculo 13 2 6" xfId="2245"/>
    <cellStyle name="Cálculo 13 2 7" xfId="2592"/>
    <cellStyle name="Cálculo 13 2 8" xfId="2755"/>
    <cellStyle name="Cálculo 13 2 9" xfId="3011"/>
    <cellStyle name="Cálculo 13 3" xfId="625"/>
    <cellStyle name="Cálculo 13 4" xfId="1479"/>
    <cellStyle name="Cálculo 13 5" xfId="1244"/>
    <cellStyle name="Cálculo 13 6" xfId="2053"/>
    <cellStyle name="Cálculo 13 7" xfId="2055"/>
    <cellStyle name="Cálculo 13 8" xfId="1830"/>
    <cellStyle name="Cálculo 13 9" xfId="2584"/>
    <cellStyle name="Cálculo 14" xfId="189"/>
    <cellStyle name="Cálculo 14 10" xfId="1956"/>
    <cellStyle name="Cálculo 14 11" xfId="2864"/>
    <cellStyle name="Cálculo 14 12" xfId="3561"/>
    <cellStyle name="Cálculo 14 13" xfId="3497"/>
    <cellStyle name="Cálculo 14 14" xfId="3441"/>
    <cellStyle name="Cálculo 14 15" xfId="4011"/>
    <cellStyle name="Cálculo 14 2" xfId="337"/>
    <cellStyle name="Cálculo 14 2 10" xfId="3272"/>
    <cellStyle name="Cálculo 14 2 11" xfId="3149"/>
    <cellStyle name="Cálculo 14 2 12" xfId="3722"/>
    <cellStyle name="Cálculo 14 2 13" xfId="3909"/>
    <cellStyle name="Cálculo 14 2 14" xfId="3568"/>
    <cellStyle name="Cálculo 14 2 2" xfId="923"/>
    <cellStyle name="Cálculo 14 2 3" xfId="1317"/>
    <cellStyle name="Cálculo 14 2 4" xfId="1401"/>
    <cellStyle name="Cálculo 14 2 5" xfId="2009"/>
    <cellStyle name="Cálculo 14 2 6" xfId="2262"/>
    <cellStyle name="Cálculo 14 2 7" xfId="1975"/>
    <cellStyle name="Cálculo 14 2 8" xfId="2772"/>
    <cellStyle name="Cálculo 14 2 9" xfId="3028"/>
    <cellStyle name="Cálculo 14 3" xfId="642"/>
    <cellStyle name="Cálculo 14 4" xfId="1553"/>
    <cellStyle name="Cálculo 14 5" xfId="1153"/>
    <cellStyle name="Cálculo 14 6" xfId="1657"/>
    <cellStyle name="Cálculo 14 7" xfId="1250"/>
    <cellStyle name="Cálculo 14 8" xfId="2407"/>
    <cellStyle name="Cálculo 14 9" xfId="2094"/>
    <cellStyle name="Cálculo 15" xfId="234"/>
    <cellStyle name="Cálculo 15 10" xfId="2182"/>
    <cellStyle name="Cálculo 15 11" xfId="2874"/>
    <cellStyle name="Cálculo 15 12" xfId="3422"/>
    <cellStyle name="Cálculo 15 13" xfId="3587"/>
    <cellStyle name="Cálculo 15 14" xfId="2986"/>
    <cellStyle name="Cálculo 15 15" xfId="4082"/>
    <cellStyle name="Cálculo 15 2" xfId="381"/>
    <cellStyle name="Cálculo 15 2 10" xfId="3316"/>
    <cellStyle name="Cálculo 15 2 11" xfId="3456"/>
    <cellStyle name="Cálculo 15 2 12" xfId="3766"/>
    <cellStyle name="Cálculo 15 2 13" xfId="3953"/>
    <cellStyle name="Cálculo 15 2 14" xfId="4038"/>
    <cellStyle name="Cálculo 15 2 2" xfId="967"/>
    <cellStyle name="Cálculo 15 2 3" xfId="1164"/>
    <cellStyle name="Cálculo 15 2 4" xfId="1692"/>
    <cellStyle name="Cálculo 15 2 5" xfId="480"/>
    <cellStyle name="Cálculo 15 2 6" xfId="2306"/>
    <cellStyle name="Cálculo 15 2 7" xfId="2243"/>
    <cellStyle name="Cálculo 15 2 8" xfId="2816"/>
    <cellStyle name="Cálculo 15 2 9" xfId="3072"/>
    <cellStyle name="Cálculo 15 3" xfId="687"/>
    <cellStyle name="Cálculo 15 4" xfId="453"/>
    <cellStyle name="Cálculo 15 5" xfId="1768"/>
    <cellStyle name="Cálculo 15 6" xfId="1704"/>
    <cellStyle name="Cálculo 15 7" xfId="1626"/>
    <cellStyle name="Cálculo 15 8" xfId="1609"/>
    <cellStyle name="Cálculo 15 9" xfId="1958"/>
    <cellStyle name="Cálculo 16" xfId="249"/>
    <cellStyle name="Cálculo 16 10" xfId="1248"/>
    <cellStyle name="Cálculo 16 11" xfId="2647"/>
    <cellStyle name="Cálculo 16 12" xfId="3411"/>
    <cellStyle name="Cálculo 16 13" xfId="2363"/>
    <cellStyle name="Cálculo 16 14" xfId="2907"/>
    <cellStyle name="Cálculo 16 15" xfId="3251"/>
    <cellStyle name="Cálculo 16 2" xfId="395"/>
    <cellStyle name="Cálculo 16 2 10" xfId="3331"/>
    <cellStyle name="Cálculo 16 2 11" xfId="3376"/>
    <cellStyle name="Cálculo 16 2 12" xfId="3781"/>
    <cellStyle name="Cálculo 16 2 13" xfId="3968"/>
    <cellStyle name="Cálculo 16 2 14" xfId="4108"/>
    <cellStyle name="Cálculo 16 2 2" xfId="982"/>
    <cellStyle name="Cálculo 16 2 3" xfId="1355"/>
    <cellStyle name="Cálculo 16 2 4" xfId="1818"/>
    <cellStyle name="Cálculo 16 2 5" xfId="1638"/>
    <cellStyle name="Cálculo 16 2 6" xfId="2321"/>
    <cellStyle name="Cálculo 16 2 7" xfId="2396"/>
    <cellStyle name="Cálculo 16 2 8" xfId="2831"/>
    <cellStyle name="Cálculo 16 2 9" xfId="3087"/>
    <cellStyle name="Cálculo 16 3" xfId="702"/>
    <cellStyle name="Cálculo 16 4" xfId="1059"/>
    <cellStyle name="Cálculo 16 5" xfId="1505"/>
    <cellStyle name="Cálculo 16 6" xfId="1778"/>
    <cellStyle name="Cálculo 16 7" xfId="1876"/>
    <cellStyle name="Cálculo 16 8" xfId="2198"/>
    <cellStyle name="Cálculo 16 9" xfId="1726"/>
    <cellStyle name="Cálculo 17" xfId="255"/>
    <cellStyle name="Cálculo 17 10" xfId="2588"/>
    <cellStyle name="Cálculo 17 11" xfId="2650"/>
    <cellStyle name="Cálculo 17 12" xfId="2420"/>
    <cellStyle name="Cálculo 17 13" xfId="3604"/>
    <cellStyle name="Cálculo 17 14" xfId="3583"/>
    <cellStyle name="Cálculo 17 15" xfId="2694"/>
    <cellStyle name="Cálculo 17 2" xfId="401"/>
    <cellStyle name="Cálculo 17 2 10" xfId="3337"/>
    <cellStyle name="Cálculo 17 2 11" xfId="3374"/>
    <cellStyle name="Cálculo 17 2 12" xfId="3787"/>
    <cellStyle name="Cálculo 17 2 13" xfId="3974"/>
    <cellStyle name="Cálculo 17 2 14" xfId="4074"/>
    <cellStyle name="Cálculo 17 2 2" xfId="988"/>
    <cellStyle name="Cálculo 17 2 3" xfId="1038"/>
    <cellStyle name="Cálculo 17 2 4" xfId="1756"/>
    <cellStyle name="Cálculo 17 2 5" xfId="1709"/>
    <cellStyle name="Cálculo 17 2 6" xfId="2327"/>
    <cellStyle name="Cálculo 17 2 7" xfId="2582"/>
    <cellStyle name="Cálculo 17 2 8" xfId="2837"/>
    <cellStyle name="Cálculo 17 2 9" xfId="3093"/>
    <cellStyle name="Cálculo 17 3" xfId="708"/>
    <cellStyle name="Cálculo 17 4" xfId="1245"/>
    <cellStyle name="Cálculo 17 5" xfId="1201"/>
    <cellStyle name="Cálculo 17 6" xfId="1934"/>
    <cellStyle name="Cálculo 17 7" xfId="1967"/>
    <cellStyle name="Cálculo 17 8" xfId="1082"/>
    <cellStyle name="Cálculo 17 9" xfId="1736"/>
    <cellStyle name="Cálculo 18" xfId="248"/>
    <cellStyle name="Cálculo 18 10" xfId="2705"/>
    <cellStyle name="Cálculo 18 11" xfId="2960"/>
    <cellStyle name="Cálculo 18 12" xfId="3412"/>
    <cellStyle name="Cálculo 18 13" xfId="3180"/>
    <cellStyle name="Cálculo 18 14" xfId="3662"/>
    <cellStyle name="Cálculo 18 15" xfId="4111"/>
    <cellStyle name="Cálculo 18 2" xfId="394"/>
    <cellStyle name="Cálculo 18 2 10" xfId="3330"/>
    <cellStyle name="Cálculo 18 2 11" xfId="2659"/>
    <cellStyle name="Cálculo 18 2 12" xfId="3780"/>
    <cellStyle name="Cálculo 18 2 13" xfId="3967"/>
    <cellStyle name="Cálculo 18 2 14" xfId="3633"/>
    <cellStyle name="Cálculo 18 2 2" xfId="981"/>
    <cellStyle name="Cálculo 18 2 3" xfId="1254"/>
    <cellStyle name="Cálculo 18 2 4" xfId="1249"/>
    <cellStyle name="Cálculo 18 2 5" xfId="2064"/>
    <cellStyle name="Cálculo 18 2 6" xfId="2320"/>
    <cellStyle name="Cálculo 18 2 7" xfId="1682"/>
    <cellStyle name="Cálculo 18 2 8" xfId="2830"/>
    <cellStyle name="Cálculo 18 2 9" xfId="3086"/>
    <cellStyle name="Cálculo 18 3" xfId="701"/>
    <cellStyle name="Cálculo 18 4" xfId="1353"/>
    <cellStyle name="Cálculo 18 5" xfId="1822"/>
    <cellStyle name="Cálculo 18 6" xfId="1777"/>
    <cellStyle name="Cálculo 18 7" xfId="2025"/>
    <cellStyle name="Cálculo 18 8" xfId="2138"/>
    <cellStyle name="Cálculo 18 9" xfId="2627"/>
    <cellStyle name="Cálculo 19" xfId="250"/>
    <cellStyle name="Cálculo 19 10" xfId="2704"/>
    <cellStyle name="Cálculo 19 11" xfId="2959"/>
    <cellStyle name="Cálculo 19 12" xfId="3410"/>
    <cellStyle name="Cálculo 19 13" xfId="2468"/>
    <cellStyle name="Cálculo 19 14" xfId="3661"/>
    <cellStyle name="Cálculo 19 15" xfId="4042"/>
    <cellStyle name="Cálculo 19 2" xfId="396"/>
    <cellStyle name="Cálculo 19 2 10" xfId="3332"/>
    <cellStyle name="Cálculo 19 2 11" xfId="3452"/>
    <cellStyle name="Cálculo 19 2 12" xfId="3782"/>
    <cellStyle name="Cálculo 19 2 13" xfId="3969"/>
    <cellStyle name="Cálculo 19 2 14" xfId="4001"/>
    <cellStyle name="Cálculo 19 2 2" xfId="983"/>
    <cellStyle name="Cálculo 19 2 3" xfId="1066"/>
    <cellStyle name="Cálculo 19 2 4" xfId="1512"/>
    <cellStyle name="Cálculo 19 2 5" xfId="1829"/>
    <cellStyle name="Cálculo 19 2 6" xfId="2322"/>
    <cellStyle name="Cálculo 19 2 7" xfId="1667"/>
    <cellStyle name="Cálculo 19 2 8" xfId="2832"/>
    <cellStyle name="Cálculo 19 2 9" xfId="3088"/>
    <cellStyle name="Cálculo 19 3" xfId="703"/>
    <cellStyle name="Cálculo 19 4" xfId="1396"/>
    <cellStyle name="Cálculo 19 5" xfId="1699"/>
    <cellStyle name="Cálculo 19 6" xfId="2108"/>
    <cellStyle name="Cálculo 19 7" xfId="1200"/>
    <cellStyle name="Cálculo 19 8" xfId="1931"/>
    <cellStyle name="Cálculo 19 9" xfId="2392"/>
    <cellStyle name="Cálculo 2" xfId="150"/>
    <cellStyle name="Cálculo 2 10" xfId="1964"/>
    <cellStyle name="Cálculo 2 11" xfId="2753"/>
    <cellStyle name="Cálculo 2 12" xfId="2904"/>
    <cellStyle name="Cálculo 2 13" xfId="3501"/>
    <cellStyle name="Cálculo 2 14" xfId="3225"/>
    <cellStyle name="Cálculo 2 15" xfId="4016"/>
    <cellStyle name="Cálculo 2 2" xfId="316"/>
    <cellStyle name="Cálculo 2 2 10" xfId="3224"/>
    <cellStyle name="Cálculo 2 2 11" xfId="3429"/>
    <cellStyle name="Cálculo 2 2 12" xfId="3680"/>
    <cellStyle name="Cálculo 2 2 13" xfId="3872"/>
    <cellStyle name="Cálculo 2 2 14" xfId="3867"/>
    <cellStyle name="Cálculo 2 2 2" xfId="871"/>
    <cellStyle name="Cálculo 2 2 3" xfId="462"/>
    <cellStyle name="Cálculo 2 2 4" xfId="1547"/>
    <cellStyle name="Cálculo 2 2 5" xfId="1651"/>
    <cellStyle name="Cálculo 2 2 6" xfId="2210"/>
    <cellStyle name="Cálculo 2 2 7" xfId="2231"/>
    <cellStyle name="Cálculo 2 2 8" xfId="2723"/>
    <cellStyle name="Cálculo 2 2 9" xfId="2978"/>
    <cellStyle name="Cálculo 2 3" xfId="587"/>
    <cellStyle name="Cálculo 2 4" xfId="1405"/>
    <cellStyle name="Cálculo 2 5" xfId="1618"/>
    <cellStyle name="Cálculo 2 6" xfId="1470"/>
    <cellStyle name="Cálculo 2 7" xfId="1863"/>
    <cellStyle name="Cálculo 2 8" xfId="1990"/>
    <cellStyle name="Cálculo 2 9" xfId="2361"/>
    <cellStyle name="Cálculo 20" xfId="246"/>
    <cellStyle name="Cálculo 20 10" xfId="2706"/>
    <cellStyle name="Cálculo 20 11" xfId="2961"/>
    <cellStyle name="Cálculo 20 12" xfId="2689"/>
    <cellStyle name="Cálculo 20 13" xfId="3479"/>
    <cellStyle name="Cálculo 20 14" xfId="3663"/>
    <cellStyle name="Cálculo 20 15" xfId="3852"/>
    <cellStyle name="Cálculo 20 2" xfId="392"/>
    <cellStyle name="Cálculo 20 2 10" xfId="3328"/>
    <cellStyle name="Cálculo 20 2 11" xfId="3453"/>
    <cellStyle name="Cálculo 20 2 12" xfId="3778"/>
    <cellStyle name="Cálculo 20 2 13" xfId="3965"/>
    <cellStyle name="Cálculo 20 2 14" xfId="4039"/>
    <cellStyle name="Cálculo 20 2 2" xfId="979"/>
    <cellStyle name="Cálculo 20 2 3" xfId="484"/>
    <cellStyle name="Cálculo 20 2 4" xfId="1693"/>
    <cellStyle name="Cálculo 20 2 5" xfId="1413"/>
    <cellStyle name="Cálculo 20 2 6" xfId="2318"/>
    <cellStyle name="Cálculo 20 2 7" xfId="2173"/>
    <cellStyle name="Cálculo 20 2 8" xfId="2828"/>
    <cellStyle name="Cálculo 20 2 9" xfId="3084"/>
    <cellStyle name="Cálculo 20 3" xfId="699"/>
    <cellStyle name="Cálculo 20 4" xfId="1124"/>
    <cellStyle name="Cálculo 20 5" xfId="1504"/>
    <cellStyle name="Cálculo 20 6" xfId="1977"/>
    <cellStyle name="Cálculo 20 7" xfId="1560"/>
    <cellStyle name="Cálculo 20 8" xfId="1706"/>
    <cellStyle name="Cálculo 20 9" xfId="2555"/>
    <cellStyle name="Cálculo 21" xfId="251"/>
    <cellStyle name="Cálculo 21 10" xfId="2415"/>
    <cellStyle name="Cálculo 21 11" xfId="2648"/>
    <cellStyle name="Cálculo 21 12" xfId="3409"/>
    <cellStyle name="Cálculo 21 13" xfId="3582"/>
    <cellStyle name="Cálculo 21 14" xfId="3593"/>
    <cellStyle name="Cálculo 21 15" xfId="3862"/>
    <cellStyle name="Cálculo 21 2" xfId="397"/>
    <cellStyle name="Cálculo 21 2 10" xfId="3333"/>
    <cellStyle name="Cálculo 21 2 11" xfId="2884"/>
    <cellStyle name="Cálculo 21 2 12" xfId="3783"/>
    <cellStyle name="Cálculo 21 2 13" xfId="3970"/>
    <cellStyle name="Cálculo 21 2 14" xfId="3870"/>
    <cellStyle name="Cálculo 21 2 2" xfId="984"/>
    <cellStyle name="Cálculo 21 2 3" xfId="1339"/>
    <cellStyle name="Cálculo 21 2 4" xfId="1492"/>
    <cellStyle name="Cálculo 21 2 5" xfId="1763"/>
    <cellStyle name="Cálculo 21 2 6" xfId="2323"/>
    <cellStyle name="Cálculo 21 2 7" xfId="2451"/>
    <cellStyle name="Cálculo 21 2 8" xfId="2833"/>
    <cellStyle name="Cálculo 21 2 9" xfId="3089"/>
    <cellStyle name="Cálculo 21 3" xfId="704"/>
    <cellStyle name="Cálculo 21 4" xfId="1311"/>
    <cellStyle name="Cálculo 21 5" xfId="1464"/>
    <cellStyle name="Cálculo 21 6" xfId="2066"/>
    <cellStyle name="Cálculo 21 7" xfId="1941"/>
    <cellStyle name="Cálculo 21 8" xfId="2151"/>
    <cellStyle name="Cálculo 21 9" xfId="2403"/>
    <cellStyle name="Cálculo 22" xfId="245"/>
    <cellStyle name="Cálculo 22 10" xfId="2590"/>
    <cellStyle name="Cálculo 22 11" xfId="2645"/>
    <cellStyle name="Cálculo 22 12" xfId="3610"/>
    <cellStyle name="Cálculo 22 13" xfId="2078"/>
    <cellStyle name="Cálculo 22 14" xfId="3178"/>
    <cellStyle name="Cálculo 22 15" xfId="2892"/>
    <cellStyle name="Cálculo 22 2" xfId="391"/>
    <cellStyle name="Cálculo 22 2 10" xfId="3327"/>
    <cellStyle name="Cálculo 22 2 11" xfId="2657"/>
    <cellStyle name="Cálculo 22 2 12" xfId="3777"/>
    <cellStyle name="Cálculo 22 2 13" xfId="3964"/>
    <cellStyle name="Cálculo 22 2 14" xfId="3629"/>
    <cellStyle name="Cálculo 22 2 2" xfId="978"/>
    <cellStyle name="Cálculo 22 2 3" xfId="607"/>
    <cellStyle name="Cálculo 22 2 4" xfId="1442"/>
    <cellStyle name="Cálculo 22 2 5" xfId="1647"/>
    <cellStyle name="Cálculo 22 2 6" xfId="2317"/>
    <cellStyle name="Cálculo 22 2 7" xfId="1882"/>
    <cellStyle name="Cálculo 22 2 8" xfId="2827"/>
    <cellStyle name="Cálculo 22 2 9" xfId="3083"/>
    <cellStyle name="Cálculo 22 3" xfId="698"/>
    <cellStyle name="Cálculo 22 4" xfId="1278"/>
    <cellStyle name="Cálculo 22 5" xfId="1315"/>
    <cellStyle name="Cálculo 22 6" xfId="1971"/>
    <cellStyle name="Cálculo 22 7" xfId="2105"/>
    <cellStyle name="Cálculo 22 8" xfId="2495"/>
    <cellStyle name="Cálculo 22 9" xfId="1982"/>
    <cellStyle name="Cálculo 23" xfId="253"/>
    <cellStyle name="Cálculo 23 10" xfId="2545"/>
    <cellStyle name="Cálculo 23 11" xfId="2649"/>
    <cellStyle name="Cálculo 23 12" xfId="3391"/>
    <cellStyle name="Cálculo 23 13" xfId="3197"/>
    <cellStyle name="Cálculo 23 14" xfId="2735"/>
    <cellStyle name="Cálculo 23 15" xfId="3482"/>
    <cellStyle name="Cálculo 23 2" xfId="399"/>
    <cellStyle name="Cálculo 23 2 10" xfId="3335"/>
    <cellStyle name="Cálculo 23 2 11" xfId="2990"/>
    <cellStyle name="Cálculo 23 2 12" xfId="3785"/>
    <cellStyle name="Cálculo 23 2 13" xfId="3972"/>
    <cellStyle name="Cálculo 23 2 14" xfId="3546"/>
    <cellStyle name="Cálculo 23 2 2" xfId="986"/>
    <cellStyle name="Cálculo 23 2 3" xfId="1133"/>
    <cellStyle name="Cálculo 23 2 4" xfId="1545"/>
    <cellStyle name="Cálculo 23 2 5" xfId="1785"/>
    <cellStyle name="Cálculo 23 2 6" xfId="2325"/>
    <cellStyle name="Cálculo 23 2 7" xfId="2408"/>
    <cellStyle name="Cálculo 23 2 8" xfId="2835"/>
    <cellStyle name="Cálculo 23 2 9" xfId="3091"/>
    <cellStyle name="Cálculo 23 3" xfId="706"/>
    <cellStyle name="Cálculo 23 4" xfId="1347"/>
    <cellStyle name="Cálculo 23 5" xfId="1345"/>
    <cellStyle name="Cálculo 23 6" xfId="1779"/>
    <cellStyle name="Cálculo 23 7" xfId="1621"/>
    <cellStyle name="Cálculo 23 8" xfId="2436"/>
    <cellStyle name="Cálculo 23 9" xfId="2540"/>
    <cellStyle name="Cálculo 24" xfId="242"/>
    <cellStyle name="Cálculo 24 10" xfId="2118"/>
    <cellStyle name="Cálculo 24 11" xfId="2397"/>
    <cellStyle name="Cálculo 24 12" xfId="3414"/>
    <cellStyle name="Cálculo 24 13" xfId="3579"/>
    <cellStyle name="Cálculo 24 14" xfId="3517"/>
    <cellStyle name="Cálculo 24 15" xfId="4102"/>
    <cellStyle name="Cálculo 24 2" xfId="975"/>
    <cellStyle name="Cálculo 24 2 10" xfId="3454"/>
    <cellStyle name="Cálculo 24 2 11" xfId="3774"/>
    <cellStyle name="Cálculo 24 2 12" xfId="3961"/>
    <cellStyle name="Cálculo 24 2 13" xfId="3883"/>
    <cellStyle name="Cálculo 24 2 2" xfId="1162"/>
    <cellStyle name="Cálculo 24 2 3" xfId="1432"/>
    <cellStyle name="Cálculo 24 2 4" xfId="1933"/>
    <cellStyle name="Cálculo 24 2 5" xfId="2314"/>
    <cellStyle name="Cálculo 24 2 6" xfId="1770"/>
    <cellStyle name="Cálculo 24 2 7" xfId="2824"/>
    <cellStyle name="Cálculo 24 2 8" xfId="3080"/>
    <cellStyle name="Cálculo 24 2 9" xfId="3324"/>
    <cellStyle name="Cálculo 24 3" xfId="695"/>
    <cellStyle name="Cálculo 24 4" xfId="1359"/>
    <cellStyle name="Cálculo 24 5" xfId="1809"/>
    <cellStyle name="Cálculo 24 6" xfId="1360"/>
    <cellStyle name="Cálculo 24 7" xfId="1122"/>
    <cellStyle name="Cálculo 24 8" xfId="2169"/>
    <cellStyle name="Cálculo 24 9" xfId="2528"/>
    <cellStyle name="Cálculo 25" xfId="108"/>
    <cellStyle name="Cálculo 25 10" xfId="2693"/>
    <cellStyle name="Cálculo 25 11" xfId="2948"/>
    <cellStyle name="Cálculo 25 12" xfId="3132"/>
    <cellStyle name="Cálculo 25 13" xfId="2949"/>
    <cellStyle name="Cálculo 25 14" xfId="3650"/>
    <cellStyle name="Cálculo 25 15" xfId="3693"/>
    <cellStyle name="Cálculo 25 2" xfId="284"/>
    <cellStyle name="Cálculo 25 2 10" xfId="3366"/>
    <cellStyle name="Cálculo 25 2 11" xfId="2939"/>
    <cellStyle name="Cálculo 25 2 12" xfId="3815"/>
    <cellStyle name="Cálculo 25 2 13" xfId="4003"/>
    <cellStyle name="Cálculo 25 2 14" xfId="3849"/>
    <cellStyle name="Cálculo 25 2 2" xfId="1017"/>
    <cellStyle name="Cálculo 25 2 3" xfId="1511"/>
    <cellStyle name="Cálculo 25 2 4" xfId="1392"/>
    <cellStyle name="Cálculo 25 2 5" xfId="1246"/>
    <cellStyle name="Cálculo 25 2 6" xfId="2356"/>
    <cellStyle name="Cálculo 25 2 7" xfId="2496"/>
    <cellStyle name="Cálculo 25 2 8" xfId="2866"/>
    <cellStyle name="Cálculo 25 2 9" xfId="3122"/>
    <cellStyle name="Cálculo 25 3" xfId="737"/>
    <cellStyle name="Cálculo 25 4" xfId="1495"/>
    <cellStyle name="Cálculo 25 5" xfId="1120"/>
    <cellStyle name="Cálculo 25 6" xfId="1833"/>
    <cellStyle name="Cálculo 25 7" xfId="1196"/>
    <cellStyle name="Cálculo 25 8" xfId="2208"/>
    <cellStyle name="Cálculo 25 9" xfId="1277"/>
    <cellStyle name="Cálculo 26" xfId="518"/>
    <cellStyle name="Cálculo 26 10" xfId="3547"/>
    <cellStyle name="Cálculo 26 11" xfId="2945"/>
    <cellStyle name="Cálculo 26 12" xfId="3004"/>
    <cellStyle name="Cálculo 26 13" xfId="3829"/>
    <cellStyle name="Cálculo 26 2" xfId="1484"/>
    <cellStyle name="Cálculo 26 3" xfId="1462"/>
    <cellStyle name="Cálculo 26 4" xfId="1918"/>
    <cellStyle name="Cálculo 26 5" xfId="482"/>
    <cellStyle name="Cálculo 26 6" xfId="2180"/>
    <cellStyle name="Cálculo 26 7" xfId="2498"/>
    <cellStyle name="Cálculo 26 8" xfId="2489"/>
    <cellStyle name="Cálculo 26 9" xfId="2215"/>
    <cellStyle name="Cálculo 27" xfId="821"/>
    <cellStyle name="Cálculo 27 10" xfId="3218"/>
    <cellStyle name="Cálculo 27 11" xfId="3641"/>
    <cellStyle name="Cálculo 27 12" xfId="3843"/>
    <cellStyle name="Cálculo 27 13" xfId="3566"/>
    <cellStyle name="Cálculo 27 2" xfId="1500"/>
    <cellStyle name="Cálculo 27 3" xfId="1142"/>
    <cellStyle name="Cálculo 27 4" xfId="1485"/>
    <cellStyle name="Cálculo 27 5" xfId="2162"/>
    <cellStyle name="Cálculo 27 6" xfId="2157"/>
    <cellStyle name="Cálculo 27 7" xfId="2675"/>
    <cellStyle name="Cálculo 27 8" xfId="2928"/>
    <cellStyle name="Cálculo 27 9" xfId="3181"/>
    <cellStyle name="Cálculo 3" xfId="194"/>
    <cellStyle name="Cálculo 3 10" xfId="2370"/>
    <cellStyle name="Cálculo 3 11" xfId="1679"/>
    <cellStyle name="Cálculo 3 12" xfId="3210"/>
    <cellStyle name="Cálculo 3 13" xfId="2416"/>
    <cellStyle name="Cálculo 3 14" xfId="3603"/>
    <cellStyle name="Cálculo 3 15" xfId="3622"/>
    <cellStyle name="Cálculo 3 2" xfId="342"/>
    <cellStyle name="Cálculo 3 2 10" xfId="3277"/>
    <cellStyle name="Cálculo 3 2 11" xfId="3469"/>
    <cellStyle name="Cálculo 3 2 12" xfId="3727"/>
    <cellStyle name="Cálculo 3 2 13" xfId="3914"/>
    <cellStyle name="Cálculo 3 2 14" xfId="1942"/>
    <cellStyle name="Cálculo 3 2 2" xfId="928"/>
    <cellStyle name="Cálculo 3 2 3" xfId="1294"/>
    <cellStyle name="Cálculo 3 2 4" xfId="1528"/>
    <cellStyle name="Cálculo 3 2 5" xfId="2107"/>
    <cellStyle name="Cálculo 3 2 6" xfId="2267"/>
    <cellStyle name="Cálculo 3 2 7" xfId="1155"/>
    <cellStyle name="Cálculo 3 2 8" xfId="2777"/>
    <cellStyle name="Cálculo 3 2 9" xfId="3033"/>
    <cellStyle name="Cálculo 3 3" xfId="647"/>
    <cellStyle name="Cálculo 3 4" xfId="1333"/>
    <cellStyle name="Cálculo 3 5" xfId="1050"/>
    <cellStyle name="Cálculo 3 6" xfId="1538"/>
    <cellStyle name="Cálculo 3 7" xfId="1897"/>
    <cellStyle name="Cálculo 3 8" xfId="2477"/>
    <cellStyle name="Cálculo 3 9" xfId="1369"/>
    <cellStyle name="Cálculo 4" xfId="188"/>
    <cellStyle name="Cálculo 4 10" xfId="2589"/>
    <cellStyle name="Cálculo 4 11" xfId="2618"/>
    <cellStyle name="Cálculo 4 12" xfId="2457"/>
    <cellStyle name="Cálculo 4 13" xfId="2494"/>
    <cellStyle name="Cálculo 4 14" xfId="3131"/>
    <cellStyle name="Cálculo 4 15" xfId="3371"/>
    <cellStyle name="Cálculo 4 2" xfId="336"/>
    <cellStyle name="Cálculo 4 2 10" xfId="3271"/>
    <cellStyle name="Cálculo 4 2 11" xfId="3472"/>
    <cellStyle name="Cálculo 4 2 12" xfId="3721"/>
    <cellStyle name="Cálculo 4 2 13" xfId="3908"/>
    <cellStyle name="Cálculo 4 2 14" xfId="4069"/>
    <cellStyle name="Cálculo 4 2 2" xfId="922"/>
    <cellStyle name="Cálculo 4 2 3" xfId="1378"/>
    <cellStyle name="Cálculo 4 2 4" xfId="1748"/>
    <cellStyle name="Cálculo 4 2 5" xfId="1978"/>
    <cellStyle name="Cálculo 4 2 6" xfId="2261"/>
    <cellStyle name="Cálculo 4 2 7" xfId="2488"/>
    <cellStyle name="Cálculo 4 2 8" xfId="2771"/>
    <cellStyle name="Cálculo 4 2 9" xfId="3027"/>
    <cellStyle name="Cálculo 4 3" xfId="641"/>
    <cellStyle name="Cálculo 4 4" xfId="1409"/>
    <cellStyle name="Cálculo 4 5" xfId="1161"/>
    <cellStyle name="Cálculo 4 6" xfId="1440"/>
    <cellStyle name="Cálculo 4 7" xfId="1904"/>
    <cellStyle name="Cálculo 4 8" xfId="2000"/>
    <cellStyle name="Cálculo 4 9" xfId="2185"/>
    <cellStyle name="Cálculo 5" xfId="195"/>
    <cellStyle name="Cálculo 5 10" xfId="2579"/>
    <cellStyle name="Cálculo 5 11" xfId="2673"/>
    <cellStyle name="Cálculo 5 12" xfId="3577"/>
    <cellStyle name="Cálculo 5 13" xfId="2989"/>
    <cellStyle name="Cálculo 5 14" xfId="2897"/>
    <cellStyle name="Cálculo 5 15" xfId="4029"/>
    <cellStyle name="Cálculo 5 2" xfId="343"/>
    <cellStyle name="Cálculo 5 2 10" xfId="3278"/>
    <cellStyle name="Cálculo 5 2 11" xfId="2935"/>
    <cellStyle name="Cálculo 5 2 12" xfId="3728"/>
    <cellStyle name="Cálculo 5 2 13" xfId="3915"/>
    <cellStyle name="Cálculo 5 2 14" xfId="4050"/>
    <cellStyle name="Cálculo 5 2 2" xfId="929"/>
    <cellStyle name="Cálculo 5 2 3" xfId="1105"/>
    <cellStyle name="Cálculo 5 2 4" xfId="1715"/>
    <cellStyle name="Cálculo 5 2 5" xfId="1896"/>
    <cellStyle name="Cálculo 5 2 6" xfId="2268"/>
    <cellStyle name="Cálculo 5 2 7" xfId="2129"/>
    <cellStyle name="Cálculo 5 2 8" xfId="2778"/>
    <cellStyle name="Cálculo 5 2 9" xfId="3034"/>
    <cellStyle name="Cálculo 5 3" xfId="648"/>
    <cellStyle name="Cálculo 5 4" xfId="1499"/>
    <cellStyle name="Cálculo 5 5" xfId="1662"/>
    <cellStyle name="Cálculo 5 6" xfId="2056"/>
    <cellStyle name="Cálculo 5 7" xfId="1653"/>
    <cellStyle name="Cálculo 5 8" xfId="2465"/>
    <cellStyle name="Cálculo 5 9" xfId="2577"/>
    <cellStyle name="Cálculo 6" xfId="186"/>
    <cellStyle name="Cálculo 6 10" xfId="2727"/>
    <cellStyle name="Cálculo 6 11" xfId="2982"/>
    <cellStyle name="Cálculo 6 12" xfId="2153"/>
    <cellStyle name="Cálculo 6 13" xfId="3563"/>
    <cellStyle name="Cálculo 6 14" xfId="3684"/>
    <cellStyle name="Cálculo 6 15" xfId="3848"/>
    <cellStyle name="Cálculo 6 2" xfId="334"/>
    <cellStyle name="Cálculo 6 2 10" xfId="3269"/>
    <cellStyle name="Cálculo 6 2 11" xfId="3473"/>
    <cellStyle name="Cálculo 6 2 12" xfId="3719"/>
    <cellStyle name="Cálculo 6 2 13" xfId="3906"/>
    <cellStyle name="Cálculo 6 2 14" xfId="3639"/>
    <cellStyle name="Cálculo 6 2 2" xfId="920"/>
    <cellStyle name="Cálculo 6 2 3" xfId="1307"/>
    <cellStyle name="Cálculo 6 2 4" xfId="1487"/>
    <cellStyle name="Cálculo 6 2 5" xfId="1924"/>
    <cellStyle name="Cálculo 6 2 6" xfId="2259"/>
    <cellStyle name="Cálculo 6 2 7" xfId="1238"/>
    <cellStyle name="Cálculo 6 2 8" xfId="2769"/>
    <cellStyle name="Cálculo 6 2 9" xfId="3025"/>
    <cellStyle name="Cálculo 6 3" xfId="639"/>
    <cellStyle name="Cálculo 6 4" xfId="1226"/>
    <cellStyle name="Cálculo 6 5" xfId="1597"/>
    <cellStyle name="Cálculo 6 6" xfId="1946"/>
    <cellStyle name="Cálculo 6 7" xfId="2044"/>
    <cellStyle name="Cálculo 6 8" xfId="1698"/>
    <cellStyle name="Cálculo 6 9" xfId="1259"/>
    <cellStyle name="Cálculo 7" xfId="196"/>
    <cellStyle name="Cálculo 7 10" xfId="2532"/>
    <cellStyle name="Cálculo 7 11" xfId="2364"/>
    <cellStyle name="Cálculo 7 12" xfId="2022"/>
    <cellStyle name="Cálculo 7 13" xfId="2120"/>
    <cellStyle name="Cálculo 7 14" xfId="3198"/>
    <cellStyle name="Cálculo 7 15" xfId="4120"/>
    <cellStyle name="Cálculo 7 2" xfId="344"/>
    <cellStyle name="Cálculo 7 2 10" xfId="3279"/>
    <cellStyle name="Cálculo 7 2 11" xfId="2937"/>
    <cellStyle name="Cálculo 7 2 12" xfId="3729"/>
    <cellStyle name="Cálculo 7 2 13" xfId="3916"/>
    <cellStyle name="Cálculo 7 2 14" xfId="4087"/>
    <cellStyle name="Cálculo 7 2 2" xfId="930"/>
    <cellStyle name="Cálculo 7 2 3" xfId="1367"/>
    <cellStyle name="Cálculo 7 2 4" xfId="1782"/>
    <cellStyle name="Cálculo 7 2 5" xfId="1423"/>
    <cellStyle name="Cálculo 7 2 6" xfId="2269"/>
    <cellStyle name="Cálculo 7 2 7" xfId="2454"/>
    <cellStyle name="Cálculo 7 2 8" xfId="2779"/>
    <cellStyle name="Cálculo 7 2 9" xfId="3035"/>
    <cellStyle name="Cálculo 7 3" xfId="649"/>
    <cellStyle name="Cálculo 7 4" xfId="1583"/>
    <cellStyle name="Cálculo 7 5" xfId="1845"/>
    <cellStyle name="Cálculo 7 6" xfId="1714"/>
    <cellStyle name="Cálculo 7 7" xfId="1986"/>
    <cellStyle name="Cálculo 7 8" xfId="2480"/>
    <cellStyle name="Cálculo 7 9" xfId="2474"/>
    <cellStyle name="Cálculo 8" xfId="199"/>
    <cellStyle name="Cálculo 8 10" xfId="2133"/>
    <cellStyle name="Cálculo 8 11" xfId="2743"/>
    <cellStyle name="Cálculo 8 12" xfId="3504"/>
    <cellStyle name="Cálculo 8 13" xfId="3529"/>
    <cellStyle name="Cálculo 8 14" xfId="2902"/>
    <cellStyle name="Cálculo 8 15" xfId="4036"/>
    <cellStyle name="Cálculo 8 2" xfId="347"/>
    <cellStyle name="Cálculo 8 2 10" xfId="3282"/>
    <cellStyle name="Cálculo 8 2 11" xfId="2658"/>
    <cellStyle name="Cálculo 8 2 12" xfId="3732"/>
    <cellStyle name="Cálculo 8 2 13" xfId="3919"/>
    <cellStyle name="Cálculo 8 2 14" xfId="3632"/>
    <cellStyle name="Cálculo 8 2 2" xfId="933"/>
    <cellStyle name="Cálculo 8 2 3" xfId="1056"/>
    <cellStyle name="Cálculo 8 2 4" xfId="1108"/>
    <cellStyle name="Cálculo 8 2 5" xfId="1189"/>
    <cellStyle name="Cálculo 8 2 6" xfId="2272"/>
    <cellStyle name="Cálculo 8 2 7" xfId="2226"/>
    <cellStyle name="Cálculo 8 2 8" xfId="2782"/>
    <cellStyle name="Cálculo 8 2 9" xfId="3038"/>
    <cellStyle name="Cálculo 8 3" xfId="652"/>
    <cellStyle name="Cálculo 8 4" xfId="1458"/>
    <cellStyle name="Cálculo 8 5" xfId="1690"/>
    <cellStyle name="Cálculo 8 6" xfId="1656"/>
    <cellStyle name="Cálculo 8 7" xfId="1605"/>
    <cellStyle name="Cálculo 8 8" xfId="1981"/>
    <cellStyle name="Cálculo 8 9" xfId="1891"/>
    <cellStyle name="Cálculo 9" xfId="191"/>
    <cellStyle name="Cálculo 9 10" xfId="2390"/>
    <cellStyle name="Cálculo 9 11" xfId="2742"/>
    <cellStyle name="Cálculo 9 12" xfId="3578"/>
    <cellStyle name="Cálculo 9 13" xfId="3550"/>
    <cellStyle name="Cálculo 9 14" xfId="3574"/>
    <cellStyle name="Cálculo 9 15" xfId="3831"/>
    <cellStyle name="Cálculo 9 2" xfId="339"/>
    <cellStyle name="Cálculo 9 2 10" xfId="3274"/>
    <cellStyle name="Cálculo 9 2 11" xfId="2934"/>
    <cellStyle name="Cálculo 9 2 12" xfId="3724"/>
    <cellStyle name="Cálculo 9 2 13" xfId="3911"/>
    <cellStyle name="Cálculo 9 2 14" xfId="4091"/>
    <cellStyle name="Cálculo 9 2 2" xfId="925"/>
    <cellStyle name="Cálculo 9 2 3" xfId="455"/>
    <cellStyle name="Cálculo 9 2 4" xfId="1788"/>
    <cellStyle name="Cálculo 9 2 5" xfId="1478"/>
    <cellStyle name="Cálculo 9 2 6" xfId="2264"/>
    <cellStyle name="Cálculo 9 2 7" xfId="2440"/>
    <cellStyle name="Cálculo 9 2 8" xfId="2774"/>
    <cellStyle name="Cálculo 9 2 9" xfId="3030"/>
    <cellStyle name="Cálculo 9 3" xfId="644"/>
    <cellStyle name="Cálculo 9 4" xfId="1526"/>
    <cellStyle name="Cálculo 9 5" xfId="1230"/>
    <cellStyle name="Cálculo 9 6" xfId="1336"/>
    <cellStyle name="Cálculo 9 7" xfId="461"/>
    <cellStyle name="Cálculo 9 8" xfId="2132"/>
    <cellStyle name="Cálculo 9 9" xfId="2065"/>
    <cellStyle name="Célula de Verificação" xfId="47" builtinId="23" customBuiltin="1"/>
    <cellStyle name="Célula de Verificação 2" xfId="151"/>
    <cellStyle name="Célula de Verificação 2 2" xfId="872"/>
    <cellStyle name="Célula de Verificação 2 3" xfId="588"/>
    <cellStyle name="Célula de Verificação 3" xfId="109"/>
    <cellStyle name="Célula de Verificação 3 2" xfId="519"/>
    <cellStyle name="Célula Vinculada" xfId="48" builtinId="24" customBuiltin="1"/>
    <cellStyle name="Célula Vinculada 2" xfId="520"/>
    <cellStyle name="Check Cell" xfId="49"/>
    <cellStyle name="Check Cell 2" xfId="873"/>
    <cellStyle name="Check Cell 3" xfId="589"/>
    <cellStyle name="Ênfase1" xfId="50" builtinId="29" customBuiltin="1"/>
    <cellStyle name="Ênfase1 2" xfId="152"/>
    <cellStyle name="Ênfase1 2 2" xfId="874"/>
    <cellStyle name="Ênfase1 2 3" xfId="590"/>
    <cellStyle name="Ênfase1 3" xfId="110"/>
    <cellStyle name="Ênfase1 3 2" xfId="521"/>
    <cellStyle name="Ênfase2" xfId="51" builtinId="33" customBuiltin="1"/>
    <cellStyle name="Ênfase2 2" xfId="153"/>
    <cellStyle name="Ênfase2 2 2" xfId="875"/>
    <cellStyle name="Ênfase2 2 3" xfId="591"/>
    <cellStyle name="Ênfase2 3" xfId="111"/>
    <cellStyle name="Ênfase2 3 2" xfId="522"/>
    <cellStyle name="Ênfase3" xfId="52" builtinId="37" customBuiltin="1"/>
    <cellStyle name="Ênfase3 2" xfId="154"/>
    <cellStyle name="Ênfase3 2 2" xfId="876"/>
    <cellStyle name="Ênfase3 2 3" xfId="592"/>
    <cellStyle name="Ênfase3 3" xfId="112"/>
    <cellStyle name="Ênfase3 3 2" xfId="523"/>
    <cellStyle name="Ênfase4" xfId="53" builtinId="41" customBuiltin="1"/>
    <cellStyle name="Ênfase4 2" xfId="155"/>
    <cellStyle name="Ênfase4 2 2" xfId="877"/>
    <cellStyle name="Ênfase4 2 3" xfId="593"/>
    <cellStyle name="Ênfase4 3" xfId="113"/>
    <cellStyle name="Ênfase4 3 2" xfId="524"/>
    <cellStyle name="Ênfase5" xfId="54" builtinId="45" customBuiltin="1"/>
    <cellStyle name="Ênfase5 2" xfId="156"/>
    <cellStyle name="Ênfase5 2 2" xfId="878"/>
    <cellStyle name="Ênfase5 2 3" xfId="594"/>
    <cellStyle name="Ênfase5 3" xfId="114"/>
    <cellStyle name="Ênfase5 3 2" xfId="525"/>
    <cellStyle name="Ênfase6" xfId="55" builtinId="49" customBuiltin="1"/>
    <cellStyle name="Ênfase6 2" xfId="157"/>
    <cellStyle name="Ênfase6 2 2" xfId="879"/>
    <cellStyle name="Ênfase6 2 3" xfId="595"/>
    <cellStyle name="Ênfase6 3" xfId="115"/>
    <cellStyle name="Ênfase6 3 2" xfId="526"/>
    <cellStyle name="Entrada" xfId="56" builtinId="20" customBuiltin="1"/>
    <cellStyle name="Entrada 10" xfId="211"/>
    <cellStyle name="Entrada 10 10" xfId="2167"/>
    <cellStyle name="Entrada 10 11" xfId="2642"/>
    <cellStyle name="Entrada 10 12" xfId="3169"/>
    <cellStyle name="Entrada 10 13" xfId="3581"/>
    <cellStyle name="Entrada 10 14" xfId="3515"/>
    <cellStyle name="Entrada 10 15" xfId="4051"/>
    <cellStyle name="Entrada 10 2" xfId="358"/>
    <cellStyle name="Entrada 10 2 10" xfId="3293"/>
    <cellStyle name="Entrada 10 2 11" xfId="3373"/>
    <cellStyle name="Entrada 10 2 12" xfId="3743"/>
    <cellStyle name="Entrada 10 2 13" xfId="3930"/>
    <cellStyle name="Entrada 10 2 14" xfId="4110"/>
    <cellStyle name="Entrada 10 2 2" xfId="944"/>
    <cellStyle name="Entrada 10 2 3" xfId="1070"/>
    <cellStyle name="Entrada 10 2 4" xfId="1821"/>
    <cellStyle name="Entrada 10 2 5" xfId="2082"/>
    <cellStyle name="Entrada 10 2 6" xfId="2283"/>
    <cellStyle name="Entrada 10 2 7" xfId="2218"/>
    <cellStyle name="Entrada 10 2 8" xfId="2793"/>
    <cellStyle name="Entrada 10 2 9" xfId="3049"/>
    <cellStyle name="Entrada 10 3" xfId="664"/>
    <cellStyle name="Entrada 10 4" xfId="1045"/>
    <cellStyle name="Entrada 10 5" xfId="1716"/>
    <cellStyle name="Entrada 10 6" xfId="1267"/>
    <cellStyle name="Entrada 10 7" xfId="2041"/>
    <cellStyle name="Entrada 10 8" xfId="1666"/>
    <cellStyle name="Entrada 10 9" xfId="2434"/>
    <cellStyle name="Entrada 11" xfId="214"/>
    <cellStyle name="Entrada 11 10" xfId="2716"/>
    <cellStyle name="Entrada 11 11" xfId="2971"/>
    <cellStyle name="Entrada 11 12" xfId="2731"/>
    <cellStyle name="Entrada 11 13" xfId="3227"/>
    <cellStyle name="Entrada 11 14" xfId="3673"/>
    <cellStyle name="Entrada 11 15" xfId="3882"/>
    <cellStyle name="Entrada 11 2" xfId="361"/>
    <cellStyle name="Entrada 11 2 10" xfId="3296"/>
    <cellStyle name="Entrada 11 2 11" xfId="3464"/>
    <cellStyle name="Entrada 11 2 12" xfId="3746"/>
    <cellStyle name="Entrada 11 2 13" xfId="3933"/>
    <cellStyle name="Entrada 11 2 14" xfId="4065"/>
    <cellStyle name="Entrada 11 2 2" xfId="947"/>
    <cellStyle name="Entrada 11 2 3" xfId="1380"/>
    <cellStyle name="Entrada 11 2 4" xfId="1744"/>
    <cellStyle name="Entrada 11 2 5" xfId="2050"/>
    <cellStyle name="Entrada 11 2 6" xfId="2286"/>
    <cellStyle name="Entrada 11 2 7" xfId="1972"/>
    <cellStyle name="Entrada 11 2 8" xfId="2796"/>
    <cellStyle name="Entrada 11 2 9" xfId="3052"/>
    <cellStyle name="Entrada 11 3" xfId="667"/>
    <cellStyle name="Entrada 11 4" xfId="1515"/>
    <cellStyle name="Entrada 11 5" xfId="1569"/>
    <cellStyle name="Entrada 11 6" xfId="1596"/>
    <cellStyle name="Entrada 11 7" xfId="2006"/>
    <cellStyle name="Entrada 11 8" xfId="2470"/>
    <cellStyle name="Entrada 11 9" xfId="2366"/>
    <cellStyle name="Entrada 12" xfId="217"/>
    <cellStyle name="Entrada 12 10" xfId="2379"/>
    <cellStyle name="Entrada 12 11" xfId="2644"/>
    <cellStyle name="Entrada 12 12" xfId="2913"/>
    <cellStyle name="Entrada 12 13" xfId="2751"/>
    <cellStyle name="Entrada 12 14" xfId="3430"/>
    <cellStyle name="Entrada 12 15" xfId="3647"/>
    <cellStyle name="Entrada 12 2" xfId="364"/>
    <cellStyle name="Entrada 12 2 10" xfId="3299"/>
    <cellStyle name="Entrada 12 2 11" xfId="3006"/>
    <cellStyle name="Entrada 12 2 12" xfId="3749"/>
    <cellStyle name="Entrada 12 2 13" xfId="3936"/>
    <cellStyle name="Entrada 12 2 14" xfId="3823"/>
    <cellStyle name="Entrada 12 2 2" xfId="950"/>
    <cellStyle name="Entrada 12 2 3" xfId="1318"/>
    <cellStyle name="Entrada 12 2 4" xfId="1428"/>
    <cellStyle name="Entrada 12 2 5" xfId="479"/>
    <cellStyle name="Entrada 12 2 6" xfId="2289"/>
    <cellStyle name="Entrada 12 2 7" xfId="1573"/>
    <cellStyle name="Entrada 12 2 8" xfId="2799"/>
    <cellStyle name="Entrada 12 2 9" xfId="3055"/>
    <cellStyle name="Entrada 12 3" xfId="670"/>
    <cellStyle name="Entrada 12 4" xfId="1524"/>
    <cellStyle name="Entrada 12 5" xfId="1052"/>
    <cellStyle name="Entrada 12 6" xfId="1807"/>
    <cellStyle name="Entrada 12 7" xfId="1368"/>
    <cellStyle name="Entrada 12 8" xfId="1856"/>
    <cellStyle name="Entrada 12 9" xfId="2473"/>
    <cellStyle name="Entrada 13" xfId="192"/>
    <cellStyle name="Entrada 13 10" xfId="2200"/>
    <cellStyle name="Entrada 13 11" xfId="1879"/>
    <cellStyle name="Entrada 13 12" xfId="2148"/>
    <cellStyle name="Entrada 13 13" xfId="2749"/>
    <cellStyle name="Entrada 13 14" xfId="3594"/>
    <cellStyle name="Entrada 13 15" xfId="3826"/>
    <cellStyle name="Entrada 13 2" xfId="340"/>
    <cellStyle name="Entrada 13 2 10" xfId="3275"/>
    <cellStyle name="Entrada 13 2 11" xfId="3470"/>
    <cellStyle name="Entrada 13 2 12" xfId="3725"/>
    <cellStyle name="Entrada 13 2 13" xfId="3912"/>
    <cellStyle name="Entrada 13 2 14" xfId="4061"/>
    <cellStyle name="Entrada 13 2 2" xfId="926"/>
    <cellStyle name="Entrada 13 2 3" xfId="754"/>
    <cellStyle name="Entrada 13 2 4" xfId="1739"/>
    <cellStyle name="Entrada 13 2 5" xfId="1776"/>
    <cellStyle name="Entrada 13 2 6" xfId="2265"/>
    <cellStyle name="Entrada 13 2 7" xfId="2471"/>
    <cellStyle name="Entrada 13 2 8" xfId="2775"/>
    <cellStyle name="Entrada 13 2 9" xfId="3031"/>
    <cellStyle name="Entrada 13 3" xfId="645"/>
    <cellStyle name="Entrada 13 4" xfId="1469"/>
    <cellStyle name="Entrada 13 5" xfId="1110"/>
    <cellStyle name="Entrada 13 6" xfId="2104"/>
    <cellStyle name="Entrada 13 7" xfId="2086"/>
    <cellStyle name="Entrada 13 8" xfId="1203"/>
    <cellStyle name="Entrada 13 9" xfId="2446"/>
    <cellStyle name="Entrada 14" xfId="216"/>
    <cellStyle name="Entrada 14 10" xfId="2715"/>
    <cellStyle name="Entrada 14 11" xfId="2970"/>
    <cellStyle name="Entrada 14 12" xfId="3390"/>
    <cellStyle name="Entrada 14 13" xfId="3514"/>
    <cellStyle name="Entrada 14 14" xfId="3672"/>
    <cellStyle name="Entrada 14 15" xfId="4060"/>
    <cellStyle name="Entrada 14 2" xfId="363"/>
    <cellStyle name="Entrada 14 2 10" xfId="3298"/>
    <cellStyle name="Entrada 14 2 11" xfId="2205"/>
    <cellStyle name="Entrada 14 2 12" xfId="3748"/>
    <cellStyle name="Entrada 14 2 13" xfId="3935"/>
    <cellStyle name="Entrada 14 2 14" xfId="3372"/>
    <cellStyle name="Entrada 14 2 2" xfId="949"/>
    <cellStyle name="Entrada 14 2 3" xfId="1263"/>
    <cellStyle name="Entrada 14 2 4" xfId="1341"/>
    <cellStyle name="Entrada 14 2 5" xfId="1555"/>
    <cellStyle name="Entrada 14 2 6" xfId="2288"/>
    <cellStyle name="Entrada 14 2 7" xfId="2426"/>
    <cellStyle name="Entrada 14 2 8" xfId="2798"/>
    <cellStyle name="Entrada 14 2 9" xfId="3054"/>
    <cellStyle name="Entrada 14 3" xfId="669"/>
    <cellStyle name="Entrada 14 4" xfId="1099"/>
    <cellStyle name="Entrada 14 5" xfId="1738"/>
    <cellStyle name="Entrada 14 6" xfId="1262"/>
    <cellStyle name="Entrada 14 7" xfId="2073"/>
    <cellStyle name="Entrada 14 8" xfId="1612"/>
    <cellStyle name="Entrada 14 9" xfId="2522"/>
    <cellStyle name="Entrada 15" xfId="193"/>
    <cellStyle name="Entrada 15 10" xfId="2725"/>
    <cellStyle name="Entrada 15 11" xfId="2980"/>
    <cellStyle name="Entrada 15 12" xfId="3565"/>
    <cellStyle name="Entrada 15 13" xfId="3600"/>
    <cellStyle name="Entrada 15 14" xfId="3682"/>
    <cellStyle name="Entrada 15 15" xfId="2927"/>
    <cellStyle name="Entrada 15 2" xfId="341"/>
    <cellStyle name="Entrada 15 2 10" xfId="3276"/>
    <cellStyle name="Entrada 15 2 11" xfId="3150"/>
    <cellStyle name="Entrada 15 2 12" xfId="3726"/>
    <cellStyle name="Entrada 15 2 13" xfId="3913"/>
    <cellStyle name="Entrada 15 2 14" xfId="3140"/>
    <cellStyle name="Entrada 15 2 2" xfId="927"/>
    <cellStyle name="Entrada 15 2 3" xfId="1223"/>
    <cellStyle name="Entrada 15 2 4" xfId="1398"/>
    <cellStyle name="Entrada 15 2 5" xfId="1803"/>
    <cellStyle name="Entrada 15 2 6" xfId="2266"/>
    <cellStyle name="Entrada 15 2 7" xfId="2552"/>
    <cellStyle name="Entrada 15 2 8" xfId="2776"/>
    <cellStyle name="Entrada 15 2 9" xfId="3032"/>
    <cellStyle name="Entrada 15 3" xfId="646"/>
    <cellStyle name="Entrada 15 4" xfId="1149"/>
    <cellStyle name="Entrada 15 5" xfId="1536"/>
    <cellStyle name="Entrada 15 6" xfId="1998"/>
    <cellStyle name="Entrada 15 7" xfId="1831"/>
    <cellStyle name="Entrada 15 8" xfId="2195"/>
    <cellStyle name="Entrada 15 9" xfId="2192"/>
    <cellStyle name="Entrada 16" xfId="256"/>
    <cellStyle name="Entrada 16 10" xfId="2442"/>
    <cellStyle name="Entrada 16 11" xfId="2046"/>
    <cellStyle name="Entrada 16 12" xfId="3407"/>
    <cellStyle name="Entrada 16 13" xfId="3556"/>
    <cellStyle name="Entrada 16 14" xfId="3219"/>
    <cellStyle name="Entrada 16 15" xfId="3825"/>
    <cellStyle name="Entrada 16 2" xfId="402"/>
    <cellStyle name="Entrada 16 2 10" xfId="3338"/>
    <cellStyle name="Entrada 16 2 11" xfId="3384"/>
    <cellStyle name="Entrada 16 2 12" xfId="3788"/>
    <cellStyle name="Entrada 16 2 13" xfId="3975"/>
    <cellStyle name="Entrada 16 2 14" xfId="4129"/>
    <cellStyle name="Entrada 16 2 2" xfId="989"/>
    <cellStyle name="Entrada 16 2 3" xfId="1593"/>
    <cellStyle name="Entrada 16 2 4" xfId="1855"/>
    <cellStyle name="Entrada 16 2 5" xfId="1961"/>
    <cellStyle name="Entrada 16 2 6" xfId="2328"/>
    <cellStyle name="Entrada 16 2 7" xfId="2026"/>
    <cellStyle name="Entrada 16 2 8" xfId="2838"/>
    <cellStyle name="Entrada 16 2 9" xfId="3094"/>
    <cellStyle name="Entrada 16 3" xfId="709"/>
    <cellStyle name="Entrada 16 4" xfId="1304"/>
    <cellStyle name="Entrada 16 5" xfId="1454"/>
    <cellStyle name="Entrada 16 6" xfId="1717"/>
    <cellStyle name="Entrada 16 7" xfId="1477"/>
    <cellStyle name="Entrada 16 8" xfId="1620"/>
    <cellStyle name="Entrada 16 9" xfId="2603"/>
    <cellStyle name="Entrada 17" xfId="247"/>
    <cellStyle name="Entrada 17 10" xfId="2467"/>
    <cellStyle name="Entrada 17 11" xfId="2646"/>
    <cellStyle name="Entrada 17 12" xfId="3127"/>
    <cellStyle name="Entrada 17 13" xfId="3591"/>
    <cellStyle name="Entrada 17 14" xfId="3601"/>
    <cellStyle name="Entrada 17 15" xfId="3855"/>
    <cellStyle name="Entrada 17 2" xfId="393"/>
    <cellStyle name="Entrada 17 2 10" xfId="3329"/>
    <cellStyle name="Entrada 17 2 11" xfId="2666"/>
    <cellStyle name="Entrada 17 2 12" xfId="3779"/>
    <cellStyle name="Entrada 17 2 13" xfId="3966"/>
    <cellStyle name="Entrada 17 2 14" xfId="4059"/>
    <cellStyle name="Entrada 17 2 2" xfId="980"/>
    <cellStyle name="Entrada 17 2 3" xfId="1384"/>
    <cellStyle name="Entrada 17 2 4" xfId="1733"/>
    <cellStyle name="Entrada 17 2 5" xfId="1757"/>
    <cellStyle name="Entrada 17 2 6" xfId="2319"/>
    <cellStyle name="Entrada 17 2 7" xfId="2385"/>
    <cellStyle name="Entrada 17 2 8" xfId="2829"/>
    <cellStyle name="Entrada 17 2 9" xfId="3085"/>
    <cellStyle name="Entrada 17 3" xfId="700"/>
    <cellStyle name="Entrada 17 4" xfId="1414"/>
    <cellStyle name="Entrada 17 5" xfId="1417"/>
    <cellStyle name="Entrada 17 6" xfId="1963"/>
    <cellStyle name="Entrada 17 7" xfId="1431"/>
    <cellStyle name="Entrada 17 8" xfId="2450"/>
    <cellStyle name="Entrada 17 9" xfId="2628"/>
    <cellStyle name="Entrada 18" xfId="257"/>
    <cellStyle name="Entrada 18 10" xfId="2701"/>
    <cellStyle name="Entrada 18 11" xfId="2956"/>
    <cellStyle name="Entrada 18 12" xfId="3406"/>
    <cellStyle name="Entrada 18 13" xfId="3480"/>
    <cellStyle name="Entrada 18 14" xfId="3658"/>
    <cellStyle name="Entrada 18 15" xfId="4096"/>
    <cellStyle name="Entrada 18 2" xfId="403"/>
    <cellStyle name="Entrada 18 2 10" xfId="3339"/>
    <cellStyle name="Entrada 18 2 11" xfId="3450"/>
    <cellStyle name="Entrada 18 2 12" xfId="3789"/>
    <cellStyle name="Entrada 18 2 13" xfId="3976"/>
    <cellStyle name="Entrada 18 2 14" xfId="3207"/>
    <cellStyle name="Entrada 18 2 2" xfId="990"/>
    <cellStyle name="Entrada 18 2 3" xfId="1460"/>
    <cellStyle name="Entrada 18 2 4" xfId="1468"/>
    <cellStyle name="Entrada 18 2 5" xfId="1121"/>
    <cellStyle name="Entrada 18 2 6" xfId="2329"/>
    <cellStyle name="Entrada 18 2 7" xfId="1980"/>
    <cellStyle name="Entrada 18 2 8" xfId="2839"/>
    <cellStyle name="Entrada 18 2 9" xfId="3095"/>
    <cellStyle name="Entrada 18 3" xfId="710"/>
    <cellStyle name="Entrada 18 4" xfId="493"/>
    <cellStyle name="Entrada 18 5" xfId="1795"/>
    <cellStyle name="Entrada 18 6" xfId="1516"/>
    <cellStyle name="Entrada 18 7" xfId="1760"/>
    <cellStyle name="Entrada 18 8" xfId="1903"/>
    <cellStyle name="Entrada 18 9" xfId="2439"/>
    <cellStyle name="Entrada 19" xfId="270"/>
    <cellStyle name="Entrada 19 10" xfId="2520"/>
    <cellStyle name="Entrada 19 11" xfId="1823"/>
    <cellStyle name="Entrada 19 12" xfId="3397"/>
    <cellStyle name="Entrada 19 13" xfId="3509"/>
    <cellStyle name="Entrada 19 14" xfId="2681"/>
    <cellStyle name="Entrada 19 15" xfId="3839"/>
    <cellStyle name="Entrada 19 2" xfId="414"/>
    <cellStyle name="Entrada 19 2 10" xfId="3352"/>
    <cellStyle name="Entrada 19 2 11" xfId="3444"/>
    <cellStyle name="Entrada 19 2 12" xfId="3802"/>
    <cellStyle name="Entrada 19 2 13" xfId="3989"/>
    <cellStyle name="Entrada 19 2 14" xfId="3840"/>
    <cellStyle name="Entrada 19 2 2" xfId="1003"/>
    <cellStyle name="Entrada 19 2 3" xfId="1065"/>
    <cellStyle name="Entrada 19 2 4" xfId="1548"/>
    <cellStyle name="Entrada 19 2 5" xfId="1285"/>
    <cellStyle name="Entrada 19 2 6" xfId="2342"/>
    <cellStyle name="Entrada 19 2 7" xfId="1610"/>
    <cellStyle name="Entrada 19 2 8" xfId="2852"/>
    <cellStyle name="Entrada 19 2 9" xfId="3108"/>
    <cellStyle name="Entrada 19 3" xfId="723"/>
    <cellStyle name="Entrada 19 4" xfId="1064"/>
    <cellStyle name="Entrada 19 5" xfId="1213"/>
    <cellStyle name="Entrada 19 6" xfId="2017"/>
    <cellStyle name="Entrada 19 7" xfId="1889"/>
    <cellStyle name="Entrada 19 8" xfId="2482"/>
    <cellStyle name="Entrada 19 9" xfId="2563"/>
    <cellStyle name="Entrada 2" xfId="158"/>
    <cellStyle name="Entrada 2 10" xfId="1835"/>
    <cellStyle name="Entrada 2 11" xfId="2572"/>
    <cellStyle name="Entrada 2 12" xfId="3506"/>
    <cellStyle name="Entrada 2 13" xfId="3606"/>
    <cellStyle name="Entrada 2 14" xfId="3586"/>
    <cellStyle name="Entrada 2 15" xfId="3630"/>
    <cellStyle name="Entrada 2 2" xfId="317"/>
    <cellStyle name="Entrada 2 2 10" xfId="3231"/>
    <cellStyle name="Entrada 2 2 11" xfId="2898"/>
    <cellStyle name="Entrada 2 2 12" xfId="3689"/>
    <cellStyle name="Entrada 2 2 13" xfId="3878"/>
    <cellStyle name="Entrada 2 2 14" xfId="4121"/>
    <cellStyle name="Entrada 2 2 2" xfId="880"/>
    <cellStyle name="Entrada 2 2 3" xfId="1584"/>
    <cellStyle name="Entrada 2 2 4" xfId="1846"/>
    <cellStyle name="Entrada 2 2 5" xfId="1805"/>
    <cellStyle name="Entrada 2 2 6" xfId="2219"/>
    <cellStyle name="Entrada 2 2 7" xfId="2159"/>
    <cellStyle name="Entrada 2 2 8" xfId="2732"/>
    <cellStyle name="Entrada 2 2 9" xfId="2987"/>
    <cellStyle name="Entrada 2 3" xfId="596"/>
    <cellStyle name="Entrada 2 4" xfId="1411"/>
    <cellStyle name="Entrada 2 5" xfId="1233"/>
    <cellStyle name="Entrada 2 6" xfId="1633"/>
    <cellStyle name="Entrada 2 7" xfId="1989"/>
    <cellStyle name="Entrada 2 8" xfId="1174"/>
    <cellStyle name="Entrada 2 9" xfId="2372"/>
    <cellStyle name="Entrada 20" xfId="252"/>
    <cellStyle name="Entrada 20 10" xfId="2703"/>
    <cellStyle name="Entrada 20 11" xfId="2958"/>
    <cellStyle name="Entrada 20 12" xfId="3408"/>
    <cellStyle name="Entrada 20 13" xfId="3179"/>
    <cellStyle name="Entrada 20 14" xfId="3660"/>
    <cellStyle name="Entrada 20 15" xfId="4099"/>
    <cellStyle name="Entrada 20 2" xfId="398"/>
    <cellStyle name="Entrada 20 2 10" xfId="3334"/>
    <cellStyle name="Entrada 20 2 11" xfId="2211"/>
    <cellStyle name="Entrada 20 2 12" xfId="3784"/>
    <cellStyle name="Entrada 20 2 13" xfId="3971"/>
    <cellStyle name="Entrada 20 2 14" xfId="3193"/>
    <cellStyle name="Entrada 20 2 2" xfId="985"/>
    <cellStyle name="Entrada 20 2 3" xfId="1522"/>
    <cellStyle name="Entrada 20 2 4" xfId="1295"/>
    <cellStyle name="Entrada 20 2 5" xfId="1335"/>
    <cellStyle name="Entrada 20 2 6" xfId="2324"/>
    <cellStyle name="Entrada 20 2 7" xfId="2150"/>
    <cellStyle name="Entrada 20 2 8" xfId="2834"/>
    <cellStyle name="Entrada 20 2 9" xfId="3090"/>
    <cellStyle name="Entrada 20 3" xfId="705"/>
    <cellStyle name="Entrada 20 4" xfId="459"/>
    <cellStyle name="Entrada 20 5" xfId="1804"/>
    <cellStyle name="Entrada 20 6" xfId="1476"/>
    <cellStyle name="Entrada 20 7" xfId="1917"/>
    <cellStyle name="Entrada 20 8" xfId="2378"/>
    <cellStyle name="Entrada 20 9" xfId="2608"/>
    <cellStyle name="Entrada 21" xfId="243"/>
    <cellStyle name="Entrada 21 10" xfId="1116"/>
    <cellStyle name="Entrada 21 11" xfId="2883"/>
    <cellStyle name="Entrada 21 12" xfId="3413"/>
    <cellStyle name="Entrada 21 13" xfId="3616"/>
    <cellStyle name="Entrada 21 14" xfId="3434"/>
    <cellStyle name="Entrada 21 15" xfId="3175"/>
    <cellStyle name="Entrada 21 2" xfId="389"/>
    <cellStyle name="Entrada 21 2 10" xfId="3325"/>
    <cellStyle name="Entrada 21 2 11" xfId="3159"/>
    <cellStyle name="Entrada 21 2 12" xfId="3775"/>
    <cellStyle name="Entrada 21 2 13" xfId="3962"/>
    <cellStyle name="Entrada 21 2 14" xfId="3701"/>
    <cellStyle name="Entrada 21 2 2" xfId="976"/>
    <cellStyle name="Entrada 21 2 3" xfId="1561"/>
    <cellStyle name="Entrada 21 2 4" xfId="1437"/>
    <cellStyle name="Entrada 21 2 5" xfId="1892"/>
    <cellStyle name="Entrada 21 2 6" xfId="2315"/>
    <cellStyle name="Entrada 21 2 7" xfId="2481"/>
    <cellStyle name="Entrada 21 2 8" xfId="2825"/>
    <cellStyle name="Entrada 21 2 9" xfId="3081"/>
    <cellStyle name="Entrada 21 3" xfId="696"/>
    <cellStyle name="Entrada 21 4" xfId="1543"/>
    <cellStyle name="Entrada 21 5" xfId="755"/>
    <cellStyle name="Entrada 21 6" xfId="1300"/>
    <cellStyle name="Entrada 21 7" xfId="1811"/>
    <cellStyle name="Entrada 21 8" xfId="1063"/>
    <cellStyle name="Entrada 21 9" xfId="1113"/>
    <cellStyle name="Entrada 22" xfId="254"/>
    <cellStyle name="Entrada 22 10" xfId="2702"/>
    <cellStyle name="Entrada 22 11" xfId="2957"/>
    <cellStyle name="Entrada 22 12" xfId="3191"/>
    <cellStyle name="Entrada 22 13" xfId="2992"/>
    <cellStyle name="Entrada 22 14" xfId="3659"/>
    <cellStyle name="Entrada 22 15" xfId="4046"/>
    <cellStyle name="Entrada 22 2" xfId="400"/>
    <cellStyle name="Entrada 22 2 10" xfId="3336"/>
    <cellStyle name="Entrada 22 2 11" xfId="3451"/>
    <cellStyle name="Entrada 22 2 12" xfId="3786"/>
    <cellStyle name="Entrada 22 2 13" xfId="3973"/>
    <cellStyle name="Entrada 22 2 14" xfId="3490"/>
    <cellStyle name="Entrada 22 2 2" xfId="987"/>
    <cellStyle name="Entrada 22 2 3" xfId="464"/>
    <cellStyle name="Entrada 22 2 4" xfId="1310"/>
    <cellStyle name="Entrada 22 2 5" xfId="1393"/>
    <cellStyle name="Entrada 22 2 6" xfId="2326"/>
    <cellStyle name="Entrada 22 2 7" xfId="2160"/>
    <cellStyle name="Entrada 22 2 8" xfId="2836"/>
    <cellStyle name="Entrada 22 2 9" xfId="3092"/>
    <cellStyle name="Entrada 22 3" xfId="707"/>
    <cellStyle name="Entrada 22 4" xfId="1111"/>
    <cellStyle name="Entrada 22 5" xfId="1703"/>
    <cellStyle name="Entrada 22 6" xfId="1705"/>
    <cellStyle name="Entrada 22 7" xfId="483"/>
    <cellStyle name="Entrada 22 8" xfId="2478"/>
    <cellStyle name="Entrada 22 9" xfId="2136"/>
    <cellStyle name="Entrada 23" xfId="265"/>
    <cellStyle name="Entrada 23 10" xfId="2699"/>
    <cellStyle name="Entrada 23 11" xfId="2954"/>
    <cellStyle name="Entrada 23 12" xfId="3402"/>
    <cellStyle name="Entrada 23 13" xfId="3241"/>
    <cellStyle name="Entrada 23 14" xfId="3656"/>
    <cellStyle name="Entrada 23 15" xfId="4107"/>
    <cellStyle name="Entrada 23 2" xfId="410"/>
    <cellStyle name="Entrada 23 2 10" xfId="3347"/>
    <cellStyle name="Entrada 23 2 11" xfId="3446"/>
    <cellStyle name="Entrada 23 2 12" xfId="3797"/>
    <cellStyle name="Entrada 23 2 13" xfId="3984"/>
    <cellStyle name="Entrada 23 2 14" xfId="2384"/>
    <cellStyle name="Entrada 23 2 2" xfId="998"/>
    <cellStyle name="Entrada 23 2 3" xfId="1179"/>
    <cellStyle name="Entrada 23 2 4" xfId="1455"/>
    <cellStyle name="Entrada 23 2 5" xfId="1751"/>
    <cellStyle name="Entrada 23 2 6" xfId="2337"/>
    <cellStyle name="Entrada 23 2 7" xfId="2230"/>
    <cellStyle name="Entrada 23 2 8" xfId="2847"/>
    <cellStyle name="Entrada 23 2 9" xfId="3103"/>
    <cellStyle name="Entrada 23 3" xfId="718"/>
    <cellStyle name="Entrada 23 4" xfId="1072"/>
    <cellStyle name="Entrada 23 5" xfId="1817"/>
    <cellStyle name="Entrada 23 6" xfId="1053"/>
    <cellStyle name="Entrada 23 7" xfId="1457"/>
    <cellStyle name="Entrada 23 8" xfId="2193"/>
    <cellStyle name="Entrada 23 9" xfId="2581"/>
    <cellStyle name="Entrada 24" xfId="276"/>
    <cellStyle name="Entrada 24 10" xfId="2388"/>
    <cellStyle name="Entrada 24 11" xfId="1257"/>
    <cellStyle name="Entrada 24 12" xfId="2915"/>
    <cellStyle name="Entrada 24 13" xfId="2448"/>
    <cellStyle name="Entrada 24 14" xfId="3235"/>
    <cellStyle name="Entrada 24 15" xfId="3874"/>
    <cellStyle name="Entrada 24 2" xfId="1009"/>
    <cellStyle name="Entrada 24 2 10" xfId="2128"/>
    <cellStyle name="Entrada 24 2 11" xfId="3808"/>
    <cellStyle name="Entrada 24 2 12" xfId="3995"/>
    <cellStyle name="Entrada 24 2 13" xfId="3221"/>
    <cellStyle name="Entrada 24 2 2" xfId="1243"/>
    <cellStyle name="Entrada 24 2 3" xfId="451"/>
    <cellStyle name="Entrada 24 2 4" xfId="1510"/>
    <cellStyle name="Entrada 24 2 5" xfId="2348"/>
    <cellStyle name="Entrada 24 2 6" xfId="2224"/>
    <cellStyle name="Entrada 24 2 7" xfId="2858"/>
    <cellStyle name="Entrada 24 2 8" xfId="3114"/>
    <cellStyle name="Entrada 24 2 9" xfId="3358"/>
    <cellStyle name="Entrada 24 3" xfId="729"/>
    <cellStyle name="Entrada 24 4" xfId="1302"/>
    <cellStyle name="Entrada 24 5" xfId="1340"/>
    <cellStyle name="Entrada 24 6" xfId="1890"/>
    <cellStyle name="Entrada 24 7" xfId="1866"/>
    <cellStyle name="Entrada 24 8" xfId="1079"/>
    <cellStyle name="Entrada 24 9" xfId="2214"/>
    <cellStyle name="Entrada 25" xfId="116"/>
    <cellStyle name="Entrada 25 10" xfId="2491"/>
    <cellStyle name="Entrada 25 11" xfId="2655"/>
    <cellStyle name="Entrada 25 12" xfId="3392"/>
    <cellStyle name="Entrada 25 13" xfId="3133"/>
    <cellStyle name="Entrada 25 14" xfId="3137"/>
    <cellStyle name="Entrada 25 15" xfId="4056"/>
    <cellStyle name="Entrada 25 2" xfId="285"/>
    <cellStyle name="Entrada 25 2 10" xfId="3367"/>
    <cellStyle name="Entrada 25 2 11" xfId="2942"/>
    <cellStyle name="Entrada 25 2 12" xfId="3816"/>
    <cellStyle name="Entrada 25 2 13" xfId="4004"/>
    <cellStyle name="Entrada 25 2 14" xfId="4115"/>
    <cellStyle name="Entrada 25 2 2" xfId="1018"/>
    <cellStyle name="Entrada 25 2 3" xfId="1565"/>
    <cellStyle name="Entrada 25 2 4" xfId="1827"/>
    <cellStyle name="Entrada 25 2 5" xfId="2038"/>
    <cellStyle name="Entrada 25 2 6" xfId="2357"/>
    <cellStyle name="Entrada 25 2 7" xfId="2155"/>
    <cellStyle name="Entrada 25 2 8" xfId="2867"/>
    <cellStyle name="Entrada 25 2 9" xfId="3123"/>
    <cellStyle name="Entrada 25 3" xfId="738"/>
    <cellStyle name="Entrada 25 4" xfId="1043"/>
    <cellStyle name="Entrada 25 5" xfId="1724"/>
    <cellStyle name="Entrada 25 6" xfId="1949"/>
    <cellStyle name="Entrada 25 7" xfId="2010"/>
    <cellStyle name="Entrada 25 8" xfId="2367"/>
    <cellStyle name="Entrada 25 9" xfId="1780"/>
    <cellStyle name="Entrada 26" xfId="527"/>
    <cellStyle name="Entrada 26 10" xfId="2690"/>
    <cellStyle name="Entrada 26 11" xfId="1171"/>
    <cellStyle name="Entrada 26 12" xfId="3637"/>
    <cellStyle name="Entrada 26 13" xfId="4073"/>
    <cellStyle name="Entrada 26 2" xfId="1092"/>
    <cellStyle name="Entrada 26 3" xfId="1754"/>
    <cellStyle name="Entrada 26 4" xfId="1637"/>
    <cellStyle name="Entrada 26 5" xfId="1137"/>
    <cellStyle name="Entrada 26 6" xfId="2497"/>
    <cellStyle name="Entrada 26 7" xfId="2568"/>
    <cellStyle name="Entrada 26 8" xfId="2671"/>
    <cellStyle name="Entrada 26 9" xfId="2924"/>
    <cellStyle name="Entrada 27" xfId="822"/>
    <cellStyle name="Entrada 27 10" xfId="3535"/>
    <cellStyle name="Entrada 27 11" xfId="3642"/>
    <cellStyle name="Entrada 27 12" xfId="3844"/>
    <cellStyle name="Entrada 27 13" xfId="4009"/>
    <cellStyle name="Entrada 27 2" xfId="1140"/>
    <cellStyle name="Entrada 27 3" xfId="495"/>
    <cellStyle name="Entrada 27 4" xfId="1286"/>
    <cellStyle name="Entrada 27 5" xfId="2163"/>
    <cellStyle name="Entrada 27 6" xfId="2562"/>
    <cellStyle name="Entrada 27 7" xfId="2676"/>
    <cellStyle name="Entrada 27 8" xfId="2929"/>
    <cellStyle name="Entrada 27 9" xfId="3182"/>
    <cellStyle name="Entrada 3" xfId="187"/>
    <cellStyle name="Entrada 3 10" xfId="2622"/>
    <cellStyle name="Entrada 3 11" xfId="2423"/>
    <cellStyle name="Entrada 3 12" xfId="3492"/>
    <cellStyle name="Entrada 3 13" xfId="3214"/>
    <cellStyle name="Entrada 3 14" xfId="3494"/>
    <cellStyle name="Entrada 3 15" xfId="4098"/>
    <cellStyle name="Entrada 3 2" xfId="335"/>
    <cellStyle name="Entrada 3 2 10" xfId="3270"/>
    <cellStyle name="Entrada 3 2 11" xfId="3148"/>
    <cellStyle name="Entrada 3 2 12" xfId="3720"/>
    <cellStyle name="Entrada 3 2 13" xfId="3907"/>
    <cellStyle name="Entrada 3 2 14" xfId="4105"/>
    <cellStyle name="Entrada 3 2 2" xfId="921"/>
    <cellStyle name="Entrada 3 2 3" xfId="1073"/>
    <cellStyle name="Entrada 3 2 4" xfId="1815"/>
    <cellStyle name="Entrada 3 2 5" xfId="1579"/>
    <cellStyle name="Entrada 3 2 6" xfId="2260"/>
    <cellStyle name="Entrada 3 2 7" xfId="2395"/>
    <cellStyle name="Entrada 3 2 8" xfId="2770"/>
    <cellStyle name="Entrada 3 2 9" xfId="3026"/>
    <cellStyle name="Entrada 3 3" xfId="640"/>
    <cellStyle name="Entrada 3 4" xfId="1361"/>
    <cellStyle name="Entrada 3 5" xfId="1801"/>
    <cellStyle name="Entrada 3 6" xfId="2080"/>
    <cellStyle name="Entrada 3 7" xfId="1734"/>
    <cellStyle name="Entrada 3 8" xfId="1936"/>
    <cellStyle name="Entrada 3 9" xfId="1273"/>
    <cellStyle name="Entrada 4" xfId="171"/>
    <cellStyle name="Entrada 4 10" xfId="2574"/>
    <cellStyle name="Entrada 4 11" xfId="2526"/>
    <cellStyle name="Entrada 4 12" xfId="3525"/>
    <cellStyle name="Entrada 4 13" xfId="2888"/>
    <cellStyle name="Entrada 4 14" xfId="3607"/>
    <cellStyle name="Entrada 4 15" xfId="3228"/>
    <cellStyle name="Entrada 4 2" xfId="319"/>
    <cellStyle name="Entrada 4 2 10" xfId="3254"/>
    <cellStyle name="Entrada 4 2 11" xfId="3512"/>
    <cellStyle name="Entrada 4 2 12" xfId="3704"/>
    <cellStyle name="Entrada 4 2 13" xfId="3891"/>
    <cellStyle name="Entrada 4 2 14" xfId="4034"/>
    <cellStyle name="Entrada 4 2 2" xfId="905"/>
    <cellStyle name="Entrada 4 2 3" xfId="1152"/>
    <cellStyle name="Entrada 4 2 4" xfId="1687"/>
    <cellStyle name="Entrada 4 2 5" xfId="1947"/>
    <cellStyle name="Entrada 4 2 6" xfId="2244"/>
    <cellStyle name="Entrada 4 2 7" xfId="1930"/>
    <cellStyle name="Entrada 4 2 8" xfId="2754"/>
    <cellStyle name="Entrada 4 2 9" xfId="3010"/>
    <cellStyle name="Entrada 4 3" xfId="624"/>
    <cellStyle name="Entrada 4 4" xfId="1209"/>
    <cellStyle name="Entrada 4 5" xfId="1227"/>
    <cellStyle name="Entrada 4 6" xfId="2103"/>
    <cellStyle name="Entrada 4 7" xfId="458"/>
    <cellStyle name="Entrada 4 8" xfId="2621"/>
    <cellStyle name="Entrada 4 9" xfId="2625"/>
    <cellStyle name="Entrada 5" xfId="185"/>
    <cellStyle name="Entrada 5 10" xfId="2595"/>
    <cellStyle name="Entrada 5 11" xfId="2597"/>
    <cellStyle name="Entrada 5 12" xfId="3589"/>
    <cellStyle name="Entrada 5 13" xfId="2738"/>
    <cellStyle name="Entrada 5 14" xfId="3393"/>
    <cellStyle name="Entrada 5 15" xfId="3833"/>
    <cellStyle name="Entrada 5 2" xfId="333"/>
    <cellStyle name="Entrada 5 2 10" xfId="3268"/>
    <cellStyle name="Entrada 5 2 11" xfId="3147"/>
    <cellStyle name="Entrada 5 2 12" xfId="3718"/>
    <cellStyle name="Entrada 5 2 13" xfId="3905"/>
    <cellStyle name="Entrada 5 2 14" xfId="3821"/>
    <cellStyle name="Entrada 5 2 2" xfId="919"/>
    <cellStyle name="Entrada 5 2 3" xfId="1268"/>
    <cellStyle name="Entrada 5 2 4" xfId="753"/>
    <cellStyle name="Entrada 5 2 5" xfId="2068"/>
    <cellStyle name="Entrada 5 2 6" xfId="2258"/>
    <cellStyle name="Entrada 5 2 7" xfId="2508"/>
    <cellStyle name="Entrada 5 2 8" xfId="2768"/>
    <cellStyle name="Entrada 5 2 9" xfId="3024"/>
    <cellStyle name="Entrada 5 3" xfId="638"/>
    <cellStyle name="Entrada 5 4" xfId="1463"/>
    <cellStyle name="Entrada 5 5" xfId="1403"/>
    <cellStyle name="Entrada 5 6" xfId="1857"/>
    <cellStyle name="Entrada 5 7" xfId="2115"/>
    <cellStyle name="Entrada 5 8" xfId="2414"/>
    <cellStyle name="Entrada 5 9" xfId="2216"/>
    <cellStyle name="Entrada 6" xfId="197"/>
    <cellStyle name="Entrada 6 10" xfId="2212"/>
    <cellStyle name="Entrada 6 11" xfId="2674"/>
    <cellStyle name="Entrada 6 12" xfId="3548"/>
    <cellStyle name="Entrada 6 13" xfId="1640"/>
    <cellStyle name="Entrada 6 14" xfId="3538"/>
    <cellStyle name="Entrada 6 15" xfId="4033"/>
    <cellStyle name="Entrada 6 2" xfId="345"/>
    <cellStyle name="Entrada 6 2 10" xfId="3280"/>
    <cellStyle name="Entrada 6 2 11" xfId="3468"/>
    <cellStyle name="Entrada 6 2 12" xfId="3730"/>
    <cellStyle name="Entrada 6 2 13" xfId="3917"/>
    <cellStyle name="Entrada 6 2 14" xfId="4070"/>
    <cellStyle name="Entrada 6 2 2" xfId="931"/>
    <cellStyle name="Entrada 6 2 3" xfId="1094"/>
    <cellStyle name="Entrada 6 2 4" xfId="1749"/>
    <cellStyle name="Entrada 6 2 5" xfId="2045"/>
    <cellStyle name="Entrada 6 2 6" xfId="2270"/>
    <cellStyle name="Entrada 6 2 7" xfId="2519"/>
    <cellStyle name="Entrada 6 2 8" xfId="2780"/>
    <cellStyle name="Entrada 6 2 9" xfId="3036"/>
    <cellStyle name="Entrada 6 3" xfId="650"/>
    <cellStyle name="Entrada 6 4" xfId="1114"/>
    <cellStyle name="Entrada 6 5" xfId="1673"/>
    <cellStyle name="Entrada 6 6" xfId="1517"/>
    <cellStyle name="Entrada 6 7" xfId="1940"/>
    <cellStyle name="Entrada 6 8" xfId="2533"/>
    <cellStyle name="Entrada 6 9" xfId="2398"/>
    <cellStyle name="Entrada 7" xfId="210"/>
    <cellStyle name="Entrada 7 10" xfId="2718"/>
    <cellStyle name="Entrada 7 11" xfId="2973"/>
    <cellStyle name="Entrada 7 12" xfId="3250"/>
    <cellStyle name="Entrada 7 13" xfId="2926"/>
    <cellStyle name="Entrada 7 14" xfId="3675"/>
    <cellStyle name="Entrada 7 15" xfId="4078"/>
    <cellStyle name="Entrada 7 2" xfId="357"/>
    <cellStyle name="Entrada 7 2 10" xfId="3292"/>
    <cellStyle name="Entrada 7 2 11" xfId="3465"/>
    <cellStyle name="Entrada 7 2 12" xfId="3742"/>
    <cellStyle name="Entrada 7 2 13" xfId="3929"/>
    <cellStyle name="Entrada 7 2 14" xfId="3695"/>
    <cellStyle name="Entrada 7 2 2" xfId="943"/>
    <cellStyle name="Entrada 7 2 3" xfId="1305"/>
    <cellStyle name="Entrada 7 2 4" xfId="1568"/>
    <cellStyle name="Entrada 7 2 5" xfId="1842"/>
    <cellStyle name="Entrada 7 2 6" xfId="2282"/>
    <cellStyle name="Entrada 7 2 7" xfId="2134"/>
    <cellStyle name="Entrada 7 2 8" xfId="2792"/>
    <cellStyle name="Entrada 7 2 9" xfId="3048"/>
    <cellStyle name="Entrada 7 3" xfId="663"/>
    <cellStyle name="Entrada 7 4" xfId="452"/>
    <cellStyle name="Entrada 7 5" xfId="1764"/>
    <cellStyle name="Entrada 7 6" xfId="2113"/>
    <cellStyle name="Entrada 7 7" xfId="1957"/>
    <cellStyle name="Entrada 7 8" xfId="2149"/>
    <cellStyle name="Entrada 7 9" xfId="2551"/>
    <cellStyle name="Entrada 8" xfId="190"/>
    <cellStyle name="Entrada 8 10" xfId="2726"/>
    <cellStyle name="Entrada 8 11" xfId="2981"/>
    <cellStyle name="Entrada 8 12" xfId="2750"/>
    <cellStyle name="Entrada 8 13" xfId="3199"/>
    <cellStyle name="Entrada 8 14" xfId="3683"/>
    <cellStyle name="Entrada 8 15" xfId="4018"/>
    <cellStyle name="Entrada 8 2" xfId="338"/>
    <cellStyle name="Entrada 8 2 10" xfId="3273"/>
    <cellStyle name="Entrada 8 2 11" xfId="3471"/>
    <cellStyle name="Entrada 8 2 12" xfId="3723"/>
    <cellStyle name="Entrada 8 2 13" xfId="3910"/>
    <cellStyle name="Entrada 8 2 14" xfId="3875"/>
    <cellStyle name="Entrada 8 2 2" xfId="924"/>
    <cellStyle name="Entrada 8 2 3" xfId="1346"/>
    <cellStyle name="Entrada 8 2 4" xfId="1407"/>
    <cellStyle name="Entrada 8 2 5" xfId="1858"/>
    <cellStyle name="Entrada 8 2 6" xfId="2263"/>
    <cellStyle name="Entrada 8 2 7" xfId="1400"/>
    <cellStyle name="Entrada 8 2 8" xfId="2773"/>
    <cellStyle name="Entrada 8 2 9" xfId="3029"/>
    <cellStyle name="Entrada 8 3" xfId="643"/>
    <cellStyle name="Entrada 8 4" xfId="1051"/>
    <cellStyle name="Entrada 8 5" xfId="1629"/>
    <cellStyle name="Entrada 8 6" xfId="1615"/>
    <cellStyle name="Entrada 8 7" xfId="1611"/>
    <cellStyle name="Entrada 8 8" xfId="2158"/>
    <cellStyle name="Entrada 8 9" xfId="1328"/>
    <cellStyle name="Entrada 9" xfId="213"/>
    <cellStyle name="Entrada 9 10" xfId="1293"/>
    <cellStyle name="Entrada 9 11" xfId="2643"/>
    <cellStyle name="Entrada 9 12" xfId="3619"/>
    <cellStyle name="Entrada 9 13" xfId="2663"/>
    <cellStyle name="Entrada 9 14" xfId="2141"/>
    <cellStyle name="Entrada 9 15" xfId="3835"/>
    <cellStyle name="Entrada 9 2" xfId="360"/>
    <cellStyle name="Entrada 9 2 10" xfId="3295"/>
    <cellStyle name="Entrada 9 2 11" xfId="2916"/>
    <cellStyle name="Entrada 9 2 12" xfId="3745"/>
    <cellStyle name="Entrada 9 2 13" xfId="3932"/>
    <cellStyle name="Entrada 9 2 14" xfId="4084"/>
    <cellStyle name="Entrada 9 2 2" xfId="946"/>
    <cellStyle name="Entrada 9 2 3" xfId="490"/>
    <cellStyle name="Entrada 9 2 4" xfId="1771"/>
    <cellStyle name="Entrada 9 2 5" xfId="2075"/>
    <cellStyle name="Entrada 9 2 6" xfId="2285"/>
    <cellStyle name="Entrada 9 2 7" xfId="1320"/>
    <cellStyle name="Entrada 9 2 8" xfId="2795"/>
    <cellStyle name="Entrada 9 2 9" xfId="3051"/>
    <cellStyle name="Entrada 9 3" xfId="666"/>
    <cellStyle name="Entrada 9 4" xfId="471"/>
    <cellStyle name="Entrada 9 5" xfId="1151"/>
    <cellStyle name="Entrada 9 6" xfId="1617"/>
    <cellStyle name="Entrada 9 7" xfId="1383"/>
    <cellStyle name="Entrada 9 8" xfId="2633"/>
    <cellStyle name="Entrada 9 9" xfId="2184"/>
    <cellStyle name="Excel Built-in Normal" xfId="57"/>
    <cellStyle name="Excel Built-in Normal 2" xfId="881"/>
    <cellStyle name="Excel Built-in Normal 3" xfId="597"/>
    <cellStyle name="Explanatory Text" xfId="58"/>
    <cellStyle name="Explanatory Text 2" xfId="882"/>
    <cellStyle name="Explanatory Text 3" xfId="598"/>
    <cellStyle name="Good" xfId="59"/>
    <cellStyle name="Good 2" xfId="883"/>
    <cellStyle name="Good 3" xfId="599"/>
    <cellStyle name="Heading 1" xfId="60"/>
    <cellStyle name="Heading 1 2" xfId="884"/>
    <cellStyle name="Heading 1 3" xfId="600"/>
    <cellStyle name="Heading 2" xfId="61"/>
    <cellStyle name="Heading 2 2" xfId="885"/>
    <cellStyle name="Heading 2 3" xfId="601"/>
    <cellStyle name="Heading 3" xfId="62"/>
    <cellStyle name="Heading 3 2" xfId="886"/>
    <cellStyle name="Heading 3 3" xfId="602"/>
    <cellStyle name="Heading 4" xfId="63"/>
    <cellStyle name="Heading 4 2" xfId="887"/>
    <cellStyle name="Heading 4 3" xfId="603"/>
    <cellStyle name="Hiperlink 2" xfId="528"/>
    <cellStyle name="Incorreto" xfId="64" builtinId="27" customBuiltin="1"/>
    <cellStyle name="Incorreto 2" xfId="159"/>
    <cellStyle name="Incorreto 2 2" xfId="888"/>
    <cellStyle name="Incorreto 2 3" xfId="604"/>
    <cellStyle name="Input" xfId="65"/>
    <cellStyle name="Input 10" xfId="2537"/>
    <cellStyle name="Input 11" xfId="1983"/>
    <cellStyle name="Input 12" xfId="2206"/>
    <cellStyle name="Input 13" xfId="2909"/>
    <cellStyle name="Input 14" xfId="2668"/>
    <cellStyle name="Input 15" xfId="3485"/>
    <cellStyle name="Input 16" xfId="3880"/>
    <cellStyle name="Input 2" xfId="286"/>
    <cellStyle name="Input 2 10" xfId="2692"/>
    <cellStyle name="Input 2 11" xfId="2947"/>
    <cellStyle name="Input 2 12" xfId="3253"/>
    <cellStyle name="Input 2 13" xfId="2734"/>
    <cellStyle name="Input 2 14" xfId="3649"/>
    <cellStyle name="Input 2 15" xfId="4055"/>
    <cellStyle name="Input 2 2" xfId="1019"/>
    <cellStyle name="Input 2 2 10" xfId="3440"/>
    <cellStyle name="Input 2 2 11" xfId="3817"/>
    <cellStyle name="Input 2 2 12" xfId="4005"/>
    <cellStyle name="Input 2 2 13" xfId="3575"/>
    <cellStyle name="Input 2 2 2" xfId="1429"/>
    <cellStyle name="Input 2 2 3" xfId="1296"/>
    <cellStyle name="Input 2 2 4" xfId="1794"/>
    <cellStyle name="Input 2 2 5" xfId="2358"/>
    <cellStyle name="Input 2 2 6" xfId="1802"/>
    <cellStyle name="Input 2 2 7" xfId="2868"/>
    <cellStyle name="Input 2 2 8" xfId="3124"/>
    <cellStyle name="Input 2 2 9" xfId="3368"/>
    <cellStyle name="Input 2 3" xfId="739"/>
    <cellStyle name="Input 2 4" xfId="752"/>
    <cellStyle name="Input 2 5" xfId="1723"/>
    <cellStyle name="Input 2 6" xfId="1529"/>
    <cellStyle name="Input 2 7" xfId="1735"/>
    <cellStyle name="Input 2 8" xfId="2241"/>
    <cellStyle name="Input 2 9" xfId="2567"/>
    <cellStyle name="Input 3" xfId="889"/>
    <cellStyle name="Input 3 10" xfId="3569"/>
    <cellStyle name="Input 3 11" xfId="3694"/>
    <cellStyle name="Input 3 12" xfId="3881"/>
    <cellStyle name="Input 3 13" xfId="3588"/>
    <cellStyle name="Input 3 2" xfId="1287"/>
    <cellStyle name="Input 3 3" xfId="1350"/>
    <cellStyle name="Input 3 4" xfId="1969"/>
    <cellStyle name="Input 3 5" xfId="2228"/>
    <cellStyle name="Input 3 6" xfId="1727"/>
    <cellStyle name="Input 3 7" xfId="2740"/>
    <cellStyle name="Input 3 8" xfId="2994"/>
    <cellStyle name="Input 3 9" xfId="3239"/>
    <cellStyle name="Input 4" xfId="605"/>
    <cellStyle name="Input 5" xfId="1420"/>
    <cellStyle name="Input 6" xfId="1399"/>
    <cellStyle name="Input 7" xfId="1991"/>
    <cellStyle name="Input 8" xfId="1660"/>
    <cellStyle name="Input 9" xfId="2419"/>
    <cellStyle name="Linked Cell" xfId="66"/>
    <cellStyle name="Linked Cell 2" xfId="890"/>
    <cellStyle name="Linked Cell 3" xfId="606"/>
    <cellStyle name="Moeda 2" xfId="67"/>
    <cellStyle name="Moeda 2 2" xfId="291"/>
    <cellStyle name="Moeda 2 3" xfId="290"/>
    <cellStyle name="Moeda 3" xfId="117"/>
    <cellStyle name="Moeda 3 2" xfId="293"/>
    <cellStyle name="Moeda 3 2 2" xfId="426"/>
    <cellStyle name="Moeda 3 2 2 2" xfId="1024"/>
    <cellStyle name="Moeda 3 2 3" xfId="438"/>
    <cellStyle name="Moeda 3 2 4" xfId="746"/>
    <cellStyle name="Moeda 3 3" xfId="425"/>
    <cellStyle name="Moeda 3 3 2" xfId="1023"/>
    <cellStyle name="Moeda 3 4" xfId="437"/>
    <cellStyle name="Moeda 3 5" xfId="292"/>
    <cellStyle name="Moeda 3 6" xfId="745"/>
    <cellStyle name="Moeda_Composicao BDI v2.1" xfId="68"/>
    <cellStyle name="Neutra" xfId="69" builtinId="28" customBuiltin="1"/>
    <cellStyle name="Neutra 2" xfId="160"/>
    <cellStyle name="Neutra 2 2" xfId="891"/>
    <cellStyle name="Neutra 2 3" xfId="608"/>
    <cellStyle name="Neutral" xfId="70"/>
    <cellStyle name="Neutral 2" xfId="892"/>
    <cellStyle name="Neutral 3" xfId="609"/>
    <cellStyle name="Normal" xfId="0" builtinId="0"/>
    <cellStyle name="Normal 10" xfId="784"/>
    <cellStyle name="Normal 11" xfId="769"/>
    <cellStyle name="Normal 12" xfId="779"/>
    <cellStyle name="Normal 13" xfId="785"/>
    <cellStyle name="Normal 14" xfId="786"/>
    <cellStyle name="Normal 15" xfId="787"/>
    <cellStyle name="Normal 16" xfId="774"/>
    <cellStyle name="Normal 17" xfId="788"/>
    <cellStyle name="Normal 18" xfId="772"/>
    <cellStyle name="Normal 19" xfId="777"/>
    <cellStyle name="Normal 2" xfId="71"/>
    <cellStyle name="Normal 2 2" xfId="294"/>
    <cellStyle name="Normal 2 2 2" xfId="1025"/>
    <cellStyle name="Normal 2 2 3" xfId="747"/>
    <cellStyle name="Normal 2 3" xfId="529"/>
    <cellStyle name="Normal 20" xfId="776"/>
    <cellStyle name="Normal 21" xfId="789"/>
    <cellStyle name="Normal 22" xfId="790"/>
    <cellStyle name="Normal 23" xfId="791"/>
    <cellStyle name="Normal 24" xfId="792"/>
    <cellStyle name="Normal 25" xfId="793"/>
    <cellStyle name="Normal 26" xfId="794"/>
    <cellStyle name="Normal 27" xfId="795"/>
    <cellStyle name="Normal 28" xfId="796"/>
    <cellStyle name="Normal 29" xfId="797"/>
    <cellStyle name="Normal 3" xfId="118"/>
    <cellStyle name="Normal 3 2" xfId="295"/>
    <cellStyle name="Normal 3 2 2" xfId="427"/>
    <cellStyle name="Normal 3 2 2 2" xfId="1026"/>
    <cellStyle name="Normal 3 2 3" xfId="439"/>
    <cellStyle name="Normal 3 2 4" xfId="748"/>
    <cellStyle name="Normal 3 3" xfId="530"/>
    <cellStyle name="Normal 30" xfId="798"/>
    <cellStyle name="Normal 31" xfId="799"/>
    <cellStyle name="Normal 32" xfId="771"/>
    <cellStyle name="Normal 33" xfId="766"/>
    <cellStyle name="Normal 34" xfId="783"/>
    <cellStyle name="Normal 35" xfId="800"/>
    <cellStyle name="Normal 36" xfId="801"/>
    <cellStyle name="Normal 37" xfId="802"/>
    <cellStyle name="Normal 38" xfId="803"/>
    <cellStyle name="Normal 39" xfId="804"/>
    <cellStyle name="Normal 4" xfId="209"/>
    <cellStyle name="Normal 4 2" xfId="296"/>
    <cellStyle name="Normal 4 2 2" xfId="1027"/>
    <cellStyle name="Normal 4 2 3" xfId="749"/>
    <cellStyle name="Normal 4 3" xfId="662"/>
    <cellStyle name="Normal 40" xfId="805"/>
    <cellStyle name="Normal 41" xfId="806"/>
    <cellStyle name="Normal 42" xfId="807"/>
    <cellStyle name="Normal 43" xfId="808"/>
    <cellStyle name="Normal 44" xfId="809"/>
    <cellStyle name="Normal 45" xfId="810"/>
    <cellStyle name="Normal 46" xfId="811"/>
    <cellStyle name="Normal 47" xfId="812"/>
    <cellStyle name="Normal 48" xfId="813"/>
    <cellStyle name="Normal 49" xfId="814"/>
    <cellStyle name="Normal 5" xfId="289"/>
    <cellStyle name="Normal 5 2" xfId="1022"/>
    <cellStyle name="Normal 5 3" xfId="742"/>
    <cellStyle name="Normal 50" xfId="815"/>
    <cellStyle name="Normal 51" xfId="816"/>
    <cellStyle name="Normal 52" xfId="767"/>
    <cellStyle name="Normal 53" xfId="780"/>
    <cellStyle name="Normal 54" xfId="770"/>
    <cellStyle name="Normal 55" xfId="817"/>
    <cellStyle name="Normal 56" xfId="781"/>
    <cellStyle name="Normal 57" xfId="778"/>
    <cellStyle name="Normal 58" xfId="775"/>
    <cellStyle name="Normal 59" xfId="818"/>
    <cellStyle name="Normal 6" xfId="282"/>
    <cellStyle name="Normal 6 2" xfId="424"/>
    <cellStyle name="Normal 6 3" xfId="735"/>
    <cellStyle name="Normal 60" xfId="819"/>
    <cellStyle name="Normal 61" xfId="820"/>
    <cellStyle name="Normal 62" xfId="773"/>
    <cellStyle name="Normal 63" xfId="782"/>
    <cellStyle name="Normal 64" xfId="768"/>
    <cellStyle name="Normal 7" xfId="315"/>
    <cellStyle name="Normal 7 2" xfId="449"/>
    <cellStyle name="Normal 7 3" xfId="765"/>
    <cellStyle name="Normal 8" xfId="498"/>
    <cellStyle name="Normal 9" xfId="541"/>
    <cellStyle name="Normal_FICHA DE VERIFICAÇÃO PRELIMINAR - Plano R" xfId="72"/>
    <cellStyle name="Nota" xfId="73" builtinId="10" customBuiltin="1"/>
    <cellStyle name="Nota 10" xfId="222"/>
    <cellStyle name="Nota 10 10" xfId="2511"/>
    <cellStyle name="Nota 10 11" xfId="2425"/>
    <cellStyle name="Nota 10 12" xfId="3426"/>
    <cellStyle name="Nota 10 13" xfId="3201"/>
    <cellStyle name="Nota 10 14" xfId="3226"/>
    <cellStyle name="Nota 10 15" xfId="4083"/>
    <cellStyle name="Nota 10 2" xfId="369"/>
    <cellStyle name="Nota 10 2 10" xfId="3304"/>
    <cellStyle name="Nota 10 2 11" xfId="3151"/>
    <cellStyle name="Nota 10 2 12" xfId="3754"/>
    <cellStyle name="Nota 10 2 13" xfId="3941"/>
    <cellStyle name="Nota 10 2 14" xfId="3617"/>
    <cellStyle name="Nota 10 2 2" xfId="955"/>
    <cellStyle name="Nota 10 2 3" xfId="1131"/>
    <cellStyle name="Nota 10 2 4" xfId="1284"/>
    <cellStyle name="Nota 10 2 5" xfId="1488"/>
    <cellStyle name="Nota 10 2 6" xfId="2294"/>
    <cellStyle name="Nota 10 2 7" xfId="2124"/>
    <cellStyle name="Nota 10 2 8" xfId="2804"/>
    <cellStyle name="Nota 10 2 9" xfId="3060"/>
    <cellStyle name="Nota 10 3" xfId="675"/>
    <cellStyle name="Nota 10 4" xfId="1372"/>
    <cellStyle name="Nota 10 5" xfId="1769"/>
    <cellStyle name="Nota 10 6" xfId="1570"/>
    <cellStyle name="Nota 10 7" xfId="1718"/>
    <cellStyle name="Nota 10 8" xfId="2177"/>
    <cellStyle name="Nota 10 9" xfId="2405"/>
    <cellStyle name="Nota 11" xfId="179"/>
    <cellStyle name="Nota 11 10" xfId="2487"/>
    <cellStyle name="Nota 11 11" xfId="2872"/>
    <cellStyle name="Nota 11 12" xfId="3559"/>
    <cellStyle name="Nota 11 13" xfId="3213"/>
    <cellStyle name="Nota 11 14" xfId="3439"/>
    <cellStyle name="Nota 11 15" xfId="4030"/>
    <cellStyle name="Nota 11 2" xfId="327"/>
    <cellStyle name="Nota 11 2 10" xfId="3262"/>
    <cellStyle name="Nota 11 2 11" xfId="3476"/>
    <cellStyle name="Nota 11 2 12" xfId="3712"/>
    <cellStyle name="Nota 11 2 13" xfId="3899"/>
    <cellStyle name="Nota 11 2 14" xfId="4068"/>
    <cellStyle name="Nota 11 2 2" xfId="913"/>
    <cellStyle name="Nota 11 2 3" xfId="1095"/>
    <cellStyle name="Nota 11 2 4" xfId="1747"/>
    <cellStyle name="Nota 11 2 5" xfId="476"/>
    <cellStyle name="Nota 11 2 6" xfId="2252"/>
    <cellStyle name="Nota 11 2 7" xfId="2600"/>
    <cellStyle name="Nota 11 2 8" xfId="2762"/>
    <cellStyle name="Nota 11 2 9" xfId="3018"/>
    <cellStyle name="Nota 11 3" xfId="632"/>
    <cellStyle name="Nota 11 4" xfId="1508"/>
    <cellStyle name="Nota 11 5" xfId="1668"/>
    <cellStyle name="Nota 11 6" xfId="1800"/>
    <cellStyle name="Nota 11 7" xfId="2069"/>
    <cellStyle name="Nota 11 8" xfId="2196"/>
    <cellStyle name="Nota 11 9" xfId="1085"/>
    <cellStyle name="Nota 12" xfId="202"/>
    <cellStyle name="Nota 12 10" xfId="2492"/>
    <cellStyle name="Nota 12 11" xfId="2638"/>
    <cellStyle name="Nota 12 12" xfId="3136"/>
    <cellStyle name="Nota 12 13" xfId="2033"/>
    <cellStyle name="Nota 12 14" xfId="3513"/>
    <cellStyle name="Nota 12 15" xfId="4022"/>
    <cellStyle name="Nota 12 2" xfId="350"/>
    <cellStyle name="Nota 12 2 10" xfId="3285"/>
    <cellStyle name="Nota 12 2 11" xfId="1836"/>
    <cellStyle name="Nota 12 2 12" xfId="3735"/>
    <cellStyle name="Nota 12 2 13" xfId="3922"/>
    <cellStyle name="Nota 12 2 14" xfId="4113"/>
    <cellStyle name="Nota 12 2 2" xfId="936"/>
    <cellStyle name="Nota 12 2 3" xfId="1563"/>
    <cellStyle name="Nota 12 2 4" xfId="1825"/>
    <cellStyle name="Nota 12 2 5" xfId="1231"/>
    <cellStyle name="Nota 12 2 6" xfId="2275"/>
    <cellStyle name="Nota 12 2 7" xfId="2186"/>
    <cellStyle name="Nota 12 2 8" xfId="2785"/>
    <cellStyle name="Nota 12 2 9" xfId="3041"/>
    <cellStyle name="Nota 12 3" xfId="655"/>
    <cellStyle name="Nota 12 4" xfId="1037"/>
    <cellStyle name="Nota 12 5" xfId="1636"/>
    <cellStyle name="Nota 12 6" xfId="1864"/>
    <cellStyle name="Nota 12 7" xfId="1945"/>
    <cellStyle name="Nota 12 8" xfId="1905"/>
    <cellStyle name="Nota 12 9" xfId="2365"/>
    <cellStyle name="Nota 13" xfId="231"/>
    <cellStyle name="Nota 13 10" xfId="1886"/>
    <cellStyle name="Nota 13 11" xfId="2882"/>
    <cellStyle name="Nota 13 12" xfId="3423"/>
    <cellStyle name="Nota 13 13" xfId="3615"/>
    <cellStyle name="Nota 13 14" xfId="3167"/>
    <cellStyle name="Nota 13 15" xfId="3866"/>
    <cellStyle name="Nota 13 2" xfId="378"/>
    <cellStyle name="Nota 13 2 10" xfId="3313"/>
    <cellStyle name="Nota 13 2 11" xfId="3457"/>
    <cellStyle name="Nota 13 2 12" xfId="3763"/>
    <cellStyle name="Nota 13 2 13" xfId="3950"/>
    <cellStyle name="Nota 13 2 14" xfId="3692"/>
    <cellStyle name="Nota 13 2 2" xfId="964"/>
    <cellStyle name="Nota 13 2 3" xfId="1443"/>
    <cellStyle name="Nota 13 2 4" xfId="1434"/>
    <cellStyle name="Nota 13 2 5" xfId="1650"/>
    <cellStyle name="Nota 13 2 6" xfId="2303"/>
    <cellStyle name="Nota 13 2 7" xfId="2536"/>
    <cellStyle name="Nota 13 2 8" xfId="2813"/>
    <cellStyle name="Nota 13 2 9" xfId="3069"/>
    <cellStyle name="Nota 13 3" xfId="684"/>
    <cellStyle name="Nota 13 4" xfId="1330"/>
    <cellStyle name="Nota 13 5" xfId="1490"/>
    <cellStyle name="Nota 13 6" xfId="2001"/>
    <cellStyle name="Nota 13 7" xfId="2095"/>
    <cellStyle name="Nota 13 8" xfId="2410"/>
    <cellStyle name="Nota 13 9" xfId="1696"/>
    <cellStyle name="Nota 14" xfId="174"/>
    <cellStyle name="Nota 14 10" xfId="2730"/>
    <cellStyle name="Nota 14 11" xfId="2985"/>
    <cellStyle name="Nota 14 12" xfId="1301"/>
    <cellStyle name="Nota 14 13" xfId="2901"/>
    <cellStyle name="Nota 14 14" xfId="3687"/>
    <cellStyle name="Nota 14 15" xfId="4094"/>
    <cellStyle name="Nota 14 2" xfId="322"/>
    <cellStyle name="Nota 14 2 10" xfId="3257"/>
    <cellStyle name="Nota 14 2 11" xfId="3477"/>
    <cellStyle name="Nota 14 2 12" xfId="3707"/>
    <cellStyle name="Nota 14 2 13" xfId="3894"/>
    <cellStyle name="Nota 14 2 14" xfId="3009"/>
    <cellStyle name="Nota 14 2 2" xfId="908"/>
    <cellStyle name="Nota 14 2 3" xfId="1297"/>
    <cellStyle name="Nota 14 2 4" xfId="1370"/>
    <cellStyle name="Nota 14 2 5" xfId="1185"/>
    <cellStyle name="Nota 14 2 6" xfId="2247"/>
    <cellStyle name="Nota 14 2 7" xfId="1604"/>
    <cellStyle name="Nota 14 2 8" xfId="2757"/>
    <cellStyle name="Nota 14 2 9" xfId="3013"/>
    <cellStyle name="Nota 14 3" xfId="627"/>
    <cellStyle name="Nota 14 4" xfId="492"/>
    <cellStyle name="Nota 14 5" xfId="1791"/>
    <cellStyle name="Nota 14 6" xfId="1906"/>
    <cellStyle name="Nota 14 7" xfId="2085"/>
    <cellStyle name="Nota 14 8" xfId="2460"/>
    <cellStyle name="Nota 14 9" xfId="2060"/>
    <cellStyle name="Nota 15" xfId="225"/>
    <cellStyle name="Nota 15 10" xfId="2712"/>
    <cellStyle name="Nota 15 11" xfId="2967"/>
    <cellStyle name="Nota 15 12" xfId="3389"/>
    <cellStyle name="Nota 15 13" xfId="2997"/>
    <cellStyle name="Nota 15 14" xfId="3669"/>
    <cellStyle name="Nota 15 15" xfId="3640"/>
    <cellStyle name="Nota 15 2" xfId="372"/>
    <cellStyle name="Nota 15 2 10" xfId="3307"/>
    <cellStyle name="Nota 15 2 11" xfId="3460"/>
    <cellStyle name="Nota 15 2 12" xfId="3757"/>
    <cellStyle name="Nota 15 2 13" xfId="3944"/>
    <cellStyle name="Nota 15 2 14" xfId="3842"/>
    <cellStyle name="Nota 15 2 2" xfId="958"/>
    <cellStyle name="Nota 15 2 3" xfId="1425"/>
    <cellStyle name="Nota 15 2 4" xfId="1198"/>
    <cellStyle name="Nota 15 2 5" xfId="1860"/>
    <cellStyle name="Nota 15 2 6" xfId="2297"/>
    <cellStyle name="Nota 15 2 7" xfId="1572"/>
    <cellStyle name="Nota 15 2 8" xfId="2807"/>
    <cellStyle name="Nota 15 2 9" xfId="3063"/>
    <cellStyle name="Nota 15 3" xfId="678"/>
    <cellStyle name="Nota 15 4" xfId="1343"/>
    <cellStyle name="Nota 15 5" xfId="1280"/>
    <cellStyle name="Nota 15 6" xfId="1935"/>
    <cellStyle name="Nota 15 7" xfId="1599"/>
    <cellStyle name="Nota 15 8" xfId="2517"/>
    <cellStyle name="Nota 15 9" xfId="2380"/>
    <cellStyle name="Nota 16" xfId="259"/>
    <cellStyle name="Nota 16 10" xfId="2557"/>
    <cellStyle name="Nota 16 11" xfId="2394"/>
    <cellStyle name="Nota 16 12" xfId="3609"/>
    <cellStyle name="Nota 16 13" xfId="2686"/>
    <cellStyle name="Nota 16 14" xfId="3602"/>
    <cellStyle name="Nota 16 15" xfId="4026"/>
    <cellStyle name="Nota 16 2" xfId="405"/>
    <cellStyle name="Nota 16 2 10" xfId="3341"/>
    <cellStyle name="Nota 16 2 11" xfId="3449"/>
    <cellStyle name="Nota 16 2 12" xfId="3791"/>
    <cellStyle name="Nota 16 2 13" xfId="3978"/>
    <cellStyle name="Nota 16 2 14" xfId="4040"/>
    <cellStyle name="Nota 16 2 2" xfId="992"/>
    <cellStyle name="Nota 16 2 3" xfId="1397"/>
    <cellStyle name="Nota 16 2 4" xfId="1694"/>
    <cellStyle name="Nota 16 2 5" xfId="1929"/>
    <cellStyle name="Nota 16 2 6" xfId="2331"/>
    <cellStyle name="Nota 16 2 7" xfId="2566"/>
    <cellStyle name="Nota 16 2 8" xfId="2841"/>
    <cellStyle name="Nota 16 2 9" xfId="3097"/>
    <cellStyle name="Nota 16 3" xfId="712"/>
    <cellStyle name="Nota 16 4" xfId="1166"/>
    <cellStyle name="Nota 16 5" xfId="1652"/>
    <cellStyle name="Nota 16 6" xfId="2023"/>
    <cellStyle name="Nota 16 7" xfId="1214"/>
    <cellStyle name="Nota 16 8" xfId="1683"/>
    <cellStyle name="Nota 16 9" xfId="2476"/>
    <cellStyle name="Nota 17" xfId="244"/>
    <cellStyle name="Nota 17 10" xfId="2707"/>
    <cellStyle name="Nota 17 11" xfId="2962"/>
    <cellStyle name="Nota 17 12" xfId="2894"/>
    <cellStyle name="Nota 17 13" xfId="3242"/>
    <cellStyle name="Nota 17 14" xfId="3664"/>
    <cellStyle name="Nota 17 15" xfId="3690"/>
    <cellStyle name="Nota 17 2" xfId="390"/>
    <cellStyle name="Nota 17 2 10" xfId="3326"/>
    <cellStyle name="Nota 17 2 11" xfId="2637"/>
    <cellStyle name="Nota 17 2 12" xfId="3776"/>
    <cellStyle name="Nota 17 2 13" xfId="3963"/>
    <cellStyle name="Nota 17 2 14" xfId="3620"/>
    <cellStyle name="Nota 17 2 2" xfId="977"/>
    <cellStyle name="Nota 17 2 3" xfId="1210"/>
    <cellStyle name="Nota 17 2 4" xfId="1104"/>
    <cellStyle name="Nota 17 2 5" xfId="1950"/>
    <cellStyle name="Nota 17 2 6" xfId="2316"/>
    <cellStyle name="Nota 17 2 7" xfId="1338"/>
    <cellStyle name="Nota 17 2 8" xfId="2826"/>
    <cellStyle name="Nota 17 2 9" xfId="3082"/>
    <cellStyle name="Nota 17 3" xfId="697"/>
    <cellStyle name="Nota 17 4" xfId="1191"/>
    <cellStyle name="Nota 17 5" xfId="1554"/>
    <cellStyle name="Nota 17 6" xfId="1535"/>
    <cellStyle name="Nota 17 7" xfId="2047"/>
    <cellStyle name="Nota 17 8" xfId="2052"/>
    <cellStyle name="Nota 17 9" xfId="2239"/>
    <cellStyle name="Nota 18" xfId="260"/>
    <cellStyle name="Nota 18 10" xfId="2521"/>
    <cellStyle name="Nota 18 11" xfId="2538"/>
    <cellStyle name="Nota 18 12" xfId="3138"/>
    <cellStyle name="Nota 18 13" xfId="3212"/>
    <cellStyle name="Nota 18 14" xfId="3505"/>
    <cellStyle name="Nota 18 15" xfId="2181"/>
    <cellStyle name="Nota 18 2" xfId="406"/>
    <cellStyle name="Nota 18 2 10" xfId="3342"/>
    <cellStyle name="Nota 18 2 11" xfId="3160"/>
    <cellStyle name="Nota 18 2 12" xfId="3792"/>
    <cellStyle name="Nota 18 2 13" xfId="3979"/>
    <cellStyle name="Nota 18 2 14" xfId="4058"/>
    <cellStyle name="Nota 18 2 2" xfId="993"/>
    <cellStyle name="Nota 18 2 3" xfId="486"/>
    <cellStyle name="Nota 18 2 4" xfId="1731"/>
    <cellStyle name="Nota 18 2 5" xfId="1812"/>
    <cellStyle name="Nota 18 2 6" xfId="2332"/>
    <cellStyle name="Nota 18 2 7" xfId="2599"/>
    <cellStyle name="Nota 18 2 8" xfId="2842"/>
    <cellStyle name="Nota 18 2 9" xfId="3098"/>
    <cellStyle name="Nota 18 3" xfId="713"/>
    <cellStyle name="Nota 18 4" xfId="1192"/>
    <cellStyle name="Nota 18 5" xfId="1146"/>
    <cellStyle name="Nota 18 6" xfId="1914"/>
    <cellStyle name="Nota 18 7" xfId="1881"/>
    <cellStyle name="Nota 18 8" xfId="2609"/>
    <cellStyle name="Nota 18 9" xfId="2509"/>
    <cellStyle name="Nota 19" xfId="240"/>
    <cellStyle name="Nota 19 10" xfId="1843"/>
    <cellStyle name="Nota 19 11" xfId="1878"/>
    <cellStyle name="Nota 19 12" xfId="3416"/>
    <cellStyle name="Nota 19 13" xfId="3135"/>
    <cellStyle name="Nota 19 14" xfId="3536"/>
    <cellStyle name="Nota 19 15" xfId="4097"/>
    <cellStyle name="Nota 19 2" xfId="387"/>
    <cellStyle name="Nota 19 2 10" xfId="3322"/>
    <cellStyle name="Nota 19 2 11" xfId="3377"/>
    <cellStyle name="Nota 19 2 12" xfId="3772"/>
    <cellStyle name="Nota 19 2 13" xfId="3959"/>
    <cellStyle name="Nota 19 2 14" xfId="4122"/>
    <cellStyle name="Nota 19 2 2" xfId="973"/>
    <cellStyle name="Nota 19 2 3" xfId="1586"/>
    <cellStyle name="Nota 19 2 4" xfId="1848"/>
    <cellStyle name="Nota 19 2 5" xfId="1130"/>
    <cellStyle name="Nota 19 2 6" xfId="2312"/>
    <cellStyle name="Nota 19 2 7" xfId="2605"/>
    <cellStyle name="Nota 19 2 8" xfId="2822"/>
    <cellStyle name="Nota 19 2 9" xfId="3078"/>
    <cellStyle name="Nota 19 3" xfId="693"/>
    <cellStyle name="Nota 19 4" xfId="494"/>
    <cellStyle name="Nota 19 5" xfId="1799"/>
    <cellStyle name="Nota 19 6" xfId="1996"/>
    <cellStyle name="Nota 19 7" xfId="2058"/>
    <cellStyle name="Nota 19 8" xfId="2402"/>
    <cellStyle name="Nota 19 9" xfId="2629"/>
    <cellStyle name="Nota 2" xfId="161"/>
    <cellStyle name="Nota 2 10" xfId="472"/>
    <cellStyle name="Nota 2 11" xfId="1421"/>
    <cellStyle name="Nota 2 12" xfId="1627"/>
    <cellStyle name="Nota 2 13" xfId="2553"/>
    <cellStyle name="Nota 2 14" xfId="2920"/>
    <cellStyle name="Nota 2 15" xfId="4048"/>
    <cellStyle name="Nota 2 2" xfId="893"/>
    <cellStyle name="Nota 2 2 10" xfId="3570"/>
    <cellStyle name="Nota 2 2 11" xfId="3697"/>
    <cellStyle name="Nota 2 2 12" xfId="3885"/>
    <cellStyle name="Nota 2 2 13" xfId="4010"/>
    <cellStyle name="Nota 2 2 2" xfId="1494"/>
    <cellStyle name="Nota 2 2 3" xfId="1532"/>
    <cellStyle name="Nota 2 2 4" xfId="1513"/>
    <cellStyle name="Nota 2 2 5" xfId="2232"/>
    <cellStyle name="Nota 2 2 6" xfId="2223"/>
    <cellStyle name="Nota 2 2 7" xfId="2744"/>
    <cellStyle name="Nota 2 2 8" xfId="2998"/>
    <cellStyle name="Nota 2 2 9" xfId="3243"/>
    <cellStyle name="Nota 2 3" xfId="610"/>
    <cellStyle name="Nota 2 4" xfId="1107"/>
    <cellStyle name="Nota 2 5" xfId="1711"/>
    <cellStyle name="Nota 2 6" xfId="1541"/>
    <cellStyle name="Nota 2 7" xfId="1938"/>
    <cellStyle name="Nota 2 8" xfId="2445"/>
    <cellStyle name="Nota 2 9" xfId="1619"/>
    <cellStyle name="Nota 20" xfId="271"/>
    <cellStyle name="Nota 20 10" xfId="2433"/>
    <cellStyle name="Nota 20 11" xfId="2236"/>
    <cellStyle name="Nota 20 12" xfId="3186"/>
    <cellStyle name="Nota 20 13" xfId="2912"/>
    <cellStyle name="Nota 20 14" xfId="3487"/>
    <cellStyle name="Nota 20 15" xfId="4064"/>
    <cellStyle name="Nota 20 2" xfId="415"/>
    <cellStyle name="Nota 20 2 10" xfId="3353"/>
    <cellStyle name="Nota 20 2 11" xfId="3162"/>
    <cellStyle name="Nota 20 2 12" xfId="3803"/>
    <cellStyle name="Nota 20 2 13" xfId="3990"/>
    <cellStyle name="Nota 20 2 14" xfId="3533"/>
    <cellStyle name="Nota 20 2 2" xfId="1004"/>
    <cellStyle name="Nota 20 2 3" xfId="1326"/>
    <cellStyle name="Nota 20 2 4" xfId="1218"/>
    <cellStyle name="Nota 20 2 5" xfId="1686"/>
    <cellStyle name="Nota 20 2 6" xfId="2343"/>
    <cellStyle name="Nota 20 2 7" xfId="1901"/>
    <cellStyle name="Nota 20 2 8" xfId="2853"/>
    <cellStyle name="Nota 20 2 9" xfId="3109"/>
    <cellStyle name="Nota 20 3" xfId="724"/>
    <cellStyle name="Nota 20 4" xfId="1097"/>
    <cellStyle name="Nota 20 5" xfId="1743"/>
    <cellStyle name="Nota 20 6" xfId="1290"/>
    <cellStyle name="Nota 20 7" xfId="1927"/>
    <cellStyle name="Nota 20 8" xfId="2371"/>
    <cellStyle name="Nota 20 9" xfId="2544"/>
    <cellStyle name="Nota 21" xfId="239"/>
    <cellStyle name="Nota 21 10" xfId="1681"/>
    <cellStyle name="Nota 21 11" xfId="1221"/>
    <cellStyle name="Nota 21 12" xfId="3417"/>
    <cellStyle name="Nota 21 13" xfId="2688"/>
    <cellStyle name="Nota 21 14" xfId="2936"/>
    <cellStyle name="Nota 21 15" xfId="3626"/>
    <cellStyle name="Nota 21 2" xfId="386"/>
    <cellStyle name="Nota 21 2 10" xfId="3321"/>
    <cellStyle name="Nota 21 2 11" xfId="3158"/>
    <cellStyle name="Nota 21 2 12" xfId="3771"/>
    <cellStyle name="Nota 21 2 13" xfId="3958"/>
    <cellStyle name="Nota 21 2 14" xfId="4025"/>
    <cellStyle name="Nota 21 2 2" xfId="972"/>
    <cellStyle name="Nota 21 2 3" xfId="1451"/>
    <cellStyle name="Nota 21 2 4" xfId="1645"/>
    <cellStyle name="Nota 21 2 5" xfId="2036"/>
    <cellStyle name="Nota 21 2 6" xfId="2311"/>
    <cellStyle name="Nota 21 2 7" xfId="2145"/>
    <cellStyle name="Nota 21 2 8" xfId="2821"/>
    <cellStyle name="Nota 21 2 9" xfId="3077"/>
    <cellStyle name="Nota 21 3" xfId="692"/>
    <cellStyle name="Nota 21 4" xfId="1314"/>
    <cellStyle name="Nota 21 5" xfId="1531"/>
    <cellStyle name="Nota 21 6" xfId="1358"/>
    <cellStyle name="Nota 21 7" xfId="2093"/>
    <cellStyle name="Nota 21 8" xfId="2534"/>
    <cellStyle name="Nota 21 9" xfId="1919"/>
    <cellStyle name="Nota 22" xfId="258"/>
    <cellStyle name="Nota 22 10" xfId="2501"/>
    <cellStyle name="Nota 22 11" xfId="2651"/>
    <cellStyle name="Nota 22 12" xfId="2188"/>
    <cellStyle name="Nota 22 13" xfId="3176"/>
    <cellStyle name="Nota 22 14" xfId="3203"/>
    <cellStyle name="Nota 22 15" xfId="4052"/>
    <cellStyle name="Nota 22 2" xfId="404"/>
    <cellStyle name="Nota 22 2 10" xfId="3340"/>
    <cellStyle name="Nota 22 2 11" xfId="1661"/>
    <cellStyle name="Nota 22 2 12" xfId="3790"/>
    <cellStyle name="Nota 22 2 13" xfId="3977"/>
    <cellStyle name="Nota 22 2 14" xfId="3876"/>
    <cellStyle name="Nota 22 2 2" xfId="991"/>
    <cellStyle name="Nota 22 2 3" xfId="1068"/>
    <cellStyle name="Nota 22 2 4" xfId="1119"/>
    <cellStyle name="Nota 22 2 5" xfId="1874"/>
    <cellStyle name="Nota 22 2 6" xfId="2330"/>
    <cellStyle name="Nota 22 2 7" xfId="2404"/>
    <cellStyle name="Nota 22 2 8" xfId="2840"/>
    <cellStyle name="Nota 22 2 9" xfId="3096"/>
    <cellStyle name="Nota 22 3" xfId="711"/>
    <cellStyle name="Nota 22 4" xfId="1044"/>
    <cellStyle name="Nota 22 5" xfId="1720"/>
    <cellStyle name="Nota 22 6" xfId="1087"/>
    <cellStyle name="Nota 22 7" xfId="1869"/>
    <cellStyle name="Nota 22 8" xfId="622"/>
    <cellStyle name="Nota 22 9" xfId="2623"/>
    <cellStyle name="Nota 23" xfId="238"/>
    <cellStyle name="Nota 23 10" xfId="2516"/>
    <cellStyle name="Nota 23 11" xfId="2032"/>
    <cellStyle name="Nota 23 12" xfId="3418"/>
    <cellStyle name="Nota 23 13" xfId="3204"/>
    <cellStyle name="Nota 23 14" xfId="3173"/>
    <cellStyle name="Nota 23 15" xfId="4101"/>
    <cellStyle name="Nota 23 2" xfId="385"/>
    <cellStyle name="Nota 23 2 10" xfId="3320"/>
    <cellStyle name="Nota 23 2 11" xfId="3455"/>
    <cellStyle name="Nota 23 2 12" xfId="3770"/>
    <cellStyle name="Nota 23 2 13" xfId="3957"/>
    <cellStyle name="Nota 23 2 14" xfId="3596"/>
    <cellStyle name="Nota 23 2 2" xfId="971"/>
    <cellStyle name="Nota 23 2 3" xfId="463"/>
    <cellStyle name="Nota 23 2 4" xfId="1558"/>
    <cellStyle name="Nota 23 2 5" xfId="2091"/>
    <cellStyle name="Nota 23 2 6" xfId="2310"/>
    <cellStyle name="Nota 23 2 7" xfId="2431"/>
    <cellStyle name="Nota 23 2 8" xfId="2820"/>
    <cellStyle name="Nota 23 2 9" xfId="3076"/>
    <cellStyle name="Nota 23 3" xfId="691"/>
    <cellStyle name="Nota 23 4" xfId="460"/>
    <cellStyle name="Nota 23 5" xfId="1808"/>
    <cellStyle name="Nota 23 6" xfId="2117"/>
    <cellStyle name="Nota 23 7" xfId="1255"/>
    <cellStyle name="Nota 23 8" xfId="1557"/>
    <cellStyle name="Nota 23 9" xfId="2591"/>
    <cellStyle name="Nota 24" xfId="267"/>
    <cellStyle name="Nota 24 10" xfId="2580"/>
    <cellStyle name="Nota 24 11" xfId="2461"/>
    <cellStyle name="Nota 24 12" xfId="3400"/>
    <cellStyle name="Nota 24 13" xfId="2890"/>
    <cellStyle name="Nota 24 14" xfId="3510"/>
    <cellStyle name="Nota 24 15" xfId="4116"/>
    <cellStyle name="Nota 24 2" xfId="1000"/>
    <cellStyle name="Nota 24 2 10" xfId="3445"/>
    <cellStyle name="Nota 24 2 11" xfId="3799"/>
    <cellStyle name="Nota 24 2 12" xfId="3986"/>
    <cellStyle name="Nota 24 2 13" xfId="4041"/>
    <cellStyle name="Nota 24 2 2" xfId="1540"/>
    <cellStyle name="Nota 24 2 3" xfId="1695"/>
    <cellStyle name="Nota 24 2 4" xfId="1888"/>
    <cellStyle name="Nota 24 2 5" xfId="2339"/>
    <cellStyle name="Nota 24 2 6" xfId="2373"/>
    <cellStyle name="Nota 24 2 7" xfId="2849"/>
    <cellStyle name="Nota 24 2 8" xfId="3105"/>
    <cellStyle name="Nota 24 2 9" xfId="3349"/>
    <cellStyle name="Nota 24 3" xfId="720"/>
    <cellStyle name="Nota 24 4" xfId="1566"/>
    <cellStyle name="Nota 24 5" xfId="1828"/>
    <cellStyle name="Nota 24 6" xfId="1224"/>
    <cellStyle name="Nota 24 7" xfId="1671"/>
    <cellStyle name="Nota 24 8" xfId="2435"/>
    <cellStyle name="Nota 24 9" xfId="2565"/>
    <cellStyle name="Nota 25" xfId="119"/>
    <cellStyle name="Nota 25 10" xfId="2923"/>
    <cellStyle name="Nota 25 11" xfId="3232"/>
    <cellStyle name="Nota 25 12" xfId="3519"/>
    <cellStyle name="Nota 25 13" xfId="3636"/>
    <cellStyle name="Nota 25 14" xfId="3638"/>
    <cellStyle name="Nota 25 2" xfId="531"/>
    <cellStyle name="Nota 25 3" xfId="1292"/>
    <cellStyle name="Nota 25 4" xfId="454"/>
    <cellStyle name="Nota 25 5" xfId="1159"/>
    <cellStyle name="Nota 25 6" xfId="1948"/>
    <cellStyle name="Nota 25 7" xfId="1496"/>
    <cellStyle name="Nota 25 8" xfId="2411"/>
    <cellStyle name="Nota 25 9" xfId="2670"/>
    <cellStyle name="Nota 26" xfId="823"/>
    <cellStyle name="Nota 26 10" xfId="2895"/>
    <cellStyle name="Nota 26 11" xfId="3643"/>
    <cellStyle name="Nota 26 12" xfId="3845"/>
    <cellStyle name="Nota 26 13" xfId="3836"/>
    <cellStyle name="Nota 26 2" xfId="1062"/>
    <cellStyle name="Nota 26 3" xfId="1551"/>
    <cellStyle name="Nota 26 4" xfId="2005"/>
    <cellStyle name="Nota 26 5" xfId="2164"/>
    <cellStyle name="Nota 26 6" xfId="1436"/>
    <cellStyle name="Nota 26 7" xfId="2677"/>
    <cellStyle name="Nota 26 8" xfId="2930"/>
    <cellStyle name="Nota 26 9" xfId="3183"/>
    <cellStyle name="Nota 3" xfId="183"/>
    <cellStyle name="Nota 3 10" xfId="2529"/>
    <cellStyle name="Nota 3 11" xfId="2614"/>
    <cellStyle name="Nota 3 12" xfId="3560"/>
    <cellStyle name="Nota 3 13" xfId="3554"/>
    <cellStyle name="Nota 3 14" xfId="3216"/>
    <cellStyle name="Nota 3 15" xfId="3830"/>
    <cellStyle name="Nota 3 2" xfId="331"/>
    <cellStyle name="Nota 3 2 10" xfId="3266"/>
    <cellStyle name="Nota 3 2 11" xfId="3141"/>
    <cellStyle name="Nota 3 2 12" xfId="3716"/>
    <cellStyle name="Nota 3 2 13" xfId="3903"/>
    <cellStyle name="Nota 3 2 14" xfId="4095"/>
    <cellStyle name="Nota 3 2 2" xfId="917"/>
    <cellStyle name="Nota 3 2 3" xfId="1363"/>
    <cellStyle name="Nota 3 2 4" xfId="1793"/>
    <cellStyle name="Nota 3 2 5" xfId="2051"/>
    <cellStyle name="Nota 3 2 6" xfId="2256"/>
    <cellStyle name="Nota 3 2 7" xfId="2172"/>
    <cellStyle name="Nota 3 2 8" xfId="2766"/>
    <cellStyle name="Nota 3 2 9" xfId="3022"/>
    <cellStyle name="Nota 3 3" xfId="636"/>
    <cellStyle name="Nota 3 4" xfId="1519"/>
    <cellStyle name="Nota 3 5" xfId="1289"/>
    <cellStyle name="Nota 3 6" xfId="1680"/>
    <cellStyle name="Nota 3 7" xfId="1077"/>
    <cellStyle name="Nota 3 8" xfId="2447"/>
    <cellStyle name="Nota 3 9" xfId="2429"/>
    <cellStyle name="Nota 4" xfId="200"/>
    <cellStyle name="Nota 4 10" xfId="2469"/>
    <cellStyle name="Nota 4 11" xfId="1729"/>
    <cellStyle name="Nota 4 12" xfId="3230"/>
    <cellStyle name="Nota 4 13" xfId="3192"/>
    <cellStyle name="Nota 4 14" xfId="2683"/>
    <cellStyle name="Nota 4 15" xfId="3526"/>
    <cellStyle name="Nota 4 2" xfId="348"/>
    <cellStyle name="Nota 4 2 10" xfId="3283"/>
    <cellStyle name="Nota 4 2 11" xfId="2576"/>
    <cellStyle name="Nota 4 2 12" xfId="3733"/>
    <cellStyle name="Nota 4 2 13" xfId="3920"/>
    <cellStyle name="Nota 4 2 14" xfId="3170"/>
    <cellStyle name="Nota 4 2 2" xfId="934"/>
    <cellStyle name="Nota 4 2 3" xfId="1321"/>
    <cellStyle name="Nota 4 2 4" xfId="1275"/>
    <cellStyle name="Nota 4 2 5" xfId="1352"/>
    <cellStyle name="Nota 4 2 6" xfId="2273"/>
    <cellStyle name="Nota 4 2 7" xfId="2432"/>
    <cellStyle name="Nota 4 2 8" xfId="2783"/>
    <cellStyle name="Nota 4 2 9" xfId="3039"/>
    <cellStyle name="Nota 4 3" xfId="653"/>
    <cellStyle name="Nota 4 4" xfId="1309"/>
    <cellStyle name="Nota 4 5" xfId="1509"/>
    <cellStyle name="Nota 4 6" xfId="1598"/>
    <cellStyle name="Nota 4 7" xfId="1467"/>
    <cellStyle name="Nota 4 8" xfId="1755"/>
    <cellStyle name="Nota 4 9" xfId="2143"/>
    <cellStyle name="Nota 5" xfId="182"/>
    <cellStyle name="Nota 5 10" xfId="2728"/>
    <cellStyle name="Nota 5 11" xfId="2983"/>
    <cellStyle name="Nota 5 12" xfId="2903"/>
    <cellStyle name="Nota 5 13" xfId="2680"/>
    <cellStyle name="Nota 5 14" xfId="3685"/>
    <cellStyle name="Nota 5 15" xfId="3196"/>
    <cellStyle name="Nota 5 2" xfId="330"/>
    <cellStyle name="Nota 5 2 10" xfId="3265"/>
    <cellStyle name="Nota 5 2 11" xfId="3475"/>
    <cellStyle name="Nota 5 2 12" xfId="3715"/>
    <cellStyle name="Nota 5 2 13" xfId="3902"/>
    <cellStyle name="Nota 5 2 14" xfId="3498"/>
    <cellStyle name="Nota 5 2 2" xfId="916"/>
    <cellStyle name="Nota 5 2 3" xfId="1260"/>
    <cellStyle name="Nota 5 2 4" xfId="1567"/>
    <cellStyle name="Nota 5 2 5" xfId="465"/>
    <cellStyle name="Nota 5 2 6" xfId="2255"/>
    <cellStyle name="Nota 5 2 7" xfId="2229"/>
    <cellStyle name="Nota 5 2 8" xfId="2765"/>
    <cellStyle name="Nota 5 2 9" xfId="3021"/>
    <cellStyle name="Nota 5 3" xfId="635"/>
    <cellStyle name="Nota 5 4" xfId="468"/>
    <cellStyle name="Nota 5 5" xfId="496"/>
    <cellStyle name="Nota 5 6" xfId="2043"/>
    <cellStyle name="Nota 5 7" xfId="1925"/>
    <cellStyle name="Nota 5 8" xfId="2479"/>
    <cellStyle name="Nota 5 9" xfId="2485"/>
    <cellStyle name="Nota 6" xfId="201"/>
    <cellStyle name="Nota 6 10" xfId="1501"/>
    <cellStyle name="Nota 6 11" xfId="2880"/>
    <cellStyle name="Nota 6 12" xfId="3552"/>
    <cellStyle name="Nota 6 13" xfId="3613"/>
    <cellStyle name="Nota 6 14" xfId="2641"/>
    <cellStyle name="Nota 6 15" xfId="4032"/>
    <cellStyle name="Nota 6 2" xfId="349"/>
    <cellStyle name="Nota 6 2 10" xfId="3284"/>
    <cellStyle name="Nota 6 2 11" xfId="3467"/>
    <cellStyle name="Nota 6 2 12" xfId="3734"/>
    <cellStyle name="Nota 6 2 13" xfId="3921"/>
    <cellStyle name="Nota 6 2 14" xfId="3696"/>
    <cellStyle name="Nota 6 2 2" xfId="935"/>
    <cellStyle name="Nota 6 2 3" xfId="1546"/>
    <cellStyle name="Nota 6 2 4" xfId="1491"/>
    <cellStyle name="Nota 6 2 5" xfId="1952"/>
    <cellStyle name="Nota 6 2 6" xfId="2274"/>
    <cellStyle name="Nota 6 2 7" xfId="2585"/>
    <cellStyle name="Nota 6 2 8" xfId="2784"/>
    <cellStyle name="Nota 6 2 9" xfId="3040"/>
    <cellStyle name="Nota 6 3" xfId="654"/>
    <cellStyle name="Nota 6 4" xfId="1503"/>
    <cellStyle name="Nota 6 5" xfId="1670"/>
    <cellStyle name="Nota 6 6" xfId="1381"/>
    <cellStyle name="Nota 6 7" xfId="1067"/>
    <cellStyle name="Nota 6 8" xfId="2112"/>
    <cellStyle name="Nota 6 9" xfId="2548"/>
    <cellStyle name="Nota 7" xfId="181"/>
    <cellStyle name="Nota 7 10" xfId="1707"/>
    <cellStyle name="Nota 7 11" xfId="2672"/>
    <cellStyle name="Nota 7 12" xfId="3576"/>
    <cellStyle name="Nota 7 13" xfId="3171"/>
    <cellStyle name="Nota 7 14" xfId="3540"/>
    <cellStyle name="Nota 7 15" xfId="2910"/>
    <cellStyle name="Nota 7 2" xfId="329"/>
    <cellStyle name="Nota 7 2 10" xfId="3264"/>
    <cellStyle name="Nota 7 2 11" xfId="3378"/>
    <cellStyle name="Nota 7 2 12" xfId="3714"/>
    <cellStyle name="Nota 7 2 13" xfId="3901"/>
    <cellStyle name="Nota 7 2 14" xfId="4123"/>
    <cellStyle name="Nota 7 2 2" xfId="915"/>
    <cellStyle name="Nota 7 2 3" xfId="1587"/>
    <cellStyle name="Nota 7 2 4" xfId="1849"/>
    <cellStyle name="Nota 7 2 5" xfId="1291"/>
    <cellStyle name="Nota 7 2 6" xfId="2254"/>
    <cellStyle name="Nota 7 2 7" xfId="2500"/>
    <cellStyle name="Nota 7 2 8" xfId="2764"/>
    <cellStyle name="Nota 7 2 9" xfId="3020"/>
    <cellStyle name="Nota 7 3" xfId="634"/>
    <cellStyle name="Nota 7 4" xfId="1530"/>
    <cellStyle name="Nota 7 5" xfId="1222"/>
    <cellStyle name="Nota 7 6" xfId="1480"/>
    <cellStyle name="Nota 7 7" xfId="2096"/>
    <cellStyle name="Nota 7 8" xfId="2546"/>
    <cellStyle name="Nota 7 9" xfId="2564"/>
    <cellStyle name="Nota 8" xfId="220"/>
    <cellStyle name="Nota 8 10" xfId="2189"/>
    <cellStyle name="Nota 8 11" xfId="2531"/>
    <cellStyle name="Nota 8 12" xfId="3598"/>
    <cellStyle name="Nota 8 13" xfId="3551"/>
    <cellStyle name="Nota 8 14" xfId="3486"/>
    <cellStyle name="Nota 8 15" xfId="4027"/>
    <cellStyle name="Nota 8 2" xfId="367"/>
    <cellStyle name="Nota 8 2 10" xfId="3302"/>
    <cellStyle name="Nota 8 2 11" xfId="3382"/>
    <cellStyle name="Nota 8 2 12" xfId="3752"/>
    <cellStyle name="Nota 8 2 13" xfId="3939"/>
    <cellStyle name="Nota 8 2 14" xfId="4127"/>
    <cellStyle name="Nota 8 2 2" xfId="953"/>
    <cellStyle name="Nota 8 2 3" xfId="1591"/>
    <cellStyle name="Nota 8 2 4" xfId="1853"/>
    <cellStyle name="Nota 8 2 5" xfId="1582"/>
    <cellStyle name="Nota 8 2 6" xfId="2292"/>
    <cellStyle name="Nota 8 2 7" xfId="2607"/>
    <cellStyle name="Nota 8 2 8" xfId="2802"/>
    <cellStyle name="Nota 8 2 9" xfId="3058"/>
    <cellStyle name="Nota 8 3" xfId="673"/>
    <cellStyle name="Nota 8 4" xfId="1448"/>
    <cellStyle name="Nota 8 5" xfId="1654"/>
    <cellStyle name="Nota 8 6" xfId="2067"/>
    <cellStyle name="Nota 8 7" xfId="1061"/>
    <cellStyle name="Nota 8 8" xfId="2549"/>
    <cellStyle name="Nota 8 9" xfId="2156"/>
    <cellStyle name="Nota 9" xfId="206"/>
    <cellStyle name="Nota 9 10" xfId="2720"/>
    <cellStyle name="Nota 9 11" xfId="2975"/>
    <cellStyle name="Nota 9 12" xfId="3128"/>
    <cellStyle name="Nota 9 13" xfId="2505"/>
    <cellStyle name="Nota 9 14" xfId="3677"/>
    <cellStyle name="Nota 9 15" xfId="4093"/>
    <cellStyle name="Nota 9 2" xfId="354"/>
    <cellStyle name="Nota 9 2 10" xfId="3289"/>
    <cellStyle name="Nota 9 2 11" xfId="2656"/>
    <cellStyle name="Nota 9 2 12" xfId="3739"/>
    <cellStyle name="Nota 9 2 13" xfId="3926"/>
    <cellStyle name="Nota 9 2 14" xfId="3857"/>
    <cellStyle name="Nota 9 2 2" xfId="940"/>
    <cellStyle name="Nota 9 2 3" xfId="1416"/>
    <cellStyle name="Nota 9 2 4" xfId="1388"/>
    <cellStyle name="Nota 9 2 5" xfId="2099"/>
    <cellStyle name="Nota 9 2 6" xfId="2279"/>
    <cellStyle name="Nota 9 2 7" xfId="2542"/>
    <cellStyle name="Nota 9 2 8" xfId="2789"/>
    <cellStyle name="Nota 9 2 9" xfId="3045"/>
    <cellStyle name="Nota 9 3" xfId="659"/>
    <cellStyle name="Nota 9 4" xfId="1080"/>
    <cellStyle name="Nota 9 5" xfId="1790"/>
    <cellStyle name="Nota 9 6" xfId="1792"/>
    <cellStyle name="Nota 9 7" xfId="1974"/>
    <cellStyle name="Nota 9 8" xfId="2554"/>
    <cellStyle name="Nota 9 9" xfId="2123"/>
    <cellStyle name="Note" xfId="74"/>
    <cellStyle name="Note 10" xfId="2736"/>
    <cellStyle name="Note 11" xfId="2991"/>
    <cellStyle name="Note 12" xfId="2995"/>
    <cellStyle name="Note 13" xfId="3478"/>
    <cellStyle name="Note 14" xfId="3691"/>
    <cellStyle name="Note 15" xfId="4049"/>
    <cellStyle name="Note 2" xfId="894"/>
    <cellStyle name="Note 2 10" xfId="2900"/>
    <cellStyle name="Note 2 11" xfId="3698"/>
    <cellStyle name="Note 2 12" xfId="3886"/>
    <cellStyle name="Note 2 13" xfId="4017"/>
    <cellStyle name="Note 2 2" xfId="481"/>
    <cellStyle name="Note 2 3" xfId="1624"/>
    <cellStyle name="Note 2 4" xfId="1992"/>
    <cellStyle name="Note 2 5" xfId="2233"/>
    <cellStyle name="Note 2 6" xfId="1759"/>
    <cellStyle name="Note 2 7" xfId="2745"/>
    <cellStyle name="Note 2 8" xfId="2999"/>
    <cellStyle name="Note 2 9" xfId="3244"/>
    <cellStyle name="Note 3" xfId="611"/>
    <cellStyle name="Note 4" xfId="1106"/>
    <cellStyle name="Note 5" xfId="1713"/>
    <cellStyle name="Note 6" xfId="1885"/>
    <cellStyle name="Note 7" xfId="1574"/>
    <cellStyle name="Note 8" xfId="2444"/>
    <cellStyle name="Note 9" xfId="1960"/>
    <cellStyle name="Output" xfId="75"/>
    <cellStyle name="Output 10" xfId="2409"/>
    <cellStyle name="Output 11" xfId="2596"/>
    <cellStyle name="Output 12" xfId="2578"/>
    <cellStyle name="Output 13" xfId="2741"/>
    <cellStyle name="Output 14" xfId="3493"/>
    <cellStyle name="Output 15" xfId="3194"/>
    <cellStyle name="Output 16" xfId="3208"/>
    <cellStyle name="Output 17" xfId="3627"/>
    <cellStyle name="Output 2" xfId="287"/>
    <cellStyle name="Output 2 10" xfId="2083"/>
    <cellStyle name="Output 2 11" xfId="2201"/>
    <cellStyle name="Output 2 12" xfId="2174"/>
    <cellStyle name="Output 2 13" xfId="3491"/>
    <cellStyle name="Output 2 14" xfId="3530"/>
    <cellStyle name="Output 2 15" xfId="2639"/>
    <cellStyle name="Output 2 16" xfId="3628"/>
    <cellStyle name="Output 2 2" xfId="1020"/>
    <cellStyle name="Output 2 2 10" xfId="3369"/>
    <cellStyle name="Output 2 2 11" xfId="3166"/>
    <cellStyle name="Output 2 2 12" xfId="3818"/>
    <cellStyle name="Output 2 2 13" xfId="4006"/>
    <cellStyle name="Output 2 2 14" xfId="2665"/>
    <cellStyle name="Output 2 2 2" xfId="1544"/>
    <cellStyle name="Output 2 2 3" xfId="1165"/>
    <cellStyle name="Output 2 2 4" xfId="1473"/>
    <cellStyle name="Output 2 2 5" xfId="1163"/>
    <cellStyle name="Output 2 2 6" xfId="2359"/>
    <cellStyle name="Output 2 2 7" xfId="1177"/>
    <cellStyle name="Output 2 2 8" xfId="2869"/>
    <cellStyle name="Output 2 2 9" xfId="3125"/>
    <cellStyle name="Output 2 3" xfId="740"/>
    <cellStyle name="Output 2 4" xfId="1265"/>
    <cellStyle name="Output 2 5" xfId="1136"/>
    <cellStyle name="Output 2 6" xfId="1576"/>
    <cellStyle name="Output 2 7" xfId="1625"/>
    <cellStyle name="Output 2 8" xfId="1298"/>
    <cellStyle name="Output 2 9" xfId="2610"/>
    <cellStyle name="Output 3" xfId="895"/>
    <cellStyle name="Output 3 10" xfId="3245"/>
    <cellStyle name="Output 3 11" xfId="3555"/>
    <cellStyle name="Output 3 12" xfId="3699"/>
    <cellStyle name="Output 3 13" xfId="3887"/>
    <cellStyle name="Output 3 14" xfId="4031"/>
    <cellStyle name="Output 3 2" xfId="1422"/>
    <cellStyle name="Output 3 3" xfId="1229"/>
    <cellStyle name="Output 3 4" xfId="1669"/>
    <cellStyle name="Output 3 5" xfId="2098"/>
    <cellStyle name="Output 3 6" xfId="2234"/>
    <cellStyle name="Output 3 7" xfId="2014"/>
    <cellStyle name="Output 3 8" xfId="2746"/>
    <cellStyle name="Output 3 9" xfId="3000"/>
    <cellStyle name="Output 4" xfId="612"/>
    <cellStyle name="Output 5" xfId="1139"/>
    <cellStyle name="Output 6" xfId="1312"/>
    <cellStyle name="Output 7" xfId="1497"/>
    <cellStyle name="Output 8" xfId="1728"/>
    <cellStyle name="Output 9" xfId="1514"/>
    <cellStyle name="Porcentagem" xfId="76" builtinId="5"/>
    <cellStyle name="Porcentagem 2" xfId="121"/>
    <cellStyle name="Porcentagem 2 2" xfId="298"/>
    <cellStyle name="Porcentagem 2 2 2" xfId="428"/>
    <cellStyle name="Porcentagem 2 2 2 2" xfId="1028"/>
    <cellStyle name="Porcentagem 2 2 3" xfId="440"/>
    <cellStyle name="Porcentagem 2 2 4" xfId="751"/>
    <cellStyle name="Porcentagem 3" xfId="162"/>
    <cellStyle name="Porcentagem 3 2" xfId="299"/>
    <cellStyle name="Porcentagem 4" xfId="120"/>
    <cellStyle name="Porcentagem 4 2" xfId="297"/>
    <cellStyle name="Saída" xfId="77" builtinId="21" customBuiltin="1"/>
    <cellStyle name="Saída 10" xfId="227"/>
    <cellStyle name="Saída 10 10" xfId="2354"/>
    <cellStyle name="Saída 10 11" xfId="2144"/>
    <cellStyle name="Saída 10 12" xfId="2179"/>
    <cellStyle name="Saída 10 13" xfId="3189"/>
    <cellStyle name="Saída 10 14" xfId="2685"/>
    <cellStyle name="Saída 10 15" xfId="2238"/>
    <cellStyle name="Saída 10 16" xfId="4044"/>
    <cellStyle name="Saída 10 2" xfId="374"/>
    <cellStyle name="Saída 10 2 10" xfId="3309"/>
    <cellStyle name="Saída 10 2 11" xfId="3459"/>
    <cellStyle name="Saída 10 2 12" xfId="3759"/>
    <cellStyle name="Saída 10 2 13" xfId="3946"/>
    <cellStyle name="Saída 10 2 14" xfId="3489"/>
    <cellStyle name="Saída 10 2 2" xfId="960"/>
    <cellStyle name="Saída 10 2 3" xfId="1282"/>
    <cellStyle name="Saída 10 2 4" xfId="456"/>
    <cellStyle name="Saída 10 2 5" xfId="1819"/>
    <cellStyle name="Saída 10 2 6" xfId="2299"/>
    <cellStyle name="Saída 10 2 7" xfId="2558"/>
    <cellStyle name="Saída 10 2 8" xfId="2809"/>
    <cellStyle name="Saída 10 2 9" xfId="3065"/>
    <cellStyle name="Saída 10 3" xfId="680"/>
    <cellStyle name="Saída 10 4" xfId="1206"/>
    <cellStyle name="Saída 10 5" xfId="485"/>
    <cellStyle name="Saída 10 6" xfId="1701"/>
    <cellStyle name="Saída 10 7" xfId="1883"/>
    <cellStyle name="Saída 10 8" xfId="1912"/>
    <cellStyle name="Saída 10 9" xfId="2220"/>
    <cellStyle name="Saída 11" xfId="176"/>
    <cellStyle name="Saída 11 10" xfId="2240"/>
    <cellStyle name="Saída 11 11" xfId="2550"/>
    <cellStyle name="Saída 11 12" xfId="2515"/>
    <cellStyle name="Saída 11 13" xfId="3177"/>
    <cellStyle name="Saída 11 14" xfId="3503"/>
    <cellStyle name="Saída 11 15" xfId="3543"/>
    <cellStyle name="Saída 11 16" xfId="3879"/>
    <cellStyle name="Saída 11 2" xfId="324"/>
    <cellStyle name="Saída 11 2 10" xfId="3259"/>
    <cellStyle name="Saída 11 2 11" xfId="2906"/>
    <cellStyle name="Saída 11 2 12" xfId="3709"/>
    <cellStyle name="Saída 11 2 13" xfId="3896"/>
    <cellStyle name="Saída 11 2 14" xfId="4012"/>
    <cellStyle name="Saída 11 2 2" xfId="910"/>
    <cellStyle name="Saída 11 2 3" xfId="1453"/>
    <cellStyle name="Saída 11 2 4" xfId="1600"/>
    <cellStyle name="Saída 11 2 5" xfId="1832"/>
    <cellStyle name="Saída 11 2 6" xfId="2249"/>
    <cellStyle name="Saída 11 2 7" xfId="2199"/>
    <cellStyle name="Saída 11 2 8" xfId="2759"/>
    <cellStyle name="Saída 11 2 9" xfId="3015"/>
    <cellStyle name="Saída 11 3" xfId="629"/>
    <cellStyle name="Saída 11 4" xfId="1156"/>
    <cellStyle name="Saída 11 5" xfId="1435"/>
    <cellStyle name="Saída 11 6" xfId="1216"/>
    <cellStyle name="Saída 11 7" xfId="2072"/>
    <cellStyle name="Saída 11 8" xfId="1362"/>
    <cellStyle name="Saída 11 9" xfId="2217"/>
    <cellStyle name="Saída 12" xfId="207"/>
    <cellStyle name="Saída 12 10" xfId="2464"/>
    <cellStyle name="Saída 12 11" xfId="2207"/>
    <cellStyle name="Saída 12 12" xfId="2635"/>
    <cellStyle name="Saída 12 13" xfId="3545"/>
    <cellStyle name="Saída 12 14" xfId="3562"/>
    <cellStyle name="Saída 12 15" xfId="3220"/>
    <cellStyle name="Saída 12 16" xfId="3828"/>
    <cellStyle name="Saída 12 2" xfId="355"/>
    <cellStyle name="Saída 12 2 10" xfId="3290"/>
    <cellStyle name="Saída 12 2 11" xfId="3381"/>
    <cellStyle name="Saída 12 2 12" xfId="3740"/>
    <cellStyle name="Saída 12 2 13" xfId="3927"/>
    <cellStyle name="Saída 12 2 14" xfId="4126"/>
    <cellStyle name="Saída 12 2 2" xfId="941"/>
    <cellStyle name="Saída 12 2 3" xfId="1590"/>
    <cellStyle name="Saída 12 2 4" xfId="1852"/>
    <cellStyle name="Saída 12 2 5" xfId="1834"/>
    <cellStyle name="Saída 12 2 6" xfId="2280"/>
    <cellStyle name="Saída 12 2 7" xfId="2152"/>
    <cellStyle name="Saída 12 2 8" xfId="2790"/>
    <cellStyle name="Saída 12 2 9" xfId="3046"/>
    <cellStyle name="Saída 12 3" xfId="660"/>
    <cellStyle name="Saída 12 4" xfId="1186"/>
    <cellStyle name="Saída 12 5" xfId="473"/>
    <cellStyle name="Saída 12 6" xfId="1581"/>
    <cellStyle name="Saída 12 7" xfId="1190"/>
    <cellStyle name="Saída 12 8" xfId="1742"/>
    <cellStyle name="Saída 12 9" xfId="2377"/>
    <cellStyle name="Saída 13" xfId="233"/>
    <cellStyle name="Saída 13 10" xfId="2204"/>
    <cellStyle name="Saída 13 11" xfId="2710"/>
    <cellStyle name="Saída 13 12" xfId="2965"/>
    <cellStyle name="Saída 13 13" xfId="2684"/>
    <cellStyle name="Saída 13 14" xfId="2996"/>
    <cellStyle name="Saída 13 15" xfId="3667"/>
    <cellStyle name="Saída 13 16" xfId="4047"/>
    <cellStyle name="Saída 13 2" xfId="380"/>
    <cellStyle name="Saída 13 2 10" xfId="3315"/>
    <cellStyle name="Saída 13 2 11" xfId="2733"/>
    <cellStyle name="Saída 13 2 12" xfId="3765"/>
    <cellStyle name="Saída 13 2 13" xfId="3952"/>
    <cellStyle name="Saída 13 2 14" xfId="4090"/>
    <cellStyle name="Saída 13 2 2" xfId="966"/>
    <cellStyle name="Saída 13 2 3" xfId="1081"/>
    <cellStyle name="Saída 13 2 4" xfId="1787"/>
    <cellStyle name="Saída 13 2 5" xfId="1306"/>
    <cellStyle name="Saída 13 2 6" xfId="2305"/>
    <cellStyle name="Saída 13 2 7" xfId="1556"/>
    <cellStyle name="Saída 13 2 8" xfId="2815"/>
    <cellStyle name="Saída 13 2 9" xfId="3071"/>
    <cellStyle name="Saída 13 3" xfId="686"/>
    <cellStyle name="Saída 13 4" xfId="1212"/>
    <cellStyle name="Saída 13 5" xfId="1391"/>
    <cellStyle name="Saída 13 6" xfId="1710"/>
    <cellStyle name="Saída 13 7" xfId="470"/>
    <cellStyle name="Saída 13 8" xfId="1994"/>
    <cellStyle name="Saída 13 9" xfId="2503"/>
    <cellStyle name="Saída 14" xfId="229"/>
    <cellStyle name="Saída 14 10" xfId="1865"/>
    <cellStyle name="Saída 14 11" xfId="2711"/>
    <cellStyle name="Saída 14 12" xfId="2966"/>
    <cellStyle name="Saída 14 13" xfId="2176"/>
    <cellStyle name="Saída 14 14" xfId="3524"/>
    <cellStyle name="Saída 14 15" xfId="3668"/>
    <cellStyle name="Saída 14 16" xfId="3702"/>
    <cellStyle name="Saída 14 2" xfId="376"/>
    <cellStyle name="Saída 14 2 10" xfId="3311"/>
    <cellStyle name="Saída 14 2 11" xfId="3458"/>
    <cellStyle name="Saída 14 2 12" xfId="3761"/>
    <cellStyle name="Saída 14 2 13" xfId="3948"/>
    <cellStyle name="Saída 14 2 14" xfId="3841"/>
    <cellStyle name="Saída 14 2 2" xfId="962"/>
    <cellStyle name="Saída 14 2 3" xfId="1143"/>
    <cellStyle name="Saída 14 2 4" xfId="1594"/>
    <cellStyle name="Saída 14 2 5" xfId="2092"/>
    <cellStyle name="Saída 14 2 6" xfId="2301"/>
    <cellStyle name="Saída 14 2 7" xfId="2131"/>
    <cellStyle name="Saída 14 2 8" xfId="2811"/>
    <cellStyle name="Saída 14 2 9" xfId="3067"/>
    <cellStyle name="Saída 14 3" xfId="682"/>
    <cellStyle name="Saída 14 4" xfId="1208"/>
    <cellStyle name="Saída 14 5" xfId="1217"/>
    <cellStyle name="Saída 14 6" xfId="1446"/>
    <cellStyle name="Saída 14 7" xfId="1907"/>
    <cellStyle name="Saída 14 8" xfId="1970"/>
    <cellStyle name="Saída 14 9" xfId="2190"/>
    <cellStyle name="Saída 15" xfId="204"/>
    <cellStyle name="Saída 15 10" xfId="1911"/>
    <cellStyle name="Saída 15 11" xfId="2452"/>
    <cellStyle name="Saída 15 12" xfId="1887"/>
    <cellStyle name="Saída 15 13" xfId="2891"/>
    <cellStyle name="Saída 15 14" xfId="3211"/>
    <cellStyle name="Saída 15 15" xfId="2993"/>
    <cellStyle name="Saída 15 16" xfId="3824"/>
    <cellStyle name="Saída 15 2" xfId="352"/>
    <cellStyle name="Saída 15 2 10" xfId="3287"/>
    <cellStyle name="Saída 15 2 11" xfId="3385"/>
    <cellStyle name="Saída 15 2 12" xfId="3737"/>
    <cellStyle name="Saída 15 2 13" xfId="3924"/>
    <cellStyle name="Saída 15 2 14" xfId="4089"/>
    <cellStyle name="Saída 15 2 2" xfId="938"/>
    <cellStyle name="Saída 15 2 3" xfId="1366"/>
    <cellStyle name="Saída 15 2 4" xfId="1784"/>
    <cellStyle name="Saída 15 2 5" xfId="2102"/>
    <cellStyle name="Saída 15 2 6" xfId="2277"/>
    <cellStyle name="Saída 15 2 7" xfId="2459"/>
    <cellStyle name="Saída 15 2 8" xfId="2787"/>
    <cellStyle name="Saída 15 2 9" xfId="3043"/>
    <cellStyle name="Saída 15 3" xfId="657"/>
    <cellStyle name="Saída 15 4" xfId="1183"/>
    <cellStyle name="Saída 15 5" xfId="1322"/>
    <cellStyle name="Saída 15 6" xfId="1456"/>
    <cellStyle name="Saída 15 7" xfId="1194"/>
    <cellStyle name="Saída 15 8" xfId="1880"/>
    <cellStyle name="Saída 15 9" xfId="2458"/>
    <cellStyle name="Saída 16" xfId="262"/>
    <cellStyle name="Saída 16 10" xfId="2130"/>
    <cellStyle name="Saída 16 11" xfId="2048"/>
    <cellStyle name="Saída 16 12" xfId="2652"/>
    <cellStyle name="Saída 16 13" xfId="3405"/>
    <cellStyle name="Saída 16 14" xfId="3432"/>
    <cellStyle name="Saída 16 15" xfId="3573"/>
    <cellStyle name="Saída 16 16" xfId="3861"/>
    <cellStyle name="Saída 16 2" xfId="408"/>
    <cellStyle name="Saída 16 2 10" xfId="3344"/>
    <cellStyle name="Saída 16 2 11" xfId="3161"/>
    <cellStyle name="Saída 16 2 12" xfId="3794"/>
    <cellStyle name="Saída 16 2 13" xfId="3981"/>
    <cellStyle name="Saída 16 2 14" xfId="3822"/>
    <cellStyle name="Saída 16 2 2" xfId="995"/>
    <cellStyle name="Saída 16 2 3" xfId="1337"/>
    <cellStyle name="Saída 16 2 4" xfId="1054"/>
    <cellStyle name="Saída 16 2 5" xfId="1951"/>
    <cellStyle name="Saída 16 2 6" xfId="2334"/>
    <cellStyle name="Saída 16 2 7" xfId="1172"/>
    <cellStyle name="Saída 16 2 8" xfId="2844"/>
    <cellStyle name="Saída 16 2 9" xfId="3100"/>
    <cellStyle name="Saída 16 3" xfId="715"/>
    <cellStyle name="Saída 16 4" xfId="1240"/>
    <cellStyle name="Saída 16 5" xfId="1419"/>
    <cellStyle name="Saída 16 6" xfId="1258"/>
    <cellStyle name="Saída 16 7" xfId="1966"/>
    <cellStyle name="Saída 16 8" xfId="1937"/>
    <cellStyle name="Saída 16 9" xfId="2227"/>
    <cellStyle name="Saída 17" xfId="241"/>
    <cellStyle name="Saída 17 10" xfId="2418"/>
    <cellStyle name="Saída 17 11" xfId="2708"/>
    <cellStyle name="Saída 17 12" xfId="2963"/>
    <cellStyle name="Saída 17 13" xfId="3415"/>
    <cellStyle name="Saída 17 14" xfId="2941"/>
    <cellStyle name="Saída 17 15" xfId="3665"/>
    <cellStyle name="Saída 17 16" xfId="3860"/>
    <cellStyle name="Saída 17 2" xfId="388"/>
    <cellStyle name="Saída 17 2 10" xfId="3323"/>
    <cellStyle name="Saída 17 2 11" xfId="2667"/>
    <cellStyle name="Saída 17 2 12" xfId="3773"/>
    <cellStyle name="Saída 17 2 13" xfId="3960"/>
    <cellStyle name="Saída 17 2 14" xfId="4092"/>
    <cellStyle name="Saída 17 2 2" xfId="974"/>
    <cellStyle name="Saída 17 2 3" xfId="1364"/>
    <cellStyle name="Saída 17 2 4" xfId="1789"/>
    <cellStyle name="Saída 17 2 5" xfId="1634"/>
    <cellStyle name="Saída 17 2 6" xfId="2313"/>
    <cellStyle name="Saída 17 2 7" xfId="2570"/>
    <cellStyle name="Saída 17 2 8" xfId="2823"/>
    <cellStyle name="Saída 17 2 9" xfId="3079"/>
    <cellStyle name="Saída 17 3" xfId="694"/>
    <cellStyle name="Saída 17 4" xfId="1220"/>
    <cellStyle name="Saída 17 5" xfId="1135"/>
    <cellStyle name="Saída 17 6" xfId="1534"/>
    <cellStyle name="Saída 17 7" xfId="2057"/>
    <cellStyle name="Saída 17 8" xfId="1138"/>
    <cellStyle name="Saída 17 9" xfId="2422"/>
    <cellStyle name="Saída 18" xfId="263"/>
    <cellStyle name="Saída 18 10" xfId="2512"/>
    <cellStyle name="Saída 18 11" xfId="2401"/>
    <cellStyle name="Saída 18 12" xfId="2878"/>
    <cellStyle name="Saída 18 13" xfId="3404"/>
    <cellStyle name="Saída 18 14" xfId="3611"/>
    <cellStyle name="Saída 18 15" xfId="3375"/>
    <cellStyle name="Saída 18 16" xfId="4100"/>
    <cellStyle name="Saída 18 2" xfId="409"/>
    <cellStyle name="Saída 18 2 10" xfId="3345"/>
    <cellStyle name="Saída 18 2 11" xfId="3447"/>
    <cellStyle name="Saída 18 2 12" xfId="3795"/>
    <cellStyle name="Saída 18 2 13" xfId="3982"/>
    <cellStyle name="Saída 18 2 14" xfId="3567"/>
    <cellStyle name="Saída 18 2 2" xfId="996"/>
    <cellStyle name="Saída 18 2 3" xfId="1483"/>
    <cellStyle name="Saída 18 2 4" xfId="1235"/>
    <cellStyle name="Saída 18 2 5" xfId="1684"/>
    <cellStyle name="Saída 18 2 6" xfId="2335"/>
    <cellStyle name="Saída 18 2 7" xfId="1943"/>
    <cellStyle name="Saída 18 2 8" xfId="2845"/>
    <cellStyle name="Saída 18 2 9" xfId="3101"/>
    <cellStyle name="Saída 18 3" xfId="716"/>
    <cellStyle name="Saída 18 4" xfId="1241"/>
    <cellStyle name="Saída 18 5" xfId="1076"/>
    <cellStyle name="Saída 18 6" xfId="1806"/>
    <cellStyle name="Saída 18 7" xfId="1585"/>
    <cellStyle name="Saída 18 8" xfId="1663"/>
    <cellStyle name="Saída 18 9" xfId="2387"/>
    <cellStyle name="Saída 19" xfId="236"/>
    <cellStyle name="Saída 19 10" xfId="2178"/>
    <cellStyle name="Saída 19 11" xfId="1939"/>
    <cellStyle name="Saída 19 12" xfId="1644"/>
    <cellStyle name="Saída 19 13" xfId="3420"/>
    <cellStyle name="Saída 19 14" xfId="3542"/>
    <cellStyle name="Saída 19 15" xfId="3496"/>
    <cellStyle name="Saída 19 16" xfId="4067"/>
    <cellStyle name="Saída 19 2" xfId="383"/>
    <cellStyle name="Saída 19 2 10" xfId="3318"/>
    <cellStyle name="Saída 19 2 11" xfId="2042"/>
    <cellStyle name="Saída 19 2 12" xfId="3768"/>
    <cellStyle name="Saída 19 2 13" xfId="3955"/>
    <cellStyle name="Saída 19 2 14" xfId="2661"/>
    <cellStyle name="Saída 19 2 2" xfId="969"/>
    <cellStyle name="Saída 19 2 3" xfId="1447"/>
    <cellStyle name="Saída 19 2 4" xfId="1236"/>
    <cellStyle name="Saída 19 2 5" xfId="1915"/>
    <cellStyle name="Saída 19 2 6" xfId="2308"/>
    <cellStyle name="Saída 19 2 7" xfId="2074"/>
    <cellStyle name="Saída 19 2 8" xfId="2818"/>
    <cellStyle name="Saída 19 2 9" xfId="3074"/>
    <cellStyle name="Saída 19 3" xfId="689"/>
    <cellStyle name="Saída 19 4" xfId="1215"/>
    <cellStyle name="Saída 19 5" xfId="1379"/>
    <cellStyle name="Saída 19 6" xfId="1746"/>
    <cellStyle name="Saída 19 7" xfId="1622"/>
    <cellStyle name="Saída 19 8" xfId="1923"/>
    <cellStyle name="Saída 19 9" xfId="2126"/>
    <cellStyle name="Saída 2" xfId="163"/>
    <cellStyle name="Saída 2 10" xfId="2127"/>
    <cellStyle name="Saída 2 11" xfId="2376"/>
    <cellStyle name="Saída 2 12" xfId="2514"/>
    <cellStyle name="Saída 2 13" xfId="3531"/>
    <cellStyle name="Saída 2 14" xfId="3249"/>
    <cellStyle name="Saída 2 15" xfId="3541"/>
    <cellStyle name="Saída 2 16" xfId="3571"/>
    <cellStyle name="Saída 2 2" xfId="318"/>
    <cellStyle name="Saída 2 2 10" xfId="3246"/>
    <cellStyle name="Saída 2 2 11" xfId="3130"/>
    <cellStyle name="Saída 2 2 12" xfId="3700"/>
    <cellStyle name="Saída 2 2 13" xfId="3888"/>
    <cellStyle name="Saída 2 2 14" xfId="4021"/>
    <cellStyle name="Saída 2 2 2" xfId="896"/>
    <cellStyle name="Saída 2 2 3" xfId="1117"/>
    <cellStyle name="Saída 2 2 4" xfId="1635"/>
    <cellStyle name="Saída 2 2 5" xfId="1847"/>
    <cellStyle name="Saída 2 2 6" xfId="2235"/>
    <cellStyle name="Saída 2 2 7" xfId="2037"/>
    <cellStyle name="Saída 2 2 8" xfId="2747"/>
    <cellStyle name="Saída 2 2 9" xfId="3001"/>
    <cellStyle name="Saída 2 3" xfId="614"/>
    <cellStyle name="Saída 2 4" xfId="1141"/>
    <cellStyle name="Saída 2 5" xfId="1552"/>
    <cellStyle name="Saída 2 6" xfId="488"/>
    <cellStyle name="Saída 2 7" xfId="1872"/>
    <cellStyle name="Saída 2 8" xfId="1984"/>
    <cellStyle name="Saída 2 9" xfId="2139"/>
    <cellStyle name="Saída 20" xfId="273"/>
    <cellStyle name="Saída 20 10" xfId="2539"/>
    <cellStyle name="Saída 20 11" xfId="2697"/>
    <cellStyle name="Saída 20 12" xfId="2952"/>
    <cellStyle name="Saída 20 13" xfId="3608"/>
    <cellStyle name="Saída 20 14" xfId="3364"/>
    <cellStyle name="Saída 20 15" xfId="3654"/>
    <cellStyle name="Saída 20 16" xfId="3688"/>
    <cellStyle name="Saída 20 2" xfId="417"/>
    <cellStyle name="Saída 20 2 10" xfId="3355"/>
    <cellStyle name="Saída 20 2 11" xfId="2943"/>
    <cellStyle name="Saída 20 2 12" xfId="3805"/>
    <cellStyle name="Saída 20 2 13" xfId="3992"/>
    <cellStyle name="Saída 20 2 14" xfId="3820"/>
    <cellStyle name="Saída 20 2 2" xfId="1006"/>
    <cellStyle name="Saída 20 2 3" xfId="1132"/>
    <cellStyle name="Saída 20 2 4" xfId="743"/>
    <cellStyle name="Saída 20 2 5" xfId="1313"/>
    <cellStyle name="Saída 20 2 6" xfId="2345"/>
    <cellStyle name="Saída 20 2 7" xfId="2593"/>
    <cellStyle name="Saída 20 2 8" xfId="2855"/>
    <cellStyle name="Saída 20 2 9" xfId="3111"/>
    <cellStyle name="Saída 20 3" xfId="726"/>
    <cellStyle name="Saída 20 4" xfId="1251"/>
    <cellStyle name="Saída 20 5" xfId="1150"/>
    <cellStyle name="Saída 20 6" xfId="1461"/>
    <cellStyle name="Saída 20 7" xfId="1772"/>
    <cellStyle name="Saída 20 8" xfId="2054"/>
    <cellStyle name="Saída 20 9" xfId="2381"/>
    <cellStyle name="Saída 21" xfId="269"/>
    <cellStyle name="Saída 21 10" xfId="2389"/>
    <cellStyle name="Saída 21 11" xfId="2698"/>
    <cellStyle name="Saída 21 12" xfId="2953"/>
    <cellStyle name="Saída 21 13" xfId="3398"/>
    <cellStyle name="Saída 21 14" xfId="3481"/>
    <cellStyle name="Saída 21 15" xfId="3655"/>
    <cellStyle name="Saída 21 16" xfId="4117"/>
    <cellStyle name="Saída 21 2" xfId="413"/>
    <cellStyle name="Saída 21 2 10" xfId="3351"/>
    <cellStyle name="Saída 21 2 11" xfId="2615"/>
    <cellStyle name="Saída 21 2 12" xfId="3801"/>
    <cellStyle name="Saída 21 2 13" xfId="3988"/>
    <cellStyle name="Saída 21 2 14" xfId="4109"/>
    <cellStyle name="Saída 21 2 2" xfId="1002"/>
    <cellStyle name="Saída 21 2 3" xfId="1354"/>
    <cellStyle name="Saída 21 2 4" xfId="1820"/>
    <cellStyle name="Saída 21 2 5" xfId="1993"/>
    <cellStyle name="Saída 21 2 6" xfId="2341"/>
    <cellStyle name="Saída 21 2 7" xfId="1659"/>
    <cellStyle name="Saída 21 2 8" xfId="2851"/>
    <cellStyle name="Saída 21 2 9" xfId="3107"/>
    <cellStyle name="Saída 21 3" xfId="722"/>
    <cellStyle name="Saída 21 4" xfId="1247"/>
    <cellStyle name="Saída 21 5" xfId="1575"/>
    <cellStyle name="Saída 21 6" xfId="1837"/>
    <cellStyle name="Saída 21 7" xfId="2089"/>
    <cellStyle name="Saída 21 8" xfId="1408"/>
    <cellStyle name="Saída 21 9" xfId="1910"/>
    <cellStyle name="Saída 22" xfId="261"/>
    <cellStyle name="Saída 22 10" xfId="2024"/>
    <cellStyle name="Saída 22 11" xfId="2700"/>
    <cellStyle name="Saída 22 12" xfId="2955"/>
    <cellStyle name="Saída 22 13" xfId="2919"/>
    <cellStyle name="Saída 22 14" xfId="1868"/>
    <cellStyle name="Saída 22 15" xfId="3657"/>
    <cellStyle name="Saída 22 16" xfId="2944"/>
    <cellStyle name="Saída 22 2" xfId="407"/>
    <cellStyle name="Saída 22 2 10" xfId="3343"/>
    <cellStyle name="Saída 22 2 11" xfId="3448"/>
    <cellStyle name="Saída 22 2 12" xfId="3793"/>
    <cellStyle name="Saída 22 2 13" xfId="3980"/>
    <cellStyle name="Saída 22 2 14" xfId="3651"/>
    <cellStyle name="Saída 22 2 2" xfId="994"/>
    <cellStyle name="Saída 22 2 3" xfId="466"/>
    <cellStyle name="Saída 22 2 4" xfId="1086"/>
    <cellStyle name="Saída 22 2 5" xfId="2035"/>
    <cellStyle name="Saída 22 2 6" xfId="2333"/>
    <cellStyle name="Saída 22 2 7" xfId="2386"/>
    <cellStyle name="Saída 22 2 8" xfId="2843"/>
    <cellStyle name="Saída 22 2 9" xfId="3099"/>
    <cellStyle name="Saída 22 3" xfId="714"/>
    <cellStyle name="Saída 22 4" xfId="1239"/>
    <cellStyle name="Saída 22 5" xfId="1331"/>
    <cellStyle name="Saída 22 6" xfId="1319"/>
    <cellStyle name="Saída 22 7" xfId="1965"/>
    <cellStyle name="Saída 22 8" xfId="1123"/>
    <cellStyle name="Saída 22 9" xfId="2535"/>
    <cellStyle name="Saída 23" xfId="274"/>
    <cellStyle name="Saída 23 10" xfId="1810"/>
    <cellStyle name="Saída 23 11" xfId="1169"/>
    <cellStyle name="Saída 23 12" xfId="2631"/>
    <cellStyle name="Saída 23 13" xfId="2908"/>
    <cellStyle name="Saída 23 14" xfId="3222"/>
    <cellStyle name="Saída 23 15" xfId="2483"/>
    <cellStyle name="Saída 23 16" xfId="3851"/>
    <cellStyle name="Saída 23 2" xfId="418"/>
    <cellStyle name="Saída 23 2 10" xfId="3356"/>
    <cellStyle name="Saída 23 2 11" xfId="3443"/>
    <cellStyle name="Saída 23 2 12" xfId="3806"/>
    <cellStyle name="Saída 23 2 13" xfId="3993"/>
    <cellStyle name="Saída 23 2 14" xfId="3889"/>
    <cellStyle name="Saída 23 2 2" xfId="1007"/>
    <cellStyle name="Saída 23 2 3" xfId="1205"/>
    <cellStyle name="Saída 23 2 4" xfId="1386"/>
    <cellStyle name="Saída 23 2 5" xfId="1899"/>
    <cellStyle name="Saída 23 2 6" xfId="2346"/>
    <cellStyle name="Saída 23 2 7" xfId="2561"/>
    <cellStyle name="Saída 23 2 8" xfId="2856"/>
    <cellStyle name="Saída 23 2 9" xfId="3112"/>
    <cellStyle name="Saída 23 3" xfId="727"/>
    <cellStyle name="Saída 23 4" xfId="1252"/>
    <cellStyle name="Saída 23 5" xfId="1450"/>
    <cellStyle name="Saída 23 6" xfId="1550"/>
    <cellStyle name="Saída 23 7" xfId="450"/>
    <cellStyle name="Saída 23 8" xfId="2087"/>
    <cellStyle name="Saída 23 9" xfId="2417"/>
    <cellStyle name="Saída 24" xfId="264"/>
    <cellStyle name="Saída 24 10" xfId="1128"/>
    <cellStyle name="Saída 24 11" xfId="1932"/>
    <cellStyle name="Saída 24 12" xfId="613"/>
    <cellStyle name="Saída 24 13" xfId="3403"/>
    <cellStyle name="Saída 24 14" xfId="3558"/>
    <cellStyle name="Saída 24 15" xfId="3129"/>
    <cellStyle name="Saída 24 16" xfId="3858"/>
    <cellStyle name="Saída 24 2" xfId="997"/>
    <cellStyle name="Saída 24 2 10" xfId="3346"/>
    <cellStyle name="Saída 24 2 11" xfId="2213"/>
    <cellStyle name="Saída 24 2 12" xfId="3796"/>
    <cellStyle name="Saída 24 2 13" xfId="3983"/>
    <cellStyle name="Saída 24 2 14" xfId="4075"/>
    <cellStyle name="Saída 24 2 2" xfId="1521"/>
    <cellStyle name="Saída 24 2 3" xfId="1091"/>
    <cellStyle name="Saída 24 2 4" xfId="1758"/>
    <cellStyle name="Saída 24 2 5" xfId="2015"/>
    <cellStyle name="Saída 24 2 6" xfId="2336"/>
    <cellStyle name="Saída 24 2 7" xfId="2602"/>
    <cellStyle name="Saída 24 2 8" xfId="2846"/>
    <cellStyle name="Saída 24 2 9" xfId="3102"/>
    <cellStyle name="Saída 24 3" xfId="717"/>
    <cellStyle name="Saída 24 4" xfId="1242"/>
    <cellStyle name="Saída 24 5" xfId="1134"/>
    <cellStyle name="Saída 24 6" xfId="1127"/>
    <cellStyle name="Saída 24 7" xfId="2079"/>
    <cellStyle name="Saída 24 8" xfId="1893"/>
    <cellStyle name="Saída 24 9" xfId="1997"/>
    <cellStyle name="Saída 25" xfId="122"/>
    <cellStyle name="Saída 25 10" xfId="1725"/>
    <cellStyle name="Saída 25 11" xfId="2691"/>
    <cellStyle name="Saída 25 12" xfId="2946"/>
    <cellStyle name="Saída 25 13" xfId="3236"/>
    <cellStyle name="Saída 25 14" xfId="2400"/>
    <cellStyle name="Saída 25 15" xfId="3648"/>
    <cellStyle name="Saída 25 16" xfId="4118"/>
    <cellStyle name="Saída 25 2" xfId="288"/>
    <cellStyle name="Saída 25 2 10" xfId="3370"/>
    <cellStyle name="Saída 25 2 11" xfId="2430"/>
    <cellStyle name="Saída 25 2 12" xfId="3819"/>
    <cellStyle name="Saída 25 2 13" xfId="4007"/>
    <cellStyle name="Saída 25 2 14" xfId="3174"/>
    <cellStyle name="Saída 25 2 2" xfId="1021"/>
    <cellStyle name="Saída 25 2 3" xfId="1232"/>
    <cellStyle name="Saída 25 2 4" xfId="764"/>
    <cellStyle name="Saída 25 2 5" xfId="1953"/>
    <cellStyle name="Saída 25 2 6" xfId="2360"/>
    <cellStyle name="Saída 25 2 7" xfId="1466"/>
    <cellStyle name="Saída 25 2 8" xfId="2870"/>
    <cellStyle name="Saída 25 2 9" xfId="3126"/>
    <cellStyle name="Saída 25 3" xfId="741"/>
    <cellStyle name="Saída 25 4" xfId="1266"/>
    <cellStyle name="Saída 25 5" xfId="1577"/>
    <cellStyle name="Saída 25 6" xfId="1839"/>
    <cellStyle name="Saída 25 7" xfId="1204"/>
    <cellStyle name="Saída 25 8" xfId="2049"/>
    <cellStyle name="Saída 25 9" xfId="1288"/>
    <cellStyle name="Saída 26" xfId="532"/>
    <cellStyle name="Saída 26 10" xfId="2922"/>
    <cellStyle name="Saída 26 11" xfId="2988"/>
    <cellStyle name="Saída 26 12" xfId="3217"/>
    <cellStyle name="Saída 26 13" xfId="3635"/>
    <cellStyle name="Saída 26 14" xfId="3854"/>
    <cellStyle name="Saída 26 2" xfId="1060"/>
    <cellStyle name="Saída 26 3" xfId="1129"/>
    <cellStyle name="Saída 26 4" xfId="1237"/>
    <cellStyle name="Saída 26 5" xfId="1571"/>
    <cellStyle name="Saída 26 6" xfId="1737"/>
    <cellStyle name="Saída 26 7" xfId="2197"/>
    <cellStyle name="Saída 26 8" xfId="2071"/>
    <cellStyle name="Saída 26 9" xfId="2669"/>
    <cellStyle name="Saída 27" xfId="824"/>
    <cellStyle name="Saída 27 10" xfId="3184"/>
    <cellStyle name="Saída 27 11" xfId="3002"/>
    <cellStyle name="Saída 27 12" xfId="3644"/>
    <cellStyle name="Saída 27 13" xfId="3846"/>
    <cellStyle name="Saída 27 14" xfId="4085"/>
    <cellStyle name="Saída 27 2" xfId="1351"/>
    <cellStyle name="Saída 27 3" xfId="1371"/>
    <cellStyle name="Saída 27 4" xfId="1773"/>
    <cellStyle name="Saída 27 5" xfId="1786"/>
    <cellStyle name="Saída 27 6" xfId="2165"/>
    <cellStyle name="Saída 27 7" xfId="2453"/>
    <cellStyle name="Saída 27 8" xfId="2678"/>
    <cellStyle name="Saída 27 9" xfId="2931"/>
    <cellStyle name="Saída 3" xfId="180"/>
    <cellStyle name="Saída 3 10" xfId="2421"/>
    <cellStyle name="Saída 3 11" xfId="2616"/>
    <cellStyle name="Saída 3 12" xfId="2748"/>
    <cellStyle name="Saída 3 13" xfId="2636"/>
    <cellStyle name="Saída 3 14" xfId="2170"/>
    <cellStyle name="Saída 3 15" xfId="3120"/>
    <cellStyle name="Saída 3 16" xfId="4020"/>
    <cellStyle name="Saída 3 2" xfId="328"/>
    <cellStyle name="Saída 3 2 10" xfId="3263"/>
    <cellStyle name="Saída 3 2 11" xfId="2876"/>
    <cellStyle name="Saída 3 2 12" xfId="3713"/>
    <cellStyle name="Saída 3 2 13" xfId="3900"/>
    <cellStyle name="Saída 3 2 14" xfId="3864"/>
    <cellStyle name="Saída 3 2 2" xfId="914"/>
    <cellStyle name="Saída 3 2 3" xfId="1272"/>
    <cellStyle name="Saída 3 2 4" xfId="1170"/>
    <cellStyle name="Saída 3 2 5" xfId="1632"/>
    <cellStyle name="Saída 3 2 6" xfId="2253"/>
    <cellStyle name="Saída 3 2 7" xfId="2135"/>
    <cellStyle name="Saída 3 2 8" xfId="2763"/>
    <cellStyle name="Saída 3 2 9" xfId="3019"/>
    <cellStyle name="Saída 3 3" xfId="633"/>
    <cellStyle name="Saída 3 4" xfId="1160"/>
    <cellStyle name="Saída 3 5" xfId="1118"/>
    <cellStyle name="Saída 3 6" xfId="1631"/>
    <cellStyle name="Saída 3 7" xfId="1688"/>
    <cellStyle name="Saída 3 8" xfId="1385"/>
    <cellStyle name="Saída 3 9" xfId="2569"/>
    <cellStyle name="Saída 4" xfId="203"/>
    <cellStyle name="Saída 4 10" xfId="2556"/>
    <cellStyle name="Saída 4 11" xfId="2721"/>
    <cellStyle name="Saída 4 12" xfId="2976"/>
    <cellStyle name="Saída 4 13" xfId="3527"/>
    <cellStyle name="Saída 4 14" xfId="3520"/>
    <cellStyle name="Saída 4 15" xfId="3678"/>
    <cellStyle name="Saída 4 16" xfId="1959"/>
    <cellStyle name="Saída 4 2" xfId="351"/>
    <cellStyle name="Saída 4 2 10" xfId="3286"/>
    <cellStyle name="Saída 4 2 11" xfId="1303"/>
    <cellStyle name="Saída 4 2 12" xfId="3736"/>
    <cellStyle name="Saída 4 2 13" xfId="3923"/>
    <cellStyle name="Saída 4 2 14" xfId="1871"/>
    <cellStyle name="Saída 4 2 2" xfId="937"/>
    <cellStyle name="Saída 4 2 3" xfId="1542"/>
    <cellStyle name="Saída 4 2 4" xfId="1394"/>
    <cellStyle name="Saída 4 2 5" xfId="2109"/>
    <cellStyle name="Saída 4 2 6" xfId="2276"/>
    <cellStyle name="Saída 4 2 7" xfId="2154"/>
    <cellStyle name="Saída 4 2 8" xfId="2786"/>
    <cellStyle name="Saída 4 2 9" xfId="3042"/>
    <cellStyle name="Saída 4 3" xfId="656"/>
    <cellStyle name="Saída 4 4" xfId="1182"/>
    <cellStyle name="Saída 4 5" xfId="1276"/>
    <cellStyle name="Saída 4 6" xfId="1489"/>
    <cellStyle name="Saída 4 7" xfId="1697"/>
    <cellStyle name="Saída 4 8" xfId="1465"/>
    <cellStyle name="Saída 4 9" xfId="1861"/>
    <cellStyle name="Saída 5" xfId="178"/>
    <cellStyle name="Saída 5 10" xfId="2475"/>
    <cellStyle name="Saída 5 11" xfId="2729"/>
    <cellStyle name="Saída 5 12" xfId="2984"/>
    <cellStyle name="Saída 5 13" xfId="2137"/>
    <cellStyle name="Saída 5 14" xfId="3572"/>
    <cellStyle name="Saída 5 15" xfId="3686"/>
    <cellStyle name="Saída 5 16" xfId="4015"/>
    <cellStyle name="Saída 5 2" xfId="326"/>
    <cellStyle name="Saída 5 2 10" xfId="3261"/>
    <cellStyle name="Saída 5 2 11" xfId="3144"/>
    <cellStyle name="Saída 5 2 12" xfId="3711"/>
    <cellStyle name="Saída 5 2 13" xfId="3898"/>
    <cellStyle name="Saída 5 2 14" xfId="1968"/>
    <cellStyle name="Saída 5 2 2" xfId="912"/>
    <cellStyle name="Saída 5 2 3" xfId="1323"/>
    <cellStyle name="Saída 5 2 4" xfId="1523"/>
    <cellStyle name="Saída 5 2 5" xfId="2008"/>
    <cellStyle name="Saída 5 2 6" xfId="2251"/>
    <cellStyle name="Saída 5 2 7" xfId="2362"/>
    <cellStyle name="Saída 5 2 8" xfId="2761"/>
    <cellStyle name="Saída 5 2 9" xfId="3017"/>
    <cellStyle name="Saída 5 3" xfId="631"/>
    <cellStyle name="Saída 5 4" xfId="1158"/>
    <cellStyle name="Saída 5 5" xfId="1055"/>
    <cellStyle name="Saída 5 6" xfId="1613"/>
    <cellStyle name="Saída 5 7" xfId="1404"/>
    <cellStyle name="Saída 5 8" xfId="1873"/>
    <cellStyle name="Saída 5 9" xfId="2530"/>
    <cellStyle name="Saída 6" xfId="205"/>
    <cellStyle name="Saída 6 10" xfId="1211"/>
    <cellStyle name="Saída 6 11" xfId="2624"/>
    <cellStyle name="Saída 6 12" xfId="2879"/>
    <cellStyle name="Saída 6 13" xfId="3508"/>
    <cellStyle name="Saída 6 14" xfId="3612"/>
    <cellStyle name="Saída 6 15" xfId="3436"/>
    <cellStyle name="Saída 6 16" xfId="4035"/>
    <cellStyle name="Saída 6 2" xfId="353"/>
    <cellStyle name="Saída 6 2 10" xfId="3288"/>
    <cellStyle name="Saída 6 2 11" xfId="3466"/>
    <cellStyle name="Saída 6 2 12" xfId="3738"/>
    <cellStyle name="Saída 6 2 13" xfId="3925"/>
    <cellStyle name="Saída 6 2 14" xfId="4072"/>
    <cellStyle name="Saída 6 2 2" xfId="939"/>
    <cellStyle name="Saída 6 2 3" xfId="1039"/>
    <cellStyle name="Saída 6 2 4" xfId="1752"/>
    <cellStyle name="Saída 6 2 5" xfId="1537"/>
    <cellStyle name="Saída 6 2 6" xfId="2278"/>
    <cellStyle name="Saída 6 2 7" xfId="2427"/>
    <cellStyle name="Saída 6 2 8" xfId="2788"/>
    <cellStyle name="Saída 6 2 9" xfId="3044"/>
    <cellStyle name="Saída 6 3" xfId="658"/>
    <cellStyle name="Saída 6 4" xfId="1184"/>
    <cellStyle name="Saída 6 5" xfId="1207"/>
    <cellStyle name="Saída 6 6" xfId="1689"/>
    <cellStyle name="Saída 6 7" xfId="1944"/>
    <cellStyle name="Saída 6 8" xfId="1047"/>
    <cellStyle name="Saída 6 9" xfId="1655"/>
    <cellStyle name="Saída 7" xfId="177"/>
    <cellStyle name="Saída 7 10" xfId="2374"/>
    <cellStyle name="Saída 7 11" xfId="1607"/>
    <cellStyle name="Saída 7 12" xfId="2369"/>
    <cellStyle name="Saída 7 13" xfId="3585"/>
    <cellStyle name="Saída 7 14" xfId="3247"/>
    <cellStyle name="Saída 7 15" xfId="2896"/>
    <cellStyle name="Saída 7 16" xfId="4028"/>
    <cellStyle name="Saída 7 2" xfId="325"/>
    <cellStyle name="Saída 7 2 10" xfId="3260"/>
    <cellStyle name="Saída 7 2 11" xfId="3146"/>
    <cellStyle name="Saída 7 2 12" xfId="3710"/>
    <cellStyle name="Saída 7 2 13" xfId="3897"/>
    <cellStyle name="Saída 7 2 14" xfId="4104"/>
    <cellStyle name="Saída 7 2 2" xfId="911"/>
    <cellStyle name="Saída 7 2 3" xfId="1357"/>
    <cellStyle name="Saída 7 2 4" xfId="1814"/>
    <cellStyle name="Saída 7 2 5" xfId="1685"/>
    <cellStyle name="Saída 7 2 6" xfId="2250"/>
    <cellStyle name="Saída 7 2 7" xfId="2412"/>
    <cellStyle name="Saída 7 2 8" xfId="2760"/>
    <cellStyle name="Saída 7 2 9" xfId="3016"/>
    <cellStyle name="Saída 7 3" xfId="630"/>
    <cellStyle name="Saída 7 4" xfId="1157"/>
    <cellStyle name="Saída 7 5" xfId="1348"/>
    <cellStyle name="Saída 7 6" xfId="1658"/>
    <cellStyle name="Saída 7 7" xfId="1507"/>
    <cellStyle name="Saída 7 8" xfId="2028"/>
    <cellStyle name="Saída 7 9" xfId="2221"/>
    <cellStyle name="Saída 8" xfId="223"/>
    <cellStyle name="Saída 8 10" xfId="2383"/>
    <cellStyle name="Saída 8 11" xfId="478"/>
    <cellStyle name="Saída 8 12" xfId="1908"/>
    <cellStyle name="Saída 8 13" xfId="2914"/>
    <cellStyle name="Saída 8 14" xfId="2911"/>
    <cellStyle name="Saída 8 15" xfId="3488"/>
    <cellStyle name="Saída 8 16" xfId="3624"/>
    <cellStyle name="Saída 8 2" xfId="370"/>
    <cellStyle name="Saída 8 2 10" xfId="3305"/>
    <cellStyle name="Saída 8 2 11" xfId="3461"/>
    <cellStyle name="Saída 8 2 12" xfId="3755"/>
    <cellStyle name="Saída 8 2 13" xfId="3942"/>
    <cellStyle name="Saída 8 2 14" xfId="4037"/>
    <cellStyle name="Saída 8 2 2" xfId="956"/>
    <cellStyle name="Saída 8 2 3" xfId="1445"/>
    <cellStyle name="Saída 8 2 4" xfId="1691"/>
    <cellStyle name="Saída 8 2 5" xfId="2039"/>
    <cellStyle name="Saída 8 2 6" xfId="2295"/>
    <cellStyle name="Saída 8 2 7" xfId="1732"/>
    <cellStyle name="Saída 8 2 8" xfId="2805"/>
    <cellStyle name="Saída 8 2 9" xfId="3061"/>
    <cellStyle name="Saída 8 3" xfId="676"/>
    <cellStyle name="Saída 8 4" xfId="1202"/>
    <cellStyle name="Saída 8 5" xfId="1274"/>
    <cellStyle name="Saída 8 6" xfId="487"/>
    <cellStyle name="Saída 8 7" xfId="1433"/>
    <cellStyle name="Saída 8 8" xfId="1884"/>
    <cellStyle name="Saída 8 9" xfId="2586"/>
    <cellStyle name="Saída 9" xfId="208"/>
    <cellStyle name="Saída 9 10" xfId="1867"/>
    <cellStyle name="Saída 9 11" xfId="2719"/>
    <cellStyle name="Saída 9 12" xfId="2974"/>
    <cellStyle name="Saída 9 13" xfId="2428"/>
    <cellStyle name="Saída 9 14" xfId="3516"/>
    <cellStyle name="Saída 9 15" xfId="3676"/>
    <cellStyle name="Saída 9 16" xfId="4023"/>
    <cellStyle name="Saída 9 2" xfId="356"/>
    <cellStyle name="Saída 9 2 10" xfId="3291"/>
    <cellStyle name="Saída 9 2 11" xfId="2613"/>
    <cellStyle name="Saída 9 2 12" xfId="3741"/>
    <cellStyle name="Saída 9 2 13" xfId="3928"/>
    <cellStyle name="Saída 9 2 14" xfId="2918"/>
    <cellStyle name="Saída 9 2 2" xfId="942"/>
    <cellStyle name="Saída 9 2 3" xfId="1327"/>
    <cellStyle name="Saída 9 2 4" xfId="1109"/>
    <cellStyle name="Saída 9 2 5" xfId="1154"/>
    <cellStyle name="Saída 9 2 6" xfId="2281"/>
    <cellStyle name="Saída 9 2 7" xfId="2225"/>
    <cellStyle name="Saída 9 2 8" xfId="2791"/>
    <cellStyle name="Saída 9 2 9" xfId="3047"/>
    <cellStyle name="Saída 9 3" xfId="661"/>
    <cellStyle name="Saída 9 4" xfId="1187"/>
    <cellStyle name="Saída 9 5" xfId="1049"/>
    <cellStyle name="Saída 9 6" xfId="1639"/>
    <cellStyle name="Saída 9 7" xfId="1493"/>
    <cellStyle name="Saída 9 8" xfId="1712"/>
    <cellStyle name="Saída 9 9" xfId="2449"/>
    <cellStyle name="Separador de milhares 2" xfId="300"/>
    <cellStyle name="Separador de milhares 2 2" xfId="301"/>
    <cellStyle name="Separador de milhares 2 2 2" xfId="302"/>
    <cellStyle name="Texto de Aviso" xfId="78" builtinId="11" customBuiltin="1"/>
    <cellStyle name="Texto de Aviso 2" xfId="533"/>
    <cellStyle name="Texto Explicativo" xfId="79" builtinId="53" customBuiltin="1"/>
    <cellStyle name="Texto Explicativo 2" xfId="534"/>
    <cellStyle name="Title" xfId="80"/>
    <cellStyle name="Title 2" xfId="897"/>
    <cellStyle name="Title 3" xfId="615"/>
    <cellStyle name="Título" xfId="81" builtinId="15" customBuiltin="1"/>
    <cellStyle name="Título 1" xfId="82" builtinId="16" customBuiltin="1"/>
    <cellStyle name="Título 1 2" xfId="165"/>
    <cellStyle name="Título 1 2 2" xfId="899"/>
    <cellStyle name="Título 1 2 3" xfId="617"/>
    <cellStyle name="Título 1 3" xfId="123"/>
    <cellStyle name="Título 1 3 2" xfId="535"/>
    <cellStyle name="Título 2" xfId="83" builtinId="17" customBuiltin="1"/>
    <cellStyle name="Título 2 2" xfId="166"/>
    <cellStyle name="Título 2 2 2" xfId="900"/>
    <cellStyle name="Título 2 2 3" xfId="618"/>
    <cellStyle name="Título 2 3" xfId="124"/>
    <cellStyle name="Título 2 3 2" xfId="536"/>
    <cellStyle name="Título 3" xfId="84" builtinId="18" customBuiltin="1"/>
    <cellStyle name="Título 3 2" xfId="167"/>
    <cellStyle name="Título 3 2 2" xfId="901"/>
    <cellStyle name="Título 3 2 3" xfId="619"/>
    <cellStyle name="Título 3 3" xfId="125"/>
    <cellStyle name="Título 3 3 2" xfId="537"/>
    <cellStyle name="Título 4" xfId="85" builtinId="19" customBuiltin="1"/>
    <cellStyle name="Título 4 2" xfId="168"/>
    <cellStyle name="Título 4 2 2" xfId="902"/>
    <cellStyle name="Título 4 2 3" xfId="620"/>
    <cellStyle name="Título 4 3" xfId="126"/>
    <cellStyle name="Título 4 3 2" xfId="538"/>
    <cellStyle name="Título 5" xfId="127"/>
    <cellStyle name="Título 5 2" xfId="539"/>
    <cellStyle name="Título 6" xfId="164"/>
    <cellStyle name="Título 6 2" xfId="898"/>
    <cellStyle name="Título 6 3" xfId="616"/>
    <cellStyle name="Total" xfId="86" builtinId="25" customBuiltin="1"/>
    <cellStyle name="Total 10" xfId="224"/>
    <cellStyle name="Total 10 10" xfId="1648"/>
    <cellStyle name="Total 10 11" xfId="1176"/>
    <cellStyle name="Total 10 12" xfId="3386"/>
    <cellStyle name="Total 10 13" xfId="2524"/>
    <cellStyle name="Total 10 14" xfId="3240"/>
    <cellStyle name="Total 10 15" xfId="4077"/>
    <cellStyle name="Total 10 2" xfId="371"/>
    <cellStyle name="Total 10 2 10" xfId="3306"/>
    <cellStyle name="Total 10 2 11" xfId="3152"/>
    <cellStyle name="Total 10 2 12" xfId="3756"/>
    <cellStyle name="Total 10 2 13" xfId="3943"/>
    <cellStyle name="Total 10 2 14" xfId="4114"/>
    <cellStyle name="Total 10 2 2" xfId="957"/>
    <cellStyle name="Total 10 2 3" xfId="1564"/>
    <cellStyle name="Total 10 2 4" xfId="1826"/>
    <cellStyle name="Total 10 2 5" xfId="1595"/>
    <cellStyle name="Total 10 2 6" xfId="2296"/>
    <cellStyle name="Total 10 2 7" xfId="2171"/>
    <cellStyle name="Total 10 2 8" xfId="2806"/>
    <cellStyle name="Total 10 2 9" xfId="3062"/>
    <cellStyle name="Total 10 3" xfId="677"/>
    <cellStyle name="Total 10 4" xfId="1090"/>
    <cellStyle name="Total 10 5" xfId="1762"/>
    <cellStyle name="Total 10 6" xfId="1219"/>
    <cellStyle name="Total 10 7" xfId="1774"/>
    <cellStyle name="Total 10 8" xfId="2161"/>
    <cellStyle name="Total 10 9" xfId="2013"/>
    <cellStyle name="Total 11" xfId="230"/>
    <cellStyle name="Total 11 10" xfId="2560"/>
    <cellStyle name="Total 11 11" xfId="1145"/>
    <cellStyle name="Total 11 12" xfId="3424"/>
    <cellStyle name="Total 11 13" xfId="3202"/>
    <cellStyle name="Total 11 14" xfId="3195"/>
    <cellStyle name="Total 11 15" xfId="4066"/>
    <cellStyle name="Total 11 2" xfId="377"/>
    <cellStyle name="Total 11 2 10" xfId="3312"/>
    <cellStyle name="Total 11 2 11" xfId="3155"/>
    <cellStyle name="Total 11 2 12" xfId="3762"/>
    <cellStyle name="Total 11 2 13" xfId="3949"/>
    <cellStyle name="Total 11 2 14" xfId="3853"/>
    <cellStyle name="Total 11 2 2" xfId="963"/>
    <cellStyle name="Total 11 2 3" xfId="1125"/>
    <cellStyle name="Total 11 2 4" xfId="1441"/>
    <cellStyle name="Total 11 2 5" xfId="2101"/>
    <cellStyle name="Total 11 2 6" xfId="2302"/>
    <cellStyle name="Total 11 2 7" xfId="1608"/>
    <cellStyle name="Total 11 2 8" xfId="2812"/>
    <cellStyle name="Total 11 2 9" xfId="3068"/>
    <cellStyle name="Total 11 3" xfId="683"/>
    <cellStyle name="Total 11 4" xfId="1096"/>
    <cellStyle name="Total 11 5" xfId="1745"/>
    <cellStyle name="Total 11 6" xfId="2002"/>
    <cellStyle name="Total 11 7" xfId="1075"/>
    <cellStyle name="Total 11 8" xfId="1909"/>
    <cellStyle name="Total 11 9" xfId="2029"/>
    <cellStyle name="Total 12" xfId="232"/>
    <cellStyle name="Total 12 10" xfId="1167"/>
    <cellStyle name="Total 12 11" xfId="1525"/>
    <cellStyle name="Total 12 12" xfId="3605"/>
    <cellStyle name="Total 12 13" xfId="2682"/>
    <cellStyle name="Total 12 14" xfId="3500"/>
    <cellStyle name="Total 12 15" xfId="3483"/>
    <cellStyle name="Total 12 2" xfId="379"/>
    <cellStyle name="Total 12 2 10" xfId="3314"/>
    <cellStyle name="Total 12 2 11" xfId="3156"/>
    <cellStyle name="Total 12 2 12" xfId="3764"/>
    <cellStyle name="Total 12 2 13" xfId="3951"/>
    <cellStyle name="Total 12 2 14" xfId="4119"/>
    <cellStyle name="Total 12 2 2" xfId="965"/>
    <cellStyle name="Total 12 2 3" xfId="1578"/>
    <cellStyle name="Total 12 2 4" xfId="1840"/>
    <cellStyle name="Total 12 2 5" xfId="1708"/>
    <cellStyle name="Total 12 2 6" xfId="2304"/>
    <cellStyle name="Total 12 2 7" xfId="2391"/>
    <cellStyle name="Total 12 2 8" xfId="2814"/>
    <cellStyle name="Total 12 2 9" xfId="3070"/>
    <cellStyle name="Total 12 3" xfId="685"/>
    <cellStyle name="Total 12 4" xfId="1253"/>
    <cellStyle name="Total 12 5" xfId="1197"/>
    <cellStyle name="Total 12 6" xfId="1628"/>
    <cellStyle name="Total 12 7" xfId="1797"/>
    <cellStyle name="Total 12 8" xfId="1921"/>
    <cellStyle name="Total 12 9" xfId="1999"/>
    <cellStyle name="Total 13" xfId="219"/>
    <cellStyle name="Total 13 10" xfId="1486"/>
    <cellStyle name="Total 13 11" xfId="2175"/>
    <cellStyle name="Total 13 12" xfId="3427"/>
    <cellStyle name="Total 13 13" xfId="3495"/>
    <cellStyle name="Total 13 14" xfId="3484"/>
    <cellStyle name="Total 13 15" xfId="3625"/>
    <cellStyle name="Total 13 2" xfId="366"/>
    <cellStyle name="Total 13 2 10" xfId="3301"/>
    <cellStyle name="Total 13 2 11" xfId="2933"/>
    <cellStyle name="Total 13 2 12" xfId="3751"/>
    <cellStyle name="Total 13 2 13" xfId="3938"/>
    <cellStyle name="Total 13 2 14" xfId="4103"/>
    <cellStyle name="Total 13 2 2" xfId="952"/>
    <cellStyle name="Total 13 2 3" xfId="1074"/>
    <cellStyle name="Total 13 2 4" xfId="1813"/>
    <cellStyle name="Total 13 2 5" xfId="1678"/>
    <cellStyle name="Total 13 2 6" xfId="2291"/>
    <cellStyle name="Total 13 2 7" xfId="1973"/>
    <cellStyle name="Total 13 2 8" xfId="2801"/>
    <cellStyle name="Total 13 2 9" xfId="3057"/>
    <cellStyle name="Total 13 3" xfId="672"/>
    <cellStyle name="Total 13 4" xfId="1329"/>
    <cellStyle name="Total 13 5" xfId="1481"/>
    <cellStyle name="Total 13 6" xfId="1676"/>
    <cellStyle name="Total 13 7" xfId="2031"/>
    <cellStyle name="Total 13 8" xfId="1781"/>
    <cellStyle name="Total 13 9" xfId="2406"/>
    <cellStyle name="Total 14" xfId="235"/>
    <cellStyle name="Total 14 10" xfId="2626"/>
    <cellStyle name="Total 14 11" xfId="2881"/>
    <cellStyle name="Total 14 12" xfId="3421"/>
    <cellStyle name="Total 14 13" xfId="3614"/>
    <cellStyle name="Total 14 14" xfId="3435"/>
    <cellStyle name="Total 14 15" xfId="3873"/>
    <cellStyle name="Total 14 2" xfId="382"/>
    <cellStyle name="Total 14 2 10" xfId="3317"/>
    <cellStyle name="Total 14 2 11" xfId="3157"/>
    <cellStyle name="Total 14 2 12" xfId="3767"/>
    <cellStyle name="Total 14 2 13" xfId="3954"/>
    <cellStyle name="Total 14 2 14" xfId="3838"/>
    <cellStyle name="Total 14 2 2" xfId="968"/>
    <cellStyle name="Total 14 2 3" xfId="1427"/>
    <cellStyle name="Total 14 2 4" xfId="457"/>
    <cellStyle name="Total 14 2 5" xfId="1261"/>
    <cellStyle name="Total 14 2 6" xfId="2307"/>
    <cellStyle name="Total 14 2 7" xfId="2455"/>
    <cellStyle name="Total 14 2 8" xfId="2817"/>
    <cellStyle name="Total 14 2 9" xfId="3073"/>
    <cellStyle name="Total 14 3" xfId="688"/>
    <cellStyle name="Total 14 4" xfId="1344"/>
    <cellStyle name="Total 14 5" xfId="1234"/>
    <cellStyle name="Total 14 6" xfId="1042"/>
    <cellStyle name="Total 14 7" xfId="1193"/>
    <cellStyle name="Total 14 8" xfId="2462"/>
    <cellStyle name="Total 14 9" xfId="1916"/>
    <cellStyle name="Total 15" xfId="237"/>
    <cellStyle name="Total 15 10" xfId="2709"/>
    <cellStyle name="Total 15 11" xfId="2964"/>
    <cellStyle name="Total 15 12" xfId="3419"/>
    <cellStyle name="Total 15 13" xfId="3518"/>
    <cellStyle name="Total 15 14" xfId="3666"/>
    <cellStyle name="Total 15 15" xfId="2925"/>
    <cellStyle name="Total 15 2" xfId="384"/>
    <cellStyle name="Total 15 2 10" xfId="3319"/>
    <cellStyle name="Total 15 2 11" xfId="1902"/>
    <cellStyle name="Total 15 2 12" xfId="3769"/>
    <cellStyle name="Total 15 2 13" xfId="3956"/>
    <cellStyle name="Total 15 2 14" xfId="3865"/>
    <cellStyle name="Total 15 2 2" xfId="970"/>
    <cellStyle name="Total 15 2 3" xfId="1316"/>
    <cellStyle name="Total 15 2 4" xfId="1349"/>
    <cellStyle name="Total 15 2 5" xfId="1838"/>
    <cellStyle name="Total 15 2 6" xfId="2309"/>
    <cellStyle name="Total 15 2 7" xfId="2437"/>
    <cellStyle name="Total 15 2 8" xfId="2819"/>
    <cellStyle name="Total 15 2 9" xfId="3075"/>
    <cellStyle name="Total 15 3" xfId="690"/>
    <cellStyle name="Total 15 4" xfId="1418"/>
    <cellStyle name="Total 15 5" xfId="1015"/>
    <cellStyle name="Total 15 6" xfId="1181"/>
    <cellStyle name="Total 15 7" xfId="1506"/>
    <cellStyle name="Total 15 8" xfId="1988"/>
    <cellStyle name="Total 15 9" xfId="2619"/>
    <cellStyle name="Total 16" xfId="266"/>
    <cellStyle name="Total 16 10" xfId="2110"/>
    <cellStyle name="Total 16 11" xfId="2653"/>
    <cellStyle name="Total 16 12" xfId="3401"/>
    <cellStyle name="Total 16 13" xfId="3003"/>
    <cellStyle name="Total 16 14" xfId="3206"/>
    <cellStyle name="Total 16 15" xfId="3209"/>
    <cellStyle name="Total 16 2" xfId="411"/>
    <cellStyle name="Total 16 2 10" xfId="3348"/>
    <cellStyle name="Total 16 2 11" xfId="2938"/>
    <cellStyle name="Total 16 2 12" xfId="3798"/>
    <cellStyle name="Total 16 2 13" xfId="3985"/>
    <cellStyle name="Total 16 2 14" xfId="1895"/>
    <cellStyle name="Total 16 2 2" xfId="999"/>
    <cellStyle name="Total 16 2 3" xfId="477"/>
    <cellStyle name="Total 16 2 4" xfId="1482"/>
    <cellStyle name="Total 16 2 5" xfId="1920"/>
    <cellStyle name="Total 16 2 6" xfId="2338"/>
    <cellStyle name="Total 16 2 7" xfId="2413"/>
    <cellStyle name="Total 16 2 8" xfId="2848"/>
    <cellStyle name="Total 16 2 9" xfId="3104"/>
    <cellStyle name="Total 16 3" xfId="719"/>
    <cellStyle name="Total 16 4" xfId="744"/>
    <cellStyle name="Total 16 5" xfId="1324"/>
    <cellStyle name="Total 16 6" xfId="1046"/>
    <cellStyle name="Total 16 7" xfId="2070"/>
    <cellStyle name="Total 16 8" xfId="2019"/>
    <cellStyle name="Total 16 9" xfId="1894"/>
    <cellStyle name="Total 17" xfId="268"/>
    <cellStyle name="Total 17 10" xfId="1985"/>
    <cellStyle name="Total 17 11" xfId="2187"/>
    <cellStyle name="Total 17 12" xfId="3399"/>
    <cellStyle name="Total 17 13" xfId="2905"/>
    <cellStyle name="Total 17 14" xfId="3237"/>
    <cellStyle name="Total 17 15" xfId="3631"/>
    <cellStyle name="Total 17 2" xfId="412"/>
    <cellStyle name="Total 17 2 10" xfId="3350"/>
    <cellStyle name="Total 17 2 11" xfId="3145"/>
    <cellStyle name="Total 17 2 12" xfId="3800"/>
    <cellStyle name="Total 17 2 13" xfId="3987"/>
    <cellStyle name="Total 17 2 14" xfId="4057"/>
    <cellStyle name="Total 17 2 2" xfId="1001"/>
    <cellStyle name="Total 17 2 3" xfId="1101"/>
    <cellStyle name="Total 17 2 4" xfId="1730"/>
    <cellStyle name="Total 17 2 5" xfId="2076"/>
    <cellStyle name="Total 17 2 6" xfId="2340"/>
    <cellStyle name="Total 17 2 7" xfId="2523"/>
    <cellStyle name="Total 17 2 8" xfId="2850"/>
    <cellStyle name="Total 17 2 9" xfId="3106"/>
    <cellStyle name="Total 17 3" xfId="721"/>
    <cellStyle name="Total 17 4" xfId="1410"/>
    <cellStyle name="Total 17 5" xfId="1071"/>
    <cellStyle name="Total 17 6" xfId="1987"/>
    <cellStyle name="Total 17 7" xfId="1859"/>
    <cellStyle name="Total 17 8" xfId="2559"/>
    <cellStyle name="Total 17 9" xfId="2601"/>
    <cellStyle name="Total 18" xfId="272"/>
    <cellStyle name="Total 18 10" xfId="2168"/>
    <cellStyle name="Total 18 11" xfId="2877"/>
    <cellStyle name="Total 18 12" xfId="3142"/>
    <cellStyle name="Total 18 13" xfId="3584"/>
    <cellStyle name="Total 18 14" xfId="3437"/>
    <cellStyle name="Total 18 15" xfId="3837"/>
    <cellStyle name="Total 18 2" xfId="416"/>
    <cellStyle name="Total 18 2 10" xfId="3354"/>
    <cellStyle name="Total 18 2 11" xfId="3383"/>
    <cellStyle name="Total 18 2 12" xfId="3804"/>
    <cellStyle name="Total 18 2 13" xfId="3991"/>
    <cellStyle name="Total 18 2 14" xfId="4128"/>
    <cellStyle name="Total 18 2 2" xfId="1005"/>
    <cellStyle name="Total 18 2 3" xfId="1592"/>
    <cellStyle name="Total 18 2 4" xfId="1854"/>
    <cellStyle name="Total 18 2 5" xfId="1376"/>
    <cellStyle name="Total 18 2 6" xfId="2344"/>
    <cellStyle name="Total 18 2 7" xfId="2441"/>
    <cellStyle name="Total 18 2 8" xfId="2854"/>
    <cellStyle name="Total 18 2 9" xfId="3110"/>
    <cellStyle name="Total 18 3" xfId="725"/>
    <cellStyle name="Total 18 4" xfId="1144"/>
    <cellStyle name="Total 18 5" xfId="1520"/>
    <cellStyle name="Total 18 6" xfId="1675"/>
    <cellStyle name="Total 18 7" xfId="2081"/>
    <cellStyle name="Total 18 8" xfId="1955"/>
    <cellStyle name="Total 18 9" xfId="2506"/>
    <cellStyle name="Total 19" xfId="275"/>
    <cellStyle name="Total 19 10" xfId="1922"/>
    <cellStyle name="Total 19 11" xfId="2122"/>
    <cellStyle name="Total 19 12" xfId="1173"/>
    <cellStyle name="Total 19 13" xfId="2575"/>
    <cellStyle name="Total 19 14" xfId="3238"/>
    <cellStyle name="Total 19 15" xfId="4081"/>
    <cellStyle name="Total 19 2" xfId="419"/>
    <cellStyle name="Total 19 2 10" xfId="3357"/>
    <cellStyle name="Total 19 2 11" xfId="3163"/>
    <cellStyle name="Total 19 2 12" xfId="3807"/>
    <cellStyle name="Total 19 2 13" xfId="3994"/>
    <cellStyle name="Total 19 2 14" xfId="4086"/>
    <cellStyle name="Total 19 2 2" xfId="1008"/>
    <cellStyle name="Total 19 2 3" xfId="491"/>
    <cellStyle name="Total 19 2 4" xfId="1775"/>
    <cellStyle name="Total 19 2 5" xfId="1954"/>
    <cellStyle name="Total 19 2 6" xfId="2347"/>
    <cellStyle name="Total 19 2 7" xfId="2472"/>
    <cellStyle name="Total 19 2 8" xfId="2857"/>
    <cellStyle name="Total 19 2 9" xfId="3113"/>
    <cellStyle name="Total 19 3" xfId="728"/>
    <cellStyle name="Total 19 4" xfId="489"/>
    <cellStyle name="Total 19 5" xfId="1767"/>
    <cellStyle name="Total 19 6" xfId="1093"/>
    <cellStyle name="Total 19 7" xfId="1646"/>
    <cellStyle name="Total 19 8" xfId="2527"/>
    <cellStyle name="Total 19 9" xfId="2203"/>
    <cellStyle name="Total 2" xfId="169"/>
    <cellStyle name="Total 2 10" xfId="2237"/>
    <cellStyle name="Total 2 11" xfId="1040"/>
    <cellStyle name="Total 2 12" xfId="1424"/>
    <cellStyle name="Total 2 13" xfId="3134"/>
    <cellStyle name="Total 2 14" xfId="3544"/>
    <cellStyle name="Total 2 15" xfId="3139"/>
    <cellStyle name="Total 2 16" xfId="4088"/>
    <cellStyle name="Total 2 2" xfId="903"/>
    <cellStyle name="Total 2 2 10" xfId="3252"/>
    <cellStyle name="Total 2 2 11" xfId="3523"/>
    <cellStyle name="Total 2 2 12" xfId="3703"/>
    <cellStyle name="Total 2 2 13" xfId="3890"/>
    <cellStyle name="Total 2 2 14" xfId="3205"/>
    <cellStyle name="Total 2 2 2" xfId="1430"/>
    <cellStyle name="Total 2 2 3" xfId="474"/>
    <cellStyle name="Total 2 2 4" xfId="1390"/>
    <cellStyle name="Total 2 2 5" xfId="2106"/>
    <cellStyle name="Total 2 2 6" xfId="2242"/>
    <cellStyle name="Total 2 2 7" xfId="2466"/>
    <cellStyle name="Total 2 2 8" xfId="2752"/>
    <cellStyle name="Total 2 2 9" xfId="3008"/>
    <cellStyle name="Total 2 3" xfId="621"/>
    <cellStyle name="Total 2 4" xfId="1148"/>
    <cellStyle name="Total 2 5" xfId="1083"/>
    <cellStyle name="Total 2 6" xfId="1783"/>
    <cellStyle name="Total 2 7" xfId="1641"/>
    <cellStyle name="Total 2 8" xfId="2020"/>
    <cellStyle name="Total 2 9" xfId="2202"/>
    <cellStyle name="Total 20" xfId="277"/>
    <cellStyle name="Total 20 10" xfId="2696"/>
    <cellStyle name="Total 20 11" xfId="2951"/>
    <cellStyle name="Total 20 12" xfId="3188"/>
    <cellStyle name="Total 20 13" xfId="2375"/>
    <cellStyle name="Total 20 14" xfId="3653"/>
    <cellStyle name="Total 20 15" xfId="4043"/>
    <cellStyle name="Total 20 2" xfId="420"/>
    <cellStyle name="Total 20 2 10" xfId="3359"/>
    <cellStyle name="Total 20 2 11" xfId="3005"/>
    <cellStyle name="Total 20 2 12" xfId="3809"/>
    <cellStyle name="Total 20 2 13" xfId="3996"/>
    <cellStyle name="Total 20 2 14" xfId="4112"/>
    <cellStyle name="Total 20 2 2" xfId="1010"/>
    <cellStyle name="Total 20 2 3" xfId="1562"/>
    <cellStyle name="Total 20 2 4" xfId="1824"/>
    <cellStyle name="Total 20 2 5" xfId="2116"/>
    <cellStyle name="Total 20 2 6" xfId="2349"/>
    <cellStyle name="Total 20 2 7" xfId="2382"/>
    <cellStyle name="Total 20 2 8" xfId="2859"/>
    <cellStyle name="Total 20 2 9" xfId="3115"/>
    <cellStyle name="Total 20 3" xfId="730"/>
    <cellStyle name="Total 20 4" xfId="1112"/>
    <cellStyle name="Total 20 5" xfId="1700"/>
    <cellStyle name="Total 20 6" xfId="1664"/>
    <cellStyle name="Total 20 7" xfId="1870"/>
    <cellStyle name="Total 20 8" xfId="2222"/>
    <cellStyle name="Total 20 9" xfId="1926"/>
    <cellStyle name="Total 21" xfId="278"/>
    <cellStyle name="Total 21 10" xfId="2097"/>
    <cellStyle name="Total 21 11" xfId="2875"/>
    <cellStyle name="Total 21 12" xfId="3396"/>
    <cellStyle name="Total 21 13" xfId="3528"/>
    <cellStyle name="Total 21 14" xfId="3438"/>
    <cellStyle name="Total 21 15" xfId="4024"/>
    <cellStyle name="Total 21 2" xfId="421"/>
    <cellStyle name="Total 21 2 10" xfId="3360"/>
    <cellStyle name="Total 21 2 11" xfId="3442"/>
    <cellStyle name="Total 21 2 12" xfId="3810"/>
    <cellStyle name="Total 21 2 13" xfId="3997"/>
    <cellStyle name="Total 21 2 14" xfId="4008"/>
    <cellStyle name="Total 21 2 2" xfId="1011"/>
    <cellStyle name="Total 21 2 3" xfId="1444"/>
    <cellStyle name="Total 21 2 4" xfId="1389"/>
    <cellStyle name="Total 21 2 5" xfId="1498"/>
    <cellStyle name="Total 21 2 6" xfId="2350"/>
    <cellStyle name="Total 21 2 7" xfId="2583"/>
    <cellStyle name="Total 21 2 8" xfId="2860"/>
    <cellStyle name="Total 21 2 9" xfId="3116"/>
    <cellStyle name="Total 21 3" xfId="731"/>
    <cellStyle name="Total 21 4" xfId="1115"/>
    <cellStyle name="Total 21 5" xfId="1643"/>
    <cellStyle name="Total 21 6" xfId="1375"/>
    <cellStyle name="Total 21 7" xfId="1665"/>
    <cellStyle name="Total 21 8" xfId="2513"/>
    <cellStyle name="Total 21 9" xfId="2611"/>
    <cellStyle name="Total 22" xfId="279"/>
    <cellStyle name="Total 22 10" xfId="2502"/>
    <cellStyle name="Total 22 11" xfId="2885"/>
    <cellStyle name="Total 22 12" xfId="3187"/>
    <cellStyle name="Total 22 13" xfId="3618"/>
    <cellStyle name="Total 22 14" xfId="3433"/>
    <cellStyle name="Total 22 15" xfId="4079"/>
    <cellStyle name="Total 22 2" xfId="422"/>
    <cellStyle name="Total 22 2 10" xfId="3361"/>
    <cellStyle name="Total 22 2 11" xfId="3164"/>
    <cellStyle name="Total 22 2 12" xfId="3811"/>
    <cellStyle name="Total 22 2 13" xfId="3998"/>
    <cellStyle name="Total 22 2 14" xfId="3869"/>
    <cellStyle name="Total 22 2 2" xfId="1012"/>
    <cellStyle name="Total 22 2 3" xfId="1334"/>
    <cellStyle name="Total 22 2 4" xfId="475"/>
    <cellStyle name="Total 22 2 5" xfId="1900"/>
    <cellStyle name="Total 22 2 6" xfId="2351"/>
    <cellStyle name="Total 22 2 7" xfId="2140"/>
    <cellStyle name="Total 22 2 8" xfId="2861"/>
    <cellStyle name="Total 22 2 9" xfId="3117"/>
    <cellStyle name="Total 22 3" xfId="732"/>
    <cellStyle name="Total 22 4" xfId="1373"/>
    <cellStyle name="Total 22 5" xfId="1765"/>
    <cellStyle name="Total 22 6" xfId="2034"/>
    <cellStyle name="Total 22 7" xfId="2059"/>
    <cellStyle name="Total 22 8" xfId="2573"/>
    <cellStyle name="Total 22 9" xfId="2632"/>
    <cellStyle name="Total 23" xfId="280"/>
    <cellStyle name="Total 23 10" xfId="2695"/>
    <cellStyle name="Total 23 11" xfId="2950"/>
    <cellStyle name="Total 23 12" xfId="3395"/>
    <cellStyle name="Total 23 13" xfId="2739"/>
    <cellStyle name="Total 23 14" xfId="3652"/>
    <cellStyle name="Total 23 15" xfId="3234"/>
    <cellStyle name="Total 23 2" xfId="423"/>
    <cellStyle name="Total 23 2 10" xfId="3362"/>
    <cellStyle name="Total 23 2 11" xfId="2940"/>
    <cellStyle name="Total 23 2 12" xfId="3812"/>
    <cellStyle name="Total 23 2 13" xfId="3999"/>
    <cellStyle name="Total 23 2 14" xfId="3850"/>
    <cellStyle name="Total 23 2 2" xfId="1013"/>
    <cellStyle name="Total 23 2 3" xfId="1533"/>
    <cellStyle name="Total 23 2 4" xfId="1102"/>
    <cellStyle name="Total 23 2 5" xfId="1841"/>
    <cellStyle name="Total 23 2 6" xfId="2352"/>
    <cellStyle name="Total 23 2 7" xfId="2571"/>
    <cellStyle name="Total 23 2 8" xfId="2862"/>
    <cellStyle name="Total 23 2 9" xfId="3118"/>
    <cellStyle name="Total 23 3" xfId="733"/>
    <cellStyle name="Total 23 4" xfId="1539"/>
    <cellStyle name="Total 23 5" xfId="1225"/>
    <cellStyle name="Total 23 6" xfId="2063"/>
    <cellStyle name="Total 23 7" xfId="1623"/>
    <cellStyle name="Total 23 8" xfId="2142"/>
    <cellStyle name="Total 23 9" xfId="2146"/>
    <cellStyle name="Total 24" xfId="281"/>
    <cellStyle name="Total 24 10" xfId="1753"/>
    <cellStyle name="Total 24 11" xfId="2490"/>
    <cellStyle name="Total 24 12" xfId="3394"/>
    <cellStyle name="Total 24 13" xfId="3229"/>
    <cellStyle name="Total 24 14" xfId="3499"/>
    <cellStyle name="Total 24 15" xfId="4062"/>
    <cellStyle name="Total 24 2" xfId="1014"/>
    <cellStyle name="Total 24 2 10" xfId="2493"/>
    <cellStyle name="Total 24 2 11" xfId="3813"/>
    <cellStyle name="Total 24 2 12" xfId="4000"/>
    <cellStyle name="Total 24 2 13" xfId="2147"/>
    <cellStyle name="Total 24 2 2" xfId="1057"/>
    <cellStyle name="Total 24 2 3" xfId="1459"/>
    <cellStyle name="Total 24 2 4" xfId="2030"/>
    <cellStyle name="Total 24 2 5" xfId="2353"/>
    <cellStyle name="Total 24 2 6" xfId="2125"/>
    <cellStyle name="Total 24 2 7" xfId="2863"/>
    <cellStyle name="Total 24 2 8" xfId="3119"/>
    <cellStyle name="Total 24 2 9" xfId="3363"/>
    <cellStyle name="Total 24 3" xfId="734"/>
    <cellStyle name="Total 24 4" xfId="1382"/>
    <cellStyle name="Total 24 5" xfId="1740"/>
    <cellStyle name="Total 24 6" xfId="2077"/>
    <cellStyle name="Total 24 7" xfId="2090"/>
    <cellStyle name="Total 24 8" xfId="2456"/>
    <cellStyle name="Total 24 9" xfId="1559"/>
    <cellStyle name="Total 25" xfId="128"/>
    <cellStyle name="Total 25 10" xfId="2917"/>
    <cellStyle name="Total 25 11" xfId="2921"/>
    <cellStyle name="Total 25 12" xfId="2899"/>
    <cellStyle name="Total 25 13" xfId="3634"/>
    <cellStyle name="Total 25 14" xfId="3007"/>
    <cellStyle name="Total 25 2" xfId="540"/>
    <cellStyle name="Total 25 3" xfId="1412"/>
    <cellStyle name="Total 25 4" xfId="1041"/>
    <cellStyle name="Total 25 5" xfId="2003"/>
    <cellStyle name="Total 25 6" xfId="1719"/>
    <cellStyle name="Total 25 7" xfId="2061"/>
    <cellStyle name="Total 25 8" xfId="2620"/>
    <cellStyle name="Total 25 9" xfId="2664"/>
    <cellStyle name="Total 26" xfId="825"/>
    <cellStyle name="Total 26 10" xfId="3143"/>
    <cellStyle name="Total 26 11" xfId="3645"/>
    <cellStyle name="Total 26 12" xfId="3847"/>
    <cellStyle name="Total 26 13" xfId="4053"/>
    <cellStyle name="Total 26 2" xfId="1387"/>
    <cellStyle name="Total 26 3" xfId="1721"/>
    <cellStyle name="Total 26 4" xfId="1862"/>
    <cellStyle name="Total 26 5" xfId="2166"/>
    <cellStyle name="Total 26 6" xfId="2510"/>
    <cellStyle name="Total 26 7" xfId="2679"/>
    <cellStyle name="Total 26 8" xfId="2932"/>
    <cellStyle name="Total 26 9" xfId="3185"/>
    <cellStyle name="Total 3" xfId="175"/>
    <cellStyle name="Total 3 10" xfId="2543"/>
    <cellStyle name="Total 3 11" xfId="2873"/>
    <cellStyle name="Total 3 12" xfId="3431"/>
    <cellStyle name="Total 3 13" xfId="3532"/>
    <cellStyle name="Total 3 14" xfId="2871"/>
    <cellStyle name="Total 3 15" xfId="3623"/>
    <cellStyle name="Total 3 2" xfId="323"/>
    <cellStyle name="Total 3 2 10" xfId="3258"/>
    <cellStyle name="Total 3 2 11" xfId="3599"/>
    <cellStyle name="Total 3 2 12" xfId="3708"/>
    <cellStyle name="Total 3 2 13" xfId="3895"/>
    <cellStyle name="Total 3 2 14" xfId="3834"/>
    <cellStyle name="Total 3 2 2" xfId="909"/>
    <cellStyle name="Total 3 2 3" xfId="1438"/>
    <cellStyle name="Total 3 2 4" xfId="1069"/>
    <cellStyle name="Total 3 2 5" xfId="1798"/>
    <cellStyle name="Total 3 2 6" xfId="2248"/>
    <cellStyle name="Total 3 2 7" xfId="467"/>
    <cellStyle name="Total 3 2 8" xfId="2758"/>
    <cellStyle name="Total 3 2 9" xfId="3014"/>
    <cellStyle name="Total 3 3" xfId="628"/>
    <cellStyle name="Total 3 4" xfId="1188"/>
    <cellStyle name="Total 3 5" xfId="1281"/>
    <cellStyle name="Total 3 6" xfId="1979"/>
    <cellStyle name="Total 3 7" xfId="1472"/>
    <cellStyle name="Total 3 8" xfId="1616"/>
    <cellStyle name="Total 3 9" xfId="2594"/>
    <cellStyle name="Total 4" xfId="212"/>
    <cellStyle name="Total 4 10" xfId="2717"/>
    <cellStyle name="Total 4 11" xfId="2972"/>
    <cellStyle name="Total 4 12" xfId="2424"/>
    <cellStyle name="Total 4 13" xfId="3521"/>
    <cellStyle name="Total 4 14" xfId="3674"/>
    <cellStyle name="Total 4 15" xfId="4054"/>
    <cellStyle name="Total 4 2" xfId="359"/>
    <cellStyle name="Total 4 2 10" xfId="3294"/>
    <cellStyle name="Total 4 2 11" xfId="3380"/>
    <cellStyle name="Total 4 2 12" xfId="3744"/>
    <cellStyle name="Total 4 2 13" xfId="3931"/>
    <cellStyle name="Total 4 2 14" xfId="4125"/>
    <cellStyle name="Total 4 2 2" xfId="945"/>
    <cellStyle name="Total 4 2 3" xfId="1589"/>
    <cellStyle name="Total 4 2 4" xfId="1851"/>
    <cellStyle name="Total 4 2 5" xfId="1601"/>
    <cellStyle name="Total 4 2 6" xfId="2284"/>
    <cellStyle name="Total 4 2 7" xfId="2399"/>
    <cellStyle name="Total 4 2 8" xfId="2794"/>
    <cellStyle name="Total 4 2 9" xfId="3050"/>
    <cellStyle name="Total 4 3" xfId="665"/>
    <cellStyle name="Total 4 4" xfId="1103"/>
    <cellStyle name="Total 4 5" xfId="1722"/>
    <cellStyle name="Total 4 6" xfId="1078"/>
    <cellStyle name="Total 4 7" xfId="1471"/>
    <cellStyle name="Total 4 8" xfId="1677"/>
    <cellStyle name="Total 4 9" xfId="1875"/>
    <cellStyle name="Total 5" xfId="215"/>
    <cellStyle name="Total 5 10" xfId="2111"/>
    <cellStyle name="Total 5 11" xfId="2084"/>
    <cellStyle name="Total 5 12" xfId="3190"/>
    <cellStyle name="Total 5 13" xfId="3557"/>
    <cellStyle name="Total 5 14" xfId="3537"/>
    <cellStyle name="Total 5 15" xfId="4045"/>
    <cellStyle name="Total 5 2" xfId="362"/>
    <cellStyle name="Total 5 2 10" xfId="3297"/>
    <cellStyle name="Total 5 2 11" xfId="2889"/>
    <cellStyle name="Total 5 2 12" xfId="3747"/>
    <cellStyle name="Total 5 2 13" xfId="3934"/>
    <cellStyle name="Total 5 2 14" xfId="3859"/>
    <cellStyle name="Total 5 2 2" xfId="948"/>
    <cellStyle name="Total 5 2 3" xfId="1271"/>
    <cellStyle name="Total 5 2 4" xfId="1084"/>
    <cellStyle name="Total 5 2 5" xfId="1279"/>
    <cellStyle name="Total 5 2 6" xfId="2287"/>
    <cellStyle name="Total 5 2 7" xfId="2121"/>
    <cellStyle name="Total 5 2 8" xfId="2797"/>
    <cellStyle name="Total 5 2 9" xfId="3053"/>
    <cellStyle name="Total 5 3" xfId="668"/>
    <cellStyle name="Total 5 4" xfId="1395"/>
    <cellStyle name="Total 5 5" xfId="1702"/>
    <cellStyle name="Total 5 6" xfId="1928"/>
    <cellStyle name="Total 5 7" xfId="2100"/>
    <cellStyle name="Total 5 8" xfId="1549"/>
    <cellStyle name="Total 5 9" xfId="2547"/>
    <cellStyle name="Total 6" xfId="218"/>
    <cellStyle name="Total 6 10" xfId="2714"/>
    <cellStyle name="Total 6 11" xfId="2969"/>
    <cellStyle name="Total 6 12" xfId="3428"/>
    <cellStyle name="Total 6 13" xfId="2114"/>
    <cellStyle name="Total 6 14" xfId="3671"/>
    <cellStyle name="Total 6 15" xfId="4080"/>
    <cellStyle name="Total 6 2" xfId="365"/>
    <cellStyle name="Total 6 2 10" xfId="3300"/>
    <cellStyle name="Total 6 2 11" xfId="3463"/>
    <cellStyle name="Total 6 2 12" xfId="3750"/>
    <cellStyle name="Total 6 2 13" xfId="3937"/>
    <cellStyle name="Total 6 2 14" xfId="3646"/>
    <cellStyle name="Total 6 2 2" xfId="951"/>
    <cellStyle name="Total 6 2 3" xfId="1283"/>
    <cellStyle name="Total 6 2 4" xfId="1168"/>
    <cellStyle name="Total 6 2 5" xfId="1502"/>
    <cellStyle name="Total 6 2 6" xfId="2290"/>
    <cellStyle name="Total 6 2 7" xfId="2484"/>
    <cellStyle name="Total 6 2 8" xfId="2800"/>
    <cellStyle name="Total 6 2 9" xfId="3056"/>
    <cellStyle name="Total 6 3" xfId="671"/>
    <cellStyle name="Total 6 4" xfId="1089"/>
    <cellStyle name="Total 6 5" xfId="1766"/>
    <cellStyle name="Total 6 6" xfId="2007"/>
    <cellStyle name="Total 6 7" xfId="1913"/>
    <cellStyle name="Total 6 8" xfId="2518"/>
    <cellStyle name="Total 6 9" xfId="2194"/>
    <cellStyle name="Total 7" xfId="221"/>
    <cellStyle name="Total 7 10" xfId="2713"/>
    <cellStyle name="Total 7 11" xfId="2968"/>
    <cellStyle name="Total 7 12" xfId="3200"/>
    <cellStyle name="Total 7 13" xfId="3522"/>
    <cellStyle name="Total 7 14" xfId="3670"/>
    <cellStyle name="Total 7 15" xfId="4014"/>
    <cellStyle name="Total 7 2" xfId="368"/>
    <cellStyle name="Total 7 2 10" xfId="3303"/>
    <cellStyle name="Total 7 2 11" xfId="3462"/>
    <cellStyle name="Total 7 2 12" xfId="3753"/>
    <cellStyle name="Total 7 2 13" xfId="3940"/>
    <cellStyle name="Total 7 2 14" xfId="3884"/>
    <cellStyle name="Total 7 2 2" xfId="954"/>
    <cellStyle name="Total 7 2 3" xfId="1180"/>
    <cellStyle name="Total 7 2 4" xfId="1048"/>
    <cellStyle name="Total 7 2 5" xfId="1342"/>
    <cellStyle name="Total 7 2 6" xfId="2293"/>
    <cellStyle name="Total 7 2 7" xfId="2507"/>
    <cellStyle name="Total 7 2 8" xfId="2803"/>
    <cellStyle name="Total 7 2 9" xfId="3059"/>
    <cellStyle name="Total 7 3" xfId="674"/>
    <cellStyle name="Total 7 4" xfId="1475"/>
    <cellStyle name="Total 7 5" xfId="1606"/>
    <cellStyle name="Total 7 6" xfId="2016"/>
    <cellStyle name="Total 7 7" xfId="1088"/>
    <cellStyle name="Total 7 8" xfId="2463"/>
    <cellStyle name="Total 7 9" xfId="2191"/>
    <cellStyle name="Total 8" xfId="173"/>
    <cellStyle name="Total 8 10" xfId="2587"/>
    <cellStyle name="Total 8 11" xfId="2634"/>
    <cellStyle name="Total 8 12" xfId="3511"/>
    <cellStyle name="Total 8 13" xfId="3172"/>
    <cellStyle name="Total 8 14" xfId="3534"/>
    <cellStyle name="Total 8 15" xfId="3827"/>
    <cellStyle name="Total 8 2" xfId="321"/>
    <cellStyle name="Total 8 2 10" xfId="3256"/>
    <cellStyle name="Total 8 2 11" xfId="3379"/>
    <cellStyle name="Total 8 2 12" xfId="3706"/>
    <cellStyle name="Total 8 2 13" xfId="3893"/>
    <cellStyle name="Total 8 2 14" xfId="4124"/>
    <cellStyle name="Total 8 2 2" xfId="907"/>
    <cellStyle name="Total 8 2 3" xfId="1588"/>
    <cellStyle name="Total 8 2 4" xfId="1850"/>
    <cellStyle name="Total 8 2 5" xfId="1796"/>
    <cellStyle name="Total 8 2 6" xfId="2246"/>
    <cellStyle name="Total 8 2 7" xfId="2598"/>
    <cellStyle name="Total 8 2 8" xfId="2756"/>
    <cellStyle name="Total 8 2 9" xfId="3012"/>
    <cellStyle name="Total 8 3" xfId="626"/>
    <cellStyle name="Total 8 4" xfId="1199"/>
    <cellStyle name="Total 8 5" xfId="1527"/>
    <cellStyle name="Total 8 6" xfId="1147"/>
    <cellStyle name="Total 8 7" xfId="1426"/>
    <cellStyle name="Total 8 8" xfId="2438"/>
    <cellStyle name="Total 8 9" xfId="1195"/>
    <cellStyle name="Total 9" xfId="226"/>
    <cellStyle name="Total 9 10" xfId="469"/>
    <cellStyle name="Total 9 11" xfId="1642"/>
    <cellStyle name="Total 9 12" xfId="3425"/>
    <cellStyle name="Total 9 13" xfId="3590"/>
    <cellStyle name="Total 9 14" xfId="3539"/>
    <cellStyle name="Total 9 15" xfId="3597"/>
    <cellStyle name="Total 9 2" xfId="373"/>
    <cellStyle name="Total 9 2 10" xfId="3308"/>
    <cellStyle name="Total 9 2 11" xfId="3153"/>
    <cellStyle name="Total 9 2 12" xfId="3758"/>
    <cellStyle name="Total 9 2 13" xfId="3945"/>
    <cellStyle name="Total 9 2 14" xfId="3248"/>
    <cellStyle name="Total 9 2 2" xfId="959"/>
    <cellStyle name="Total 9 2 3" xfId="1269"/>
    <cellStyle name="Total 9 2 4" xfId="1406"/>
    <cellStyle name="Total 9 2 5" xfId="1614"/>
    <cellStyle name="Total 9 2 6" xfId="2298"/>
    <cellStyle name="Total 9 2 7" xfId="1175"/>
    <cellStyle name="Total 9 2 8" xfId="2808"/>
    <cellStyle name="Total 9 2 9" xfId="3064"/>
    <cellStyle name="Total 9 3" xfId="679"/>
    <cellStyle name="Total 9 4" xfId="1308"/>
    <cellStyle name="Total 9 5" xfId="1126"/>
    <cellStyle name="Total 9 6" xfId="1674"/>
    <cellStyle name="Total 9 7" xfId="1603"/>
    <cellStyle name="Total 9 8" xfId="1452"/>
    <cellStyle name="Total 9 9" xfId="1270"/>
    <cellStyle name="Vírgula" xfId="87" builtinId="3"/>
    <cellStyle name="Vírgula 2" xfId="130"/>
    <cellStyle name="Vírgula 2 2" xfId="304"/>
    <cellStyle name="Vírgula 2 2 2" xfId="305"/>
    <cellStyle name="Vírgula 2 2 2 2" xfId="431"/>
    <cellStyle name="Vírgula 2 2 2 2 2" xfId="1031"/>
    <cellStyle name="Vírgula 2 2 2 3" xfId="443"/>
    <cellStyle name="Vírgula 2 2 2 4" xfId="758"/>
    <cellStyle name="Vírgula 2 2 3" xfId="430"/>
    <cellStyle name="Vírgula 2 2 3 2" xfId="1030"/>
    <cellStyle name="Vírgula 2 2 4" xfId="442"/>
    <cellStyle name="Vírgula 2 2 5" xfId="757"/>
    <cellStyle name="Vírgula 2 3" xfId="306"/>
    <cellStyle name="Vírgula 2 3 2" xfId="307"/>
    <cellStyle name="Vírgula 2 3 2 2" xfId="433"/>
    <cellStyle name="Vírgula 2 3 2 2 2" xfId="1033"/>
    <cellStyle name="Vírgula 2 3 2 3" xfId="445"/>
    <cellStyle name="Vírgula 2 3 2 4" xfId="760"/>
    <cellStyle name="Vírgula 2 3 3" xfId="432"/>
    <cellStyle name="Vírgula 2 3 3 2" xfId="1032"/>
    <cellStyle name="Vírgula 2 3 4" xfId="444"/>
    <cellStyle name="Vírgula 2 3 5" xfId="759"/>
    <cellStyle name="Vírgula 2 4" xfId="308"/>
    <cellStyle name="Vírgula 2 4 2" xfId="434"/>
    <cellStyle name="Vírgula 2 4 2 2" xfId="1034"/>
    <cellStyle name="Vírgula 2 4 3" xfId="446"/>
    <cellStyle name="Vírgula 2 4 4" xfId="761"/>
    <cellStyle name="Vírgula 2 5" xfId="303"/>
    <cellStyle name="Vírgula 2 5 2" xfId="429"/>
    <cellStyle name="Vírgula 2 5 2 2" xfId="1029"/>
    <cellStyle name="Vírgula 2 5 3" xfId="441"/>
    <cellStyle name="Vírgula 2 5 4" xfId="756"/>
    <cellStyle name="Vírgula 3" xfId="170"/>
    <cellStyle name="Vírgula 3 2" xfId="310"/>
    <cellStyle name="Vírgula 3 2 2" xfId="311"/>
    <cellStyle name="Vírgula 3 2 2 2" xfId="436"/>
    <cellStyle name="Vírgula 3 2 2 2 2" xfId="1036"/>
    <cellStyle name="Vírgula 3 2 2 3" xfId="448"/>
    <cellStyle name="Vírgula 3 2 2 4" xfId="763"/>
    <cellStyle name="Vírgula 3 2 3" xfId="435"/>
    <cellStyle name="Vírgula 3 2 3 2" xfId="1035"/>
    <cellStyle name="Vírgula 3 2 4" xfId="447"/>
    <cellStyle name="Vírgula 3 2 5" xfId="762"/>
    <cellStyle name="Vírgula 3 3" xfId="312"/>
    <cellStyle name="Vírgula 3 4" xfId="309"/>
    <cellStyle name="Vírgula 4" xfId="129"/>
    <cellStyle name="Vírgula 4 2" xfId="314"/>
    <cellStyle name="Vírgula 4 3" xfId="313"/>
    <cellStyle name="Warning Text" xfId="88"/>
    <cellStyle name="Warning Text 2" xfId="904"/>
    <cellStyle name="Warning Text 3" xfId="623"/>
  </cellStyles>
  <dxfs count="473">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9.emf"/><Relationship Id="rId4" Type="http://schemas.openxmlformats.org/officeDocument/2006/relationships/image" Target="../media/image5.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12.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0.emf"/><Relationship Id="rId1" Type="http://schemas.openxmlformats.org/officeDocument/2006/relationships/image" Target="../media/image6.emf"/><Relationship Id="rId4" Type="http://schemas.openxmlformats.org/officeDocument/2006/relationships/image" Target="../media/image11.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155656"/>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637823</xdr:colOff>
          <xdr:row>2</xdr:row>
          <xdr:rowOff>12773</xdr:rowOff>
        </xdr:to>
        <xdr:pic>
          <xdr:nvPicPr>
            <xdr:cNvPr id="5" name="SigiloPic">
              <a:extLst>
                <a:ext uri="{FF2B5EF4-FFF2-40B4-BE49-F238E27FC236}">
                  <a16:creationId xmlns:a16="http://schemas.microsoft.com/office/drawing/2014/main" xmlns="" id="{00000000-0008-0000-0100-0000B4600200}"/>
                </a:ext>
              </a:extLst>
            </xdr:cNvPr>
            <xdr:cNvPicPr>
              <a:picLocks noChangeArrowheads="1"/>
              <a:extLst>
                <a:ext uri="{84589F7E-364E-4C9E-8A38-B11213B215E9}">
                  <a14:cameraTool cellRange="PO!$T$1:$T$2" spid="_x0000_s285747"/>
                </a:ext>
              </a:extLst>
            </xdr:cNvPicPr>
          </xdr:nvPicPr>
          <xdr:blipFill>
            <a:blip xmlns:r="http://schemas.openxmlformats.org/officeDocument/2006/relationships" r:embed="rId2"/>
            <a:srcRect/>
            <a:stretch>
              <a:fillRect/>
            </a:stretch>
          </xdr:blipFill>
          <xdr:spPr bwMode="auto">
            <a:xfrm>
              <a:off x="6219825" y="28575"/>
              <a:ext cx="1044677" cy="33798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xmlns=""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xmlns="" id="{00000000-0008-0000-0200-00009A050300}"/>
                </a:ext>
              </a:extLst>
            </xdr:cNvPr>
            <xdr:cNvPicPr>
              <a:picLocks noChangeArrowheads="1"/>
              <a:extLst>
                <a:ext uri="{84589F7E-364E-4C9E-8A38-B11213B215E9}">
                  <a14:cameraTool cellRange="DADOS!$A$220:$X$230" spid="_x0000_s197678"/>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212</xdr:row>
          <xdr:rowOff>0</xdr:rowOff>
        </xdr:from>
        <xdr:to>
          <xdr:col>19</xdr:col>
          <xdr:colOff>123825</xdr:colOff>
          <xdr:row>216</xdr:row>
          <xdr:rowOff>142875</xdr:rowOff>
        </xdr:to>
        <xdr:pic>
          <xdr:nvPicPr>
            <xdr:cNvPr id="198043" name="Picture 483">
              <a:extLst>
                <a:ext uri="{FF2B5EF4-FFF2-40B4-BE49-F238E27FC236}">
                  <a16:creationId xmlns:a16="http://schemas.microsoft.com/office/drawing/2014/main" xmlns="" id="{00000000-0008-0000-0200-00009B050300}"/>
                </a:ext>
              </a:extLst>
            </xdr:cNvPr>
            <xdr:cNvPicPr>
              <a:picLocks noChangeArrowheads="1"/>
              <a:extLst>
                <a:ext uri="{84589F7E-364E-4C9E-8A38-B11213B215E9}">
                  <a14:cameraTool cellRange="DADOS!$A$53:$K$57" spid="_x0000_s197679"/>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xmlns=""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xmlns=""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xmlns="" id="{00000000-0008-0000-0300-0000C57E0000}"/>
                </a:ext>
              </a:extLst>
            </xdr:cNvPr>
            <xdr:cNvPicPr>
              <a:picLocks noChangeArrowheads="1"/>
              <a:extLst>
                <a:ext uri="{84589F7E-364E-4C9E-8A38-B11213B215E9}">
                  <a14:cameraTool cellRange="DADOS!$A$220:$X$230" spid="_x0000_s31773"/>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xmlns="" id="{00000000-0008-0000-0300-0000C67E0000}"/>
                </a:ext>
              </a:extLst>
            </xdr:cNvPr>
            <xdr:cNvPicPr>
              <a:picLocks noChangeArrowheads="1"/>
              <a:extLst>
                <a:ext uri="{84589F7E-364E-4C9E-8A38-B11213B215E9}">
                  <a14:cameraTool cellRange="DADOS!$A$220:$X$230" spid="_x0000_s31774"/>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203</xdr:row>
          <xdr:rowOff>9525</xdr:rowOff>
        </xdr:from>
        <xdr:to>
          <xdr:col>14</xdr:col>
          <xdr:colOff>28575</xdr:colOff>
          <xdr:row>207</xdr:row>
          <xdr:rowOff>152400</xdr:rowOff>
        </xdr:to>
        <xdr:pic>
          <xdr:nvPicPr>
            <xdr:cNvPr id="32455" name="Picture 483">
              <a:extLst>
                <a:ext uri="{FF2B5EF4-FFF2-40B4-BE49-F238E27FC236}">
                  <a16:creationId xmlns:a16="http://schemas.microsoft.com/office/drawing/2014/main" xmlns="" id="{00000000-0008-0000-0300-0000C77E0000}"/>
                </a:ext>
              </a:extLst>
            </xdr:cNvPr>
            <xdr:cNvPicPr>
              <a:picLocks noChangeArrowheads="1"/>
              <a:extLst>
                <a:ext uri="{84589F7E-364E-4C9E-8A38-B11213B215E9}">
                  <a14:cameraTool cellRange="DADOS!$A$53:$K$57" spid="_x0000_s31775"/>
                </a:ext>
              </a:extLst>
            </xdr:cNvPicPr>
          </xdr:nvPicPr>
          <xdr:blipFill>
            <a:blip xmlns:r="http://schemas.openxmlformats.org/officeDocument/2006/relationships" r:embed="rId4"/>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xmlns="" id="{00000000-0008-0000-0300-0000C87E0000}"/>
                </a:ext>
              </a:extLst>
            </xdr:cNvPr>
            <xdr:cNvPicPr>
              <a:picLocks noChangeArrowheads="1"/>
              <a:extLst>
                <a:ext uri="{84589F7E-364E-4C9E-8A38-B11213B215E9}">
                  <a14:cameraTool cellRange="PO!$T$1:$T$2" spid="_x0000_s31776"/>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xmlns=""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xmlns=""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xmlns="" id="{00000000-0008-0000-0400-0000AF150300}"/>
                </a:ext>
              </a:extLst>
            </xdr:cNvPr>
            <xdr:cNvPicPr>
              <a:picLocks noChangeArrowheads="1"/>
              <a:extLst>
                <a:ext uri="{84589F7E-364E-4C9E-8A38-B11213B215E9}">
                  <a14:cameraTool cellRange="DADOS!$A$220:$X$230" spid="_x0000_s28771"/>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xmlns="" id="{00000000-0008-0000-0400-0000B0150300}"/>
                </a:ext>
              </a:extLst>
            </xdr:cNvPr>
            <xdr:cNvPicPr>
              <a:picLocks noChangeArrowheads="1"/>
              <a:extLst>
                <a:ext uri="{84589F7E-364E-4C9E-8A38-B11213B215E9}">
                  <a14:cameraTool cellRange="DADOS!$A$220:$X$230" spid="_x0000_s28772"/>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52</xdr:row>
          <xdr:rowOff>0</xdr:rowOff>
        </xdr:from>
        <xdr:to>
          <xdr:col>22</xdr:col>
          <xdr:colOff>28575</xdr:colOff>
          <xdr:row>56</xdr:row>
          <xdr:rowOff>142875</xdr:rowOff>
        </xdr:to>
        <xdr:pic>
          <xdr:nvPicPr>
            <xdr:cNvPr id="202161" name="Picture 483">
              <a:extLst>
                <a:ext uri="{FF2B5EF4-FFF2-40B4-BE49-F238E27FC236}">
                  <a16:creationId xmlns:a16="http://schemas.microsoft.com/office/drawing/2014/main" xmlns="" id="{00000000-0008-0000-0400-0000B1150300}"/>
                </a:ext>
              </a:extLst>
            </xdr:cNvPr>
            <xdr:cNvPicPr>
              <a:picLocks noChangeArrowheads="1"/>
              <a:extLst>
                <a:ext uri="{84589F7E-364E-4C9E-8A38-B11213B215E9}">
                  <a14:cameraTool cellRange="DADOS!$A$53:$K$57" spid="_x0000_s28773"/>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xmlns="" id="{00000000-0008-0000-0400-0000B2150300}"/>
                </a:ext>
              </a:extLst>
            </xdr:cNvPr>
            <xdr:cNvPicPr>
              <a:picLocks noChangeArrowheads="1"/>
              <a:extLst>
                <a:ext uri="{84589F7E-364E-4C9E-8A38-B11213B215E9}">
                  <a14:cameraTool cellRange="PO!$T$1:$T$2" spid="_x0000_s28774"/>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3" name="Picture 2483">
              <a:extLst>
                <a:ext uri="{FF2B5EF4-FFF2-40B4-BE49-F238E27FC236}">
                  <a16:creationId xmlns:a16="http://schemas.microsoft.com/office/drawing/2014/main" xmlns="" id="{00000000-0008-0000-0400-0000B3150300}"/>
                </a:ext>
              </a:extLst>
            </xdr:cNvPr>
            <xdr:cNvPicPr>
              <a:picLocks noChangeArrowheads="1"/>
              <a:extLst>
                <a:ext uri="{84589F7E-364E-4C9E-8A38-B11213B215E9}">
                  <a14:cameraTool cellRange="DADOS!$A$53:$K$57" spid="_x0000_s28775"/>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a16="http://schemas.microsoft.com/office/drawing/2014/main" xmlns="" id="{00000000-0008-0000-0400-0000B4150300}"/>
                </a:ext>
              </a:extLst>
            </xdr:cNvPr>
            <xdr:cNvPicPr>
              <a:picLocks noChangeArrowheads="1"/>
              <a:extLst>
                <a:ext uri="{84589F7E-364E-4C9E-8A38-B11213B215E9}">
                  <a14:cameraTool cellRange="PO!$T$1:$T$2" spid="_x0000_s2877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5" name="Picture 2485">
              <a:extLst>
                <a:ext uri="{FF2B5EF4-FFF2-40B4-BE49-F238E27FC236}">
                  <a16:creationId xmlns:a16="http://schemas.microsoft.com/office/drawing/2014/main" xmlns="" id="{00000000-0008-0000-0400-0000B5150300}"/>
                </a:ext>
              </a:extLst>
            </xdr:cNvPr>
            <xdr:cNvPicPr>
              <a:picLocks noChangeArrowheads="1"/>
              <a:extLst>
                <a:ext uri="{84589F7E-364E-4C9E-8A38-B11213B215E9}">
                  <a14:cameraTool cellRange="DADOS!$A$53:$K$57" spid="_x0000_s28777"/>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a16="http://schemas.microsoft.com/office/drawing/2014/main" xmlns="" id="{00000000-0008-0000-0400-0000B6150300}"/>
                </a:ext>
              </a:extLst>
            </xdr:cNvPr>
            <xdr:cNvPicPr>
              <a:picLocks noChangeArrowheads="1"/>
              <a:extLst>
                <a:ext uri="{84589F7E-364E-4C9E-8A38-B11213B215E9}">
                  <a14:cameraTool cellRange="PO!$T$1:$T$2" spid="_x0000_s2877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7" name="Picture 2487">
              <a:extLst>
                <a:ext uri="{FF2B5EF4-FFF2-40B4-BE49-F238E27FC236}">
                  <a16:creationId xmlns:a16="http://schemas.microsoft.com/office/drawing/2014/main" xmlns="" id="{00000000-0008-0000-0400-0000B7150300}"/>
                </a:ext>
              </a:extLst>
            </xdr:cNvPr>
            <xdr:cNvPicPr>
              <a:picLocks noChangeArrowheads="1"/>
              <a:extLst>
                <a:ext uri="{84589F7E-364E-4C9E-8A38-B11213B215E9}">
                  <a14:cameraTool cellRange="DADOS!$A$53:$K$57" spid="_x0000_s28779"/>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a16="http://schemas.microsoft.com/office/drawing/2014/main" xmlns="" id="{00000000-0008-0000-0400-0000B8150300}"/>
                </a:ext>
              </a:extLst>
            </xdr:cNvPr>
            <xdr:cNvPicPr>
              <a:picLocks noChangeArrowheads="1"/>
              <a:extLst>
                <a:ext uri="{84589F7E-364E-4C9E-8A38-B11213B215E9}">
                  <a14:cameraTool cellRange="PO!$T$1:$T$2" spid="_x0000_s2878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9" name="Picture 2489">
              <a:extLst>
                <a:ext uri="{FF2B5EF4-FFF2-40B4-BE49-F238E27FC236}">
                  <a16:creationId xmlns:a16="http://schemas.microsoft.com/office/drawing/2014/main" xmlns="" id="{00000000-0008-0000-0400-0000B9150300}"/>
                </a:ext>
              </a:extLst>
            </xdr:cNvPr>
            <xdr:cNvPicPr>
              <a:picLocks noChangeArrowheads="1"/>
              <a:extLst>
                <a:ext uri="{84589F7E-364E-4C9E-8A38-B11213B215E9}">
                  <a14:cameraTool cellRange="DADOS!$A$53:$K$57" spid="_x0000_s28781"/>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a16="http://schemas.microsoft.com/office/drawing/2014/main" xmlns="" id="{00000000-0008-0000-0400-0000BA150300}"/>
                </a:ext>
              </a:extLst>
            </xdr:cNvPr>
            <xdr:cNvPicPr>
              <a:picLocks noChangeArrowheads="1"/>
              <a:extLst>
                <a:ext uri="{84589F7E-364E-4C9E-8A38-B11213B215E9}">
                  <a14:cameraTool cellRange="PO!$T$1:$T$2" spid="_x0000_s2878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71" name="Picture 2491">
              <a:extLst>
                <a:ext uri="{FF2B5EF4-FFF2-40B4-BE49-F238E27FC236}">
                  <a16:creationId xmlns:a16="http://schemas.microsoft.com/office/drawing/2014/main" xmlns="" id="{00000000-0008-0000-0400-0000BB150300}"/>
                </a:ext>
              </a:extLst>
            </xdr:cNvPr>
            <xdr:cNvPicPr>
              <a:picLocks noChangeArrowheads="1"/>
              <a:extLst>
                <a:ext uri="{84589F7E-364E-4C9E-8A38-B11213B215E9}">
                  <a14:cameraTool cellRange="DADOS!$A$53:$K$57" spid="_x0000_s28783"/>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a16="http://schemas.microsoft.com/office/drawing/2014/main" xmlns="" id="{00000000-0008-0000-0400-0000BC150300}"/>
                </a:ext>
              </a:extLst>
            </xdr:cNvPr>
            <xdr:cNvPicPr>
              <a:picLocks noChangeArrowheads="1"/>
              <a:extLst>
                <a:ext uri="{84589F7E-364E-4C9E-8A38-B11213B215E9}">
                  <a14:cameraTool cellRange="PO!$T$1:$T$2" spid="_x0000_s2878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ERS&#213;ES%20FINAIS/OR&#199;AMENTO%20CAF%20-%20PM%203.07%20COMPLETO%20testando%20cria&#231;&#227;o%20da%20planilha%20para%20preenchiment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s>
    <sheetDataSet>
      <sheetData sheetId="0" refreshError="1"/>
      <sheetData sheetId="1">
        <row r="3">
          <cell r="O3">
            <v>1</v>
          </cell>
        </row>
        <row r="4">
          <cell r="O4">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4" zoomScale="70" zoomScaleNormal="70" zoomScaleSheetLayoutView="100" workbookViewId="0">
      <selection activeCell="A48" sqref="A48:C48"/>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24" t="s">
        <v>2</v>
      </c>
      <c r="C1" s="224"/>
      <c r="D1" s="224"/>
      <c r="E1" s="224"/>
      <c r="F1" s="224"/>
      <c r="G1" s="224"/>
      <c r="H1" s="224"/>
      <c r="I1" s="224"/>
      <c r="J1" s="224"/>
      <c r="K1" s="224"/>
      <c r="L1" s="224"/>
      <c r="M1" s="224"/>
      <c r="N1" s="224"/>
      <c r="O1" s="224"/>
      <c r="P1" s="224"/>
      <c r="Q1" s="224"/>
      <c r="R1" s="224"/>
      <c r="S1" s="224"/>
      <c r="T1" s="224"/>
      <c r="U1" s="224"/>
      <c r="V1" s="224"/>
      <c r="W1" s="224"/>
      <c r="X1" s="225"/>
    </row>
    <row r="2" spans="1:25" ht="13.5" customHeight="1" x14ac:dyDescent="0.2">
      <c r="A2" s="90" t="s">
        <v>228</v>
      </c>
      <c r="B2" s="226"/>
      <c r="C2" s="226"/>
      <c r="D2" s="226"/>
      <c r="E2" s="226"/>
      <c r="F2" s="226"/>
      <c r="G2" s="226"/>
      <c r="H2" s="226"/>
      <c r="I2" s="226"/>
      <c r="J2" s="226"/>
      <c r="K2" s="226"/>
      <c r="L2" s="226"/>
      <c r="M2" s="226"/>
      <c r="N2" s="226"/>
      <c r="O2" s="226"/>
      <c r="P2" s="226"/>
      <c r="Q2" s="226"/>
      <c r="R2" s="226"/>
      <c r="S2" s="226"/>
      <c r="T2" s="226"/>
      <c r="U2" s="226"/>
      <c r="V2" s="226"/>
      <c r="W2" s="226"/>
      <c r="X2" s="227"/>
    </row>
    <row r="3" spans="1:25" ht="13.5" customHeight="1" x14ac:dyDescent="0.2">
      <c r="A3"/>
      <c r="B3"/>
      <c r="F3"/>
      <c r="G3"/>
      <c r="H3"/>
    </row>
    <row r="4" spans="1:25" ht="12.75" customHeight="1" x14ac:dyDescent="0.2">
      <c r="A4" s="237" t="s">
        <v>168</v>
      </c>
      <c r="B4" s="237"/>
      <c r="C4" s="237"/>
      <c r="D4" s="237"/>
      <c r="E4" s="237"/>
      <c r="F4" s="237"/>
      <c r="G4" s="237"/>
      <c r="H4" s="237"/>
      <c r="I4" s="237"/>
      <c r="J4" s="237"/>
      <c r="K4" s="237"/>
      <c r="L4" s="237"/>
      <c r="M4" s="237"/>
      <c r="N4" s="237"/>
      <c r="O4" s="237"/>
      <c r="P4" s="237"/>
      <c r="Q4" s="237"/>
      <c r="R4" s="237"/>
      <c r="S4" s="237"/>
      <c r="T4" s="237"/>
      <c r="U4" s="237"/>
      <c r="V4" s="237"/>
      <c r="W4" s="237"/>
      <c r="X4" s="237"/>
    </row>
    <row r="6" spans="1:25" s="5" customFormat="1" ht="24.95" customHeight="1" x14ac:dyDescent="0.2">
      <c r="A6" s="238" t="s">
        <v>179</v>
      </c>
      <c r="B6" s="239"/>
      <c r="C6" s="239"/>
      <c r="D6" s="239"/>
      <c r="E6" s="239"/>
      <c r="F6" s="239"/>
      <c r="G6" s="239"/>
      <c r="H6" s="239"/>
      <c r="I6" s="239"/>
      <c r="J6" s="239"/>
      <c r="K6" s="239"/>
      <c r="L6" s="239"/>
      <c r="M6" s="239"/>
      <c r="N6" s="239"/>
      <c r="O6" s="239"/>
      <c r="P6" s="239"/>
      <c r="Q6" s="239"/>
      <c r="R6" s="239"/>
      <c r="S6" s="239"/>
      <c r="T6" s="239"/>
      <c r="U6" s="239"/>
      <c r="V6" s="239"/>
      <c r="W6" s="239"/>
      <c r="X6" s="239"/>
    </row>
    <row r="7" spans="1:25" ht="12.75" customHeight="1" x14ac:dyDescent="0.2"/>
    <row r="8" spans="1:25" ht="12.75" customHeight="1" x14ac:dyDescent="0.2">
      <c r="A8" s="240" t="s">
        <v>23</v>
      </c>
      <c r="B8" s="240"/>
      <c r="C8" s="240"/>
      <c r="D8" s="240"/>
      <c r="E8" s="240"/>
      <c r="F8" s="240"/>
      <c r="G8" s="240"/>
      <c r="H8" s="240"/>
      <c r="I8" s="240"/>
      <c r="J8" s="240"/>
      <c r="K8" s="240"/>
      <c r="L8" s="240"/>
      <c r="M8" s="240"/>
      <c r="N8" s="240"/>
      <c r="O8" s="240"/>
      <c r="P8" s="240"/>
      <c r="Q8" s="240"/>
      <c r="R8" s="240"/>
      <c r="S8" s="240"/>
      <c r="T8" s="240"/>
      <c r="U8" s="240"/>
      <c r="V8" s="240"/>
      <c r="W8" s="240"/>
      <c r="X8" s="240"/>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42" t="s">
        <v>169</v>
      </c>
      <c r="B10" s="242"/>
      <c r="C10" s="242"/>
      <c r="D10" s="242"/>
      <c r="E10" s="242"/>
      <c r="F10" s="242"/>
      <c r="G10" s="242"/>
      <c r="H10" s="242"/>
      <c r="I10" s="242"/>
      <c r="J10" s="242"/>
      <c r="K10" s="242"/>
      <c r="L10" s="242"/>
      <c r="M10" s="242"/>
      <c r="N10" s="242"/>
      <c r="O10" s="242"/>
      <c r="P10" s="242"/>
      <c r="Q10" s="242"/>
      <c r="R10" s="242"/>
      <c r="S10" s="242"/>
      <c r="T10" s="242"/>
      <c r="U10" s="242"/>
      <c r="V10" s="242"/>
      <c r="W10" s="242"/>
      <c r="X10" s="242"/>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42" t="s">
        <v>1</v>
      </c>
      <c r="B12" s="242"/>
      <c r="C12" s="242"/>
      <c r="D12" s="242"/>
      <c r="E12" s="242"/>
      <c r="F12" s="242"/>
      <c r="G12" s="242"/>
      <c r="H12" s="242"/>
      <c r="I12" s="242"/>
      <c r="J12" s="242"/>
      <c r="K12" s="242"/>
      <c r="L12" s="242"/>
      <c r="M12" s="242"/>
      <c r="N12" s="242"/>
      <c r="O12" s="242"/>
      <c r="P12" s="242"/>
      <c r="Q12" s="242"/>
      <c r="R12" s="242"/>
      <c r="S12" s="242"/>
      <c r="T12" s="242"/>
      <c r="U12" s="242"/>
      <c r="V12" s="242"/>
      <c r="W12" s="242"/>
      <c r="X12" s="242"/>
    </row>
    <row r="14" spans="1:25" x14ac:dyDescent="0.2">
      <c r="A14" s="241" t="s">
        <v>24</v>
      </c>
      <c r="B14" s="240"/>
      <c r="C14" s="240"/>
      <c r="D14" s="240"/>
      <c r="E14" s="240"/>
      <c r="F14" s="240"/>
      <c r="G14" s="240"/>
      <c r="H14" s="240"/>
      <c r="I14" s="240"/>
      <c r="J14" s="240"/>
      <c r="K14" s="240"/>
      <c r="L14" s="240"/>
      <c r="M14" s="240"/>
      <c r="N14" s="240"/>
      <c r="O14" s="240"/>
      <c r="P14" s="240"/>
      <c r="Q14" s="240"/>
      <c r="R14" s="240"/>
      <c r="S14" s="240"/>
      <c r="T14" s="240"/>
      <c r="U14" s="240"/>
      <c r="V14" s="240"/>
      <c r="W14" s="240"/>
      <c r="X14" s="240"/>
    </row>
    <row r="16" spans="1:25" x14ac:dyDescent="0.2">
      <c r="A16" s="211" t="s">
        <v>186</v>
      </c>
      <c r="B16" s="212"/>
      <c r="C16" s="212"/>
      <c r="D16" s="212"/>
      <c r="E16" s="212"/>
      <c r="F16" s="212"/>
      <c r="G16" s="212"/>
      <c r="H16" s="212"/>
      <c r="I16" s="212"/>
      <c r="J16" s="212"/>
      <c r="K16" s="212"/>
      <c r="L16" s="212"/>
      <c r="M16" s="212"/>
      <c r="N16" s="212"/>
      <c r="O16" s="212"/>
      <c r="P16" s="212"/>
      <c r="Q16" s="212"/>
      <c r="R16" s="212"/>
      <c r="S16" s="212"/>
      <c r="T16" s="212"/>
      <c r="U16" s="212"/>
      <c r="V16" s="212"/>
      <c r="W16" s="212"/>
      <c r="X16" s="212"/>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3" t="s">
        <v>187</v>
      </c>
      <c r="B18" s="213"/>
      <c r="C18" s="214"/>
      <c r="D18" s="214"/>
      <c r="E18" s="214"/>
      <c r="F18" s="214"/>
      <c r="G18" s="214"/>
      <c r="H18" s="214"/>
      <c r="I18" s="214"/>
      <c r="J18" s="214"/>
      <c r="K18" s="214"/>
      <c r="L18" s="214"/>
      <c r="M18" s="214"/>
      <c r="N18" s="214"/>
      <c r="O18" s="214"/>
      <c r="P18" s="214"/>
      <c r="Q18" s="214"/>
      <c r="R18" s="214"/>
      <c r="S18" s="214"/>
      <c r="T18" s="214"/>
      <c r="U18" s="214"/>
      <c r="V18" s="214"/>
      <c r="W18" s="214"/>
      <c r="X18" s="214"/>
    </row>
    <row r="21" spans="1:25" x14ac:dyDescent="0.2">
      <c r="A21"/>
    </row>
    <row r="22" spans="1:25" ht="12.75" customHeight="1" x14ac:dyDescent="0.2">
      <c r="A22" s="211" t="s">
        <v>189</v>
      </c>
      <c r="B22" s="212"/>
      <c r="C22" s="212"/>
      <c r="D22" s="212"/>
      <c r="E22" s="212"/>
      <c r="F22" s="212"/>
      <c r="G22" s="212"/>
      <c r="H22" s="212"/>
      <c r="I22" s="212"/>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3" t="s">
        <v>190</v>
      </c>
      <c r="B24" s="213"/>
      <c r="C24" s="214"/>
      <c r="D24" s="214"/>
      <c r="E24" s="214"/>
      <c r="F24" s="214"/>
      <c r="G24" s="214"/>
      <c r="H24" s="214"/>
      <c r="I24" s="214"/>
      <c r="J24" s="214"/>
      <c r="K24" s="214"/>
      <c r="L24" s="214"/>
      <c r="M24" s="214"/>
      <c r="N24" s="214"/>
      <c r="O24" s="214"/>
      <c r="P24" s="214"/>
      <c r="Q24" s="214"/>
      <c r="R24" s="214"/>
      <c r="S24" s="214"/>
      <c r="T24" s="214"/>
      <c r="U24" s="214"/>
      <c r="V24" s="214"/>
      <c r="W24" s="214"/>
      <c r="X24" s="214"/>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09" t="s">
        <v>191</v>
      </c>
      <c r="B26" s="209"/>
      <c r="C26" s="210"/>
      <c r="D26" s="210"/>
      <c r="E26" s="210"/>
      <c r="F26" s="210"/>
      <c r="G26" s="210"/>
      <c r="H26" s="210"/>
      <c r="I26" s="210"/>
      <c r="J26" s="210"/>
      <c r="K26" s="210"/>
      <c r="L26" s="210"/>
      <c r="M26" s="210"/>
      <c r="N26" s="210"/>
      <c r="O26" s="210"/>
      <c r="P26" s="210"/>
      <c r="Q26" s="210"/>
      <c r="R26" s="210"/>
      <c r="S26" s="210"/>
      <c r="T26" s="210"/>
      <c r="U26" s="210"/>
      <c r="V26" s="210"/>
      <c r="W26" s="210"/>
      <c r="X26" s="210"/>
    </row>
    <row r="27" spans="1:25" ht="6" customHeight="1" x14ac:dyDescent="0.2">
      <c r="A27" s="17"/>
      <c r="B27" s="17"/>
    </row>
    <row r="28" spans="1:25" ht="12.75" customHeight="1" x14ac:dyDescent="0.2">
      <c r="A28" s="207" t="s">
        <v>177</v>
      </c>
      <c r="B28" s="215"/>
      <c r="C28" s="207" t="s">
        <v>170</v>
      </c>
      <c r="D28" s="208"/>
      <c r="E28" s="215"/>
      <c r="F28" s="207" t="s">
        <v>171</v>
      </c>
      <c r="G28" s="208"/>
      <c r="H28" s="208"/>
      <c r="I28" s="215"/>
      <c r="J28" s="207" t="s">
        <v>172</v>
      </c>
      <c r="K28" s="208"/>
      <c r="L28" s="208"/>
      <c r="M28" s="208"/>
      <c r="N28" s="208"/>
      <c r="O28" s="215"/>
      <c r="P28" s="207" t="s">
        <v>0</v>
      </c>
      <c r="Q28" s="208"/>
      <c r="R28" s="208"/>
      <c r="S28" s="208"/>
      <c r="T28" s="208"/>
      <c r="U28" s="208"/>
      <c r="V28" s="208"/>
      <c r="W28" s="208"/>
      <c r="X28" s="215"/>
    </row>
    <row r="29" spans="1:25" ht="12.75" customHeight="1" x14ac:dyDescent="0.2">
      <c r="A29" s="202"/>
      <c r="B29" s="216"/>
      <c r="C29" s="202"/>
      <c r="D29" s="203"/>
      <c r="E29" s="204"/>
      <c r="F29" s="202"/>
      <c r="G29" s="271"/>
      <c r="H29" s="271"/>
      <c r="I29" s="216"/>
      <c r="J29" s="202"/>
      <c r="K29" s="271"/>
      <c r="L29" s="271"/>
      <c r="M29" s="271"/>
      <c r="N29" s="271"/>
      <c r="O29" s="216"/>
      <c r="P29" s="202" t="s">
        <v>292</v>
      </c>
      <c r="Q29" s="271"/>
      <c r="R29" s="271"/>
      <c r="S29" s="271"/>
      <c r="T29" s="271"/>
      <c r="U29" s="271"/>
      <c r="V29" s="271"/>
      <c r="W29" s="271"/>
      <c r="X29" s="216"/>
    </row>
    <row r="30" spans="1:25" ht="6" customHeight="1" x14ac:dyDescent="0.2">
      <c r="A30"/>
      <c r="B30"/>
      <c r="F30"/>
      <c r="G30"/>
      <c r="H30"/>
    </row>
    <row r="31" spans="1:25" x14ac:dyDescent="0.2">
      <c r="A31" s="207" t="s">
        <v>173</v>
      </c>
      <c r="B31" s="208"/>
      <c r="C31" s="208"/>
      <c r="D31" s="208"/>
      <c r="E31" s="208"/>
      <c r="F31" s="215"/>
      <c r="G31" s="207" t="s">
        <v>174</v>
      </c>
      <c r="H31" s="208"/>
      <c r="I31" s="208"/>
      <c r="J31" s="215"/>
      <c r="K31" s="207" t="s">
        <v>175</v>
      </c>
      <c r="L31" s="208"/>
      <c r="M31" s="208"/>
      <c r="N31" s="208"/>
      <c r="O31" s="208"/>
      <c r="P31" s="215"/>
      <c r="Q31" s="207" t="s">
        <v>180</v>
      </c>
      <c r="R31" s="208"/>
      <c r="S31" s="208"/>
      <c r="T31" s="208"/>
      <c r="U31" s="208"/>
      <c r="V31" s="208"/>
      <c r="W31" s="208"/>
      <c r="X31" s="215"/>
    </row>
    <row r="32" spans="1:25" x14ac:dyDescent="0.2">
      <c r="A32" s="243" t="s">
        <v>235</v>
      </c>
      <c r="B32" s="272"/>
      <c r="C32" s="272"/>
      <c r="D32" s="272"/>
      <c r="E32" s="272"/>
      <c r="F32" s="273"/>
      <c r="G32" s="202" t="s">
        <v>229</v>
      </c>
      <c r="H32" s="203"/>
      <c r="I32" s="203"/>
      <c r="J32" s="204"/>
      <c r="K32" s="202" t="s">
        <v>293</v>
      </c>
      <c r="L32" s="271"/>
      <c r="M32" s="271"/>
      <c r="N32" s="271"/>
      <c r="O32" s="271"/>
      <c r="P32" s="216"/>
      <c r="Q32" s="202" t="str">
        <f>Import.ObjetoCR</f>
        <v>REFORMA DO CRAS I</v>
      </c>
      <c r="R32" s="271"/>
      <c r="S32" s="271"/>
      <c r="T32" s="271"/>
      <c r="U32" s="271"/>
      <c r="V32" s="271"/>
      <c r="W32" s="271"/>
      <c r="X32" s="216"/>
    </row>
    <row r="33" spans="1:24" ht="9" customHeight="1" x14ac:dyDescent="0.2"/>
    <row r="34" spans="1:24" s="19" customFormat="1" x14ac:dyDescent="0.2"/>
    <row r="35" spans="1:24" ht="12.75" customHeight="1" x14ac:dyDescent="0.2">
      <c r="A35" s="209" t="s">
        <v>192</v>
      </c>
      <c r="B35" s="209"/>
      <c r="C35" s="210"/>
      <c r="D35" s="210"/>
      <c r="E35" s="210"/>
      <c r="F35" s="210"/>
      <c r="G35" s="210"/>
      <c r="H35" s="210"/>
      <c r="I35" s="210"/>
      <c r="J35" s="210"/>
      <c r="K35" s="210"/>
      <c r="L35" s="210"/>
      <c r="M35" s="210"/>
      <c r="N35" s="210"/>
      <c r="O35" s="210"/>
      <c r="P35" s="210"/>
      <c r="Q35" s="210"/>
      <c r="R35" s="210"/>
      <c r="S35" s="210"/>
      <c r="T35" s="210"/>
      <c r="U35" s="210"/>
      <c r="V35" s="210"/>
      <c r="W35" s="210"/>
      <c r="X35" s="210"/>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7" t="s">
        <v>16</v>
      </c>
      <c r="B37" s="215"/>
      <c r="C37" s="78" t="s">
        <v>91</v>
      </c>
      <c r="D37" s="207" t="s">
        <v>14</v>
      </c>
      <c r="E37" s="208"/>
      <c r="F37" s="215"/>
      <c r="G37" s="207" t="s">
        <v>12</v>
      </c>
      <c r="H37" s="208"/>
      <c r="I37" s="208"/>
      <c r="J37" s="208"/>
      <c r="K37" s="208"/>
      <c r="L37" s="208"/>
      <c r="M37" s="208"/>
      <c r="N37" s="208"/>
      <c r="O37" s="208"/>
      <c r="P37" s="208"/>
      <c r="Q37" s="208"/>
      <c r="R37" s="208"/>
      <c r="S37" s="215"/>
      <c r="T37" s="79" t="s">
        <v>7</v>
      </c>
      <c r="U37" s="79" t="s">
        <v>8</v>
      </c>
      <c r="V37" s="79" t="s">
        <v>9</v>
      </c>
      <c r="W37" s="79" t="s">
        <v>10</v>
      </c>
      <c r="X37" s="79" t="s">
        <v>11</v>
      </c>
    </row>
    <row r="38" spans="1:24" ht="12.75" customHeight="1" x14ac:dyDescent="0.2">
      <c r="A38" s="220">
        <v>46183</v>
      </c>
      <c r="B38" s="221"/>
      <c r="C38" s="77" t="s">
        <v>231</v>
      </c>
      <c r="D38" s="202" t="s">
        <v>78</v>
      </c>
      <c r="E38" s="203"/>
      <c r="F38" s="204"/>
      <c r="G38" s="202" t="str">
        <f>Import.Apelido</f>
        <v>REFORMA DO CRAS I</v>
      </c>
      <c r="H38" s="203"/>
      <c r="I38" s="203"/>
      <c r="J38" s="203"/>
      <c r="K38" s="203"/>
      <c r="L38" s="203"/>
      <c r="M38" s="203"/>
      <c r="N38" s="203"/>
      <c r="O38" s="203"/>
      <c r="P38" s="203"/>
      <c r="Q38" s="203"/>
      <c r="R38" s="203"/>
      <c r="S38" s="204"/>
      <c r="T38" s="80">
        <f ca="1">IF(ISERROR(INDIRECT("'BDI ("&amp;RIGHT(T37,1)&amp;")'!N27")),"",INDIRECT("'BDI ("&amp;RIGHT(T37,1)&amp;")'!N27"))</f>
        <v>0.2354</v>
      </c>
      <c r="U38" s="81">
        <f ca="1">IF(ISERROR(INDIRECT("'BDI ("&amp;RIGHT(U37,1)&amp;")'!N27")),"",INDIRECT("'BDI ("&amp;RIGHT(U37,1)&amp;")'!N27"))</f>
        <v>0</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09" t="s">
        <v>162</v>
      </c>
      <c r="B40" s="209"/>
      <c r="C40" s="210"/>
      <c r="D40" s="210"/>
      <c r="E40" s="210"/>
      <c r="F40" s="210"/>
      <c r="G40" s="210"/>
      <c r="H40" s="210"/>
      <c r="I40" s="210"/>
      <c r="J40" s="210"/>
      <c r="K40" s="210"/>
      <c r="L40" s="210"/>
      <c r="M40" s="210"/>
      <c r="N40" s="210"/>
      <c r="O40" s="210"/>
      <c r="P40" s="210"/>
      <c r="Q40" s="210"/>
      <c r="R40" s="210"/>
      <c r="S40" s="210"/>
      <c r="T40" s="210"/>
      <c r="U40" s="210"/>
      <c r="V40" s="210"/>
      <c r="W40" s="210"/>
      <c r="X40" s="210"/>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7" t="s">
        <v>87</v>
      </c>
      <c r="B42" s="215"/>
      <c r="C42" s="207" t="s">
        <v>111</v>
      </c>
      <c r="D42" s="208"/>
      <c r="E42" s="208"/>
      <c r="F42" s="208"/>
      <c r="G42" s="208"/>
      <c r="H42" s="207" t="s">
        <v>16</v>
      </c>
      <c r="I42" s="208"/>
      <c r="J42" s="20" t="s">
        <v>91</v>
      </c>
      <c r="K42" s="207" t="s">
        <v>88</v>
      </c>
      <c r="L42" s="208"/>
      <c r="M42" s="215"/>
      <c r="N42" s="20" t="s">
        <v>92</v>
      </c>
      <c r="O42" s="207" t="s">
        <v>93</v>
      </c>
      <c r="P42" s="208"/>
      <c r="Q42" s="208"/>
      <c r="R42" s="208"/>
      <c r="S42" s="208"/>
      <c r="T42" s="215"/>
      <c r="U42" s="222" t="s">
        <v>89</v>
      </c>
      <c r="V42" s="223"/>
      <c r="W42" s="222" t="s">
        <v>90</v>
      </c>
      <c r="X42" s="223"/>
    </row>
    <row r="43" spans="1:24" ht="12.75" customHeight="1" x14ac:dyDescent="0.2">
      <c r="A43" s="243"/>
      <c r="B43" s="244"/>
      <c r="C43" s="202"/>
      <c r="D43" s="203"/>
      <c r="E43" s="203"/>
      <c r="F43" s="203"/>
      <c r="G43" s="203"/>
      <c r="H43" s="220"/>
      <c r="I43" s="221"/>
      <c r="J43" s="74"/>
      <c r="K43" s="274"/>
      <c r="L43" s="275"/>
      <c r="M43" s="276"/>
      <c r="N43" s="89"/>
      <c r="O43" s="232"/>
      <c r="P43" s="233"/>
      <c r="Q43" s="233"/>
      <c r="R43" s="234"/>
      <c r="S43" s="234"/>
      <c r="T43" s="235"/>
      <c r="U43" s="230"/>
      <c r="V43" s="236"/>
      <c r="W43" s="230"/>
      <c r="X43" s="231"/>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09" t="s">
        <v>193</v>
      </c>
      <c r="B45" s="209"/>
      <c r="C45" s="210"/>
      <c r="D45" s="210"/>
      <c r="E45" s="210"/>
      <c r="F45" s="210"/>
      <c r="G45" s="210"/>
      <c r="H45" s="210"/>
      <c r="I45" s="210"/>
      <c r="J45" s="210"/>
      <c r="K45" s="210"/>
      <c r="L45" s="210"/>
      <c r="M45" s="210"/>
      <c r="N45" s="210"/>
      <c r="O45" s="210"/>
      <c r="P45" s="210"/>
      <c r="Q45" s="210"/>
      <c r="R45" s="210"/>
      <c r="S45" s="210"/>
      <c r="T45" s="210"/>
      <c r="U45" s="210"/>
      <c r="V45" s="210"/>
      <c r="W45" s="210"/>
      <c r="X45" s="210"/>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5">
        <v>46275</v>
      </c>
      <c r="B48" s="256"/>
      <c r="C48" s="257"/>
      <c r="E48" s="29"/>
      <c r="F48"/>
      <c r="G48"/>
      <c r="H48"/>
    </row>
    <row r="49" spans="1:24" x14ac:dyDescent="0.2">
      <c r="F49" s="25"/>
      <c r="G49" s="26"/>
      <c r="H49" s="27"/>
    </row>
    <row r="50" spans="1:24" x14ac:dyDescent="0.2">
      <c r="A50" s="209" t="s">
        <v>194</v>
      </c>
      <c r="B50" s="209"/>
      <c r="C50" s="210"/>
      <c r="D50" s="210"/>
      <c r="E50" s="210"/>
      <c r="F50" s="210"/>
      <c r="G50" s="210"/>
      <c r="H50" s="210"/>
      <c r="I50" s="210"/>
      <c r="J50" s="210"/>
      <c r="K50" s="210"/>
      <c r="L50" s="210"/>
      <c r="M50" s="210"/>
      <c r="N50" s="210"/>
      <c r="O50" s="210"/>
      <c r="P50" s="210"/>
      <c r="Q50" s="210"/>
      <c r="R50" s="210"/>
      <c r="S50" s="210"/>
      <c r="T50" s="210"/>
      <c r="U50" s="210"/>
      <c r="V50" s="210"/>
      <c r="W50" s="210"/>
      <c r="X50" s="210"/>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290</v>
      </c>
      <c r="L52" s="24"/>
    </row>
    <row r="53" spans="1:24" x14ac:dyDescent="0.2">
      <c r="A53" s="30"/>
      <c r="B53" s="30"/>
      <c r="C53" s="31"/>
      <c r="D53" s="31"/>
      <c r="E53" s="31"/>
      <c r="F53" s="25"/>
      <c r="G53" s="30"/>
      <c r="H53" s="30"/>
      <c r="I53" s="31"/>
      <c r="J53" s="31"/>
      <c r="K53" s="31"/>
    </row>
    <row r="54" spans="1:24" x14ac:dyDescent="0.2">
      <c r="A54" s="86" t="s">
        <v>140</v>
      </c>
      <c r="B54" s="258"/>
      <c r="C54" s="259"/>
      <c r="D54" s="259"/>
      <c r="E54" s="259"/>
      <c r="F54" s="25"/>
      <c r="G54" s="86" t="s">
        <v>140</v>
      </c>
      <c r="H54" s="258"/>
      <c r="I54" s="259"/>
      <c r="J54" s="259"/>
      <c r="K54" s="259"/>
    </row>
    <row r="55" spans="1:24" x14ac:dyDescent="0.2">
      <c r="A55" s="86" t="str">
        <f>IF(OR(TipoOrçamento="BASE",TipoOrçamento="REPROGRAMADONPL"),"Título:","Cargo:")</f>
        <v>Cargo:</v>
      </c>
      <c r="B55" s="258"/>
      <c r="C55" s="259"/>
      <c r="D55" s="259"/>
      <c r="E55" s="259"/>
      <c r="F55" s="25"/>
      <c r="G55" s="86" t="str">
        <f>A55</f>
        <v>Cargo:</v>
      </c>
      <c r="H55" s="258"/>
      <c r="I55" s="259"/>
      <c r="J55" s="259"/>
      <c r="K55" s="259"/>
    </row>
    <row r="56" spans="1:24" x14ac:dyDescent="0.2">
      <c r="A56" s="86" t="str">
        <f>IF(OR(TipoOrçamento="BASE",TipoOrçamento="REPROGRAMADONPL"),"CREA/CAU:","Empresa:")</f>
        <v>Empresa:</v>
      </c>
      <c r="B56" s="228"/>
      <c r="C56" s="229"/>
      <c r="D56" s="229"/>
      <c r="E56" s="229"/>
      <c r="F56" s="25"/>
      <c r="G56" s="86" t="str">
        <f>A56</f>
        <v>Empresa:</v>
      </c>
      <c r="H56" s="228"/>
      <c r="I56" s="229"/>
      <c r="J56" s="229"/>
      <c r="K56" s="229"/>
    </row>
    <row r="57" spans="1:24" x14ac:dyDescent="0.2">
      <c r="A57" s="86" t="str">
        <f>IF(OR(TipoOrçamento="BASE",TipoOrçamento="REPROGRAMADONPL"),"ART/RRT:","CNPJ:")</f>
        <v>CNPJ:</v>
      </c>
      <c r="B57" s="228"/>
      <c r="C57" s="229"/>
      <c r="D57" s="229"/>
      <c r="E57" s="229"/>
      <c r="F57" s="25"/>
      <c r="G57" s="86" t="str">
        <f>A57</f>
        <v>CNPJ:</v>
      </c>
      <c r="H57" s="229"/>
      <c r="I57" s="229"/>
      <c r="J57" s="229"/>
      <c r="K57" s="229"/>
    </row>
    <row r="58" spans="1:24" x14ac:dyDescent="0.2">
      <c r="F58" s="25"/>
      <c r="G58" s="26"/>
      <c r="H58" s="27"/>
    </row>
    <row r="59" spans="1:24" x14ac:dyDescent="0.2">
      <c r="F59" s="25"/>
      <c r="G59" s="26"/>
      <c r="H59" s="27"/>
    </row>
    <row r="60" spans="1:24" ht="12.75" customHeight="1" x14ac:dyDescent="0.2">
      <c r="A60" s="213" t="s">
        <v>195</v>
      </c>
      <c r="B60" s="213"/>
      <c r="C60" s="214"/>
      <c r="D60" s="214"/>
      <c r="E60" s="214"/>
      <c r="F60" s="214"/>
      <c r="G60" s="214"/>
      <c r="H60" s="214"/>
      <c r="I60" s="214"/>
      <c r="J60" s="214"/>
      <c r="K60" s="214"/>
      <c r="L60" s="214"/>
      <c r="M60" s="214"/>
      <c r="N60" s="214"/>
      <c r="O60" s="214"/>
      <c r="P60" s="214"/>
      <c r="Q60" s="214"/>
      <c r="R60" s="214"/>
      <c r="S60" s="214"/>
      <c r="T60" s="214"/>
      <c r="U60" s="214"/>
      <c r="V60" s="214"/>
      <c r="W60" s="214"/>
      <c r="X60" s="214"/>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17" t="s">
        <v>196</v>
      </c>
      <c r="B62" s="218"/>
      <c r="C62" s="219"/>
      <c r="D62" s="219"/>
      <c r="E62" s="219"/>
      <c r="F62" s="219"/>
      <c r="G62" s="219"/>
      <c r="H62" s="219"/>
      <c r="I62" s="219"/>
      <c r="J62" s="219"/>
      <c r="K62" s="219"/>
      <c r="L62" s="219"/>
      <c r="M62" s="219"/>
      <c r="N62" s="219"/>
      <c r="O62" s="219"/>
      <c r="P62" s="219"/>
      <c r="Q62" s="219"/>
      <c r="R62" s="219"/>
      <c r="S62" s="219"/>
      <c r="T62" s="219"/>
      <c r="U62" s="219"/>
      <c r="V62" s="219"/>
      <c r="W62" s="219"/>
      <c r="X62" s="219"/>
    </row>
    <row r="63" spans="1:24" ht="30" customHeight="1" x14ac:dyDescent="0.2">
      <c r="A63" s="217" t="s">
        <v>197</v>
      </c>
      <c r="B63" s="217"/>
      <c r="C63" s="260"/>
      <c r="D63" s="260"/>
      <c r="E63" s="260"/>
      <c r="F63" s="260"/>
      <c r="G63" s="260"/>
      <c r="H63" s="260"/>
      <c r="I63" s="260"/>
      <c r="J63" s="260"/>
      <c r="K63" s="260"/>
      <c r="L63" s="260"/>
      <c r="M63" s="260"/>
      <c r="N63" s="260"/>
      <c r="O63" s="260"/>
      <c r="P63" s="260"/>
      <c r="Q63" s="260"/>
      <c r="R63" s="260"/>
      <c r="S63" s="260"/>
      <c r="T63" s="260"/>
      <c r="U63" s="260"/>
      <c r="V63" s="260"/>
      <c r="W63" s="260"/>
      <c r="X63" s="260"/>
    </row>
    <row r="64" spans="1:24" x14ac:dyDescent="0.2">
      <c r="F64" s="25"/>
      <c r="G64" s="26"/>
      <c r="H64" s="27"/>
    </row>
    <row r="65" spans="1:24" ht="12.75" customHeight="1" x14ac:dyDescent="0.2">
      <c r="A65" s="213" t="s">
        <v>198</v>
      </c>
      <c r="B65" s="213"/>
      <c r="C65" s="214"/>
      <c r="D65" s="214"/>
      <c r="E65" s="214"/>
      <c r="F65" s="214"/>
      <c r="G65" s="214"/>
      <c r="H65" s="214"/>
      <c r="I65" s="214"/>
      <c r="J65" s="214"/>
      <c r="K65" s="214"/>
      <c r="L65" s="214"/>
      <c r="M65" s="214"/>
      <c r="N65" s="214"/>
      <c r="O65" s="214"/>
      <c r="P65" s="214"/>
      <c r="Q65" s="214"/>
      <c r="R65" s="214"/>
      <c r="S65" s="214"/>
      <c r="T65" s="214"/>
      <c r="U65" s="214"/>
      <c r="V65" s="214"/>
      <c r="W65" s="214"/>
      <c r="X65" s="214"/>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09" t="s">
        <v>199</v>
      </c>
      <c r="B67" s="209"/>
      <c r="C67" s="210"/>
      <c r="D67" s="210"/>
      <c r="E67" s="210"/>
      <c r="F67" s="210"/>
      <c r="G67" s="210"/>
      <c r="H67" s="210"/>
      <c r="I67" s="210"/>
      <c r="J67" s="210"/>
      <c r="K67" s="210"/>
      <c r="L67" s="210"/>
      <c r="M67" s="210"/>
      <c r="N67" s="210"/>
      <c r="O67" s="210"/>
      <c r="P67" s="210"/>
      <c r="Q67" s="210"/>
      <c r="R67" s="210"/>
      <c r="S67" s="210"/>
      <c r="T67" s="210"/>
      <c r="U67" s="210"/>
      <c r="V67" s="210"/>
      <c r="W67" s="210"/>
      <c r="X67" s="210"/>
    </row>
    <row r="68" spans="1:24" x14ac:dyDescent="0.2">
      <c r="A68" s="209" t="s">
        <v>200</v>
      </c>
      <c r="B68" s="209"/>
      <c r="C68" s="210"/>
      <c r="D68" s="210"/>
      <c r="E68" s="210"/>
      <c r="F68" s="210"/>
      <c r="G68" s="210"/>
      <c r="H68" s="210"/>
      <c r="I68" s="210"/>
      <c r="J68" s="210"/>
      <c r="K68" s="210"/>
      <c r="L68" s="210"/>
      <c r="M68" s="210"/>
      <c r="N68" s="210"/>
      <c r="O68" s="210"/>
      <c r="P68" s="210"/>
      <c r="Q68" s="210"/>
      <c r="R68" s="210"/>
      <c r="S68" s="210"/>
      <c r="T68" s="210"/>
      <c r="U68" s="210"/>
      <c r="V68" s="210"/>
      <c r="W68" s="210"/>
      <c r="X68" s="210"/>
    </row>
    <row r="69" spans="1:24" ht="12.75" customHeight="1" x14ac:dyDescent="0.2">
      <c r="A69" s="209" t="s">
        <v>201</v>
      </c>
      <c r="B69" s="209"/>
      <c r="C69" s="210"/>
      <c r="D69" s="210"/>
      <c r="E69" s="210"/>
      <c r="F69" s="210"/>
      <c r="G69" s="210"/>
      <c r="H69" s="210"/>
      <c r="I69" s="210"/>
      <c r="J69" s="210"/>
      <c r="K69" s="210"/>
      <c r="L69" s="210"/>
      <c r="M69" s="210"/>
      <c r="N69" s="210"/>
      <c r="O69" s="210"/>
      <c r="P69" s="210"/>
      <c r="Q69" s="210"/>
      <c r="R69" s="210"/>
      <c r="S69" s="210"/>
      <c r="T69" s="210"/>
      <c r="U69" s="210"/>
      <c r="V69" s="210"/>
      <c r="W69" s="210"/>
      <c r="X69" s="210"/>
    </row>
    <row r="70" spans="1:24" ht="12.75" customHeight="1" x14ac:dyDescent="0.2">
      <c r="A70" s="209" t="s">
        <v>202</v>
      </c>
      <c r="B70" s="209"/>
      <c r="C70" s="210"/>
      <c r="D70" s="210"/>
      <c r="E70" s="210"/>
      <c r="F70" s="210"/>
      <c r="G70" s="210"/>
      <c r="H70" s="210"/>
      <c r="I70" s="210"/>
      <c r="J70" s="210"/>
      <c r="K70" s="210"/>
      <c r="L70" s="210"/>
      <c r="M70" s="210"/>
      <c r="N70" s="210"/>
      <c r="O70" s="210"/>
      <c r="P70" s="210"/>
      <c r="Q70" s="210"/>
      <c r="R70" s="210"/>
      <c r="S70" s="210"/>
      <c r="T70" s="210"/>
      <c r="U70" s="210"/>
      <c r="V70" s="210"/>
      <c r="W70" s="210"/>
      <c r="X70" s="210"/>
    </row>
    <row r="71" spans="1:24" ht="12.75" customHeight="1" x14ac:dyDescent="0.2">
      <c r="A71" s="209" t="s">
        <v>203</v>
      </c>
      <c r="B71" s="209"/>
      <c r="C71" s="210"/>
      <c r="D71" s="210"/>
      <c r="E71" s="210"/>
      <c r="F71" s="210"/>
      <c r="G71" s="210"/>
      <c r="H71" s="210"/>
      <c r="I71" s="210"/>
      <c r="J71" s="210"/>
      <c r="K71" s="210"/>
      <c r="L71" s="210"/>
      <c r="M71" s="210"/>
      <c r="N71" s="210"/>
      <c r="O71" s="210"/>
      <c r="P71" s="210"/>
      <c r="Q71" s="210"/>
      <c r="R71" s="210"/>
      <c r="S71" s="210"/>
      <c r="T71" s="210"/>
      <c r="U71" s="210"/>
      <c r="V71" s="210"/>
      <c r="W71" s="210"/>
      <c r="X71" s="210"/>
    </row>
    <row r="72" spans="1:24" ht="12.75" customHeight="1" x14ac:dyDescent="0.2">
      <c r="A72" s="209" t="s">
        <v>204</v>
      </c>
      <c r="B72" s="209"/>
      <c r="C72" s="210"/>
      <c r="D72" s="210"/>
      <c r="E72" s="210"/>
      <c r="F72" s="210"/>
      <c r="G72" s="210"/>
      <c r="H72" s="210"/>
      <c r="I72" s="210"/>
      <c r="J72" s="210"/>
      <c r="K72" s="210"/>
      <c r="L72" s="210"/>
      <c r="M72" s="210"/>
      <c r="N72" s="210"/>
      <c r="O72" s="210"/>
      <c r="P72" s="210"/>
      <c r="Q72" s="210"/>
      <c r="R72" s="210"/>
      <c r="S72" s="210"/>
      <c r="T72" s="210"/>
      <c r="U72" s="210"/>
      <c r="V72" s="210"/>
      <c r="W72" s="210"/>
      <c r="X72" s="210"/>
    </row>
    <row r="73" spans="1:24" x14ac:dyDescent="0.2">
      <c r="F73" s="25"/>
      <c r="G73" s="26"/>
      <c r="H73" s="27"/>
    </row>
    <row r="74" spans="1:24" ht="12.75" customHeight="1" x14ac:dyDescent="0.2">
      <c r="A74" s="213" t="s">
        <v>205</v>
      </c>
      <c r="B74" s="213"/>
      <c r="C74" s="214"/>
      <c r="D74" s="214"/>
      <c r="E74" s="214"/>
      <c r="F74" s="214"/>
      <c r="G74" s="214"/>
      <c r="H74" s="214"/>
      <c r="I74" s="214"/>
      <c r="J74" s="214"/>
      <c r="K74" s="214"/>
      <c r="L74" s="214"/>
      <c r="M74" s="214"/>
      <c r="N74" s="214"/>
      <c r="O74" s="214"/>
      <c r="P74" s="214"/>
      <c r="Q74" s="214"/>
      <c r="R74" s="214"/>
      <c r="S74" s="214"/>
      <c r="T74" s="214"/>
      <c r="U74" s="214"/>
      <c r="V74" s="214"/>
      <c r="W74" s="214"/>
      <c r="X74" s="214"/>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09" t="s">
        <v>206</v>
      </c>
      <c r="B76" s="209"/>
      <c r="C76" s="210"/>
      <c r="D76" s="210"/>
      <c r="E76" s="210"/>
      <c r="F76" s="210"/>
      <c r="G76" s="210"/>
      <c r="H76" s="210"/>
      <c r="I76" s="210"/>
      <c r="J76" s="210"/>
      <c r="K76" s="210"/>
      <c r="L76" s="210"/>
      <c r="M76" s="210"/>
      <c r="N76" s="210"/>
      <c r="O76" s="210"/>
      <c r="P76" s="210"/>
      <c r="Q76" s="210"/>
      <c r="R76" s="210"/>
      <c r="S76" s="210"/>
      <c r="T76" s="210"/>
      <c r="U76" s="210"/>
      <c r="V76" s="210"/>
      <c r="W76" s="210"/>
      <c r="X76" s="210"/>
    </row>
    <row r="77" spans="1:24" ht="26.1" customHeight="1" x14ac:dyDescent="0.2">
      <c r="A77" s="205" t="s">
        <v>207</v>
      </c>
      <c r="B77" s="205"/>
      <c r="C77" s="206"/>
      <c r="D77" s="206"/>
      <c r="E77" s="206"/>
      <c r="F77" s="206"/>
      <c r="G77" s="206"/>
      <c r="H77" s="206"/>
      <c r="I77" s="206"/>
      <c r="J77" s="206"/>
      <c r="K77" s="206"/>
      <c r="L77" s="206"/>
      <c r="M77" s="206"/>
      <c r="N77" s="206"/>
      <c r="O77" s="206"/>
      <c r="P77" s="206"/>
      <c r="Q77" s="206"/>
      <c r="R77" s="206"/>
      <c r="S77" s="206"/>
      <c r="T77" s="206"/>
      <c r="U77" s="206"/>
      <c r="V77" s="206"/>
      <c r="W77" s="206"/>
      <c r="X77" s="206"/>
    </row>
    <row r="78" spans="1:24" ht="12.75" customHeight="1" x14ac:dyDescent="0.2">
      <c r="A78" s="209" t="s">
        <v>208</v>
      </c>
      <c r="B78" s="209"/>
      <c r="C78" s="210"/>
      <c r="D78" s="210"/>
      <c r="E78" s="210"/>
      <c r="F78" s="210"/>
      <c r="G78" s="210"/>
      <c r="H78" s="210"/>
      <c r="I78" s="210"/>
      <c r="J78" s="210"/>
      <c r="K78" s="210"/>
      <c r="L78" s="210"/>
      <c r="M78" s="210"/>
      <c r="N78" s="210"/>
      <c r="O78" s="210"/>
      <c r="P78" s="210"/>
      <c r="Q78" s="210"/>
      <c r="R78" s="210"/>
      <c r="S78" s="210"/>
      <c r="T78" s="210"/>
      <c r="U78" s="210"/>
      <c r="V78" s="210"/>
      <c r="W78" s="210"/>
      <c r="X78" s="210"/>
    </row>
    <row r="79" spans="1:24" ht="25.5" customHeight="1" x14ac:dyDescent="0.2">
      <c r="A79" s="209" t="s">
        <v>209</v>
      </c>
      <c r="B79" s="209"/>
      <c r="C79" s="210"/>
      <c r="D79" s="210"/>
      <c r="E79" s="210"/>
      <c r="F79" s="210"/>
      <c r="G79" s="210"/>
      <c r="H79" s="210"/>
      <c r="I79" s="210"/>
      <c r="J79" s="210"/>
      <c r="K79" s="210"/>
      <c r="L79" s="210"/>
      <c r="M79" s="210"/>
      <c r="N79" s="210"/>
      <c r="O79" s="210"/>
      <c r="P79" s="210"/>
      <c r="Q79" s="210"/>
      <c r="R79" s="210"/>
      <c r="S79" s="210"/>
      <c r="T79" s="210"/>
      <c r="U79" s="210"/>
      <c r="V79" s="210"/>
      <c r="W79" s="210"/>
      <c r="X79" s="210"/>
    </row>
    <row r="80" spans="1:24" x14ac:dyDescent="0.2">
      <c r="A80" s="205" t="s">
        <v>210</v>
      </c>
      <c r="B80" s="205"/>
      <c r="C80" s="206"/>
      <c r="D80" s="206"/>
      <c r="E80" s="206"/>
      <c r="F80" s="206"/>
      <c r="G80" s="206"/>
      <c r="H80" s="206"/>
      <c r="I80" s="206"/>
      <c r="J80" s="206"/>
      <c r="K80" s="206"/>
      <c r="L80" s="206"/>
      <c r="M80" s="206"/>
      <c r="N80" s="206"/>
      <c r="O80" s="206"/>
      <c r="P80" s="206"/>
      <c r="Q80" s="206"/>
      <c r="R80" s="206"/>
      <c r="S80" s="206"/>
      <c r="T80" s="206"/>
      <c r="U80" s="206"/>
      <c r="V80" s="206"/>
      <c r="W80" s="206"/>
      <c r="X80" s="206"/>
    </row>
    <row r="81" spans="1:24" ht="12.75" customHeight="1" x14ac:dyDescent="0.2">
      <c r="A81" s="209" t="s">
        <v>211</v>
      </c>
      <c r="B81" s="209"/>
      <c r="C81" s="210"/>
      <c r="D81" s="210"/>
      <c r="E81" s="210"/>
      <c r="F81" s="210"/>
      <c r="G81" s="210"/>
      <c r="H81" s="210"/>
      <c r="I81" s="210"/>
      <c r="J81" s="210"/>
      <c r="K81" s="210"/>
      <c r="L81" s="210"/>
      <c r="M81" s="210"/>
      <c r="N81" s="210"/>
      <c r="O81" s="210"/>
      <c r="P81" s="210"/>
      <c r="Q81" s="210"/>
      <c r="R81" s="210"/>
      <c r="S81" s="210"/>
      <c r="T81" s="210"/>
      <c r="U81" s="210"/>
      <c r="V81" s="210"/>
      <c r="W81" s="210"/>
      <c r="X81" s="210"/>
    </row>
    <row r="82" spans="1:24" ht="26.1" customHeight="1" x14ac:dyDescent="0.2">
      <c r="A82" s="209" t="s">
        <v>212</v>
      </c>
      <c r="B82" s="209"/>
      <c r="C82" s="210"/>
      <c r="D82" s="210"/>
      <c r="E82" s="210"/>
      <c r="F82" s="210"/>
      <c r="G82" s="210"/>
      <c r="H82" s="210"/>
      <c r="I82" s="210"/>
      <c r="J82" s="210"/>
      <c r="K82" s="210"/>
      <c r="L82" s="210"/>
      <c r="M82" s="210"/>
      <c r="N82" s="210"/>
      <c r="O82" s="210"/>
      <c r="P82" s="210"/>
      <c r="Q82" s="210"/>
      <c r="R82" s="210"/>
      <c r="S82" s="210"/>
      <c r="T82" s="210"/>
      <c r="U82" s="210"/>
      <c r="V82" s="210"/>
      <c r="W82" s="210"/>
      <c r="X82" s="210"/>
    </row>
    <row r="83" spans="1:24" ht="26.1" customHeight="1" x14ac:dyDescent="0.2">
      <c r="A83" s="209" t="s">
        <v>213</v>
      </c>
      <c r="B83" s="209"/>
      <c r="C83" s="210"/>
      <c r="D83" s="210"/>
      <c r="E83" s="210"/>
      <c r="F83" s="210"/>
      <c r="G83" s="210"/>
      <c r="H83" s="210"/>
      <c r="I83" s="210"/>
      <c r="J83" s="210"/>
      <c r="K83" s="210"/>
      <c r="L83" s="210"/>
      <c r="M83" s="210"/>
      <c r="N83" s="210"/>
      <c r="O83" s="210"/>
      <c r="P83" s="210"/>
      <c r="Q83" s="210"/>
      <c r="R83" s="210"/>
      <c r="S83" s="210"/>
      <c r="T83" s="210"/>
      <c r="U83" s="210"/>
      <c r="V83" s="210"/>
      <c r="W83" s="210"/>
      <c r="X83" s="210"/>
    </row>
    <row r="84" spans="1:24" ht="12.75" customHeight="1" x14ac:dyDescent="0.2">
      <c r="A84" s="209" t="s">
        <v>214</v>
      </c>
      <c r="B84" s="209"/>
      <c r="C84" s="210"/>
      <c r="D84" s="210"/>
      <c r="E84" s="210"/>
      <c r="F84" s="210"/>
      <c r="G84" s="210"/>
      <c r="H84" s="210"/>
      <c r="I84" s="210"/>
      <c r="J84" s="210"/>
      <c r="K84" s="210"/>
      <c r="L84" s="210"/>
      <c r="M84" s="210"/>
      <c r="N84" s="210"/>
      <c r="O84" s="210"/>
      <c r="P84" s="210"/>
      <c r="Q84" s="210"/>
      <c r="R84" s="210"/>
      <c r="S84" s="210"/>
      <c r="T84" s="210"/>
      <c r="U84" s="210"/>
      <c r="V84" s="210"/>
      <c r="W84" s="210"/>
      <c r="X84" s="210"/>
    </row>
    <row r="85" spans="1:24" x14ac:dyDescent="0.2">
      <c r="A85" s="209" t="s">
        <v>215</v>
      </c>
      <c r="B85" s="209"/>
      <c r="C85" s="210"/>
      <c r="D85" s="210"/>
      <c r="E85" s="210"/>
      <c r="F85" s="210"/>
      <c r="G85" s="210"/>
      <c r="H85" s="210"/>
      <c r="I85" s="210"/>
      <c r="J85" s="210"/>
      <c r="K85" s="210"/>
      <c r="L85" s="210"/>
      <c r="M85" s="210"/>
      <c r="N85" s="210"/>
      <c r="O85" s="210"/>
      <c r="P85" s="210"/>
      <c r="Q85" s="210"/>
      <c r="R85" s="210"/>
      <c r="S85" s="210"/>
      <c r="T85" s="210"/>
      <c r="U85" s="210"/>
      <c r="V85" s="210"/>
      <c r="W85" s="210"/>
      <c r="X85" s="210"/>
    </row>
    <row r="86" spans="1:24" ht="12.75" customHeight="1" x14ac:dyDescent="0.2">
      <c r="A86" s="205" t="s">
        <v>216</v>
      </c>
      <c r="B86" s="205"/>
      <c r="C86" s="206"/>
      <c r="D86" s="206"/>
      <c r="E86" s="206"/>
      <c r="F86" s="206"/>
      <c r="G86" s="206"/>
      <c r="H86" s="206"/>
      <c r="I86" s="206"/>
      <c r="J86" s="206"/>
      <c r="K86" s="206"/>
      <c r="L86" s="206"/>
      <c r="M86" s="206"/>
      <c r="N86" s="206"/>
      <c r="O86" s="206"/>
      <c r="P86" s="206"/>
      <c r="Q86" s="206"/>
      <c r="R86" s="206"/>
      <c r="S86" s="206"/>
      <c r="T86" s="206"/>
      <c r="U86" s="206"/>
      <c r="V86" s="206"/>
      <c r="W86" s="206"/>
      <c r="X86" s="206"/>
    </row>
    <row r="87" spans="1:24" x14ac:dyDescent="0.2">
      <c r="A87" s="209" t="s">
        <v>217</v>
      </c>
      <c r="B87" s="209"/>
      <c r="C87" s="210"/>
      <c r="D87" s="210"/>
      <c r="E87" s="210"/>
      <c r="F87" s="210"/>
      <c r="G87" s="210"/>
      <c r="H87" s="210"/>
      <c r="I87" s="210"/>
      <c r="J87" s="210"/>
      <c r="K87" s="210"/>
      <c r="L87" s="210"/>
      <c r="M87" s="210"/>
      <c r="N87" s="210"/>
      <c r="O87" s="210"/>
      <c r="P87" s="210"/>
      <c r="Q87" s="210"/>
      <c r="R87" s="210"/>
      <c r="S87" s="210"/>
      <c r="T87" s="210"/>
      <c r="U87" s="210"/>
      <c r="V87" s="210"/>
      <c r="W87" s="210"/>
      <c r="X87" s="210"/>
    </row>
    <row r="88" spans="1:24" x14ac:dyDescent="0.2">
      <c r="A88" s="209" t="s">
        <v>218</v>
      </c>
      <c r="B88" s="209"/>
      <c r="C88" s="210"/>
      <c r="D88" s="210"/>
      <c r="E88" s="210"/>
      <c r="F88" s="210"/>
      <c r="G88" s="210"/>
      <c r="H88" s="210"/>
      <c r="I88" s="210"/>
      <c r="J88" s="210"/>
      <c r="K88" s="210"/>
      <c r="L88" s="210"/>
      <c r="M88" s="210"/>
      <c r="N88" s="210"/>
      <c r="O88" s="210"/>
      <c r="P88" s="210"/>
      <c r="Q88" s="210"/>
      <c r="R88" s="210"/>
      <c r="S88" s="210"/>
      <c r="T88" s="210"/>
      <c r="U88" s="210"/>
      <c r="V88" s="210"/>
      <c r="W88" s="210"/>
      <c r="X88" s="210"/>
    </row>
    <row r="90" spans="1:24" x14ac:dyDescent="0.2">
      <c r="A90" s="213" t="s">
        <v>219</v>
      </c>
      <c r="B90" s="213"/>
      <c r="C90" s="214"/>
      <c r="D90" s="214"/>
      <c r="E90" s="214"/>
      <c r="F90" s="214"/>
      <c r="G90" s="214"/>
      <c r="H90" s="214"/>
      <c r="I90" s="214"/>
      <c r="J90" s="214"/>
      <c r="K90" s="214"/>
      <c r="L90" s="214"/>
      <c r="M90" s="214"/>
      <c r="N90" s="214"/>
      <c r="O90" s="214"/>
      <c r="P90" s="214"/>
      <c r="Q90" s="214"/>
      <c r="R90" s="214"/>
      <c r="S90" s="214"/>
      <c r="T90" s="214"/>
      <c r="U90" s="214"/>
      <c r="V90" s="214"/>
      <c r="W90" s="214"/>
      <c r="X90" s="214"/>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09" t="s">
        <v>220</v>
      </c>
      <c r="B92" s="209"/>
      <c r="C92" s="210"/>
      <c r="D92" s="210"/>
      <c r="E92" s="210"/>
      <c r="F92" s="210"/>
      <c r="G92" s="210"/>
      <c r="H92" s="210"/>
      <c r="I92" s="210"/>
      <c r="J92" s="210"/>
      <c r="K92" s="210"/>
      <c r="L92" s="210"/>
      <c r="M92" s="210"/>
      <c r="N92" s="210"/>
      <c r="O92" s="210"/>
      <c r="P92" s="210"/>
      <c r="Q92" s="210"/>
      <c r="R92" s="210"/>
      <c r="S92" s="210"/>
      <c r="T92" s="210"/>
      <c r="U92" s="210"/>
      <c r="V92" s="210"/>
      <c r="W92" s="210"/>
      <c r="X92" s="210"/>
    </row>
    <row r="93" spans="1:24" ht="12.75" customHeight="1" x14ac:dyDescent="0.2">
      <c r="A93" s="205" t="s">
        <v>221</v>
      </c>
      <c r="B93" s="205"/>
      <c r="C93" s="206"/>
      <c r="D93" s="206"/>
      <c r="E93" s="206"/>
      <c r="F93" s="206"/>
      <c r="G93" s="206"/>
      <c r="H93" s="206"/>
      <c r="I93" s="206"/>
      <c r="J93" s="206"/>
      <c r="K93" s="206"/>
      <c r="L93" s="206"/>
      <c r="M93" s="206"/>
      <c r="N93" s="206"/>
      <c r="O93" s="206"/>
      <c r="P93" s="206"/>
      <c r="Q93" s="206"/>
      <c r="R93" s="206"/>
      <c r="S93" s="206"/>
      <c r="T93" s="206"/>
      <c r="U93" s="206"/>
      <c r="V93" s="206"/>
      <c r="W93" s="206"/>
      <c r="X93" s="206"/>
    </row>
    <row r="94" spans="1:24" ht="12.75" customHeight="1" x14ac:dyDescent="0.2">
      <c r="A94" s="209" t="s">
        <v>222</v>
      </c>
      <c r="B94" s="209"/>
      <c r="C94" s="210"/>
      <c r="D94" s="210"/>
      <c r="E94" s="210"/>
      <c r="F94" s="210"/>
      <c r="G94" s="210"/>
      <c r="H94" s="210"/>
      <c r="I94" s="210"/>
      <c r="J94" s="210"/>
      <c r="K94" s="210"/>
      <c r="L94" s="210"/>
      <c r="M94" s="210"/>
      <c r="N94" s="210"/>
      <c r="O94" s="210"/>
      <c r="P94" s="210"/>
      <c r="Q94" s="210"/>
      <c r="R94" s="210"/>
      <c r="S94" s="210"/>
      <c r="T94" s="210"/>
      <c r="U94" s="210"/>
      <c r="V94" s="210"/>
      <c r="W94" s="210"/>
      <c r="X94" s="210"/>
    </row>
    <row r="95" spans="1:24" x14ac:dyDescent="0.2">
      <c r="A95" s="209" t="s">
        <v>223</v>
      </c>
      <c r="B95" s="209"/>
      <c r="C95" s="210"/>
      <c r="D95" s="210"/>
      <c r="E95" s="210"/>
      <c r="F95" s="210"/>
      <c r="G95" s="210"/>
      <c r="H95" s="210"/>
      <c r="I95" s="210"/>
      <c r="J95" s="210"/>
      <c r="K95" s="210"/>
      <c r="L95" s="210"/>
      <c r="M95" s="210"/>
      <c r="N95" s="210"/>
      <c r="O95" s="210"/>
      <c r="P95" s="210"/>
      <c r="Q95" s="210"/>
      <c r="R95" s="210"/>
      <c r="S95" s="210"/>
      <c r="T95" s="210"/>
      <c r="U95" s="210"/>
      <c r="V95" s="210"/>
      <c r="W95" s="210"/>
      <c r="X95" s="210"/>
    </row>
    <row r="96" spans="1:24" ht="12.75" customHeight="1" x14ac:dyDescent="0.2">
      <c r="A96" s="205"/>
      <c r="B96" s="205"/>
      <c r="C96" s="206"/>
      <c r="D96" s="206"/>
      <c r="E96" s="206"/>
      <c r="F96" s="206"/>
      <c r="G96" s="206"/>
      <c r="H96" s="206"/>
      <c r="I96" s="206"/>
      <c r="J96" s="206"/>
      <c r="K96" s="206"/>
      <c r="L96" s="206"/>
      <c r="M96" s="206"/>
      <c r="N96" s="206"/>
      <c r="O96" s="206"/>
      <c r="P96" s="206"/>
      <c r="Q96" s="206"/>
      <c r="R96" s="206"/>
      <c r="S96" s="206"/>
      <c r="T96" s="206"/>
      <c r="U96" s="206"/>
      <c r="V96" s="206"/>
      <c r="W96" s="206"/>
      <c r="X96" s="206"/>
    </row>
    <row r="97" spans="1:24" x14ac:dyDescent="0.2">
      <c r="A97" s="213" t="s">
        <v>224</v>
      </c>
      <c r="B97" s="213"/>
      <c r="C97" s="214"/>
      <c r="D97" s="214"/>
      <c r="E97" s="214"/>
      <c r="F97" s="214"/>
      <c r="G97" s="214"/>
      <c r="H97" s="214"/>
      <c r="I97" s="214"/>
      <c r="J97" s="214"/>
      <c r="K97" s="214"/>
      <c r="L97" s="214"/>
      <c r="M97" s="214"/>
      <c r="N97" s="214"/>
      <c r="O97" s="214"/>
      <c r="P97" s="214"/>
      <c r="Q97" s="214"/>
      <c r="R97" s="214"/>
      <c r="S97" s="214"/>
      <c r="T97" s="214"/>
      <c r="U97" s="214"/>
      <c r="V97" s="214"/>
      <c r="W97" s="214"/>
      <c r="X97" s="214"/>
    </row>
    <row r="98" spans="1:24" ht="12.75" customHeight="1" x14ac:dyDescent="0.2">
      <c r="A98" s="205"/>
      <c r="B98" s="205"/>
      <c r="C98" s="206"/>
      <c r="D98" s="206"/>
      <c r="E98" s="206"/>
      <c r="F98" s="206"/>
      <c r="G98" s="206"/>
      <c r="H98" s="206"/>
      <c r="I98" s="206"/>
      <c r="J98" s="206"/>
      <c r="K98" s="206"/>
      <c r="L98" s="206"/>
      <c r="M98" s="206"/>
      <c r="N98" s="206"/>
      <c r="O98" s="206"/>
      <c r="P98" s="206"/>
      <c r="Q98" s="206"/>
      <c r="R98" s="206"/>
      <c r="S98" s="206"/>
      <c r="T98" s="206"/>
      <c r="U98" s="206"/>
      <c r="V98" s="206"/>
      <c r="W98" s="206"/>
      <c r="X98" s="206"/>
    </row>
    <row r="99" spans="1:24" ht="12.75" customHeight="1" x14ac:dyDescent="0.2">
      <c r="A99" s="209" t="s">
        <v>225</v>
      </c>
      <c r="B99" s="209"/>
      <c r="C99" s="210"/>
      <c r="D99" s="210"/>
      <c r="E99" s="210"/>
      <c r="F99" s="210"/>
      <c r="G99" s="210"/>
      <c r="H99" s="210"/>
      <c r="I99" s="210"/>
      <c r="J99" s="210"/>
      <c r="K99" s="210"/>
      <c r="L99" s="210"/>
      <c r="M99" s="210"/>
      <c r="N99" s="210"/>
      <c r="O99" s="210"/>
      <c r="P99" s="210"/>
      <c r="Q99" s="210"/>
      <c r="R99" s="210"/>
      <c r="S99" s="210"/>
      <c r="T99" s="210"/>
      <c r="U99" s="210"/>
      <c r="V99" s="210"/>
      <c r="W99" s="210"/>
      <c r="X99" s="210"/>
    </row>
    <row r="100" spans="1:24" ht="12.75" customHeight="1" x14ac:dyDescent="0.2">
      <c r="A100" s="209" t="s">
        <v>226</v>
      </c>
      <c r="B100" s="209"/>
      <c r="C100" s="210"/>
      <c r="D100" s="210"/>
      <c r="E100" s="210"/>
      <c r="F100" s="210"/>
      <c r="G100" s="210"/>
      <c r="H100" s="210"/>
      <c r="I100" s="210"/>
      <c r="J100" s="210"/>
      <c r="K100" s="210"/>
      <c r="L100" s="210"/>
      <c r="M100" s="210"/>
      <c r="N100" s="210"/>
      <c r="O100" s="210"/>
      <c r="P100" s="210"/>
      <c r="Q100" s="210"/>
      <c r="R100" s="210"/>
      <c r="S100" s="210"/>
      <c r="T100" s="210"/>
      <c r="U100" s="210"/>
      <c r="V100" s="210"/>
      <c r="W100" s="210"/>
      <c r="X100" s="210"/>
    </row>
    <row r="101" spans="1:24" x14ac:dyDescent="0.2">
      <c r="A101" s="209" t="s">
        <v>227</v>
      </c>
      <c r="B101" s="209"/>
      <c r="C101" s="210"/>
      <c r="D101" s="210"/>
      <c r="E101" s="210"/>
      <c r="F101" s="210"/>
      <c r="G101" s="210"/>
      <c r="H101" s="210"/>
      <c r="I101" s="210"/>
      <c r="J101" s="210"/>
      <c r="K101" s="210"/>
      <c r="L101" s="210"/>
      <c r="M101" s="210"/>
      <c r="N101" s="210"/>
      <c r="O101" s="210"/>
      <c r="P101" s="210"/>
      <c r="Q101" s="210"/>
      <c r="R101" s="210"/>
      <c r="S101" s="210"/>
      <c r="T101" s="210"/>
      <c r="U101" s="210"/>
      <c r="V101" s="210"/>
      <c r="W101" s="210"/>
      <c r="X101" s="210"/>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0.2354</v>
      </c>
    </row>
    <row r="109" spans="1:24" x14ac:dyDescent="0.2">
      <c r="A109"/>
      <c r="F109"/>
      <c r="G109" s="23"/>
      <c r="H109" s="23"/>
      <c r="L109" s="1" t="s">
        <v>133</v>
      </c>
      <c r="P109" s="23"/>
      <c r="S109" s="175">
        <f ca="1">U38</f>
        <v>0</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7" t="str">
        <f>A28</f>
        <v>Nº OPERAÇÃO</v>
      </c>
      <c r="B220" s="215"/>
      <c r="C220" s="207" t="str">
        <f>C28</f>
        <v>GESTOR</v>
      </c>
      <c r="D220" s="208"/>
      <c r="E220" s="215"/>
      <c r="F220" s="207" t="str">
        <f>F28</f>
        <v>PROGRAMA</v>
      </c>
      <c r="G220" s="208"/>
      <c r="H220" s="208"/>
      <c r="I220" s="215"/>
      <c r="J220" s="207" t="str">
        <f>J28</f>
        <v>AÇÃO / MODALIDADE</v>
      </c>
      <c r="K220" s="208"/>
      <c r="L220" s="208"/>
      <c r="M220" s="208"/>
      <c r="N220" s="208"/>
      <c r="O220" s="215"/>
      <c r="P220" s="207" t="str">
        <f>P28</f>
        <v>OBJETO</v>
      </c>
      <c r="Q220" s="208"/>
      <c r="R220" s="208"/>
      <c r="S220" s="208"/>
      <c r="T220" s="208"/>
      <c r="U220" s="208"/>
      <c r="V220" s="208"/>
      <c r="W220" s="208"/>
      <c r="X220" s="215"/>
    </row>
    <row r="221" spans="1:24" ht="12.75" customHeight="1" x14ac:dyDescent="0.2">
      <c r="A221" s="247" t="str">
        <f>IF(A29="","",A29)</f>
        <v/>
      </c>
      <c r="B221" s="249"/>
      <c r="C221" s="247" t="str">
        <f>IF(C29="","",C29)</f>
        <v/>
      </c>
      <c r="D221" s="248"/>
      <c r="E221" s="249"/>
      <c r="F221" s="247" t="str">
        <f>IF(F29="","",F29)</f>
        <v/>
      </c>
      <c r="G221" s="248"/>
      <c r="H221" s="248"/>
      <c r="I221" s="249"/>
      <c r="J221" s="247" t="str">
        <f>IF(J29="","",J29)</f>
        <v/>
      </c>
      <c r="K221" s="248"/>
      <c r="L221" s="248" t="e">
        <f>IF(#REF!="","",#REF!)</f>
        <v>#REF!</v>
      </c>
      <c r="M221" s="248"/>
      <c r="N221" s="248" t="e">
        <f>IF(#REF!="","",#REF!)</f>
        <v>#REF!</v>
      </c>
      <c r="O221" s="249"/>
      <c r="P221" s="247" t="str">
        <f>IF(P29="","",P29)</f>
        <v>REFORMA DO CRAS I</v>
      </c>
      <c r="Q221" s="248"/>
      <c r="R221" s="248"/>
      <c r="S221" s="248"/>
      <c r="T221" s="248"/>
      <c r="U221" s="248"/>
      <c r="V221" s="248"/>
      <c r="W221" s="248"/>
      <c r="X221" s="249"/>
    </row>
    <row r="222" spans="1:24" ht="6" customHeight="1" x14ac:dyDescent="0.2">
      <c r="A222"/>
      <c r="B222"/>
      <c r="F222"/>
      <c r="G222"/>
      <c r="H222"/>
    </row>
    <row r="223" spans="1:24" x14ac:dyDescent="0.2">
      <c r="A223" s="207" t="str">
        <f>A31</f>
        <v>PROPONENTE / TOMADOR</v>
      </c>
      <c r="B223" s="208"/>
      <c r="C223" s="208"/>
      <c r="D223" s="208"/>
      <c r="E223" s="208"/>
      <c r="F223" s="208"/>
      <c r="G223" s="207" t="str">
        <f>G31</f>
        <v>MUNICÍPIO / UF</v>
      </c>
      <c r="H223" s="208"/>
      <c r="I223" s="208"/>
      <c r="J223" s="215"/>
      <c r="K223" s="207" t="str">
        <f>K31</f>
        <v>LOCALIDADE / ENDEREÇO</v>
      </c>
      <c r="L223" s="208"/>
      <c r="M223" s="208"/>
      <c r="N223" s="208"/>
      <c r="O223" s="208"/>
      <c r="P223" s="215"/>
      <c r="Q223" s="207" t="str">
        <f>Q31</f>
        <v>APELIDO DO EMPREENDIMENTO</v>
      </c>
      <c r="R223" s="208"/>
      <c r="S223" s="208"/>
      <c r="T223" s="208"/>
      <c r="U223" s="208"/>
      <c r="V223" s="208"/>
      <c r="W223" s="208"/>
      <c r="X223" s="215"/>
    </row>
    <row r="224" spans="1:24" ht="12.75" customHeight="1" x14ac:dyDescent="0.2">
      <c r="A224" s="245" t="str">
        <f>IF(A32="","",A32)</f>
        <v>MUNICÍPIO DE BENTO GONÇALVES</v>
      </c>
      <c r="B224" s="246"/>
      <c r="C224" s="246"/>
      <c r="D224" s="246"/>
      <c r="E224" s="246"/>
      <c r="F224" s="246"/>
      <c r="G224" s="247" t="str">
        <f>IF(G32="","",G32)</f>
        <v>BENTO GONÇALVES/RS</v>
      </c>
      <c r="H224" s="248" t="str">
        <f>IF(I32="","",I32)</f>
        <v/>
      </c>
      <c r="I224" s="248"/>
      <c r="J224" s="249" t="e">
        <f>IF(#REF!="","",#REF!)</f>
        <v>#REF!</v>
      </c>
      <c r="K224" s="247" t="str">
        <f>IF(K32="","",K32)</f>
        <v>RUA CALISTO ORESTES SGANZERLA, 70, BAIRRO OURO VERDE</v>
      </c>
      <c r="L224" s="248"/>
      <c r="M224" s="248"/>
      <c r="N224" s="248"/>
      <c r="O224" s="248"/>
      <c r="P224" s="249"/>
      <c r="Q224" s="247" t="str">
        <f>IF(Q32="","",Q32)</f>
        <v>REFORMA DO CRAS I</v>
      </c>
      <c r="R224" s="248"/>
      <c r="S224" s="248"/>
      <c r="T224" s="248"/>
      <c r="U224" s="248"/>
      <c r="V224" s="248"/>
      <c r="W224" s="248"/>
      <c r="X224" s="249"/>
    </row>
    <row r="225" spans="1:24" ht="6" hidden="1" customHeight="1" x14ac:dyDescent="0.2">
      <c r="A225"/>
      <c r="B225"/>
      <c r="F225"/>
      <c r="G225"/>
      <c r="H225"/>
    </row>
    <row r="226" spans="1:24" hidden="1" x14ac:dyDescent="0.2">
      <c r="A226" s="207" t="str">
        <f>A37</f>
        <v>DATA BASE</v>
      </c>
      <c r="B226" s="215"/>
      <c r="C226" s="78" t="str">
        <f>C37</f>
        <v>DESON.</v>
      </c>
      <c r="D226" s="207" t="str">
        <f>D37</f>
        <v>LOCALIDADE DO SINAPI</v>
      </c>
      <c r="E226" s="208"/>
      <c r="F226" s="215"/>
      <c r="G226" s="207" t="str">
        <f>G37</f>
        <v>DESCRIÇÃO DO LOTE</v>
      </c>
      <c r="H226" s="208"/>
      <c r="I226" s="208"/>
      <c r="J226" s="208"/>
      <c r="K226" s="208"/>
      <c r="L226" s="208"/>
      <c r="M226" s="208"/>
      <c r="N226" s="208"/>
      <c r="O226" s="208"/>
      <c r="P226" s="208"/>
      <c r="Q226" s="208"/>
      <c r="R226" s="208"/>
      <c r="S226" s="215"/>
      <c r="T226" s="79" t="str">
        <f>T37</f>
        <v>BDI 1</v>
      </c>
      <c r="U226" s="79" t="str">
        <f>U37</f>
        <v>BDI 2</v>
      </c>
      <c r="V226" s="79" t="str">
        <f>V37</f>
        <v>BDI 3</v>
      </c>
      <c r="W226" s="79" t="str">
        <f>W37</f>
        <v>BDI 4</v>
      </c>
      <c r="X226" s="79" t="str">
        <f>X37</f>
        <v>BDI 5</v>
      </c>
    </row>
    <row r="227" spans="1:24" ht="12.75" hidden="1" customHeight="1" x14ac:dyDescent="0.2">
      <c r="A227" s="250">
        <f>IF(A38="","",A38)</f>
        <v>46183</v>
      </c>
      <c r="B227" s="251"/>
      <c r="C227" s="115" t="str">
        <f t="shared" ref="C227:X227" si="0">IF(C38="","",C38)</f>
        <v>Não</v>
      </c>
      <c r="D227" s="252" t="str">
        <f t="shared" si="0"/>
        <v>Porto Alegre / RS</v>
      </c>
      <c r="E227" s="253" t="str">
        <f t="shared" si="0"/>
        <v/>
      </c>
      <c r="F227" s="254" t="str">
        <f t="shared" si="0"/>
        <v/>
      </c>
      <c r="G227" s="252" t="str">
        <f t="shared" si="0"/>
        <v>REFORMA DO CRAS I</v>
      </c>
      <c r="H227" s="253" t="str">
        <f t="shared" si="0"/>
        <v/>
      </c>
      <c r="I227" s="253" t="str">
        <f t="shared" si="0"/>
        <v/>
      </c>
      <c r="J227" s="253" t="str">
        <f t="shared" si="0"/>
        <v/>
      </c>
      <c r="K227" s="253" t="str">
        <f t="shared" si="0"/>
        <v/>
      </c>
      <c r="L227" s="253" t="str">
        <f t="shared" si="0"/>
        <v/>
      </c>
      <c r="M227" s="253" t="str">
        <f t="shared" si="0"/>
        <v/>
      </c>
      <c r="N227" s="253" t="str">
        <f t="shared" si="0"/>
        <v/>
      </c>
      <c r="O227" s="253" t="str">
        <f t="shared" si="0"/>
        <v/>
      </c>
      <c r="P227" s="253" t="str">
        <f t="shared" si="0"/>
        <v/>
      </c>
      <c r="Q227" s="253" t="str">
        <f t="shared" si="0"/>
        <v/>
      </c>
      <c r="R227" s="253" t="str">
        <f t="shared" si="0"/>
        <v/>
      </c>
      <c r="S227" s="254" t="str">
        <f t="shared" si="0"/>
        <v/>
      </c>
      <c r="T227" s="117">
        <f t="shared" ca="1" si="0"/>
        <v>0.2354</v>
      </c>
      <c r="U227" s="81">
        <f t="shared" ca="1" si="0"/>
        <v>0</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7" t="s">
        <v>87</v>
      </c>
      <c r="B229" s="215"/>
      <c r="C229" s="207" t="s">
        <v>163</v>
      </c>
      <c r="D229" s="208"/>
      <c r="E229" s="208"/>
      <c r="F229" s="208"/>
      <c r="G229" s="208"/>
      <c r="H229" s="207" t="s">
        <v>16</v>
      </c>
      <c r="I229" s="208"/>
      <c r="J229" s="20" t="s">
        <v>91</v>
      </c>
      <c r="K229" s="207" t="s">
        <v>88</v>
      </c>
      <c r="L229" s="208"/>
      <c r="M229" s="215"/>
      <c r="N229" s="20" t="s">
        <v>92</v>
      </c>
      <c r="O229" s="207" t="s">
        <v>93</v>
      </c>
      <c r="P229" s="208"/>
      <c r="Q229" s="208"/>
      <c r="R229" s="208"/>
      <c r="S229" s="208"/>
      <c r="T229" s="215"/>
      <c r="U229" s="222" t="s">
        <v>89</v>
      </c>
      <c r="V229" s="223"/>
      <c r="W229" s="222" t="s">
        <v>90</v>
      </c>
      <c r="X229" s="223"/>
    </row>
    <row r="230" spans="1:24" ht="12.75" customHeight="1" x14ac:dyDescent="0.2">
      <c r="A230" s="252" t="str">
        <f>IF(A43="","",A43)</f>
        <v/>
      </c>
      <c r="B230" s="254"/>
      <c r="C230" s="252" t="str">
        <f>IF(C43="","",C43)</f>
        <v/>
      </c>
      <c r="D230" s="253"/>
      <c r="E230" s="253" t="str">
        <f>IF(E43="","",E43)</f>
        <v/>
      </c>
      <c r="F230" s="253"/>
      <c r="G230" s="253" t="str">
        <f>IF(G43="","",G43)</f>
        <v/>
      </c>
      <c r="H230" s="269" t="str">
        <f>IF(H43="","",H43)</f>
        <v/>
      </c>
      <c r="I230" s="270" t="str">
        <f>IF(I43="","",I43)</f>
        <v/>
      </c>
      <c r="J230" s="116" t="str">
        <f>IF(J43="","",J43)</f>
        <v/>
      </c>
      <c r="K230" s="261" t="str">
        <f>IF(K43="","",K43)</f>
        <v/>
      </c>
      <c r="L230" s="263"/>
      <c r="M230" s="264" t="str">
        <f>IF(M43="","",M43)</f>
        <v/>
      </c>
      <c r="N230" s="118" t="str">
        <f>IF(N43="","",N43)</f>
        <v/>
      </c>
      <c r="O230" s="261" t="str">
        <f>IF(O43="","",O43)</f>
        <v/>
      </c>
      <c r="P230" s="262"/>
      <c r="Q230" s="262" t="str">
        <f>IF(Q43="","",Q43)</f>
        <v/>
      </c>
      <c r="R230" s="263"/>
      <c r="S230" s="263" t="str">
        <f>IF(S43="","",S43)</f>
        <v/>
      </c>
      <c r="T230" s="264"/>
      <c r="U230" s="267" t="str">
        <f>IF(U43="","",U43)</f>
        <v/>
      </c>
      <c r="V230" s="268"/>
      <c r="W230" s="265" t="str">
        <f>IF(W43="","",W43)</f>
        <v/>
      </c>
      <c r="X230" s="266"/>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7" type="noConversion"/>
  <conditionalFormatting sqref="B54:E55 B56 B57:E57">
    <cfRule type="expression" dxfId="472" priority="42" stopIfTrue="1">
      <formula>$B54&lt;&gt;""</formula>
    </cfRule>
  </conditionalFormatting>
  <conditionalFormatting sqref="A48 H54:K54 H55:H56 H57:K57 A29:C29 J29 F29 A32 P29 G32 K32">
    <cfRule type="expression" dxfId="471" priority="48" stopIfTrue="1">
      <formula>A29&lt;&gt;""</formula>
    </cfRule>
  </conditionalFormatting>
  <conditionalFormatting sqref="G53:K54 G55:H56 G57:K57">
    <cfRule type="expression" dxfId="470" priority="43" stopIfTrue="1">
      <formula>$K$52&lt;&gt;"SIM"</formula>
    </cfRule>
  </conditionalFormatting>
  <conditionalFormatting sqref="A40:X43">
    <cfRule type="expression" dxfId="469" priority="56" stopIfTrue="1">
      <formula>OR(TipoOrçamento="BASE",TipoOrçamento="REPROGRAMADONPL")</formula>
    </cfRule>
    <cfRule type="expression" dxfId="468" priority="57" stopIfTrue="1">
      <formula>A40&lt;&gt;""</formula>
    </cfRule>
  </conditionalFormatting>
  <conditionalFormatting sqref="A35:X38">
    <cfRule type="expression" dxfId="467" priority="58" stopIfTrue="1">
      <formula>OR(TipoOrçamento="LICITADO",TipoOrçamento="REPROGRAMADOAC")</formula>
    </cfRule>
    <cfRule type="expression" dxfId="466" priority="59" stopIfTrue="1">
      <formula>A35&lt;&gt;""</formula>
    </cfRule>
  </conditionalFormatting>
  <conditionalFormatting sqref="Q32">
    <cfRule type="expression" dxfId="465"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4" zoomScale="70" zoomScaleNormal="70" zoomScaleSheetLayoutView="100" zoomScalePageLayoutView="70" workbookViewId="0">
      <selection activeCell="N24" sqref="N24"/>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7" t="s">
        <v>150</v>
      </c>
      <c r="J4" s="215"/>
      <c r="K4" s="207" t="s">
        <v>173</v>
      </c>
      <c r="L4" s="208"/>
      <c r="M4" s="208"/>
      <c r="N4" s="208"/>
      <c r="O4" s="208"/>
      <c r="P4" s="208"/>
      <c r="Q4" s="208"/>
      <c r="R4" s="21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5">
        <f>DADOS!A29</f>
        <v>0</v>
      </c>
      <c r="J5" s="306"/>
      <c r="K5" s="307" t="str">
        <f>DADOS!A32</f>
        <v>MUNICÍPIO DE BENTO GONÇALVES</v>
      </c>
      <c r="L5" s="308"/>
      <c r="M5" s="308"/>
      <c r="N5" s="308"/>
      <c r="O5" s="308"/>
      <c r="P5" s="308"/>
      <c r="Q5" s="308"/>
      <c r="R5" s="306"/>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7" t="s">
        <v>0</v>
      </c>
      <c r="J7" s="208"/>
      <c r="K7" s="208"/>
      <c r="L7" s="208"/>
      <c r="M7" s="208"/>
      <c r="N7" s="208"/>
      <c r="O7" s="208"/>
      <c r="P7" s="208"/>
      <c r="Q7" s="208"/>
      <c r="R7" s="21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9" t="str">
        <f>DADOS!P29</f>
        <v>REFORMA DO CRAS I</v>
      </c>
      <c r="J8" s="309"/>
      <c r="K8" s="309"/>
      <c r="L8" s="309"/>
      <c r="M8" s="309"/>
      <c r="N8" s="309"/>
      <c r="O8" s="309"/>
      <c r="P8" s="309"/>
      <c r="Q8" s="309"/>
      <c r="R8" s="309"/>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7" t="s">
        <v>35</v>
      </c>
      <c r="J10" s="208"/>
      <c r="K10" s="208"/>
      <c r="L10" s="208"/>
      <c r="M10" s="208"/>
      <c r="N10" s="208"/>
      <c r="O10" s="208"/>
      <c r="P10" s="208"/>
      <c r="Q10" s="207" t="s">
        <v>13</v>
      </c>
      <c r="R10" s="21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0" t="s">
        <v>28</v>
      </c>
      <c r="J11" s="301"/>
      <c r="K11" s="301"/>
      <c r="L11" s="301"/>
      <c r="M11" s="301"/>
      <c r="N11" s="301"/>
      <c r="O11" s="301"/>
      <c r="P11" s="302"/>
      <c r="Q11" s="303" t="str">
        <f>DADOS!$C$38</f>
        <v>Não</v>
      </c>
      <c r="R11" s="304"/>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4" t="s">
        <v>36</v>
      </c>
      <c r="J13" s="314"/>
      <c r="K13" s="314"/>
      <c r="L13" s="314"/>
      <c r="M13" s="314"/>
      <c r="N13" s="314"/>
      <c r="O13" s="314"/>
      <c r="P13" s="314"/>
      <c r="Q13" s="311">
        <v>1</v>
      </c>
      <c r="R13" s="31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2" t="s">
        <v>38</v>
      </c>
      <c r="J14" s="312"/>
      <c r="K14" s="312"/>
      <c r="L14" s="312"/>
      <c r="M14" s="312"/>
      <c r="N14" s="312"/>
      <c r="O14" s="312"/>
      <c r="P14" s="312"/>
      <c r="Q14" s="311">
        <v>0.03</v>
      </c>
      <c r="R14" s="31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3" t="s">
        <v>39</v>
      </c>
      <c r="J16" s="313"/>
      <c r="K16" s="313"/>
      <c r="L16" s="313"/>
      <c r="M16" s="313" t="s">
        <v>40</v>
      </c>
      <c r="N16" s="315" t="s">
        <v>41</v>
      </c>
      <c r="O16" s="315" t="s">
        <v>42</v>
      </c>
      <c r="P16" s="313" t="s">
        <v>43</v>
      </c>
      <c r="Q16" s="313" t="s">
        <v>44</v>
      </c>
      <c r="R16" s="294" t="s">
        <v>45</v>
      </c>
      <c r="T16" s="291" t="str">
        <f>IF(V27,"Para BDI fora do intervalo estatístico, deve ser apresentado Relatório Técnico Circunstanciado justificando a adoção do percentual de cada parcela do BDI.","")</f>
        <v/>
      </c>
      <c r="U16" s="291"/>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3"/>
      <c r="J17" s="313"/>
      <c r="K17" s="313"/>
      <c r="L17" s="313"/>
      <c r="M17" s="313"/>
      <c r="N17" s="315"/>
      <c r="O17" s="315"/>
      <c r="P17" s="313"/>
      <c r="Q17" s="313"/>
      <c r="R17" s="294"/>
      <c r="T17" s="291"/>
      <c r="U17" s="291"/>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9" t="str">
        <f>IF($I$11=$A$59,"Encargos Sociais incidentes sobre a mão de obra","Administração Central")</f>
        <v>Administração Central</v>
      </c>
      <c r="J18" s="279"/>
      <c r="K18" s="279"/>
      <c r="L18" s="279"/>
      <c r="M18" s="50" t="str">
        <f>IF($I$11=$A$59,"K1","AC")</f>
        <v>AC</v>
      </c>
      <c r="N18" s="51">
        <v>0.04</v>
      </c>
      <c r="O18" s="52" t="s">
        <v>46</v>
      </c>
      <c r="P18" s="53">
        <f>VLOOKUP(CONCATENATE(I$11,"-",M18),$C$2:$G$49,3,FALSE)</f>
        <v>0.03</v>
      </c>
      <c r="Q18" s="53">
        <f>VLOOKUP(CONCATENATE(I$11,"-",M18),$C$2:$G$49,4,FALSE)</f>
        <v>0.04</v>
      </c>
      <c r="R18" s="53">
        <f>VLOOKUP(CONCATENATE(I$11,"-",M18),$C$2:$G$49,5,FALSE)</f>
        <v>5.5E-2</v>
      </c>
      <c r="T18" s="291"/>
      <c r="U18" s="291"/>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9" t="str">
        <f>IF($I$11=$A$59,"Administração Central da empresa ou consultoria - overhead","Seguro e Garantia")</f>
        <v>Seguro e Garantia</v>
      </c>
      <c r="J19" s="279"/>
      <c r="K19" s="279"/>
      <c r="L19" s="279"/>
      <c r="M19" s="50" t="str">
        <f>IF($I$11=$A$59,"K2","SG")</f>
        <v>SG</v>
      </c>
      <c r="N19" s="51">
        <v>8.0000000000000002E-3</v>
      </c>
      <c r="O19" s="52" t="s">
        <v>46</v>
      </c>
      <c r="P19" s="53">
        <f>VLOOKUP(CONCATENATE(I$11,"-",M19),$C$2:$G$49,3,FALSE)</f>
        <v>8.0000000000000002E-3</v>
      </c>
      <c r="Q19" s="53">
        <f>VLOOKUP(CONCATENATE(I$11,"-",M19),$C$2:$G$49,4,FALSE)</f>
        <v>8.0000000000000002E-3</v>
      </c>
      <c r="R19" s="53">
        <f>VLOOKUP(CONCATENATE(I$11,"-",M19),$C$2:$G$49,5,FALSE)</f>
        <v>0.01</v>
      </c>
      <c r="T19" s="291"/>
      <c r="U19" s="291"/>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9" t="str">
        <f>IF($I$11=$A$59,"","Risco")</f>
        <v>Risco</v>
      </c>
      <c r="J20" s="279"/>
      <c r="K20" s="279"/>
      <c r="L20" s="279"/>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91"/>
      <c r="U20" s="291"/>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9" t="str">
        <f>IF($I$11=$A$59,"","Despesas Financeiras")</f>
        <v>Despesas Financeiras</v>
      </c>
      <c r="J21" s="279"/>
      <c r="K21" s="279"/>
      <c r="L21" s="279"/>
      <c r="M21" s="50" t="str">
        <f>IF($I$11=$A$59,"","DF")</f>
        <v>DF</v>
      </c>
      <c r="N21" s="51">
        <v>1.23E-2</v>
      </c>
      <c r="O21" s="52" t="s">
        <v>46</v>
      </c>
      <c r="P21" s="53">
        <f>VLOOKUP(CONCATENATE(I$11,"-",M21),$C$2:$G$49,3,FALSE)</f>
        <v>5.8999999999999999E-3</v>
      </c>
      <c r="Q21" s="53">
        <f>VLOOKUP(CONCATENATE(I$11,"-",M21),$C$2:$G$49,4,FALSE)</f>
        <v>1.23E-2</v>
      </c>
      <c r="R21" s="53">
        <f>VLOOKUP(CONCATENATE(I$11,"-",M21),$C$2:$G$49,5,FALSE)</f>
        <v>1.3899999999999999E-2</v>
      </c>
      <c r="T21" s="291"/>
      <c r="U21" s="291"/>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9" t="str">
        <f>IF($I$11=$A$59,"Margem bruta da empresa de consultoria","Lucro")</f>
        <v>Lucro</v>
      </c>
      <c r="J22" s="279"/>
      <c r="K22" s="279"/>
      <c r="L22" s="279"/>
      <c r="M22" s="50" t="str">
        <f>IF($I$11=$A$59,"K3","L")</f>
        <v>L</v>
      </c>
      <c r="N22" s="51">
        <v>7.3999999999999996E-2</v>
      </c>
      <c r="O22" s="52" t="s">
        <v>46</v>
      </c>
      <c r="P22" s="53">
        <f>VLOOKUP(CONCATENATE(I$11,"-",M22),$C$2:$G$49,3,FALSE)</f>
        <v>6.1600000000000002E-2</v>
      </c>
      <c r="Q22" s="53">
        <f>VLOOKUP(CONCATENATE(I$11,"-",M22),$C$2:$G$49,4,FALSE)</f>
        <v>7.400000000000001E-2</v>
      </c>
      <c r="R22" s="53">
        <f>VLOOKUP(CONCATENATE(I$11,"-",M22),$C$2:$G$49,5,FALSE)</f>
        <v>8.9600000000000013E-2</v>
      </c>
      <c r="T22" s="291"/>
      <c r="U22" s="291"/>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3" t="s">
        <v>48</v>
      </c>
      <c r="J23" s="293"/>
      <c r="K23" s="293"/>
      <c r="L23" s="293"/>
      <c r="M23" s="50" t="s">
        <v>49</v>
      </c>
      <c r="N23" s="51">
        <v>3.6499999999999998E-2</v>
      </c>
      <c r="O23" s="52" t="s">
        <v>46</v>
      </c>
      <c r="P23" s="53">
        <v>3.6499999999999998E-2</v>
      </c>
      <c r="Q23" s="53">
        <v>3.6499999999999998E-2</v>
      </c>
      <c r="R23" s="53">
        <v>3.6499999999999998E-2</v>
      </c>
      <c r="T23" s="291"/>
      <c r="U23" s="291"/>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9" t="s">
        <v>50</v>
      </c>
      <c r="J24" s="279"/>
      <c r="K24" s="279"/>
      <c r="L24" s="279"/>
      <c r="M24" s="50" t="s">
        <v>51</v>
      </c>
      <c r="N24" s="53">
        <f>IF($I$11&lt;&gt;$A$58,Q14*Q13,0)</f>
        <v>0.03</v>
      </c>
      <c r="O24" s="52" t="s">
        <v>46</v>
      </c>
      <c r="P24" s="53">
        <v>0</v>
      </c>
      <c r="Q24" s="53">
        <v>2.5000000000000001E-2</v>
      </c>
      <c r="R24" s="53">
        <v>0.05</v>
      </c>
      <c r="T24" s="291"/>
      <c r="U24" s="291"/>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9" t="s">
        <v>116</v>
      </c>
      <c r="J25" s="279"/>
      <c r="K25" s="279"/>
      <c r="L25" s="279"/>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9" t="s">
        <v>53</v>
      </c>
      <c r="J26" s="279"/>
      <c r="K26" s="279"/>
      <c r="L26" s="279"/>
      <c r="M26" s="55" t="s">
        <v>33</v>
      </c>
      <c r="N26" s="53">
        <f>IF($I$11=$A$58,0,ROUND((((1+N18+N19+N20)*(1+N21)*(1+N22)/(1-(N23+N24)))-1),4))</f>
        <v>0.2354</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0" t="s">
        <v>55</v>
      </c>
      <c r="J27" s="280"/>
      <c r="K27" s="280"/>
      <c r="L27" s="280"/>
      <c r="M27" s="56" t="s">
        <v>56</v>
      </c>
      <c r="N27" s="57">
        <f>IF($I$11=$A$58,0,ROUND((((1+N18+N19+N20)*(1+N21)*(1+N22)/(1-(N23+N24+N25)))-1),4))</f>
        <v>0.2354</v>
      </c>
      <c r="O27" s="95" t="str">
        <f>IF(Q11&lt;&gt;"Sim","",O26)</f>
        <v/>
      </c>
      <c r="P27" s="281"/>
      <c r="Q27" s="281"/>
      <c r="R27" s="281"/>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8" t="s">
        <v>117</v>
      </c>
      <c r="K29" s="278"/>
      <c r="L29" s="278"/>
      <c r="M29" s="278"/>
      <c r="N29" s="278"/>
      <c r="O29" s="278"/>
      <c r="P29" s="278"/>
      <c r="Q29" s="278"/>
      <c r="R29" s="278"/>
      <c r="V29" s="96" t="b">
        <v>0</v>
      </c>
      <c r="W29" s="42" t="s">
        <v>119</v>
      </c>
    </row>
    <row r="30" spans="1:31" ht="7.5" customHeight="1" x14ac:dyDescent="0.2">
      <c r="B30" s="44"/>
      <c r="E30" s="45"/>
      <c r="F30" s="45"/>
      <c r="G30" s="45"/>
      <c r="V30" s="96"/>
    </row>
    <row r="31" spans="1:31" ht="18.75" customHeight="1" x14ac:dyDescent="0.2">
      <c r="B31" s="44"/>
      <c r="E31" s="45"/>
      <c r="F31" s="45"/>
      <c r="G31" s="45"/>
      <c r="I31" s="283" t="s">
        <v>61</v>
      </c>
      <c r="J31" s="283"/>
      <c r="K31" s="283"/>
      <c r="L31" s="283"/>
      <c r="M31" s="283"/>
      <c r="N31" s="283"/>
      <c r="O31" s="283"/>
      <c r="P31" s="283"/>
      <c r="Q31" s="283"/>
      <c r="R31" s="283"/>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9" t="str">
        <f>IF(Q11="Sim","BDI.DES =","BDI.PAD =")</f>
        <v>BDI.PAD =</v>
      </c>
      <c r="M32" s="297" t="str">
        <f>IF($I$11=$A$59,"(1+K1+K2)*(1+K3)","(1+AC + S + R + G)*(1 + DF)*(1+L)")</f>
        <v>(1+AC + S + R + G)*(1 + DF)*(1+L)</v>
      </c>
      <c r="N32" s="297"/>
      <c r="O32" s="297"/>
      <c r="P32" s="295"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9"/>
      <c r="M33" s="298" t="str">
        <f>IF(Q11="Sim","(1-CP-ISS-CRPB)","(1-CP-ISS)")</f>
        <v>(1-CP-ISS)</v>
      </c>
      <c r="N33" s="298"/>
      <c r="O33" s="298"/>
      <c r="P33" s="296"/>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4"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3%.</v>
      </c>
      <c r="J35" s="284"/>
      <c r="K35" s="284"/>
      <c r="L35" s="284"/>
      <c r="M35" s="284"/>
      <c r="N35" s="284"/>
      <c r="O35" s="284"/>
      <c r="P35" s="284"/>
      <c r="Q35" s="284"/>
      <c r="R35" s="284"/>
    </row>
    <row r="36" spans="1:18" ht="11.25" customHeight="1" x14ac:dyDescent="0.2">
      <c r="B36" s="49"/>
      <c r="E36" s="45"/>
      <c r="F36" s="45"/>
      <c r="G36" s="45"/>
    </row>
    <row r="37" spans="1:18" ht="52.5" customHeight="1" x14ac:dyDescent="0.2">
      <c r="B37" s="49"/>
      <c r="E37" s="45"/>
      <c r="F37" s="45"/>
      <c r="G37" s="45"/>
      <c r="I37" s="28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4"/>
      <c r="K37" s="284"/>
      <c r="L37" s="284"/>
      <c r="M37" s="284"/>
      <c r="N37" s="284"/>
      <c r="O37" s="284"/>
      <c r="P37" s="284"/>
      <c r="Q37" s="284"/>
      <c r="R37" s="284"/>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6"/>
      <c r="J40" s="287"/>
      <c r="K40" s="287"/>
      <c r="L40" s="287"/>
      <c r="M40" s="287"/>
      <c r="N40" s="287"/>
      <c r="O40" s="287"/>
      <c r="P40" s="287"/>
      <c r="Q40" s="287"/>
      <c r="R40" s="288"/>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2" t="str">
        <f>PO!K213</f>
        <v>BENTO GONÇALVES/RS</v>
      </c>
      <c r="J42" s="292"/>
      <c r="K42" s="292"/>
      <c r="L42" s="292"/>
      <c r="O42" s="285">
        <f ca="1">PO!K216</f>
        <v>46246</v>
      </c>
      <c r="P42" s="285"/>
      <c r="Q42" s="285"/>
      <c r="R42" s="285"/>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0" t="s">
        <v>120</v>
      </c>
      <c r="J43" s="310"/>
      <c r="K43" s="310"/>
      <c r="L43" s="31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2"/>
      <c r="J45" s="282"/>
      <c r="K45" s="282"/>
      <c r="L45" s="282"/>
      <c r="M45" s="59"/>
      <c r="N45" s="59"/>
      <c r="O45" s="282"/>
      <c r="P45" s="282"/>
      <c r="Q45" s="282"/>
      <c r="R45" s="282"/>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9" t="s">
        <v>57</v>
      </c>
      <c r="J46" s="289"/>
      <c r="K46" s="289"/>
      <c r="L46" s="289"/>
      <c r="O46" s="289" t="s">
        <v>58</v>
      </c>
      <c r="P46" s="289"/>
      <c r="Q46" s="289"/>
      <c r="R46" s="289"/>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7">
        <f>DADOS!B54</f>
        <v>0</v>
      </c>
      <c r="K47" s="277"/>
      <c r="L47" s="277"/>
      <c r="M47" s="59"/>
      <c r="N47" s="59"/>
      <c r="O47" s="21" t="s">
        <v>140</v>
      </c>
      <c r="P47" s="290"/>
      <c r="Q47" s="290"/>
      <c r="R47" s="290"/>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7">
        <f>DADOS!B55</f>
        <v>0</v>
      </c>
      <c r="K48" s="277"/>
      <c r="L48" s="277"/>
      <c r="M48" s="59"/>
      <c r="N48" s="59"/>
      <c r="O48" s="21" t="s">
        <v>60</v>
      </c>
      <c r="P48" s="290"/>
      <c r="Q48" s="290"/>
      <c r="R48" s="290"/>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7">
        <f>DADOS!B56</f>
        <v>0</v>
      </c>
      <c r="K49" s="277"/>
      <c r="L49" s="277"/>
      <c r="M49" s="59"/>
      <c r="N49" s="59"/>
      <c r="O49" s="59"/>
      <c r="P49" s="59"/>
      <c r="Q49" s="59"/>
      <c r="R49" s="59"/>
    </row>
    <row r="50" spans="1:18" x14ac:dyDescent="0.2">
      <c r="I50" s="21" t="str">
        <f>DADOS!A57</f>
        <v>CNPJ:</v>
      </c>
      <c r="J50" s="277">
        <f>DADOS!B57</f>
        <v>0</v>
      </c>
      <c r="K50" s="277"/>
      <c r="L50" s="27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5" type="noConversion"/>
  <conditionalFormatting sqref="O42">
    <cfRule type="expression" dxfId="464" priority="6" stopIfTrue="1">
      <formula>$O$42=""</formula>
    </cfRule>
  </conditionalFormatting>
  <conditionalFormatting sqref="O18:O27">
    <cfRule type="expression" dxfId="463" priority="11" stopIfTrue="1">
      <formula>AND(O18&lt;&gt;"OK",O18&lt;&gt;"-",O18&lt;&gt;"")</formula>
    </cfRule>
    <cfRule type="cellIs" dxfId="462" priority="12" stopIfTrue="1" operator="equal">
      <formula>"OK"</formula>
    </cfRule>
  </conditionalFormatting>
  <conditionalFormatting sqref="I26:N26">
    <cfRule type="expression" dxfId="461" priority="10" stopIfTrue="1">
      <formula>$Q$11="Não"</formula>
    </cfRule>
  </conditionalFormatting>
  <conditionalFormatting sqref="I27:N27">
    <cfRule type="expression" dxfId="460" priority="9" stopIfTrue="1">
      <formula>$Q$11="sim"</formula>
    </cfRule>
  </conditionalFormatting>
  <conditionalFormatting sqref="P27:R27">
    <cfRule type="expression" dxfId="459" priority="8" stopIfTrue="1">
      <formula>$Q$11="sim"</formula>
    </cfRule>
  </conditionalFormatting>
  <conditionalFormatting sqref="P47:R48">
    <cfRule type="expression" dxfId="458" priority="7" stopIfTrue="1">
      <formula>P47=""</formula>
    </cfRule>
  </conditionalFormatting>
  <conditionalFormatting sqref="I29:R29">
    <cfRule type="expression" dxfId="457" priority="3" stopIfTrue="1">
      <formula>AND(NOT($V$27),NOT($V$29))</formula>
    </cfRule>
  </conditionalFormatting>
  <conditionalFormatting sqref="P18:R26">
    <cfRule type="expression" dxfId="456"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70" zoomScaleNormal="70" zoomScaleSheetLayoutView="100" zoomScalePageLayoutView="70" workbookViewId="0">
      <selection activeCell="N24" sqref="N24"/>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7" t="s">
        <v>150</v>
      </c>
      <c r="J4" s="215"/>
      <c r="K4" s="207" t="s">
        <v>173</v>
      </c>
      <c r="L4" s="208"/>
      <c r="M4" s="208"/>
      <c r="N4" s="208"/>
      <c r="O4" s="208"/>
      <c r="P4" s="208"/>
      <c r="Q4" s="208"/>
      <c r="R4" s="21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5">
        <f>DADOS!A29</f>
        <v>0</v>
      </c>
      <c r="J5" s="306"/>
      <c r="K5" s="307" t="str">
        <f>DADOS!A32</f>
        <v>MUNICÍPIO DE BENTO GONÇALVES</v>
      </c>
      <c r="L5" s="308"/>
      <c r="M5" s="308"/>
      <c r="N5" s="308"/>
      <c r="O5" s="308"/>
      <c r="P5" s="308"/>
      <c r="Q5" s="308"/>
      <c r="R5" s="306"/>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7" t="s">
        <v>0</v>
      </c>
      <c r="J7" s="208"/>
      <c r="K7" s="208"/>
      <c r="L7" s="208"/>
      <c r="M7" s="208"/>
      <c r="N7" s="208"/>
      <c r="O7" s="208"/>
      <c r="P7" s="208"/>
      <c r="Q7" s="208"/>
      <c r="R7" s="21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9" t="str">
        <f>DADOS!P29</f>
        <v>REFORMA DO CRAS I</v>
      </c>
      <c r="J8" s="309"/>
      <c r="K8" s="309"/>
      <c r="L8" s="309"/>
      <c r="M8" s="309"/>
      <c r="N8" s="309"/>
      <c r="O8" s="309"/>
      <c r="P8" s="309"/>
      <c r="Q8" s="309"/>
      <c r="R8" s="309"/>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7" t="s">
        <v>35</v>
      </c>
      <c r="J10" s="208"/>
      <c r="K10" s="208"/>
      <c r="L10" s="208"/>
      <c r="M10" s="208"/>
      <c r="N10" s="208"/>
      <c r="O10" s="208"/>
      <c r="P10" s="208"/>
      <c r="Q10" s="207" t="s">
        <v>13</v>
      </c>
      <c r="R10" s="21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0" t="s">
        <v>137</v>
      </c>
      <c r="J11" s="301"/>
      <c r="K11" s="301"/>
      <c r="L11" s="301"/>
      <c r="M11" s="301"/>
      <c r="N11" s="301"/>
      <c r="O11" s="301"/>
      <c r="P11" s="302"/>
      <c r="Q11" s="303" t="str">
        <f>DADOS!$C$38</f>
        <v>Não</v>
      </c>
      <c r="R11" s="304"/>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4" t="s">
        <v>36</v>
      </c>
      <c r="J13" s="314"/>
      <c r="K13" s="314"/>
      <c r="L13" s="314"/>
      <c r="M13" s="314"/>
      <c r="N13" s="314"/>
      <c r="O13" s="314"/>
      <c r="P13" s="314"/>
      <c r="Q13" s="311"/>
      <c r="R13" s="31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2" t="s">
        <v>38</v>
      </c>
      <c r="J14" s="312"/>
      <c r="K14" s="312"/>
      <c r="L14" s="312"/>
      <c r="M14" s="312"/>
      <c r="N14" s="312"/>
      <c r="O14" s="312"/>
      <c r="P14" s="312"/>
      <c r="Q14" s="311"/>
      <c r="R14" s="31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3" t="s">
        <v>39</v>
      </c>
      <c r="J16" s="313"/>
      <c r="K16" s="313"/>
      <c r="L16" s="313"/>
      <c r="M16" s="313" t="s">
        <v>40</v>
      </c>
      <c r="N16" s="315" t="s">
        <v>41</v>
      </c>
      <c r="O16" s="315" t="s">
        <v>42</v>
      </c>
      <c r="P16" s="313" t="s">
        <v>43</v>
      </c>
      <c r="Q16" s="313" t="s">
        <v>44</v>
      </c>
      <c r="R16" s="294" t="s">
        <v>45</v>
      </c>
      <c r="T16" s="291" t="str">
        <f>IF(V27,"Para BDI fora do intervalo estatístico, deve ser apresentado Relatório Técnico Circunstanciado justificando a adoção do percentual de cada parcela do BDI.","")</f>
        <v/>
      </c>
      <c r="U16" s="291"/>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3"/>
      <c r="J17" s="313"/>
      <c r="K17" s="313"/>
      <c r="L17" s="313"/>
      <c r="M17" s="313"/>
      <c r="N17" s="315"/>
      <c r="O17" s="315"/>
      <c r="P17" s="313"/>
      <c r="Q17" s="313"/>
      <c r="R17" s="294"/>
      <c r="T17" s="291"/>
      <c r="U17" s="291"/>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9" t="str">
        <f>IF($I$11=$A$59,"Encargos Sociais incidentes sobre a mão de obra","Administração Central")</f>
        <v>Administração Central</v>
      </c>
      <c r="J18" s="279"/>
      <c r="K18" s="279"/>
      <c r="L18" s="279"/>
      <c r="M18" s="50" t="str">
        <f>IF($I$11=$A$59,"K1","AC")</f>
        <v>AC</v>
      </c>
      <c r="N18" s="51"/>
      <c r="O18" s="52" t="s">
        <v>46</v>
      </c>
      <c r="P18" s="53">
        <f>VLOOKUP(CONCATENATE(I$11,"-",M18),$C$2:$G$49,3,FALSE)</f>
        <v>1.4999999999999999E-2</v>
      </c>
      <c r="Q18" s="53">
        <f>VLOOKUP(CONCATENATE(I$11,"-",M18),$C$2:$G$49,4,FALSE)</f>
        <v>3.4500000000000003E-2</v>
      </c>
      <c r="R18" s="53">
        <f>VLOOKUP(CONCATENATE(I$11,"-",M18),$C$2:$G$49,5,FALSE)</f>
        <v>4.4900000000000002E-2</v>
      </c>
      <c r="T18" s="291"/>
      <c r="U18" s="291"/>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9" t="str">
        <f>IF($I$11=$A$59,"Administração Central da empresa ou consultoria - overhead","Seguro e Garantia")</f>
        <v>Seguro e Garantia</v>
      </c>
      <c r="J19" s="279"/>
      <c r="K19" s="279"/>
      <c r="L19" s="279"/>
      <c r="M19" s="50" t="str">
        <f>IF($I$11=$A$59,"K2","SG")</f>
        <v>SG</v>
      </c>
      <c r="N19" s="51"/>
      <c r="O19" s="52" t="s">
        <v>46</v>
      </c>
      <c r="P19" s="53">
        <f>VLOOKUP(CONCATENATE(I$11,"-",M19),$C$2:$G$49,3,FALSE)</f>
        <v>3.0000000000000001E-3</v>
      </c>
      <c r="Q19" s="53">
        <f>VLOOKUP(CONCATENATE(I$11,"-",M19),$C$2:$G$49,4,FALSE)</f>
        <v>4.7999999999999996E-3</v>
      </c>
      <c r="R19" s="53">
        <f>VLOOKUP(CONCATENATE(I$11,"-",M19),$C$2:$G$49,5,FALSE)</f>
        <v>8.199999999999999E-3</v>
      </c>
      <c r="T19" s="291"/>
      <c r="U19" s="291"/>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9" t="str">
        <f>IF($I$11=$A$59,"","Risco")</f>
        <v>Risco</v>
      </c>
      <c r="J20" s="279"/>
      <c r="K20" s="279"/>
      <c r="L20" s="279"/>
      <c r="M20" s="50" t="str">
        <f>IF($I$11=$A$59,"","R")</f>
        <v>R</v>
      </c>
      <c r="N20" s="51"/>
      <c r="O20" s="52" t="s">
        <v>46</v>
      </c>
      <c r="P20" s="53">
        <f>VLOOKUP(CONCATENATE(I$11,"-",M20),$C$2:$G$49,3,FALSE)</f>
        <v>5.6000000000000008E-3</v>
      </c>
      <c r="Q20" s="53">
        <f>VLOOKUP(CONCATENATE(I$11,"-",M20),$C$2:$G$49,4,FALSE)</f>
        <v>8.5000000000000006E-3</v>
      </c>
      <c r="R20" s="53">
        <f>VLOOKUP(CONCATENATE(I$11,"-",M20),$C$2:$G$49,5,FALSE)</f>
        <v>8.8999999999999999E-3</v>
      </c>
      <c r="T20" s="291"/>
      <c r="U20" s="291"/>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9" t="str">
        <f>IF($I$11=$A$59,"","Despesas Financeiras")</f>
        <v>Despesas Financeiras</v>
      </c>
      <c r="J21" s="279"/>
      <c r="K21" s="279"/>
      <c r="L21" s="279"/>
      <c r="M21" s="50" t="str">
        <f>IF($I$11=$A$59,"","DF")</f>
        <v>DF</v>
      </c>
      <c r="N21" s="51"/>
      <c r="O21" s="52" t="s">
        <v>46</v>
      </c>
      <c r="P21" s="53">
        <f>VLOOKUP(CONCATENATE(I$11,"-",M21),$C$2:$G$49,3,FALSE)</f>
        <v>8.5000000000000006E-3</v>
      </c>
      <c r="Q21" s="53">
        <f>VLOOKUP(CONCATENATE(I$11,"-",M21),$C$2:$G$49,4,FALSE)</f>
        <v>8.5000000000000006E-3</v>
      </c>
      <c r="R21" s="53">
        <f>VLOOKUP(CONCATENATE(I$11,"-",M21),$C$2:$G$49,5,FALSE)</f>
        <v>1.11E-2</v>
      </c>
      <c r="T21" s="291"/>
      <c r="U21" s="291"/>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9" t="str">
        <f>IF($I$11=$A$59,"Margem bruta da empresa de consultoria","Lucro")</f>
        <v>Lucro</v>
      </c>
      <c r="J22" s="279"/>
      <c r="K22" s="279"/>
      <c r="L22" s="279"/>
      <c r="M22" s="50" t="str">
        <f>IF($I$11=$A$59,"K3","L")</f>
        <v>L</v>
      </c>
      <c r="N22" s="51"/>
      <c r="O22" s="52" t="s">
        <v>46</v>
      </c>
      <c r="P22" s="53">
        <f>VLOOKUP(CONCATENATE(I$11,"-",M22),$C$2:$G$49,3,FALSE)</f>
        <v>3.5000000000000003E-2</v>
      </c>
      <c r="Q22" s="53">
        <f>VLOOKUP(CONCATENATE(I$11,"-",M22),$C$2:$G$49,4,FALSE)</f>
        <v>5.1100000000000007E-2</v>
      </c>
      <c r="R22" s="53">
        <f>VLOOKUP(CONCATENATE(I$11,"-",M22),$C$2:$G$49,5,FALSE)</f>
        <v>6.2199999999999998E-2</v>
      </c>
      <c r="T22" s="291"/>
      <c r="U22" s="291"/>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3" t="s">
        <v>48</v>
      </c>
      <c r="J23" s="293"/>
      <c r="K23" s="293"/>
      <c r="L23" s="293"/>
      <c r="M23" s="50" t="s">
        <v>49</v>
      </c>
      <c r="N23" s="51"/>
      <c r="O23" s="52" t="s">
        <v>46</v>
      </c>
      <c r="P23" s="53">
        <v>3.6499999999999998E-2</v>
      </c>
      <c r="Q23" s="53">
        <v>3.6499999999999998E-2</v>
      </c>
      <c r="R23" s="53">
        <v>3.6499999999999998E-2</v>
      </c>
      <c r="T23" s="291"/>
      <c r="U23" s="291"/>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9" t="s">
        <v>50</v>
      </c>
      <c r="J24" s="279"/>
      <c r="K24" s="279"/>
      <c r="L24" s="279"/>
      <c r="M24" s="50" t="s">
        <v>51</v>
      </c>
      <c r="N24" s="53">
        <f>IF($I$11&lt;&gt;$A$58,Q14*Q13,0)</f>
        <v>0</v>
      </c>
      <c r="O24" s="52" t="s">
        <v>46</v>
      </c>
      <c r="P24" s="53">
        <v>0</v>
      </c>
      <c r="Q24" s="53">
        <v>2.5000000000000001E-2</v>
      </c>
      <c r="R24" s="53">
        <v>0.05</v>
      </c>
      <c r="T24" s="291"/>
      <c r="U24" s="291"/>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9" t="s">
        <v>116</v>
      </c>
      <c r="J25" s="279"/>
      <c r="K25" s="279"/>
      <c r="L25" s="279"/>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9" t="s">
        <v>53</v>
      </c>
      <c r="J26" s="279"/>
      <c r="K26" s="279"/>
      <c r="L26" s="279"/>
      <c r="M26" s="55" t="s">
        <v>33</v>
      </c>
      <c r="N26" s="53">
        <f>IF($I$11=$A$58,0,ROUND((((1+N18+N19+N20)*(1+N21)*(1+N22)/(1-(N23+N24)))-1),4))</f>
        <v>0</v>
      </c>
      <c r="O26" s="201" t="str">
        <f>IF(OR($I$11=$A$59,$I$11=$A$58,AND(N26&gt;=P26, N26&lt;=R26)), "OK", "FORA DO INTERVALO")</f>
        <v>FORA DO INTERVALO</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0" t="s">
        <v>55</v>
      </c>
      <c r="J27" s="280"/>
      <c r="K27" s="280"/>
      <c r="L27" s="280"/>
      <c r="M27" s="56" t="s">
        <v>56</v>
      </c>
      <c r="N27" s="57">
        <f>IF($I$11=$A$58,0,ROUND((((1+N18+N19+N20)*(1+N21)*(1+N22)/(1-(N23+N24+N25)))-1),4))</f>
        <v>0</v>
      </c>
      <c r="O27" s="95" t="str">
        <f>IF(Q11&lt;&gt;"Sim","",O26)</f>
        <v/>
      </c>
      <c r="P27" s="281"/>
      <c r="Q27" s="281"/>
      <c r="R27" s="281"/>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8" t="s">
        <v>117</v>
      </c>
      <c r="K29" s="278"/>
      <c r="L29" s="278"/>
      <c r="M29" s="278"/>
      <c r="N29" s="278"/>
      <c r="O29" s="278"/>
      <c r="P29" s="278"/>
      <c r="Q29" s="278"/>
      <c r="R29" s="278"/>
      <c r="V29" s="96" t="b">
        <v>0</v>
      </c>
      <c r="W29" s="42" t="s">
        <v>119</v>
      </c>
    </row>
    <row r="30" spans="1:31" ht="7.5" customHeight="1" x14ac:dyDescent="0.2">
      <c r="B30" s="44"/>
      <c r="E30" s="45"/>
      <c r="F30" s="45"/>
      <c r="G30" s="45"/>
      <c r="V30" s="96"/>
    </row>
    <row r="31" spans="1:31" ht="18.75" customHeight="1" x14ac:dyDescent="0.2">
      <c r="B31" s="44"/>
      <c r="E31" s="45"/>
      <c r="F31" s="45"/>
      <c r="G31" s="45"/>
      <c r="I31" s="283" t="s">
        <v>61</v>
      </c>
      <c r="J31" s="283"/>
      <c r="K31" s="283"/>
      <c r="L31" s="283"/>
      <c r="M31" s="283"/>
      <c r="N31" s="283"/>
      <c r="O31" s="283"/>
      <c r="P31" s="283"/>
      <c r="Q31" s="283"/>
      <c r="R31" s="283"/>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9" t="str">
        <f>IF(Q11="Sim","BDI.DES =","BDI.PAD =")</f>
        <v>BDI.PAD =</v>
      </c>
      <c r="M32" s="297" t="str">
        <f>IF($I$11=$A$59,"(1+K1+K2)*(1+K3)","(1+AC + S + R + G)*(1 + DF)*(1+L)")</f>
        <v>(1+AC + S + R + G)*(1 + DF)*(1+L)</v>
      </c>
      <c r="N32" s="297"/>
      <c r="O32" s="297"/>
      <c r="P32" s="295"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9"/>
      <c r="M33" s="298" t="str">
        <f>IF(Q11="Sim","(1-CP-ISS-CRPB)","(1-CP-ISS)")</f>
        <v>(1-CP-ISS)</v>
      </c>
      <c r="N33" s="298"/>
      <c r="O33" s="298"/>
      <c r="P33" s="296"/>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4"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0%, com a respectiva alíquota de 0%.</v>
      </c>
      <c r="J35" s="284"/>
      <c r="K35" s="284"/>
      <c r="L35" s="284"/>
      <c r="M35" s="284"/>
      <c r="N35" s="284"/>
      <c r="O35" s="284"/>
      <c r="P35" s="284"/>
      <c r="Q35" s="284"/>
      <c r="R35" s="284"/>
    </row>
    <row r="36" spans="1:18" ht="11.25" customHeight="1" x14ac:dyDescent="0.2">
      <c r="B36" s="49"/>
      <c r="E36" s="45"/>
      <c r="F36" s="45"/>
      <c r="G36" s="45"/>
    </row>
    <row r="37" spans="1:18" ht="52.5" customHeight="1" x14ac:dyDescent="0.2">
      <c r="B37" s="49"/>
      <c r="E37" s="45"/>
      <c r="F37" s="45"/>
      <c r="G37" s="45"/>
      <c r="I37" s="28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4"/>
      <c r="K37" s="284"/>
      <c r="L37" s="284"/>
      <c r="M37" s="284"/>
      <c r="N37" s="284"/>
      <c r="O37" s="284"/>
      <c r="P37" s="284"/>
      <c r="Q37" s="284"/>
      <c r="R37" s="284"/>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6"/>
      <c r="J40" s="287"/>
      <c r="K40" s="287"/>
      <c r="L40" s="287"/>
      <c r="M40" s="287"/>
      <c r="N40" s="287"/>
      <c r="O40" s="287"/>
      <c r="P40" s="287"/>
      <c r="Q40" s="287"/>
      <c r="R40" s="288"/>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2" t="str">
        <f>PO!K213</f>
        <v>BENTO GONÇALVES/RS</v>
      </c>
      <c r="J42" s="292"/>
      <c r="K42" s="292"/>
      <c r="L42" s="292"/>
      <c r="O42" s="285">
        <f ca="1">PO!K216</f>
        <v>46246</v>
      </c>
      <c r="P42" s="285"/>
      <c r="Q42" s="285"/>
      <c r="R42" s="285"/>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0" t="s">
        <v>120</v>
      </c>
      <c r="J43" s="310"/>
      <c r="K43" s="310"/>
      <c r="L43" s="31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2"/>
      <c r="J45" s="282"/>
      <c r="K45" s="282"/>
      <c r="L45" s="282"/>
      <c r="M45" s="59"/>
      <c r="N45" s="59"/>
      <c r="O45" s="282"/>
      <c r="P45" s="282"/>
      <c r="Q45" s="282"/>
      <c r="R45" s="282"/>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9" t="s">
        <v>57</v>
      </c>
      <c r="J46" s="289"/>
      <c r="K46" s="289"/>
      <c r="L46" s="289"/>
      <c r="O46" s="289" t="s">
        <v>58</v>
      </c>
      <c r="P46" s="289"/>
      <c r="Q46" s="289"/>
      <c r="R46" s="289"/>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277">
        <f>DADOS!B54</f>
        <v>0</v>
      </c>
      <c r="K47" s="277"/>
      <c r="L47" s="277"/>
      <c r="M47" s="59"/>
      <c r="N47" s="59"/>
      <c r="O47" s="200" t="s">
        <v>140</v>
      </c>
      <c r="P47" s="290"/>
      <c r="Q47" s="290"/>
      <c r="R47" s="290"/>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277">
        <f>DADOS!B55</f>
        <v>0</v>
      </c>
      <c r="K48" s="277"/>
      <c r="L48" s="277"/>
      <c r="M48" s="59"/>
      <c r="N48" s="59"/>
      <c r="O48" s="200" t="s">
        <v>60</v>
      </c>
      <c r="P48" s="290"/>
      <c r="Q48" s="290"/>
      <c r="R48" s="290"/>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277">
        <f>DADOS!B56</f>
        <v>0</v>
      </c>
      <c r="K49" s="277"/>
      <c r="L49" s="277"/>
      <c r="M49" s="59"/>
      <c r="N49" s="59"/>
      <c r="O49" s="59"/>
      <c r="P49" s="59"/>
      <c r="Q49" s="59"/>
      <c r="R49" s="59"/>
    </row>
    <row r="50" spans="1:18" x14ac:dyDescent="0.2">
      <c r="I50" s="200" t="str">
        <f>DADOS!A57</f>
        <v>CNPJ:</v>
      </c>
      <c r="J50" s="277">
        <f>DADOS!B57</f>
        <v>0</v>
      </c>
      <c r="K50" s="277"/>
      <c r="L50" s="27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455" priority="3" stopIfTrue="1">
      <formula>$O$42=""</formula>
    </cfRule>
  </conditionalFormatting>
  <conditionalFormatting sqref="O18:O27">
    <cfRule type="expression" dxfId="454" priority="8" stopIfTrue="1">
      <formula>AND(O18&lt;&gt;"OK",O18&lt;&gt;"-",O18&lt;&gt;"")</formula>
    </cfRule>
    <cfRule type="cellIs" dxfId="453" priority="9" stopIfTrue="1" operator="equal">
      <formula>"OK"</formula>
    </cfRule>
  </conditionalFormatting>
  <conditionalFormatting sqref="I26:N26">
    <cfRule type="expression" dxfId="452" priority="7" stopIfTrue="1">
      <formula>$Q$11="Não"</formula>
    </cfRule>
  </conditionalFormatting>
  <conditionalFormatting sqref="I27:N27">
    <cfRule type="expression" dxfId="451" priority="6" stopIfTrue="1">
      <formula>$Q$11="sim"</formula>
    </cfRule>
  </conditionalFormatting>
  <conditionalFormatting sqref="P27:R27">
    <cfRule type="expression" dxfId="450" priority="5" stopIfTrue="1">
      <formula>$Q$11="sim"</formula>
    </cfRule>
  </conditionalFormatting>
  <conditionalFormatting sqref="P47:R48">
    <cfRule type="expression" dxfId="449" priority="4" stopIfTrue="1">
      <formula>P47=""</formula>
    </cfRule>
  </conditionalFormatting>
  <conditionalFormatting sqref="I29:R29">
    <cfRule type="expression" dxfId="448" priority="2" stopIfTrue="1">
      <formula>AND(NOT($V$27),NOT($V$29))</formula>
    </cfRule>
  </conditionalFormatting>
  <conditionalFormatting sqref="P18:R26">
    <cfRule type="expression" dxfId="447"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217"/>
  <sheetViews>
    <sheetView showGridLines="0" tabSelected="1" topLeftCell="J1" zoomScale="70" zoomScaleNormal="70" zoomScaleSheetLayoutView="80" workbookViewId="0">
      <pane ySplit="12" topLeftCell="A13" activePane="bottomLeft" state="frozen"/>
      <selection pane="bottomLeft" activeCell="Q18" sqref="Q18"/>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6" t="s">
        <v>181</v>
      </c>
      <c r="X2" s="316"/>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MAX($A$12:$A$202)</f>
        <v>3</v>
      </c>
      <c r="B5" s="1"/>
      <c r="F5" s="2"/>
      <c r="G5" s="1"/>
      <c r="H5" s="1"/>
      <c r="I5" s="1"/>
      <c r="J5" s="1"/>
      <c r="K5" s="1"/>
      <c r="L5" s="1"/>
      <c r="M5" s="1"/>
      <c r="N5" s="1"/>
      <c r="O5" s="1"/>
      <c r="P5" s="1"/>
      <c r="Q5" s="1"/>
      <c r="R5" s="1"/>
      <c r="S5" s="1"/>
      <c r="T5" s="1"/>
      <c r="U5" s="101" t="str">
        <f ca="1">IF(COUNTIF($U$12:OFFSET($U$202,-1,0),"DESCRIÇÃO")+COUNTIF($U$12:OFFSET($U$202,-1,0),"UNIDADE")+COUNTIF($U$12:OFFSET($U$202,-1,0),"SEM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IF(OR($A11="S",$A11=0),0,MATCH(0,OFFSET($B11,1,$A11,ROW($A$202)-ROW($A11)),0))</f>
        <v>0</v>
      </c>
      <c r="I11">
        <f ca="1">IF(OR($A11="S",$A11=0),0,MATCH(OFFSET($B11,0,$A11)+1,OFFSET($B11,1,$A11,ROW($A$202)-ROW($A11)),0))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0.2354</v>
      </c>
      <c r="AA11" s="1"/>
    </row>
    <row r="12" spans="1:27" x14ac:dyDescent="0.2">
      <c r="A12">
        <v>0</v>
      </c>
      <c r="B12">
        <f ca="1">COUNTA(OFFSET(B12,1,0):B$202)</f>
        <v>189</v>
      </c>
      <c r="J12" s="64" t="str">
        <f>IF(OR(TipoOrçamento="LICITADO",TipoOrçamento="REPROGRAMADOAC"),"CTEF","LOTE")</f>
        <v>CTEF</v>
      </c>
      <c r="K12" s="139">
        <v>0</v>
      </c>
      <c r="L12" s="6"/>
      <c r="M12" s="6"/>
      <c r="N12" s="73">
        <f>IF(TipoOrçamento="LICITADO",DADOS!O43,DADOS!G38)</f>
        <v>0</v>
      </c>
      <c r="O12" s="6"/>
      <c r="P12" s="7"/>
      <c r="Q12" s="7"/>
      <c r="R12" s="8"/>
      <c r="S12" s="7"/>
      <c r="T12" s="82">
        <f ca="1">SUMIF(OFFSET($J12,1,0,ROW(T202)-ROW(T12)-1),"Serviço",OFFSET(T12,1,0,ROW(T202)-ROW(T12)-1))</f>
        <v>0</v>
      </c>
      <c r="U12" s="9" t="str">
        <f>IF($N12=0,"DESCRIÇÃO","")</f>
        <v>DESCRIÇÃO</v>
      </c>
      <c r="V12" s="1">
        <v>0</v>
      </c>
      <c r="W12" s="1"/>
      <c r="X12" s="1"/>
      <c r="Y12" s="7"/>
      <c r="Z12" s="114"/>
      <c r="AA12" s="1"/>
    </row>
    <row r="13" spans="1:27" x14ac:dyDescent="0.2">
      <c r="A13">
        <f t="shared" ref="A13:A23" si="0">CHOOSE(1+LOG(1+2*(J13="Meta")+4*(J13="Nível 2")+8*(J13="Nível 3")+16*(J13="Nível 4")+32*(J13="Serviço"),2),0,1,2,3,4,"S")</f>
        <v>1</v>
      </c>
      <c r="B13">
        <f t="shared" ref="B13:B23" ca="1" si="1">IF(OR(A13="S",A13=0),0,IF(ISERROR(I13),H13,SMALL(H13:I13,1)))</f>
        <v>189</v>
      </c>
      <c r="C13">
        <f t="shared" ref="C13:C23" ca="1" si="2">IF($A13=1,OFFSET(C13,-1,0)+1,OFFSET(C13,-1,0))</f>
        <v>1</v>
      </c>
      <c r="D13">
        <f t="shared" ref="D13:D23" ca="1" si="3">IF($A13=1,0,IF($A13=2,OFFSET(D13,-1,0)+1,OFFSET(D13,-1,0)))</f>
        <v>0</v>
      </c>
      <c r="E13">
        <f t="shared" ref="E13:E23" ca="1" si="4">IF(AND($A13&lt;=2,$A13&lt;&gt;0),0,IF($A13=3,OFFSET(E13,-1,0)+1,OFFSET(E13,-1,0)))</f>
        <v>0</v>
      </c>
      <c r="F13">
        <f t="shared" ref="F13:F23" ca="1" si="5">IF(AND($A13&lt;=3,$A13&lt;&gt;0),0,IF($A13=4,OFFSET(F13,-1,0)+1,OFFSET(F13,-1,0)))</f>
        <v>0</v>
      </c>
      <c r="G13">
        <f t="shared" ref="G13:G23" ca="1" si="6">IF(AND($A13&lt;=4,$A13&lt;&gt;0),0,IF($A13="S",OFFSET(G13,-1,0)+1,OFFSET(G13,-1,0)))</f>
        <v>0</v>
      </c>
      <c r="H13">
        <f ca="1">IF(OR($A13="S",$A13=0),0,MATCH(0,OFFSET($B13,1,$A13,ROW($A$202)-ROW($A13)),0))</f>
        <v>189</v>
      </c>
      <c r="I13" t="e">
        <f ca="1">IF(OR($A13="S",$A13=0),0,MATCH(OFFSET($B13,0,$A13)+1,OFFSET($B13,1,$A13,ROW($A$202)-ROW($A13)),0))</f>
        <v>#N/A</v>
      </c>
      <c r="J13" s="371" t="s">
        <v>99</v>
      </c>
      <c r="K13" s="138" t="str">
        <f t="shared" ref="K13:K23" ca="1" si="7">IF($A13=0,"-",CONCATENATE(C13&amp;".",IF(AND($A$5&gt;=2,$A13&gt;=2),D13&amp;".",""),IF(AND($A$5&gt;=3,$A13&gt;=3),E13&amp;".",""),IF(AND($A$5&gt;=4,$A13&gt;=4),F13&amp;".",""),IF($A13="S",G13&amp;".","")))</f>
        <v>1.</v>
      </c>
      <c r="L13" s="370"/>
      <c r="M13" s="370"/>
      <c r="N13" s="368" t="s">
        <v>292</v>
      </c>
      <c r="O13" s="377"/>
      <c r="P13" s="363">
        <v>0</v>
      </c>
      <c r="Q13" s="195"/>
      <c r="R13" s="198" t="s">
        <v>7</v>
      </c>
      <c r="S13" s="103">
        <f>IF($A13="S",IF($Q$10="Preço Unitário (R$)",PO.CustoUnitario,ROUND(PO.CustoUnitario*(1+$Z13),15-13*$X$6)),0)</f>
        <v>0</v>
      </c>
      <c r="T13" s="83">
        <f ca="1">IF($A13="S",VTOTAL1,IF($A13=0,0,ROUND(SomaAgrup,15-13*$X$7)))</f>
        <v>0</v>
      </c>
      <c r="U13" s="9" t="str">
        <f t="shared" ref="U13:U23" ca="1" si="8">IF($J13="","",IF($N13="","DESCRIÇÃO",IF(AND($J13="Serviço",$O13=""),"UNIDADE",IF($T13&lt;=0,"SEM VALOR",IF(AND($Y13&lt;&gt;"",$Q13&gt;$Y13),"ACIMA REF.","")))))</f>
        <v>SEM VALOR</v>
      </c>
      <c r="V13" s="1">
        <f ca="1">IF(OR($A13=0,$A13="S",$A13&gt;CFF!$A$9),"",MAX(V$12:OFFSET(V13,-1,0))+1)</f>
        <v>1</v>
      </c>
      <c r="W13" s="4" t="b">
        <f t="shared" ref="W13:W23" si="9">IF(AND($J13="Serviço",$M13&lt;&gt;""),IF($L13="",$M13,CONCATENATE($L13,"-",$M13)))</f>
        <v>0</v>
      </c>
      <c r="X13" s="1" t="str">
        <f t="shared" ref="X13:X22" ca="1" si="10">IF(AND(Fonte&lt;&gt;"",Código&lt;&gt;""),MATCH(Fonte&amp;" "&amp;IF(Fonte="sinapi",SUBSTITUTE(SUBSTITUTE(Código,"/00","/"),"/0","/"),Código),INDIRECT("'[Referência "&amp;_xlnm.Database&amp;".xls]Banco'!$a:$a"),0),"X")</f>
        <v>X</v>
      </c>
      <c r="Y13" s="103">
        <v>0</v>
      </c>
      <c r="Z13" s="113">
        <f ca="1">ROUND(IF(ISNUMBER(R13),R13,IF(LEFT(R13,3)="BDI",HLOOKUP(R13,DADOS!$T$37:$X$38,2,FALSE),0)),15-11*$X$5)</f>
        <v>0.2354</v>
      </c>
      <c r="AA13" s="1"/>
    </row>
    <row r="14" spans="1:27" x14ac:dyDescent="0.2">
      <c r="A14">
        <f t="shared" si="0"/>
        <v>2</v>
      </c>
      <c r="B14">
        <f t="shared" ca="1" si="1"/>
        <v>7</v>
      </c>
      <c r="C14">
        <f t="shared" ca="1" si="2"/>
        <v>1</v>
      </c>
      <c r="D14">
        <f t="shared" ca="1" si="3"/>
        <v>1</v>
      </c>
      <c r="E14">
        <f t="shared" ca="1" si="4"/>
        <v>0</v>
      </c>
      <c r="F14">
        <f t="shared" ca="1" si="5"/>
        <v>0</v>
      </c>
      <c r="G14">
        <f t="shared" ca="1" si="6"/>
        <v>0</v>
      </c>
      <c r="H14">
        <f ca="1">IF(OR($A14="S",$A14=0),0,MATCH(0,OFFSET($B14,1,$A14,ROW($A$202)-ROW($A14)),0))</f>
        <v>188</v>
      </c>
      <c r="I14">
        <f ca="1">IF(OR($A14="S",$A14=0),0,MATCH(OFFSET($B14,0,$A14)+1,OFFSET($B14,1,$A14,ROW($A$202)-ROW($A14)),0))</f>
        <v>7</v>
      </c>
      <c r="J14" s="388" t="s">
        <v>100</v>
      </c>
      <c r="K14" s="138" t="str">
        <f t="shared" ca="1" si="7"/>
        <v>1.1.</v>
      </c>
      <c r="L14" s="370"/>
      <c r="M14" s="382"/>
      <c r="N14" s="368" t="s">
        <v>245</v>
      </c>
      <c r="O14" s="377" t="s">
        <v>106</v>
      </c>
      <c r="P14" s="363">
        <v>4.5</v>
      </c>
      <c r="Q14" s="195"/>
      <c r="R14" s="198" t="s">
        <v>7</v>
      </c>
      <c r="S14" s="103">
        <f t="shared" ref="S14" si="11">IF($A14="S",IF($Q$10="Preço Unitário (R$)",PO.CustoUnitario,ROUND(PO.CustoUnitario*(1+$Z14),15-13*$X$6)),0)</f>
        <v>0</v>
      </c>
      <c r="T14" s="83">
        <f t="shared" ref="T14" ca="1" si="12">IF($A14="S",VTOTAL1,IF($A14=0,0,ROUND(SomaAgrup,15-13*$X$7)))</f>
        <v>0</v>
      </c>
      <c r="U14" s="9" t="str">
        <f t="shared" ca="1" si="8"/>
        <v>SEM VALOR</v>
      </c>
      <c r="V14" s="1">
        <f ca="1">IF(OR($A14=0,$A14="S",$A14&gt;CFF!$A$9),"",MAX(V$12:OFFSET(V14,-1,0))+1)</f>
        <v>2</v>
      </c>
      <c r="W14" s="4" t="b">
        <f t="shared" si="9"/>
        <v>0</v>
      </c>
      <c r="X14" s="1" t="str">
        <f t="shared" ca="1" si="10"/>
        <v>X</v>
      </c>
      <c r="Y14" s="103">
        <v>0</v>
      </c>
      <c r="Z14" s="113">
        <f ca="1">ROUND(IF(ISNUMBER(R14),R14,IF(LEFT(R14,3)="BDI",HLOOKUP(R14,DADOS!$T$37:$X$38,2,FALSE),0)),15-11*$X$5)</f>
        <v>0.2354</v>
      </c>
      <c r="AA14" s="1"/>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ca="1">IF(OR($A15="S",$A15=0),0,MATCH(0,OFFSET($B15,1,$A15,ROW($A$202)-ROW($A15)),0))</f>
        <v>0</v>
      </c>
      <c r="I15">
        <f ca="1">IF(OR($A15="S",$A15=0),0,MATCH(OFFSET($B15,0,$A15)+1,OFFSET($B15,1,$A15,ROW($A$202)-ROW($A15)),0))</f>
        <v>0</v>
      </c>
      <c r="J15" s="388" t="s">
        <v>103</v>
      </c>
      <c r="K15" s="138" t="str">
        <f ca="1">IF($A15=0,"-",CONCATENATE(C15&amp;".",IF(AND($A$5&gt;=2,$A15&gt;=2),D15&amp;".",""),IF(AND($A$5&gt;=3,$A15&gt;=3),E15&amp;".",""),IF(AND($A$5&gt;=4,$A15&gt;=4),F15&amp;".",""),IF($A15="S",G15&amp;".","")))</f>
        <v>1.1.0.1.</v>
      </c>
      <c r="L15" s="370" t="s">
        <v>230</v>
      </c>
      <c r="M15" s="382" t="s">
        <v>237</v>
      </c>
      <c r="N15" s="368" t="s">
        <v>402</v>
      </c>
      <c r="O15" s="377" t="s">
        <v>521</v>
      </c>
      <c r="P15" s="363">
        <v>4.5</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SINAPI-103689</v>
      </c>
      <c r="X15" s="1">
        <f ca="1">IF(AND(Fonte&lt;&gt;"",Código&lt;&gt;""),MATCH(Fonte&amp;" "&amp;IF(Fonte="sinapi",SUBSTITUTE(SUBSTITUTE(Código,"/00","/"),"/0","/"),Código),INDIRECT("'[Referência "&amp;_xlnm.Database&amp;".xls]Banco'!$a:$a"),0),"X")</f>
        <v>14344</v>
      </c>
      <c r="Y15" s="103">
        <v>611.33000000000004</v>
      </c>
      <c r="Z15" s="113">
        <f ca="1">ROUND(IF(ISNUMBER(R15),R15,IF(LEFT(R15,3)="BDI",HLOOKUP(R15,DADOS!$T$37:$X$38,2,FALSE),0)),15-11*$X$5)</f>
        <v>0.2354</v>
      </c>
      <c r="AA15" s="1"/>
    </row>
    <row r="16" spans="1:27" ht="25.5" x14ac:dyDescent="0.2">
      <c r="A16" t="str">
        <f t="shared" si="0"/>
        <v>S</v>
      </c>
      <c r="B16">
        <f t="shared" si="1"/>
        <v>0</v>
      </c>
      <c r="C16">
        <f t="shared" ca="1" si="2"/>
        <v>1</v>
      </c>
      <c r="D16">
        <f t="shared" ca="1" si="3"/>
        <v>1</v>
      </c>
      <c r="E16">
        <f t="shared" ca="1" si="4"/>
        <v>0</v>
      </c>
      <c r="F16">
        <f t="shared" ca="1" si="5"/>
        <v>0</v>
      </c>
      <c r="G16">
        <f t="shared" ca="1" si="6"/>
        <v>2</v>
      </c>
      <c r="H16">
        <f ca="1">IF(OR($A16="S",$A16=0),0,MATCH(0,OFFSET($B16,1,$A16,ROW($A$202)-ROW($A16)),0))</f>
        <v>0</v>
      </c>
      <c r="I16">
        <f ca="1">IF(OR($A16="S",$A16=0),0,MATCH(OFFSET($B16,0,$A16)+1,OFFSET($B16,1,$A16,ROW($A$202)-ROW($A16)),0))</f>
        <v>0</v>
      </c>
      <c r="J16" s="388" t="s">
        <v>103</v>
      </c>
      <c r="K16" s="138" t="str">
        <f t="shared" ca="1" si="7"/>
        <v>1.1.0.2.</v>
      </c>
      <c r="L16" s="370" t="s">
        <v>233</v>
      </c>
      <c r="M16" s="382" t="s">
        <v>236</v>
      </c>
      <c r="N16" s="368" t="s">
        <v>403</v>
      </c>
      <c r="O16" s="377" t="s">
        <v>522</v>
      </c>
      <c r="P16" s="363">
        <v>3</v>
      </c>
      <c r="Q16" s="195"/>
      <c r="R16" s="198" t="s">
        <v>7</v>
      </c>
      <c r="S16" s="103">
        <f t="shared" ref="S16:S20" si="13">IF($A16="S",IF($Q$10="Preço Unitário (R$)",PO.CustoUnitario,ROUND(PO.CustoUnitario*(1+$Z16),15-13*$X$6)),0)</f>
        <v>0</v>
      </c>
      <c r="T16" s="83">
        <f t="shared" ref="T16:T20" si="14">IF($A16="S",VTOTAL1,IF($A16=0,0,ROUND(SomaAgrup,15-13*$X$7)))</f>
        <v>0</v>
      </c>
      <c r="U16" s="9" t="str">
        <f t="shared" si="8"/>
        <v>SEM VALOR</v>
      </c>
      <c r="V16" s="1" t="str">
        <f ca="1">IF(OR($A16=0,$A16="S",$A16&gt;CFF!$A$9),"",MAX(V$12:OFFSET(V16,-1,0))+1)</f>
        <v/>
      </c>
      <c r="W16" s="4" t="str">
        <f t="shared" si="9"/>
        <v>SINAPI-I-10775</v>
      </c>
      <c r="X16" s="1">
        <f t="shared" ca="1" si="10"/>
        <v>2654</v>
      </c>
      <c r="Y16" s="103">
        <v>1436.15</v>
      </c>
      <c r="Z16" s="113">
        <f ca="1">ROUND(IF(ISNUMBER(R16),R16,IF(LEFT(R16,3)="BDI",HLOOKUP(R16,DADOS!$T$37:$X$38,2,FALSE),0)),15-11*$X$5)</f>
        <v>0.2354</v>
      </c>
      <c r="AA16" s="1"/>
    </row>
    <row r="17" spans="1:27" ht="25.5" x14ac:dyDescent="0.2">
      <c r="A17" t="str">
        <f t="shared" si="0"/>
        <v>S</v>
      </c>
      <c r="B17">
        <f t="shared" si="1"/>
        <v>0</v>
      </c>
      <c r="C17">
        <f t="shared" ca="1" si="2"/>
        <v>1</v>
      </c>
      <c r="D17">
        <f t="shared" ca="1" si="3"/>
        <v>1</v>
      </c>
      <c r="E17">
        <f t="shared" ca="1" si="4"/>
        <v>0</v>
      </c>
      <c r="F17">
        <f t="shared" ca="1" si="5"/>
        <v>0</v>
      </c>
      <c r="G17">
        <f t="shared" ca="1" si="6"/>
        <v>3</v>
      </c>
      <c r="H17">
        <f ca="1">IF(OR($A17="S",$A17=0),0,MATCH(0,OFFSET($B17,1,$A17,ROW($A$202)-ROW($A17)),0))</f>
        <v>0</v>
      </c>
      <c r="I17">
        <f ca="1">IF(OR($A17="S",$A17=0),0,MATCH(OFFSET($B17,0,$A17)+1,OFFSET($B17,1,$A17,ROW($A$202)-ROW($A17)),0))</f>
        <v>0</v>
      </c>
      <c r="J17" s="388" t="s">
        <v>103</v>
      </c>
      <c r="K17" s="138" t="str">
        <f t="shared" ca="1" si="7"/>
        <v>1.1.0.3.</v>
      </c>
      <c r="L17" s="370" t="s">
        <v>233</v>
      </c>
      <c r="M17" s="382" t="s">
        <v>247</v>
      </c>
      <c r="N17" s="368" t="s">
        <v>404</v>
      </c>
      <c r="O17" s="377" t="s">
        <v>522</v>
      </c>
      <c r="P17" s="363">
        <v>3</v>
      </c>
      <c r="Q17" s="195"/>
      <c r="R17" s="198" t="s">
        <v>7</v>
      </c>
      <c r="S17" s="103">
        <f t="shared" si="13"/>
        <v>0</v>
      </c>
      <c r="T17" s="83">
        <f t="shared" si="14"/>
        <v>0</v>
      </c>
      <c r="U17" s="9" t="str">
        <f t="shared" si="8"/>
        <v>SEM VALOR</v>
      </c>
      <c r="V17" s="1" t="str">
        <f ca="1">IF(OR($A17=0,$A17="S",$A17&gt;CFF!$A$9),"",MAX(V$12:OFFSET(V17,-1,0))+1)</f>
        <v/>
      </c>
      <c r="W17" s="4" t="str">
        <f t="shared" si="9"/>
        <v>SINAPI-I-10776</v>
      </c>
      <c r="X17" s="1">
        <f t="shared" ca="1" si="10"/>
        <v>2655</v>
      </c>
      <c r="Y17" s="103">
        <v>1121.99</v>
      </c>
      <c r="Z17" s="113">
        <f ca="1">ROUND(IF(ISNUMBER(R17),R17,IF(LEFT(R17,3)="BDI",HLOOKUP(R17,DADOS!$T$37:$X$38,2,FALSE),0)),15-11*$X$5)</f>
        <v>0.2354</v>
      </c>
      <c r="AA17" s="1"/>
    </row>
    <row r="18" spans="1:27" ht="25.5" x14ac:dyDescent="0.2">
      <c r="A18" t="str">
        <f t="shared" si="0"/>
        <v>S</v>
      </c>
      <c r="B18">
        <f t="shared" si="1"/>
        <v>0</v>
      </c>
      <c r="C18">
        <f t="shared" ca="1" si="2"/>
        <v>1</v>
      </c>
      <c r="D18">
        <f t="shared" ca="1" si="3"/>
        <v>1</v>
      </c>
      <c r="E18">
        <f t="shared" ca="1" si="4"/>
        <v>0</v>
      </c>
      <c r="F18">
        <f t="shared" ca="1" si="5"/>
        <v>0</v>
      </c>
      <c r="G18">
        <f t="shared" ca="1" si="6"/>
        <v>4</v>
      </c>
      <c r="H18">
        <f ca="1">IF(OR($A18="S",$A18=0),0,MATCH(0,OFFSET($B18,1,$A18,ROW($A$202)-ROW($A18)),0))</f>
        <v>0</v>
      </c>
      <c r="I18">
        <f ca="1">IF(OR($A18="S",$A18=0),0,MATCH(OFFSET($B18,0,$A18)+1,OFFSET($B18,1,$A18,ROW($A$202)-ROW($A18)),0))</f>
        <v>0</v>
      </c>
      <c r="J18" s="388" t="s">
        <v>103</v>
      </c>
      <c r="K18" s="138" t="str">
        <f t="shared" ca="1" si="7"/>
        <v>1.1.0.4.</v>
      </c>
      <c r="L18" s="370" t="s">
        <v>230</v>
      </c>
      <c r="M18" s="382" t="s">
        <v>240</v>
      </c>
      <c r="N18" s="368" t="s">
        <v>405</v>
      </c>
      <c r="O18" s="377" t="s">
        <v>288</v>
      </c>
      <c r="P18" s="363">
        <v>2</v>
      </c>
      <c r="Q18" s="195"/>
      <c r="R18" s="198" t="s">
        <v>7</v>
      </c>
      <c r="S18" s="103">
        <f t="shared" si="13"/>
        <v>0</v>
      </c>
      <c r="T18" s="83">
        <f t="shared" si="14"/>
        <v>0</v>
      </c>
      <c r="U18" s="9" t="str">
        <f t="shared" si="8"/>
        <v>SEM VALOR</v>
      </c>
      <c r="V18" s="1" t="str">
        <f ca="1">IF(OR($A18=0,$A18="S",$A18&gt;CFF!$A$9),"",MAX(V$12:OFFSET(V18,-1,0))+1)</f>
        <v/>
      </c>
      <c r="W18" s="4" t="str">
        <f t="shared" si="9"/>
        <v>SINAPI-105115</v>
      </c>
      <c r="X18" s="1">
        <f t="shared" ca="1" si="10"/>
        <v>11919</v>
      </c>
      <c r="Y18" s="103">
        <v>170.72</v>
      </c>
      <c r="Z18" s="113">
        <f ca="1">ROUND(IF(ISNUMBER(R18),R18,IF(LEFT(R18,3)="BDI",HLOOKUP(R18,DADOS!$T$37:$X$38,2,FALSE),0)),15-11*$X$5)</f>
        <v>0.2354</v>
      </c>
      <c r="AA18" s="1"/>
    </row>
    <row r="19" spans="1:27" x14ac:dyDescent="0.2">
      <c r="A19" t="str">
        <f t="shared" si="0"/>
        <v>S</v>
      </c>
      <c r="B19">
        <f t="shared" si="1"/>
        <v>0</v>
      </c>
      <c r="C19">
        <f t="shared" ca="1" si="2"/>
        <v>1</v>
      </c>
      <c r="D19">
        <f t="shared" ca="1" si="3"/>
        <v>1</v>
      </c>
      <c r="E19">
        <f t="shared" ca="1" si="4"/>
        <v>0</v>
      </c>
      <c r="F19">
        <f t="shared" ca="1" si="5"/>
        <v>0</v>
      </c>
      <c r="G19">
        <f t="shared" ca="1" si="6"/>
        <v>5</v>
      </c>
      <c r="H19">
        <f ca="1">IF(OR($A19="S",$A19=0),0,MATCH(0,OFFSET($B19,1,$A19,ROW($A$202)-ROW($A19)),0))</f>
        <v>0</v>
      </c>
      <c r="I19">
        <f ca="1">IF(OR($A19="S",$A19=0),0,MATCH(OFFSET($B19,0,$A19)+1,OFFSET($B19,1,$A19,ROW($A$202)-ROW($A19)),0))</f>
        <v>0</v>
      </c>
      <c r="J19" s="388" t="s">
        <v>103</v>
      </c>
      <c r="K19" s="138" t="str">
        <f t="shared" ca="1" si="7"/>
        <v>1.1.0.5.</v>
      </c>
      <c r="L19" s="370" t="s">
        <v>230</v>
      </c>
      <c r="M19" s="382" t="s">
        <v>294</v>
      </c>
      <c r="N19" s="368" t="s">
        <v>406</v>
      </c>
      <c r="O19" s="377" t="s">
        <v>288</v>
      </c>
      <c r="P19" s="363">
        <v>39.5</v>
      </c>
      <c r="Q19" s="195"/>
      <c r="R19" s="198" t="s">
        <v>7</v>
      </c>
      <c r="S19" s="103">
        <f t="shared" si="13"/>
        <v>0</v>
      </c>
      <c r="T19" s="83">
        <f t="shared" si="14"/>
        <v>0</v>
      </c>
      <c r="U19" s="9" t="str">
        <f t="shared" si="8"/>
        <v>SEM VALOR</v>
      </c>
      <c r="V19" s="1" t="str">
        <f ca="1">IF(OR($A19=0,$A19="S",$A19&gt;CFF!$A$9),"",MAX(V$12:OFFSET(V19,-1,0))+1)</f>
        <v/>
      </c>
      <c r="W19" s="4" t="str">
        <f t="shared" si="9"/>
        <v>SINAPI-102656</v>
      </c>
      <c r="X19" s="1">
        <f t="shared" ca="1" si="10"/>
        <v>8202</v>
      </c>
      <c r="Y19" s="103">
        <v>7.75</v>
      </c>
      <c r="Z19" s="113">
        <f ca="1">ROUND(IF(ISNUMBER(R19),R19,IF(LEFT(R19,3)="BDI",HLOOKUP(R19,DADOS!$T$37:$X$38,2,FALSE),0)),15-11*$X$5)</f>
        <v>0.2354</v>
      </c>
      <c r="AA19" s="1"/>
    </row>
    <row r="20" spans="1:27" ht="25.5" x14ac:dyDescent="0.2">
      <c r="A20" t="str">
        <f t="shared" si="0"/>
        <v>S</v>
      </c>
      <c r="B20">
        <f t="shared" si="1"/>
        <v>0</v>
      </c>
      <c r="C20">
        <f t="shared" ca="1" si="2"/>
        <v>1</v>
      </c>
      <c r="D20">
        <f t="shared" ca="1" si="3"/>
        <v>1</v>
      </c>
      <c r="E20">
        <f t="shared" ca="1" si="4"/>
        <v>0</v>
      </c>
      <c r="F20">
        <f t="shared" ca="1" si="5"/>
        <v>0</v>
      </c>
      <c r="G20">
        <f t="shared" ca="1" si="6"/>
        <v>6</v>
      </c>
      <c r="H20">
        <f ca="1">IF(OR($A20="S",$A20=0),0,MATCH(0,OFFSET($B20,1,$A20,ROW($A$202)-ROW($A20)),0))</f>
        <v>0</v>
      </c>
      <c r="I20">
        <f ca="1">IF(OR($A20="S",$A20=0),0,MATCH(OFFSET($B20,0,$A20)+1,OFFSET($B20,1,$A20,ROW($A$202)-ROW($A20)),0))</f>
        <v>0</v>
      </c>
      <c r="J20" s="388" t="s">
        <v>103</v>
      </c>
      <c r="K20" s="138" t="str">
        <f t="shared" ca="1" si="7"/>
        <v>1.1.0.6.</v>
      </c>
      <c r="L20" s="370" t="s">
        <v>234</v>
      </c>
      <c r="M20" s="382" t="s">
        <v>295</v>
      </c>
      <c r="N20" s="368" t="s">
        <v>407</v>
      </c>
      <c r="O20" s="377" t="s">
        <v>523</v>
      </c>
      <c r="P20" s="363">
        <v>1</v>
      </c>
      <c r="Q20" s="195"/>
      <c r="R20" s="198" t="s">
        <v>7</v>
      </c>
      <c r="S20" s="103">
        <f t="shared" si="13"/>
        <v>0</v>
      </c>
      <c r="T20" s="83">
        <f t="shared" si="14"/>
        <v>0</v>
      </c>
      <c r="U20" s="9" t="str">
        <f t="shared" si="8"/>
        <v>SEM VALOR</v>
      </c>
      <c r="V20" s="1" t="str">
        <f ca="1">IF(OR($A20=0,$A20="S",$A20&gt;CFF!$A$9),"",MAX(V$12:OFFSET(V20,-1,0))+1)</f>
        <v/>
      </c>
      <c r="W20" s="4" t="str">
        <f t="shared" si="9"/>
        <v>PM BENTO-99</v>
      </c>
      <c r="X20" s="1">
        <f t="shared" ca="1" si="10"/>
        <v>35</v>
      </c>
      <c r="Y20" s="103">
        <v>4272.32</v>
      </c>
      <c r="Z20" s="113">
        <f ca="1">ROUND(IF(ISNUMBER(R20),R20,IF(LEFT(R20,3)="BDI",HLOOKUP(R20,DADOS!$T$37:$X$38,2,FALSE),0)),15-11*$X$5)</f>
        <v>0.2354</v>
      </c>
      <c r="AA20" s="1"/>
    </row>
    <row r="21" spans="1:27" x14ac:dyDescent="0.2">
      <c r="A21">
        <f>CHOOSE(1+LOG(1+2*(J21="Meta")+4*(J21="Nível 2")+8*(J21="Nível 3")+16*(J21="Nível 4")+32*(J21="Serviço"),2),0,1,2,3,4,"S")</f>
        <v>2</v>
      </c>
      <c r="B21">
        <f ca="1">IF(OR(A21="S",A21=0),0,IF(ISERROR(I21),H21,SMALL(H21:I21,1)))</f>
        <v>2</v>
      </c>
      <c r="C21">
        <f ca="1">IF($A21=1,OFFSET(C21,-1,0)+1,OFFSET(C21,-1,0))</f>
        <v>1</v>
      </c>
      <c r="D21">
        <f ca="1">IF($A21=1,0,IF($A21=2,OFFSET(D21,-1,0)+1,OFFSET(D21,-1,0)))</f>
        <v>2</v>
      </c>
      <c r="E21">
        <f ca="1">IF(AND($A21&lt;=2,$A21&lt;&gt;0),0,IF($A21=3,OFFSET(E21,-1,0)+1,OFFSET(E21,-1,0)))</f>
        <v>0</v>
      </c>
      <c r="F21">
        <f ca="1">IF(AND($A21&lt;=3,$A21&lt;&gt;0),0,IF($A21=4,OFFSET(F21,-1,0)+1,OFFSET(F21,-1,0)))</f>
        <v>0</v>
      </c>
      <c r="G21">
        <f ca="1">IF(AND($A21&lt;=4,$A21&lt;&gt;0),0,IF($A21="S",OFFSET(G21,-1,0)+1,OFFSET(G21,-1,0)))</f>
        <v>0</v>
      </c>
      <c r="H21">
        <f ca="1">IF(OR($A21="S",$A21=0),0,MATCH(0,OFFSET($B21,1,$A21,ROW($A$202)-ROW($A21)),0))</f>
        <v>181</v>
      </c>
      <c r="I21">
        <f ca="1">IF(OR($A21="S",$A21=0),0,MATCH(OFFSET($B21,0,$A21)+1,OFFSET($B21,1,$A21,ROW($A$202)-ROW($A21)),0))</f>
        <v>2</v>
      </c>
      <c r="J21" s="388" t="s">
        <v>100</v>
      </c>
      <c r="K21" s="138" t="str">
        <f ca="1">IF($A21=0,"-",CONCATENATE(C21&amp;".",IF(AND($A$5&gt;=2,$A21&gt;=2),D21&amp;".",""),IF(AND($A$5&gt;=3,$A21&gt;=3),E21&amp;".",""),IF(AND($A$5&gt;=4,$A21&gt;=4),F21&amp;".",""),IF($A21="S",G21&amp;".","")))</f>
        <v>1.2.</v>
      </c>
      <c r="L21" s="370" t="s">
        <v>230</v>
      </c>
      <c r="M21" s="382"/>
      <c r="N21" s="389" t="s">
        <v>364</v>
      </c>
      <c r="O21" s="377" t="s">
        <v>106</v>
      </c>
      <c r="P21" s="363" t="s">
        <v>363</v>
      </c>
      <c r="Q21" s="195"/>
      <c r="R21" s="198" t="s">
        <v>7</v>
      </c>
      <c r="S21" s="103">
        <f>IF($A21="S",IF($Q$10="Preço Unitário (R$)",PO.CustoUnitario,ROUND(PO.CustoUnitario*(1+$Z21),15-13*$X$6)),0)</f>
        <v>0</v>
      </c>
      <c r="T21" s="83">
        <f ca="1">IF($A21="S",VTOTAL1,IF($A21=0,0,ROUND(SomaAgrup,15-13*$X$7)))</f>
        <v>0</v>
      </c>
      <c r="U21" s="9" t="str">
        <f ca="1">IF($J21="","",IF($N21="","DESCRIÇÃO",IF(AND($J21="Serviço",$O21=""),"UNIDADE",IF($T21&lt;=0,"SEM VALOR",IF(AND($Y21&lt;&gt;"",$Q21&gt;$Y21),"ACIMA REF.","")))))</f>
        <v>SEM VALOR</v>
      </c>
      <c r="V21" s="1">
        <f ca="1">IF(OR($A21=0,$A21="S",$A21&gt;CFF!$A$9),"",MAX(V$12:OFFSET(V21,-1,0))+1)</f>
        <v>3</v>
      </c>
      <c r="W21" s="4" t="b">
        <f>IF(AND($J21="Serviço",$M21&lt;&gt;""),IF($L21="",$M21,CONCATENATE($L21,"-",$M21)))</f>
        <v>0</v>
      </c>
      <c r="X21" s="1" t="str">
        <f ca="1">IF(AND(Fonte&lt;&gt;"",Código&lt;&gt;""),MATCH(Fonte&amp;" "&amp;IF(Fonte="sinapi",SUBSTITUTE(SUBSTITUTE(Código,"/00","/"),"/0","/"),Código),INDIRECT("'[Referência "&amp;_xlnm.Database&amp;".xls]Banco'!$a:$a"),0),"X")</f>
        <v>X</v>
      </c>
      <c r="Y21" s="103">
        <v>0</v>
      </c>
      <c r="Z21" s="113">
        <f ca="1">ROUND(IF(ISNUMBER(R21),R21,IF(LEFT(R21,3)="BDI",HLOOKUP(R21,DADOS!$T$37:$X$38,2,FALSE),0)),15-11*$X$5)</f>
        <v>0.2354</v>
      </c>
      <c r="AA21" s="1"/>
    </row>
    <row r="22" spans="1:27" x14ac:dyDescent="0.2">
      <c r="A22" t="str">
        <f t="shared" si="0"/>
        <v>S</v>
      </c>
      <c r="B22">
        <f t="shared" si="1"/>
        <v>0</v>
      </c>
      <c r="C22">
        <f t="shared" ca="1" si="2"/>
        <v>1</v>
      </c>
      <c r="D22">
        <f t="shared" ca="1" si="3"/>
        <v>2</v>
      </c>
      <c r="E22">
        <f t="shared" ca="1" si="4"/>
        <v>0</v>
      </c>
      <c r="F22">
        <f t="shared" ca="1" si="5"/>
        <v>0</v>
      </c>
      <c r="G22">
        <f t="shared" ca="1" si="6"/>
        <v>1</v>
      </c>
      <c r="H22">
        <f ca="1">IF(OR($A22="S",$A22=0),0,MATCH(0,OFFSET($B22,1,$A22,ROW($A$202)-ROW($A22)),0))</f>
        <v>0</v>
      </c>
      <c r="I22">
        <f ca="1">IF(OR($A22="S",$A22=0),0,MATCH(OFFSET($B22,0,$A22)+1,OFFSET($B22,1,$A22,ROW($A$202)-ROW($A22)),0))</f>
        <v>0</v>
      </c>
      <c r="J22" s="388" t="s">
        <v>103</v>
      </c>
      <c r="K22" s="138" t="str">
        <f t="shared" ca="1" si="7"/>
        <v>1.2.0.1.</v>
      </c>
      <c r="L22" s="370" t="s">
        <v>234</v>
      </c>
      <c r="M22" s="370" t="s">
        <v>246</v>
      </c>
      <c r="N22" s="368" t="s">
        <v>408</v>
      </c>
      <c r="O22" s="377" t="s">
        <v>523</v>
      </c>
      <c r="P22" s="363">
        <v>1</v>
      </c>
      <c r="Q22" s="195"/>
      <c r="R22" s="198" t="s">
        <v>7</v>
      </c>
      <c r="S22" s="103">
        <f>IF($A22="S",IF($Q$10="Preço Unitário (R$)",PO.CustoUnitario,ROUND(PO.CustoUnitario*(1+$Z22),15-13*$X$6)),0)</f>
        <v>0</v>
      </c>
      <c r="T22" s="83">
        <f>IF($A22="S",VTOTAL1,IF($A22=0,0,ROUND(SomaAgrup,15-13*$X$7)))</f>
        <v>0</v>
      </c>
      <c r="U22" s="9" t="str">
        <f t="shared" si="8"/>
        <v>SEM VALOR</v>
      </c>
      <c r="V22" s="1" t="str">
        <f ca="1">IF(OR($A22=0,$A22="S",$A22&gt;CFF!$A$9),"",MAX(V$12:OFFSET(V22,-1,0))+1)</f>
        <v/>
      </c>
      <c r="W22" s="4" t="str">
        <f t="shared" si="9"/>
        <v>PM BENTO-01</v>
      </c>
      <c r="X22" s="1">
        <f t="shared" ca="1" si="10"/>
        <v>7</v>
      </c>
      <c r="Y22" s="103">
        <v>23112.639999999999</v>
      </c>
      <c r="Z22" s="113">
        <f ca="1">ROUND(IF(ISNUMBER(R22),R22,IF(LEFT(R22,3)="BDI",HLOOKUP(R22,DADOS!$T$37:$X$38,2,FALSE),0)),15-11*$X$5)</f>
        <v>0.2354</v>
      </c>
      <c r="AA22" s="1"/>
    </row>
    <row r="23" spans="1:27" x14ac:dyDescent="0.2">
      <c r="A23">
        <f t="shared" si="0"/>
        <v>2</v>
      </c>
      <c r="B23">
        <f t="shared" ca="1" si="1"/>
        <v>10</v>
      </c>
      <c r="C23">
        <f t="shared" ca="1" si="2"/>
        <v>1</v>
      </c>
      <c r="D23">
        <f t="shared" ca="1" si="3"/>
        <v>3</v>
      </c>
      <c r="E23">
        <f t="shared" ca="1" si="4"/>
        <v>0</v>
      </c>
      <c r="F23">
        <f t="shared" ca="1" si="5"/>
        <v>0</v>
      </c>
      <c r="G23">
        <f t="shared" ca="1" si="6"/>
        <v>0</v>
      </c>
      <c r="H23">
        <f ca="1">IF(OR($A23="S",$A23=0),0,MATCH(0,OFFSET($B23,1,$A23,ROW($A$202)-ROW($A23)),0))</f>
        <v>179</v>
      </c>
      <c r="I23">
        <f ca="1">IF(OR($A23="S",$A23=0),0,MATCH(OFFSET($B23,0,$A23)+1,OFFSET($B23,1,$A23,ROW($A$202)-ROW($A23)),0))</f>
        <v>10</v>
      </c>
      <c r="J23" s="388" t="s">
        <v>100</v>
      </c>
      <c r="K23" s="138" t="str">
        <f t="shared" ca="1" si="7"/>
        <v>1.3.</v>
      </c>
      <c r="L23" s="370" t="s">
        <v>230</v>
      </c>
      <c r="M23" s="370"/>
      <c r="N23" s="391" t="s">
        <v>365</v>
      </c>
      <c r="O23" s="377" t="s">
        <v>106</v>
      </c>
      <c r="P23" s="363" t="s">
        <v>363</v>
      </c>
      <c r="Q23" s="195"/>
      <c r="R23" s="198" t="s">
        <v>7</v>
      </c>
      <c r="S23" s="103">
        <f t="shared" ref="S23:S27" si="15">IF($A23="S",IF($Q$10="Preço Unitário (R$)",PO.CustoUnitario,ROUND(PO.CustoUnitario*(1+$Z23),15-13*$X$6)),0)</f>
        <v>0</v>
      </c>
      <c r="T23" s="83">
        <f t="shared" ref="T23:T27" ca="1" si="16">IF($A23="S",VTOTAL1,IF($A23=0,0,ROUND(SomaAgrup,15-13*$X$7)))</f>
        <v>0</v>
      </c>
      <c r="U23" s="9" t="str">
        <f t="shared" ca="1" si="8"/>
        <v>SEM VALOR</v>
      </c>
      <c r="V23" s="1">
        <f ca="1">IF(OR($A23=0,$A23="S",$A23&gt;CFF!$A$9),"",MAX(V$12:OFFSET(V23,-1,0))+1)</f>
        <v>4</v>
      </c>
      <c r="W23" s="4" t="b">
        <f t="shared" si="9"/>
        <v>0</v>
      </c>
      <c r="X23" s="1" t="str">
        <f t="shared" ref="X23:X27" ca="1" si="17">IF(AND(Fonte&lt;&gt;"",Código&lt;&gt;""),MATCH(Fonte&amp;" "&amp;IF(Fonte="sinapi",SUBSTITUTE(SUBSTITUTE(Código,"/00","/"),"/0","/"),Código),INDIRECT("'[Referência "&amp;_xlnm.Database&amp;".xls]Banco'!$a:$a"),0),"X")</f>
        <v>X</v>
      </c>
      <c r="Y23" s="103">
        <v>0</v>
      </c>
      <c r="Z23" s="113">
        <f ca="1">ROUND(IF(ISNUMBER(R23),R23,IF(LEFT(R23,3)="BDI",HLOOKUP(R23,DADOS!$T$37:$X$38,2,FALSE),0)),15-11*$X$5)</f>
        <v>0.2354</v>
      </c>
      <c r="AA23" s="1"/>
    </row>
    <row r="24" spans="1:27" x14ac:dyDescent="0.2">
      <c r="A24" t="str">
        <f t="shared" ref="A24:A27" si="18">CHOOSE(1+LOG(1+2*(J24="Meta")+4*(J24="Nível 2")+8*(J24="Nível 3")+16*(J24="Nível 4")+32*(J24="Serviço"),2),0,1,2,3,4,"S")</f>
        <v>S</v>
      </c>
      <c r="B24">
        <f t="shared" ref="B24:B27" si="19">IF(OR(A24="S",A24=0),0,IF(ISERROR(I24),H24,SMALL(H24:I24,1)))</f>
        <v>0</v>
      </c>
      <c r="C24">
        <f t="shared" ref="C24:C27" ca="1" si="20">IF($A24=1,OFFSET(C24,-1,0)+1,OFFSET(C24,-1,0))</f>
        <v>1</v>
      </c>
      <c r="D24">
        <f t="shared" ref="D24:D27" ca="1" si="21">IF($A24=1,0,IF($A24=2,OFFSET(D24,-1,0)+1,OFFSET(D24,-1,0)))</f>
        <v>3</v>
      </c>
      <c r="E24">
        <f t="shared" ref="E24:E27" ca="1" si="22">IF(AND($A24&lt;=2,$A24&lt;&gt;0),0,IF($A24=3,OFFSET(E24,-1,0)+1,OFFSET(E24,-1,0)))</f>
        <v>0</v>
      </c>
      <c r="F24">
        <f t="shared" ref="F24:F27" ca="1" si="23">IF(AND($A24&lt;=3,$A24&lt;&gt;0),0,IF($A24=4,OFFSET(F24,-1,0)+1,OFFSET(F24,-1,0)))</f>
        <v>0</v>
      </c>
      <c r="G24">
        <f t="shared" ref="G24:G27" ca="1" si="24">IF(AND($A24&lt;=4,$A24&lt;&gt;0),0,IF($A24="S",OFFSET(G24,-1,0)+1,OFFSET(G24,-1,0)))</f>
        <v>1</v>
      </c>
      <c r="H24">
        <f ca="1">IF(OR($A24="S",$A24=0),0,MATCH(0,OFFSET($B24,1,$A24,ROW($A$202)-ROW($A24)),0))</f>
        <v>0</v>
      </c>
      <c r="I24">
        <f ca="1">IF(OR($A24="S",$A24=0),0,MATCH(OFFSET($B24,0,$A24)+1,OFFSET($B24,1,$A24,ROW($A$202)-ROW($A24)),0))</f>
        <v>0</v>
      </c>
      <c r="J24" s="388" t="s">
        <v>103</v>
      </c>
      <c r="K24" s="138" t="str">
        <f t="shared" ref="K24:K27" ca="1" si="25">IF($A24=0,"-",CONCATENATE(C24&amp;".",IF(AND($A$5&gt;=2,$A24&gt;=2),D24&amp;".",""),IF(AND($A$5&gt;=3,$A24&gt;=3),E24&amp;".",""),IF(AND($A$5&gt;=4,$A24&gt;=4),F24&amp;".",""),IF($A24="S",G24&amp;".","")))</f>
        <v>1.3.0.1.</v>
      </c>
      <c r="L24" s="370" t="s">
        <v>230</v>
      </c>
      <c r="M24" s="382" t="s">
        <v>296</v>
      </c>
      <c r="N24" s="368" t="s">
        <v>409</v>
      </c>
      <c r="O24" s="377" t="s">
        <v>521</v>
      </c>
      <c r="P24" s="363">
        <v>47.83</v>
      </c>
      <c r="Q24" s="195"/>
      <c r="R24" s="198" t="s">
        <v>7</v>
      </c>
      <c r="S24" s="103">
        <f t="shared" si="15"/>
        <v>0</v>
      </c>
      <c r="T24" s="83">
        <f t="shared" si="16"/>
        <v>0</v>
      </c>
      <c r="U24" s="9" t="str">
        <f t="shared" ref="U24:U27" si="26">IF($J24="","",IF($N24="","DESCRIÇÃO",IF(AND($J24="Serviço",$O24=""),"UNIDADE",IF($T24&lt;=0,"SEM VALOR",IF(AND($Y24&lt;&gt;"",$Q24&gt;$Y24),"ACIMA REF.","")))))</f>
        <v>SEM VALOR</v>
      </c>
      <c r="V24" s="1" t="str">
        <f ca="1">IF(OR($A24=0,$A24="S",$A24&gt;CFF!$A$9),"",MAX(V$12:OFFSET(V24,-1,0))+1)</f>
        <v/>
      </c>
      <c r="W24" s="4" t="str">
        <f t="shared" ref="W24:W27" si="27">IF(AND($J24="Serviço",$M24&lt;&gt;""),IF($L24="",$M24,CONCATENATE($L24,"-",$M24)))</f>
        <v>SINAPI-97633</v>
      </c>
      <c r="X24" s="1">
        <f t="shared" ca="1" si="17"/>
        <v>6865</v>
      </c>
      <c r="Y24" s="103">
        <v>32.18</v>
      </c>
      <c r="Z24" s="113">
        <f ca="1">ROUND(IF(ISNUMBER(R24),R24,IF(LEFT(R24,3)="BDI",HLOOKUP(R24,DADOS!$T$37:$X$38,2,FALSE),0)),15-11*$X$5)</f>
        <v>0.2354</v>
      </c>
      <c r="AA24" s="1"/>
    </row>
    <row r="25" spans="1:27" x14ac:dyDescent="0.2">
      <c r="A25" t="str">
        <f t="shared" si="18"/>
        <v>S</v>
      </c>
      <c r="B25">
        <f t="shared" si="19"/>
        <v>0</v>
      </c>
      <c r="C25">
        <f t="shared" ca="1" si="20"/>
        <v>1</v>
      </c>
      <c r="D25">
        <f t="shared" ca="1" si="21"/>
        <v>3</v>
      </c>
      <c r="E25">
        <f t="shared" ca="1" si="22"/>
        <v>0</v>
      </c>
      <c r="F25">
        <f t="shared" ca="1" si="23"/>
        <v>0</v>
      </c>
      <c r="G25">
        <f t="shared" ca="1" si="24"/>
        <v>2</v>
      </c>
      <c r="H25">
        <f ca="1">IF(OR($A25="S",$A25=0),0,MATCH(0,OFFSET($B25,1,$A25,ROW($A$202)-ROW($A25)),0))</f>
        <v>0</v>
      </c>
      <c r="I25">
        <f ca="1">IF(OR($A25="S",$A25=0),0,MATCH(OFFSET($B25,0,$A25)+1,OFFSET($B25,1,$A25,ROW($A$202)-ROW($A25)),0))</f>
        <v>0</v>
      </c>
      <c r="J25" s="388" t="s">
        <v>103</v>
      </c>
      <c r="K25" s="138" t="str">
        <f t="shared" ca="1" si="25"/>
        <v>1.3.0.2.</v>
      </c>
      <c r="L25" s="370" t="s">
        <v>230</v>
      </c>
      <c r="M25" s="382" t="s">
        <v>297</v>
      </c>
      <c r="N25" s="368" t="s">
        <v>410</v>
      </c>
      <c r="O25" s="377" t="s">
        <v>524</v>
      </c>
      <c r="P25" s="363">
        <v>1.18</v>
      </c>
      <c r="Q25" s="195"/>
      <c r="R25" s="198" t="s">
        <v>7</v>
      </c>
      <c r="S25" s="103">
        <f t="shared" si="15"/>
        <v>0</v>
      </c>
      <c r="T25" s="83">
        <f t="shared" si="16"/>
        <v>0</v>
      </c>
      <c r="U25" s="9" t="str">
        <f t="shared" si="26"/>
        <v>SEM VALOR</v>
      </c>
      <c r="V25" s="1" t="str">
        <f ca="1">IF(OR($A25=0,$A25="S",$A25&gt;CFF!$A$9),"",MAX(V$12:OFFSET(V25,-1,0))+1)</f>
        <v/>
      </c>
      <c r="W25" s="4" t="str">
        <f t="shared" si="27"/>
        <v>SINAPI-97622</v>
      </c>
      <c r="X25" s="1">
        <f t="shared" ca="1" si="17"/>
        <v>6851</v>
      </c>
      <c r="Y25" s="103">
        <v>80.41</v>
      </c>
      <c r="Z25" s="113">
        <f ca="1">ROUND(IF(ISNUMBER(R25),R25,IF(LEFT(R25,3)="BDI",HLOOKUP(R25,DADOS!$T$37:$X$38,2,FALSE),0)),15-11*$X$5)</f>
        <v>0.2354</v>
      </c>
      <c r="AA25" s="1"/>
    </row>
    <row r="26" spans="1:27" ht="25.5" x14ac:dyDescent="0.2">
      <c r="A26" t="str">
        <f t="shared" si="18"/>
        <v>S</v>
      </c>
      <c r="B26">
        <f t="shared" si="19"/>
        <v>0</v>
      </c>
      <c r="C26">
        <f t="shared" ca="1" si="20"/>
        <v>1</v>
      </c>
      <c r="D26">
        <f t="shared" ca="1" si="21"/>
        <v>3</v>
      </c>
      <c r="E26">
        <f t="shared" ca="1" si="22"/>
        <v>0</v>
      </c>
      <c r="F26">
        <f t="shared" ca="1" si="23"/>
        <v>0</v>
      </c>
      <c r="G26">
        <f t="shared" ca="1" si="24"/>
        <v>3</v>
      </c>
      <c r="H26">
        <f ca="1">IF(OR($A26="S",$A26=0),0,MATCH(0,OFFSET($B26,1,$A26,ROW($A$202)-ROW($A26)),0))</f>
        <v>0</v>
      </c>
      <c r="I26">
        <f ca="1">IF(OR($A26="S",$A26=0),0,MATCH(OFFSET($B26,0,$A26)+1,OFFSET($B26,1,$A26,ROW($A$202)-ROW($A26)),0))</f>
        <v>0</v>
      </c>
      <c r="J26" s="388" t="s">
        <v>103</v>
      </c>
      <c r="K26" s="138" t="str">
        <f t="shared" ca="1" si="25"/>
        <v>1.3.0.3.</v>
      </c>
      <c r="L26" s="370" t="s">
        <v>234</v>
      </c>
      <c r="M26" s="382" t="s">
        <v>298</v>
      </c>
      <c r="N26" s="368" t="s">
        <v>411</v>
      </c>
      <c r="O26" s="377" t="s">
        <v>521</v>
      </c>
      <c r="P26" s="363">
        <v>71.94</v>
      </c>
      <c r="Q26" s="195"/>
      <c r="R26" s="198" t="s">
        <v>7</v>
      </c>
      <c r="S26" s="103">
        <f t="shared" si="15"/>
        <v>0</v>
      </c>
      <c r="T26" s="83">
        <f t="shared" si="16"/>
        <v>0</v>
      </c>
      <c r="U26" s="9" t="str">
        <f t="shared" si="26"/>
        <v>SEM VALOR</v>
      </c>
      <c r="V26" s="1" t="str">
        <f ca="1">IF(OR($A26=0,$A26="S",$A26&gt;CFF!$A$9),"",MAX(V$12:OFFSET(V26,-1,0))+1)</f>
        <v/>
      </c>
      <c r="W26" s="4" t="str">
        <f t="shared" si="27"/>
        <v>PM BENTO-101</v>
      </c>
      <c r="X26" s="1">
        <f t="shared" ca="1" si="17"/>
        <v>39</v>
      </c>
      <c r="Y26" s="103">
        <v>4.1500000000000004</v>
      </c>
      <c r="Z26" s="113">
        <f ca="1">ROUND(IF(ISNUMBER(R26),R26,IF(LEFT(R26,3)="BDI",HLOOKUP(R26,DADOS!$T$37:$X$38,2,FALSE),0)),15-11*$X$5)</f>
        <v>0.2354</v>
      </c>
      <c r="AA26" s="1"/>
    </row>
    <row r="27" spans="1:27" ht="25.5" x14ac:dyDescent="0.2">
      <c r="A27" t="str">
        <f t="shared" si="18"/>
        <v>S</v>
      </c>
      <c r="B27">
        <f t="shared" si="19"/>
        <v>0</v>
      </c>
      <c r="C27">
        <f t="shared" ca="1" si="20"/>
        <v>1</v>
      </c>
      <c r="D27">
        <f t="shared" ca="1" si="21"/>
        <v>3</v>
      </c>
      <c r="E27">
        <f t="shared" ca="1" si="22"/>
        <v>0</v>
      </c>
      <c r="F27">
        <f t="shared" ca="1" si="23"/>
        <v>0</v>
      </c>
      <c r="G27">
        <f t="shared" ca="1" si="24"/>
        <v>4</v>
      </c>
      <c r="H27">
        <f ca="1">IF(OR($A27="S",$A27=0),0,MATCH(0,OFFSET($B27,1,$A27,ROW($A$202)-ROW($A27)),0))</f>
        <v>0</v>
      </c>
      <c r="I27">
        <f ca="1">IF(OR($A27="S",$A27=0),0,MATCH(OFFSET($B27,0,$A27)+1,OFFSET($B27,1,$A27,ROW($A$202)-ROW($A27)),0))</f>
        <v>0</v>
      </c>
      <c r="J27" s="388" t="s">
        <v>103</v>
      </c>
      <c r="K27" s="138" t="str">
        <f t="shared" ca="1" si="25"/>
        <v>1.3.0.4.</v>
      </c>
      <c r="L27" s="370" t="s">
        <v>234</v>
      </c>
      <c r="M27" s="382" t="s">
        <v>299</v>
      </c>
      <c r="N27" s="368" t="s">
        <v>412</v>
      </c>
      <c r="O27" s="377" t="s">
        <v>521</v>
      </c>
      <c r="P27" s="363">
        <v>42.75</v>
      </c>
      <c r="Q27" s="195"/>
      <c r="R27" s="198" t="s">
        <v>7</v>
      </c>
      <c r="S27" s="103">
        <f t="shared" si="15"/>
        <v>0</v>
      </c>
      <c r="T27" s="83">
        <f t="shared" si="16"/>
        <v>0</v>
      </c>
      <c r="U27" s="9" t="str">
        <f t="shared" si="26"/>
        <v>SEM VALOR</v>
      </c>
      <c r="V27" s="1" t="str">
        <f ca="1">IF(OR($A27=0,$A27="S",$A27&gt;CFF!$A$9),"",MAX(V$12:OFFSET(V27,-1,0))+1)</f>
        <v/>
      </c>
      <c r="W27" s="4" t="str">
        <f t="shared" si="27"/>
        <v>PM BENTO-111</v>
      </c>
      <c r="X27" s="1">
        <f t="shared" ca="1" si="17"/>
        <v>49</v>
      </c>
      <c r="Y27" s="103">
        <v>9.8699999999999992</v>
      </c>
      <c r="Z27" s="113">
        <f ca="1">ROUND(IF(ISNUMBER(R27),R27,IF(LEFT(R27,3)="BDI",HLOOKUP(R27,DADOS!$T$37:$X$38,2,FALSE),0)),15-11*$X$5)</f>
        <v>0.2354</v>
      </c>
      <c r="AA27" s="1"/>
    </row>
    <row r="28" spans="1:27" x14ac:dyDescent="0.2">
      <c r="A28" t="str">
        <f>CHOOSE(1+LOG(1+2*(J28="Meta")+4*(J28="Nível 2")+8*(J28="Nível 3")+16*(J28="Nível 4")+32*(J28="Serviço"),2),0,1,2,3,4,"S")</f>
        <v>S</v>
      </c>
      <c r="B28">
        <f>IF(OR(A28="S",A28=0),0,IF(ISERROR(I28),H28,SMALL(H28:I28,1)))</f>
        <v>0</v>
      </c>
      <c r="C28">
        <f ca="1">IF($A28=1,OFFSET(C28,-1,0)+1,OFFSET(C28,-1,0))</f>
        <v>1</v>
      </c>
      <c r="D28">
        <f ca="1">IF($A28=1,0,IF($A28=2,OFFSET(D28,-1,0)+1,OFFSET(D28,-1,0)))</f>
        <v>3</v>
      </c>
      <c r="E28">
        <f ca="1">IF(AND($A28&lt;=2,$A28&lt;&gt;0),0,IF($A28=3,OFFSET(E28,-1,0)+1,OFFSET(E28,-1,0)))</f>
        <v>0</v>
      </c>
      <c r="F28">
        <f ca="1">IF(AND($A28&lt;=3,$A28&lt;&gt;0),0,IF($A28=4,OFFSET(F28,-1,0)+1,OFFSET(F28,-1,0)))</f>
        <v>0</v>
      </c>
      <c r="G28">
        <f ca="1">IF(AND($A28&lt;=4,$A28&lt;&gt;0),0,IF($A28="S",OFFSET(G28,-1,0)+1,OFFSET(G28,-1,0)))</f>
        <v>5</v>
      </c>
      <c r="H28">
        <f ca="1">IF(OR($A28="S",$A28=0),0,MATCH(0,OFFSET($B28,1,$A28,ROW($A$202)-ROW($A28)),0))</f>
        <v>0</v>
      </c>
      <c r="I28">
        <f ca="1">IF(OR($A28="S",$A28=0),0,MATCH(OFFSET($B28,0,$A28)+1,OFFSET($B28,1,$A28,ROW($A$202)-ROW($A28)),0))</f>
        <v>0</v>
      </c>
      <c r="J28" s="388" t="s">
        <v>103</v>
      </c>
      <c r="K28" s="138" t="str">
        <f ca="1">IF($A28=0,"-",CONCATENATE(C28&amp;".",IF(AND($A$5&gt;=2,$A28&gt;=2),D28&amp;".",""),IF(AND($A$5&gt;=3,$A28&gt;=3),E28&amp;".",""),IF(AND($A$5&gt;=4,$A28&gt;=4),F28&amp;".",""),IF($A28="S",G28&amp;".","")))</f>
        <v>1.3.0.5.</v>
      </c>
      <c r="L28" s="370" t="s">
        <v>230</v>
      </c>
      <c r="M28" s="382" t="s">
        <v>300</v>
      </c>
      <c r="N28" s="368" t="s">
        <v>413</v>
      </c>
      <c r="O28" s="377" t="s">
        <v>521</v>
      </c>
      <c r="P28" s="363">
        <v>8.65</v>
      </c>
      <c r="Q28" s="195"/>
      <c r="R28" s="198" t="s">
        <v>7</v>
      </c>
      <c r="S28" s="103">
        <f t="shared" ref="S28:S59" si="28">IF($A28="S",IF($Q$10="Preço Unitário (R$)",PO.CustoUnitario,ROUND(PO.CustoUnitario*(1+$Z28),15-13*$X$6)),0)</f>
        <v>0</v>
      </c>
      <c r="T28" s="83">
        <f t="shared" ref="T28:T59" si="29">IF($A28="S",VTOTAL1,IF($A28=0,0,ROUND(SomaAgrup,15-13*$X$7)))</f>
        <v>0</v>
      </c>
      <c r="U28" s="9" t="str">
        <f>IF($J28="","",IF($N28="","DESCRIÇÃO",IF(AND($J28="Serviço",$O28=""),"UNIDADE",IF($T28&lt;=0,"SEM VALOR",IF(AND($Y28&lt;&gt;"",$Q28&gt;$Y28),"ACIMA REF.","")))))</f>
        <v>SEM VALOR</v>
      </c>
      <c r="V28" s="1" t="str">
        <f ca="1">IF(OR($A28=0,$A28="S",$A28&gt;CFF!$A$9),"",MAX(V$12:OFFSET(V28,-1,0))+1)</f>
        <v/>
      </c>
      <c r="W28" s="4" t="str">
        <f>IF(AND($J28="Serviço",$M28&lt;&gt;""),IF($L28="",$M28,CONCATENATE($L28,"-",$M28)))</f>
        <v>SINAPI-97644</v>
      </c>
      <c r="X28" s="1">
        <f t="shared" ref="X28:X59" ca="1" si="30">IF(AND(Fonte&lt;&gt;"",Código&lt;&gt;""),MATCH(Fonte&amp;" "&amp;IF(Fonte="sinapi",SUBSTITUTE(SUBSTITUTE(Código,"/00","/"),"/0","/"),Código),INDIRECT("'[Referência "&amp;_xlnm.Database&amp;".xls]Banco'!$a:$a"),0),"X")</f>
        <v>6891</v>
      </c>
      <c r="Y28" s="103">
        <v>13.43</v>
      </c>
      <c r="Z28" s="113">
        <f ca="1">ROUND(IF(ISNUMBER(R28),R28,IF(LEFT(R28,3)="BDI",HLOOKUP(R28,DADOS!$T$37:$X$38,2,FALSE),0)),15-11*$X$5)</f>
        <v>0.2354</v>
      </c>
      <c r="AA28" s="1"/>
    </row>
    <row r="29" spans="1:27" x14ac:dyDescent="0.2">
      <c r="A29" t="str">
        <f>CHOOSE(1+LOG(1+2*(J29="Meta")+4*(J29="Nível 2")+8*(J29="Nível 3")+16*(J29="Nível 4")+32*(J29="Serviço"),2),0,1,2,3,4,"S")</f>
        <v>S</v>
      </c>
      <c r="B29">
        <f>IF(OR(A29="S",A29=0),0,IF(ISERROR(I29),H29,SMALL(H29:I29,1)))</f>
        <v>0</v>
      </c>
      <c r="C29">
        <f ca="1">IF($A29=1,OFFSET(C29,-1,0)+1,OFFSET(C29,-1,0))</f>
        <v>1</v>
      </c>
      <c r="D29">
        <f ca="1">IF($A29=1,0,IF($A29=2,OFFSET(D29,-1,0)+1,OFFSET(D29,-1,0)))</f>
        <v>3</v>
      </c>
      <c r="E29">
        <f ca="1">IF(AND($A29&lt;=2,$A29&lt;&gt;0),0,IF($A29=3,OFFSET(E29,-1,0)+1,OFFSET(E29,-1,0)))</f>
        <v>0</v>
      </c>
      <c r="F29">
        <f ca="1">IF(AND($A29&lt;=3,$A29&lt;&gt;0),0,IF($A29=4,OFFSET(F29,-1,0)+1,OFFSET(F29,-1,0)))</f>
        <v>0</v>
      </c>
      <c r="G29">
        <f ca="1">IF(AND($A29&lt;=4,$A29&lt;&gt;0),0,IF($A29="S",OFFSET(G29,-1,0)+1,OFFSET(G29,-1,0)))</f>
        <v>6</v>
      </c>
      <c r="H29">
        <f ca="1">IF(OR($A29="S",$A29=0),0,MATCH(0,OFFSET($B29,1,$A29,ROW($A$202)-ROW($A29)),0))</f>
        <v>0</v>
      </c>
      <c r="I29">
        <f ca="1">IF(OR($A29="S",$A29=0),0,MATCH(OFFSET($B29,0,$A29)+1,OFFSET($B29,1,$A29,ROW($A$202)-ROW($A29)),0))</f>
        <v>0</v>
      </c>
      <c r="J29" s="388" t="s">
        <v>103</v>
      </c>
      <c r="K29" s="138" t="str">
        <f ca="1">IF($A29=0,"-",CONCATENATE(C29&amp;".",IF(AND($A$5&gt;=2,$A29&gt;=2),D29&amp;".",""),IF(AND($A$5&gt;=3,$A29&gt;=3),E29&amp;".",""),IF(AND($A$5&gt;=4,$A29&gt;=4),F29&amp;".",""),IF($A29="S",G29&amp;".","")))</f>
        <v>1.3.0.6.</v>
      </c>
      <c r="L29" s="370" t="s">
        <v>230</v>
      </c>
      <c r="M29" s="382" t="s">
        <v>301</v>
      </c>
      <c r="N29" s="368" t="s">
        <v>414</v>
      </c>
      <c r="O29" s="377" t="s">
        <v>521</v>
      </c>
      <c r="P29" s="363">
        <v>1.64</v>
      </c>
      <c r="Q29" s="195"/>
      <c r="R29" s="198" t="s">
        <v>7</v>
      </c>
      <c r="S29" s="103">
        <f t="shared" si="28"/>
        <v>0</v>
      </c>
      <c r="T29" s="83">
        <f t="shared" si="29"/>
        <v>0</v>
      </c>
      <c r="U29" s="9" t="str">
        <f>IF($J29="","",IF($N29="","DESCRIÇÃO",IF(AND($J29="Serviço",$O29=""),"UNIDADE",IF($T29&lt;=0,"SEM VALOR",IF(AND($Y29&lt;&gt;"",$Q29&gt;$Y29),"ACIMA REF.","")))))</f>
        <v>SEM VALOR</v>
      </c>
      <c r="V29" s="1" t="str">
        <f ca="1">IF(OR($A29=0,$A29="S",$A29&gt;CFF!$A$9),"",MAX(V$12:OFFSET(V29,-1,0))+1)</f>
        <v/>
      </c>
      <c r="W29" s="4" t="str">
        <f>IF(AND($J29="Serviço",$M29&lt;&gt;""),IF($L29="",$M29,CONCATENATE($L29,"-",$M29)))</f>
        <v>SINAPI-97645</v>
      </c>
      <c r="X29" s="1">
        <f t="shared" ca="1" si="30"/>
        <v>6883</v>
      </c>
      <c r="Y29" s="103">
        <v>34.69</v>
      </c>
      <c r="Z29" s="113">
        <f ca="1">ROUND(IF(ISNUMBER(R29),R29,IF(LEFT(R29,3)="BDI",HLOOKUP(R29,DADOS!$T$37:$X$38,2,FALSE),0)),15-11*$X$5)</f>
        <v>0.2354</v>
      </c>
      <c r="AA29" s="1"/>
    </row>
    <row r="30" spans="1:27" ht="25.5" x14ac:dyDescent="0.2">
      <c r="A30" t="str">
        <f t="shared" ref="A30:A117" si="31">CHOOSE(1+LOG(1+2*(J30="Meta")+4*(J30="Nível 2")+8*(J30="Nível 3")+16*(J30="Nível 4")+32*(J30="Serviço"),2),0,1,2,3,4,"S")</f>
        <v>S</v>
      </c>
      <c r="B30">
        <f t="shared" ref="B30:B117" si="32">IF(OR(A30="S",A30=0),0,IF(ISERROR(I30),H30,SMALL(H30:I30,1)))</f>
        <v>0</v>
      </c>
      <c r="C30">
        <f t="shared" ref="C30:C117" ca="1" si="33">IF($A30=1,OFFSET(C30,-1,0)+1,OFFSET(C30,-1,0))</f>
        <v>1</v>
      </c>
      <c r="D30">
        <f t="shared" ref="D30:D117" ca="1" si="34">IF($A30=1,0,IF($A30=2,OFFSET(D30,-1,0)+1,OFFSET(D30,-1,0)))</f>
        <v>3</v>
      </c>
      <c r="E30">
        <f t="shared" ref="E30:E117" ca="1" si="35">IF(AND($A30&lt;=2,$A30&lt;&gt;0),0,IF($A30=3,OFFSET(E30,-1,0)+1,OFFSET(E30,-1,0)))</f>
        <v>0</v>
      </c>
      <c r="F30">
        <f t="shared" ref="F30:F117" ca="1" si="36">IF(AND($A30&lt;=3,$A30&lt;&gt;0),0,IF($A30=4,OFFSET(F30,-1,0)+1,OFFSET(F30,-1,0)))</f>
        <v>0</v>
      </c>
      <c r="G30">
        <f t="shared" ref="G30:G117" ca="1" si="37">IF(AND($A30&lt;=4,$A30&lt;&gt;0),0,IF($A30="S",OFFSET(G30,-1,0)+1,OFFSET(G30,-1,0)))</f>
        <v>7</v>
      </c>
      <c r="H30">
        <f ca="1">IF(OR($A30="S",$A30=0),0,MATCH(0,OFFSET($B30,1,$A30,ROW($A$202)-ROW($A30)),0))</f>
        <v>0</v>
      </c>
      <c r="I30">
        <f ca="1">IF(OR($A30="S",$A30=0),0,MATCH(OFFSET($B30,0,$A30)+1,OFFSET($B30,1,$A30,ROW($A$202)-ROW($A30)),0))</f>
        <v>0</v>
      </c>
      <c r="J30" s="388" t="s">
        <v>103</v>
      </c>
      <c r="K30" s="138" t="str">
        <f t="shared" ref="K30:K117" ca="1" si="38">IF($A30=0,"-",CONCATENATE(C30&amp;".",IF(AND($A$5&gt;=2,$A30&gt;=2),D30&amp;".",""),IF(AND($A$5&gt;=3,$A30&gt;=3),E30&amp;".",""),IF(AND($A$5&gt;=4,$A30&gt;=4),F30&amp;".",""),IF($A30="S",G30&amp;".","")))</f>
        <v>1.3.0.7.</v>
      </c>
      <c r="L30" s="370" t="s">
        <v>234</v>
      </c>
      <c r="M30" s="382" t="s">
        <v>302</v>
      </c>
      <c r="N30" s="368" t="s">
        <v>415</v>
      </c>
      <c r="O30" s="377" t="s">
        <v>521</v>
      </c>
      <c r="P30" s="363">
        <v>4.32</v>
      </c>
      <c r="Q30" s="195"/>
      <c r="R30" s="198" t="s">
        <v>7</v>
      </c>
      <c r="S30" s="103">
        <f t="shared" si="28"/>
        <v>0</v>
      </c>
      <c r="T30" s="83">
        <f t="shared" si="29"/>
        <v>0</v>
      </c>
      <c r="U30" s="9" t="str">
        <f t="shared" ref="U30:U117" si="39">IF($J30="","",IF($N30="","DESCRIÇÃO",IF(AND($J30="Serviço",$O30=""),"UNIDADE",IF($T30&lt;=0,"SEM VALOR",IF(AND($Y30&lt;&gt;"",$Q30&gt;$Y30),"ACIMA REF.","")))))</f>
        <v>SEM VALOR</v>
      </c>
      <c r="V30" s="1" t="str">
        <f ca="1">IF(OR($A30=0,$A30="S",$A30&gt;CFF!$A$9),"",MAX(V$12:OFFSET(V30,-1,0))+1)</f>
        <v/>
      </c>
      <c r="W30" s="4" t="str">
        <f t="shared" ref="W30:W117" si="40">IF(AND($J30="Serviço",$M30&lt;&gt;""),IF($L30="",$M30,CONCATENATE($L30,"-",$M30)))</f>
        <v>PM BENTO-100</v>
      </c>
      <c r="X30" s="1">
        <f t="shared" ca="1" si="30"/>
        <v>36</v>
      </c>
      <c r="Y30" s="103">
        <v>75.61</v>
      </c>
      <c r="Z30" s="113">
        <f ca="1">ROUND(IF(ISNUMBER(R30),R30,IF(LEFT(R30,3)="BDI",HLOOKUP(R30,DADOS!$T$37:$X$38,2,FALSE),0)),15-11*$X$5)</f>
        <v>0.2354</v>
      </c>
      <c r="AA30" s="1"/>
    </row>
    <row r="31" spans="1:27" ht="38.25" x14ac:dyDescent="0.2">
      <c r="A31" t="str">
        <f t="shared" si="31"/>
        <v>S</v>
      </c>
      <c r="B31">
        <f t="shared" si="32"/>
        <v>0</v>
      </c>
      <c r="C31">
        <f t="shared" ca="1" si="33"/>
        <v>1</v>
      </c>
      <c r="D31">
        <f t="shared" ca="1" si="34"/>
        <v>3</v>
      </c>
      <c r="E31">
        <f t="shared" ca="1" si="35"/>
        <v>0</v>
      </c>
      <c r="F31">
        <f t="shared" ca="1" si="36"/>
        <v>0</v>
      </c>
      <c r="G31">
        <f t="shared" ca="1" si="37"/>
        <v>8</v>
      </c>
      <c r="H31">
        <f ca="1">IF(OR($A31="S",$A31=0),0,MATCH(0,OFFSET($B31,1,$A31,ROW($A$202)-ROW($A31)),0))</f>
        <v>0</v>
      </c>
      <c r="I31">
        <f ca="1">IF(OR($A31="S",$A31=0),0,MATCH(OFFSET($B31,0,$A31)+1,OFFSET($B31,1,$A31,ROW($A$202)-ROW($A31)),0))</f>
        <v>0</v>
      </c>
      <c r="J31" s="388" t="s">
        <v>103</v>
      </c>
      <c r="K31" s="138" t="str">
        <f t="shared" ca="1" si="38"/>
        <v>1.3.0.8.</v>
      </c>
      <c r="L31" s="370" t="s">
        <v>234</v>
      </c>
      <c r="M31" s="370" t="s">
        <v>303</v>
      </c>
      <c r="N31" s="368" t="s">
        <v>416</v>
      </c>
      <c r="O31" s="377" t="s">
        <v>288</v>
      </c>
      <c r="P31" s="363">
        <v>4.08</v>
      </c>
      <c r="Q31" s="195"/>
      <c r="R31" s="198" t="s">
        <v>7</v>
      </c>
      <c r="S31" s="103">
        <f t="shared" si="28"/>
        <v>0</v>
      </c>
      <c r="T31" s="83">
        <f t="shared" si="29"/>
        <v>0</v>
      </c>
      <c r="U31" s="9" t="str">
        <f t="shared" si="39"/>
        <v>SEM VALOR</v>
      </c>
      <c r="V31" s="1" t="str">
        <f ca="1">IF(OR($A31=0,$A31="S",$A31&gt;CFF!$A$9),"",MAX(V$12:OFFSET(V31,-1,0))+1)</f>
        <v/>
      </c>
      <c r="W31" s="4" t="str">
        <f t="shared" si="40"/>
        <v>PM BENTO-112</v>
      </c>
      <c r="X31" s="1">
        <f t="shared" ca="1" si="30"/>
        <v>50</v>
      </c>
      <c r="Y31" s="103">
        <v>10.75</v>
      </c>
      <c r="Z31" s="113">
        <f ca="1">ROUND(IF(ISNUMBER(R31),R31,IF(LEFT(R31,3)="BDI",HLOOKUP(R31,DADOS!$T$37:$X$38,2,FALSE),0)),15-11*$X$5)</f>
        <v>0.2354</v>
      </c>
      <c r="AA31" s="1"/>
    </row>
    <row r="32" spans="1:27" ht="25.5" x14ac:dyDescent="0.2">
      <c r="A32" t="str">
        <f t="shared" si="31"/>
        <v>S</v>
      </c>
      <c r="B32">
        <f t="shared" si="32"/>
        <v>0</v>
      </c>
      <c r="C32">
        <f t="shared" ca="1" si="33"/>
        <v>1</v>
      </c>
      <c r="D32">
        <f t="shared" ca="1" si="34"/>
        <v>3</v>
      </c>
      <c r="E32">
        <f t="shared" ca="1" si="35"/>
        <v>0</v>
      </c>
      <c r="F32">
        <f t="shared" ca="1" si="36"/>
        <v>0</v>
      </c>
      <c r="G32">
        <f t="shared" ca="1" si="37"/>
        <v>9</v>
      </c>
      <c r="H32">
        <f ca="1">IF(OR($A32="S",$A32=0),0,MATCH(0,OFFSET($B32,1,$A32,ROW($A$202)-ROW($A32)),0))</f>
        <v>0</v>
      </c>
      <c r="I32">
        <f ca="1">IF(OR($A32="S",$A32=0),0,MATCH(OFFSET($B32,0,$A32)+1,OFFSET($B32,1,$A32,ROW($A$202)-ROW($A32)),0))</f>
        <v>0</v>
      </c>
      <c r="J32" s="388" t="s">
        <v>103</v>
      </c>
      <c r="K32" s="138" t="str">
        <f t="shared" ca="1" si="38"/>
        <v>1.3.0.9.</v>
      </c>
      <c r="L32" s="370" t="s">
        <v>234</v>
      </c>
      <c r="M32" s="382" t="s">
        <v>304</v>
      </c>
      <c r="N32" s="368" t="s">
        <v>417</v>
      </c>
      <c r="O32" s="377" t="s">
        <v>523</v>
      </c>
      <c r="P32" s="363">
        <v>2</v>
      </c>
      <c r="Q32" s="195"/>
      <c r="R32" s="198" t="s">
        <v>7</v>
      </c>
      <c r="S32" s="103">
        <f t="shared" si="28"/>
        <v>0</v>
      </c>
      <c r="T32" s="83">
        <f t="shared" si="29"/>
        <v>0</v>
      </c>
      <c r="U32" s="9" t="str">
        <f t="shared" si="39"/>
        <v>SEM VALOR</v>
      </c>
      <c r="V32" s="1" t="str">
        <f ca="1">IF(OR($A32=0,$A32="S",$A32&gt;CFF!$A$9),"",MAX(V$12:OFFSET(V32,-1,0))+1)</f>
        <v/>
      </c>
      <c r="W32" s="4" t="str">
        <f t="shared" si="40"/>
        <v>PM BENTO-115</v>
      </c>
      <c r="X32" s="1">
        <f t="shared" ca="1" si="30"/>
        <v>53</v>
      </c>
      <c r="Y32" s="103">
        <v>66.77</v>
      </c>
      <c r="Z32" s="113">
        <f ca="1">ROUND(IF(ISNUMBER(R32),R32,IF(LEFT(R32,3)="BDI",HLOOKUP(R32,DADOS!$T$37:$X$38,2,FALSE),0)),15-11*$X$5)</f>
        <v>0.2354</v>
      </c>
      <c r="AA32" s="1"/>
    </row>
    <row r="33" spans="1:27" x14ac:dyDescent="0.2">
      <c r="A33">
        <f t="shared" si="31"/>
        <v>2</v>
      </c>
      <c r="B33">
        <f t="shared" ca="1" si="32"/>
        <v>4</v>
      </c>
      <c r="C33">
        <f t="shared" ca="1" si="33"/>
        <v>1</v>
      </c>
      <c r="D33">
        <f t="shared" ca="1" si="34"/>
        <v>4</v>
      </c>
      <c r="E33">
        <f t="shared" ca="1" si="35"/>
        <v>0</v>
      </c>
      <c r="F33">
        <f t="shared" ca="1" si="36"/>
        <v>0</v>
      </c>
      <c r="G33">
        <f t="shared" ca="1" si="37"/>
        <v>0</v>
      </c>
      <c r="H33">
        <f ca="1">IF(OR($A33="S",$A33=0),0,MATCH(0,OFFSET($B33,1,$A33,ROW($A$202)-ROW($A33)),0))</f>
        <v>169</v>
      </c>
      <c r="I33">
        <f ca="1">IF(OR($A33="S",$A33=0),0,MATCH(OFFSET($B33,0,$A33)+1,OFFSET($B33,1,$A33,ROW($A$202)-ROW($A33)),0))</f>
        <v>4</v>
      </c>
      <c r="J33" s="388" t="s">
        <v>100</v>
      </c>
      <c r="K33" s="138" t="str">
        <f t="shared" ca="1" si="38"/>
        <v>1.4.</v>
      </c>
      <c r="L33" s="370" t="s">
        <v>230</v>
      </c>
      <c r="M33" s="382"/>
      <c r="N33" s="358" t="s">
        <v>366</v>
      </c>
      <c r="O33" s="377" t="s">
        <v>106</v>
      </c>
      <c r="P33" s="363" t="s">
        <v>363</v>
      </c>
      <c r="Q33" s="195"/>
      <c r="R33" s="198" t="s">
        <v>7</v>
      </c>
      <c r="S33" s="103">
        <f t="shared" si="28"/>
        <v>0</v>
      </c>
      <c r="T33" s="83">
        <f t="shared" ca="1" si="29"/>
        <v>0</v>
      </c>
      <c r="U33" s="9" t="str">
        <f t="shared" ca="1" si="39"/>
        <v>SEM VALOR</v>
      </c>
      <c r="V33" s="1">
        <f ca="1">IF(OR($A33=0,$A33="S",$A33&gt;CFF!$A$9),"",MAX(V$12:OFFSET(V33,-1,0))+1)</f>
        <v>5</v>
      </c>
      <c r="W33" s="4" t="b">
        <f t="shared" si="40"/>
        <v>0</v>
      </c>
      <c r="X33" s="1" t="str">
        <f t="shared" ca="1" si="30"/>
        <v>X</v>
      </c>
      <c r="Y33" s="103">
        <v>0</v>
      </c>
      <c r="Z33" s="113">
        <f ca="1">ROUND(IF(ISNUMBER(R33),R33,IF(LEFT(R33,3)="BDI",HLOOKUP(R33,DADOS!$T$37:$X$38,2,FALSE),0)),15-11*$X$5)</f>
        <v>0.2354</v>
      </c>
      <c r="AA33" s="1"/>
    </row>
    <row r="34" spans="1:27" ht="25.5" x14ac:dyDescent="0.2">
      <c r="A34" t="str">
        <f t="shared" si="31"/>
        <v>S</v>
      </c>
      <c r="B34">
        <f t="shared" si="32"/>
        <v>0</v>
      </c>
      <c r="C34">
        <f t="shared" ca="1" si="33"/>
        <v>1</v>
      </c>
      <c r="D34">
        <f t="shared" ca="1" si="34"/>
        <v>4</v>
      </c>
      <c r="E34">
        <f t="shared" ca="1" si="35"/>
        <v>0</v>
      </c>
      <c r="F34">
        <f t="shared" ca="1" si="36"/>
        <v>0</v>
      </c>
      <c r="G34">
        <f t="shared" ca="1" si="37"/>
        <v>1</v>
      </c>
      <c r="H34">
        <f ca="1">IF(OR($A34="S",$A34=0),0,MATCH(0,OFFSET($B34,1,$A34,ROW($A$202)-ROW($A34)),0))</f>
        <v>0</v>
      </c>
      <c r="I34">
        <f ca="1">IF(OR($A34="S",$A34=0),0,MATCH(OFFSET($B34,0,$A34)+1,OFFSET($B34,1,$A34,ROW($A$202)-ROW($A34)),0))</f>
        <v>0</v>
      </c>
      <c r="J34" s="388" t="s">
        <v>103</v>
      </c>
      <c r="K34" s="138" t="str">
        <f t="shared" ca="1" si="38"/>
        <v>1.4.0.1.</v>
      </c>
      <c r="L34" s="370" t="s">
        <v>230</v>
      </c>
      <c r="M34" s="370" t="s">
        <v>263</v>
      </c>
      <c r="N34" s="368" t="s">
        <v>418</v>
      </c>
      <c r="O34" s="377" t="s">
        <v>521</v>
      </c>
      <c r="P34" s="363">
        <v>6.04</v>
      </c>
      <c r="Q34" s="195"/>
      <c r="R34" s="198" t="s">
        <v>7</v>
      </c>
      <c r="S34" s="103">
        <f t="shared" si="28"/>
        <v>0</v>
      </c>
      <c r="T34" s="83">
        <f t="shared" si="29"/>
        <v>0</v>
      </c>
      <c r="U34" s="9" t="str">
        <f t="shared" si="39"/>
        <v>SEM VALOR</v>
      </c>
      <c r="V34" s="1" t="str">
        <f ca="1">IF(OR($A34=0,$A34="S",$A34&gt;CFF!$A$9),"",MAX(V$12:OFFSET(V34,-1,0))+1)</f>
        <v/>
      </c>
      <c r="W34" s="4" t="str">
        <f t="shared" si="40"/>
        <v>SINAPI-103358</v>
      </c>
      <c r="X34" s="1">
        <f t="shared" ca="1" si="30"/>
        <v>4977</v>
      </c>
      <c r="Y34" s="103">
        <v>92.89</v>
      </c>
      <c r="Z34" s="113">
        <f ca="1">ROUND(IF(ISNUMBER(R34),R34,IF(LEFT(R34,3)="BDI",HLOOKUP(R34,DADOS!$T$37:$X$38,2,FALSE),0)),15-11*$X$5)</f>
        <v>0.2354</v>
      </c>
      <c r="AA34" s="1"/>
    </row>
    <row r="35" spans="1:27" ht="25.5" x14ac:dyDescent="0.2">
      <c r="A35" t="str">
        <f t="shared" si="31"/>
        <v>S</v>
      </c>
      <c r="B35">
        <f t="shared" si="32"/>
        <v>0</v>
      </c>
      <c r="C35">
        <f t="shared" ca="1" si="33"/>
        <v>1</v>
      </c>
      <c r="D35">
        <f t="shared" ca="1" si="34"/>
        <v>4</v>
      </c>
      <c r="E35">
        <f t="shared" ca="1" si="35"/>
        <v>0</v>
      </c>
      <c r="F35">
        <f t="shared" ca="1" si="36"/>
        <v>0</v>
      </c>
      <c r="G35">
        <f t="shared" ca="1" si="37"/>
        <v>2</v>
      </c>
      <c r="H35">
        <f ca="1">IF(OR($A35="S",$A35=0),0,MATCH(0,OFFSET($B35,1,$A35,ROW($A$202)-ROW($A35)),0))</f>
        <v>0</v>
      </c>
      <c r="I35">
        <f ca="1">IF(OR($A35="S",$A35=0),0,MATCH(OFFSET($B35,0,$A35)+1,OFFSET($B35,1,$A35,ROW($A$202)-ROW($A35)),0))</f>
        <v>0</v>
      </c>
      <c r="J35" s="388" t="s">
        <v>103</v>
      </c>
      <c r="K35" s="138" t="str">
        <f t="shared" ca="1" si="38"/>
        <v>1.4.0.2.</v>
      </c>
      <c r="L35" s="370" t="s">
        <v>230</v>
      </c>
      <c r="M35" s="382" t="s">
        <v>266</v>
      </c>
      <c r="N35" s="368" t="s">
        <v>419</v>
      </c>
      <c r="O35" s="377" t="s">
        <v>521</v>
      </c>
      <c r="P35" s="363">
        <v>11.57</v>
      </c>
      <c r="Q35" s="195"/>
      <c r="R35" s="198" t="s">
        <v>7</v>
      </c>
      <c r="S35" s="103">
        <f t="shared" si="28"/>
        <v>0</v>
      </c>
      <c r="T35" s="83">
        <f t="shared" si="29"/>
        <v>0</v>
      </c>
      <c r="U35" s="9" t="str">
        <f t="shared" si="39"/>
        <v>SEM VALOR</v>
      </c>
      <c r="V35" s="1" t="str">
        <f ca="1">IF(OR($A35=0,$A35="S",$A35&gt;CFF!$A$9),"",MAX(V$12:OFFSET(V35,-1,0))+1)</f>
        <v/>
      </c>
      <c r="W35" s="4" t="str">
        <f t="shared" si="40"/>
        <v>SINAPI-87879</v>
      </c>
      <c r="X35" s="1">
        <f t="shared" ca="1" si="30"/>
        <v>6247</v>
      </c>
      <c r="Y35" s="103">
        <v>6.23</v>
      </c>
      <c r="Z35" s="113">
        <f ca="1">ROUND(IF(ISNUMBER(R35),R35,IF(LEFT(R35,3)="BDI",HLOOKUP(R35,DADOS!$T$37:$X$38,2,FALSE),0)),15-11*$X$5)</f>
        <v>0.2354</v>
      </c>
      <c r="AA35" s="1"/>
    </row>
    <row r="36" spans="1:27" ht="25.5" x14ac:dyDescent="0.2">
      <c r="A36" t="str">
        <f t="shared" si="31"/>
        <v>S</v>
      </c>
      <c r="B36">
        <f t="shared" si="32"/>
        <v>0</v>
      </c>
      <c r="C36">
        <f t="shared" ca="1" si="33"/>
        <v>1</v>
      </c>
      <c r="D36">
        <f t="shared" ca="1" si="34"/>
        <v>4</v>
      </c>
      <c r="E36">
        <f t="shared" ca="1" si="35"/>
        <v>0</v>
      </c>
      <c r="F36">
        <f t="shared" ca="1" si="36"/>
        <v>0</v>
      </c>
      <c r="G36">
        <f t="shared" ca="1" si="37"/>
        <v>3</v>
      </c>
      <c r="H36">
        <f ca="1">IF(OR($A36="S",$A36=0),0,MATCH(0,OFFSET($B36,1,$A36,ROW($A$202)-ROW($A36)),0))</f>
        <v>0</v>
      </c>
      <c r="I36">
        <f ca="1">IF(OR($A36="S",$A36=0),0,MATCH(OFFSET($B36,0,$A36)+1,OFFSET($B36,1,$A36,ROW($A$202)-ROW($A36)),0))</f>
        <v>0</v>
      </c>
      <c r="J36" s="388" t="s">
        <v>103</v>
      </c>
      <c r="K36" s="138" t="str">
        <f t="shared" ca="1" si="38"/>
        <v>1.4.0.3.</v>
      </c>
      <c r="L36" s="370" t="s">
        <v>230</v>
      </c>
      <c r="M36" s="382" t="s">
        <v>267</v>
      </c>
      <c r="N36" s="368" t="s">
        <v>420</v>
      </c>
      <c r="O36" s="377" t="s">
        <v>521</v>
      </c>
      <c r="P36" s="363">
        <v>11.57</v>
      </c>
      <c r="Q36" s="195"/>
      <c r="R36" s="198" t="s">
        <v>7</v>
      </c>
      <c r="S36" s="103">
        <f t="shared" si="28"/>
        <v>0</v>
      </c>
      <c r="T36" s="83">
        <f t="shared" si="29"/>
        <v>0</v>
      </c>
      <c r="U36" s="9" t="str">
        <f t="shared" si="39"/>
        <v>SEM VALOR</v>
      </c>
      <c r="V36" s="1" t="str">
        <f ca="1">IF(OR($A36=0,$A36="S",$A36&gt;CFF!$A$9),"",MAX(V$12:OFFSET(V36,-1,0))+1)</f>
        <v/>
      </c>
      <c r="W36" s="4" t="str">
        <f t="shared" si="40"/>
        <v>SINAPI-87527</v>
      </c>
      <c r="X36" s="1">
        <f t="shared" ca="1" si="30"/>
        <v>12739</v>
      </c>
      <c r="Y36" s="103">
        <v>52.53</v>
      </c>
      <c r="Z36" s="113">
        <f ca="1">ROUND(IF(ISNUMBER(R36),R36,IF(LEFT(R36,3)="BDI",HLOOKUP(R36,DADOS!$T$37:$X$38,2,FALSE),0)),15-11*$X$5)</f>
        <v>0.2354</v>
      </c>
      <c r="AA36" s="1"/>
    </row>
    <row r="37" spans="1:27" x14ac:dyDescent="0.2">
      <c r="A37">
        <f t="shared" si="31"/>
        <v>2</v>
      </c>
      <c r="B37">
        <f t="shared" ca="1" si="32"/>
        <v>9</v>
      </c>
      <c r="C37">
        <f t="shared" ca="1" si="33"/>
        <v>1</v>
      </c>
      <c r="D37">
        <f t="shared" ca="1" si="34"/>
        <v>5</v>
      </c>
      <c r="E37">
        <f t="shared" ca="1" si="35"/>
        <v>0</v>
      </c>
      <c r="F37">
        <f t="shared" ca="1" si="36"/>
        <v>0</v>
      </c>
      <c r="G37">
        <f t="shared" ca="1" si="37"/>
        <v>0</v>
      </c>
      <c r="H37">
        <f ca="1">IF(OR($A37="S",$A37=0),0,MATCH(0,OFFSET($B37,1,$A37,ROW($A$202)-ROW($A37)),0))</f>
        <v>165</v>
      </c>
      <c r="I37">
        <f ca="1">IF(OR($A37="S",$A37=0),0,MATCH(OFFSET($B37,0,$A37)+1,OFFSET($B37,1,$A37,ROW($A$202)-ROW($A37)),0))</f>
        <v>9</v>
      </c>
      <c r="J37" s="388" t="s">
        <v>100</v>
      </c>
      <c r="K37" s="138" t="str">
        <f t="shared" ca="1" si="38"/>
        <v>1.5.</v>
      </c>
      <c r="L37" s="370" t="s">
        <v>234</v>
      </c>
      <c r="M37" s="382"/>
      <c r="N37" s="395" t="s">
        <v>367</v>
      </c>
      <c r="O37" s="377" t="s">
        <v>106</v>
      </c>
      <c r="P37" s="363" t="s">
        <v>363</v>
      </c>
      <c r="Q37" s="195"/>
      <c r="R37" s="198" t="s">
        <v>7</v>
      </c>
      <c r="S37" s="103">
        <f t="shared" si="28"/>
        <v>0</v>
      </c>
      <c r="T37" s="83">
        <f t="shared" ca="1" si="29"/>
        <v>0</v>
      </c>
      <c r="U37" s="9" t="str">
        <f t="shared" ca="1" si="39"/>
        <v>SEM VALOR</v>
      </c>
      <c r="V37" s="1">
        <f ca="1">IF(OR($A37=0,$A37="S",$A37&gt;CFF!$A$9),"",MAX(V$12:OFFSET(V37,-1,0))+1)</f>
        <v>6</v>
      </c>
      <c r="W37" s="4" t="b">
        <f t="shared" si="40"/>
        <v>0</v>
      </c>
      <c r="X37" s="1" t="str">
        <f t="shared" ca="1" si="30"/>
        <v>X</v>
      </c>
      <c r="Y37" s="103">
        <v>0</v>
      </c>
      <c r="Z37" s="113">
        <f ca="1">ROUND(IF(ISNUMBER(R37),R37,IF(LEFT(R37,3)="BDI",HLOOKUP(R37,DADOS!$T$37:$X$38,2,FALSE),0)),15-11*$X$5)</f>
        <v>0.2354</v>
      </c>
      <c r="AA37" s="1"/>
    </row>
    <row r="38" spans="1:27" x14ac:dyDescent="0.2">
      <c r="A38">
        <f t="shared" si="31"/>
        <v>3</v>
      </c>
      <c r="B38">
        <f t="shared" ca="1" si="32"/>
        <v>4</v>
      </c>
      <c r="C38">
        <f t="shared" ca="1" si="33"/>
        <v>1</v>
      </c>
      <c r="D38">
        <f t="shared" ca="1" si="34"/>
        <v>5</v>
      </c>
      <c r="E38">
        <f t="shared" ca="1" si="35"/>
        <v>1</v>
      </c>
      <c r="F38">
        <f t="shared" ca="1" si="36"/>
        <v>0</v>
      </c>
      <c r="G38">
        <f t="shared" ca="1" si="37"/>
        <v>0</v>
      </c>
      <c r="H38">
        <f ca="1">IF(OR($A38="S",$A38=0),0,MATCH(0,OFFSET($B38,1,$A38,ROW($A$202)-ROW($A38)),0))</f>
        <v>8</v>
      </c>
      <c r="I38">
        <f ca="1">IF(OR($A38="S",$A38=0),0,MATCH(OFFSET($B38,0,$A38)+1,OFFSET($B38,1,$A38,ROW($A$202)-ROW($A38)),0))</f>
        <v>4</v>
      </c>
      <c r="J38" s="388" t="s">
        <v>101</v>
      </c>
      <c r="K38" s="138" t="str">
        <f t="shared" ca="1" si="38"/>
        <v>1.5.1.</v>
      </c>
      <c r="L38" s="370" t="s">
        <v>230</v>
      </c>
      <c r="M38" s="382"/>
      <c r="N38" s="395" t="s">
        <v>368</v>
      </c>
      <c r="O38" s="377" t="s">
        <v>106</v>
      </c>
      <c r="P38" s="363" t="s">
        <v>363</v>
      </c>
      <c r="Q38" s="195"/>
      <c r="R38" s="198" t="s">
        <v>7</v>
      </c>
      <c r="S38" s="103">
        <f t="shared" si="28"/>
        <v>0</v>
      </c>
      <c r="T38" s="83">
        <f t="shared" ca="1" si="29"/>
        <v>0</v>
      </c>
      <c r="U38" s="9" t="str">
        <f t="shared" ca="1" si="39"/>
        <v>SEM VALOR</v>
      </c>
      <c r="V38" s="1" t="str">
        <f ca="1">IF(OR($A38=0,$A38="S",$A38&gt;CFF!$A$9),"",MAX(V$12:OFFSET(V38,-1,0))+1)</f>
        <v/>
      </c>
      <c r="W38" s="4" t="b">
        <f t="shared" si="40"/>
        <v>0</v>
      </c>
      <c r="X38" s="1" t="str">
        <f t="shared" ca="1" si="30"/>
        <v>X</v>
      </c>
      <c r="Y38" s="103">
        <v>0</v>
      </c>
      <c r="Z38" s="113">
        <f ca="1">ROUND(IF(ISNUMBER(R38),R38,IF(LEFT(R38,3)="BDI",HLOOKUP(R38,DADOS!$T$37:$X$38,2,FALSE),0)),15-11*$X$5)</f>
        <v>0.2354</v>
      </c>
      <c r="AA38" s="1"/>
    </row>
    <row r="39" spans="1:27" ht="25.5" x14ac:dyDescent="0.2">
      <c r="A39" t="str">
        <f t="shared" si="31"/>
        <v>S</v>
      </c>
      <c r="B39">
        <f t="shared" si="32"/>
        <v>0</v>
      </c>
      <c r="C39">
        <f t="shared" ca="1" si="33"/>
        <v>1</v>
      </c>
      <c r="D39">
        <f t="shared" ca="1" si="34"/>
        <v>5</v>
      </c>
      <c r="E39">
        <f t="shared" ca="1" si="35"/>
        <v>1</v>
      </c>
      <c r="F39">
        <f t="shared" ca="1" si="36"/>
        <v>0</v>
      </c>
      <c r="G39">
        <f t="shared" ca="1" si="37"/>
        <v>1</v>
      </c>
      <c r="H39">
        <f ca="1">IF(OR($A39="S",$A39=0),0,MATCH(0,OFFSET($B39,1,$A39,ROW($A$202)-ROW($A39)),0))</f>
        <v>0</v>
      </c>
      <c r="I39">
        <f ca="1">IF(OR($A39="S",$A39=0),0,MATCH(OFFSET($B39,0,$A39)+1,OFFSET($B39,1,$A39,ROW($A$202)-ROW($A39)),0))</f>
        <v>0</v>
      </c>
      <c r="J39" s="388" t="s">
        <v>103</v>
      </c>
      <c r="K39" s="138" t="str">
        <f t="shared" ca="1" si="38"/>
        <v>1.5.1.1.</v>
      </c>
      <c r="L39" s="370" t="s">
        <v>230</v>
      </c>
      <c r="M39" s="382" t="s">
        <v>268</v>
      </c>
      <c r="N39" s="368" t="s">
        <v>421</v>
      </c>
      <c r="O39" s="377" t="s">
        <v>521</v>
      </c>
      <c r="P39" s="363">
        <v>54.81</v>
      </c>
      <c r="Q39" s="195"/>
      <c r="R39" s="198" t="s">
        <v>7</v>
      </c>
      <c r="S39" s="103">
        <f t="shared" si="28"/>
        <v>0</v>
      </c>
      <c r="T39" s="83">
        <f t="shared" si="29"/>
        <v>0</v>
      </c>
      <c r="U39" s="9" t="str">
        <f t="shared" si="39"/>
        <v>SEM VALOR</v>
      </c>
      <c r="V39" s="1" t="str">
        <f ca="1">IF(OR($A39=0,$A39="S",$A39&gt;CFF!$A$9),"",MAX(V$12:OFFSET(V39,-1,0))+1)</f>
        <v/>
      </c>
      <c r="W39" s="4" t="str">
        <f t="shared" si="40"/>
        <v>SINAPI-87273</v>
      </c>
      <c r="X39" s="1">
        <f t="shared" ca="1" si="30"/>
        <v>14292</v>
      </c>
      <c r="Y39" s="103">
        <v>86.76</v>
      </c>
      <c r="Z39" s="113">
        <f ca="1">ROUND(IF(ISNUMBER(R39),R39,IF(LEFT(R39,3)="BDI",HLOOKUP(R39,DADOS!$T$37:$X$38,2,FALSE),0)),15-11*$X$5)</f>
        <v>0.2354</v>
      </c>
      <c r="AA39" s="1"/>
    </row>
    <row r="40" spans="1:27" ht="25.5" x14ac:dyDescent="0.2">
      <c r="A40" t="str">
        <f t="shared" si="31"/>
        <v>S</v>
      </c>
      <c r="B40">
        <f t="shared" si="32"/>
        <v>0</v>
      </c>
      <c r="C40">
        <f t="shared" ca="1" si="33"/>
        <v>1</v>
      </c>
      <c r="D40">
        <f t="shared" ca="1" si="34"/>
        <v>5</v>
      </c>
      <c r="E40">
        <f t="shared" ca="1" si="35"/>
        <v>1</v>
      </c>
      <c r="F40">
        <f t="shared" ca="1" si="36"/>
        <v>0</v>
      </c>
      <c r="G40">
        <f t="shared" ca="1" si="37"/>
        <v>2</v>
      </c>
      <c r="H40">
        <f ca="1">IF(OR($A40="S",$A40=0),0,MATCH(0,OFFSET($B40,1,$A40,ROW($A$202)-ROW($A40)),0))</f>
        <v>0</v>
      </c>
      <c r="I40">
        <f ca="1">IF(OR($A40="S",$A40=0),0,MATCH(OFFSET($B40,0,$A40)+1,OFFSET($B40,1,$A40,ROW($A$202)-ROW($A40)),0))</f>
        <v>0</v>
      </c>
      <c r="J40" s="388" t="s">
        <v>103</v>
      </c>
      <c r="K40" s="138" t="str">
        <f t="shared" ca="1" si="38"/>
        <v>1.5.1.2.</v>
      </c>
      <c r="L40" s="370" t="s">
        <v>230</v>
      </c>
      <c r="M40" s="382" t="s">
        <v>305</v>
      </c>
      <c r="N40" s="368" t="s">
        <v>422</v>
      </c>
      <c r="O40" s="377" t="s">
        <v>521</v>
      </c>
      <c r="P40" s="363">
        <v>13.09</v>
      </c>
      <c r="Q40" s="195"/>
      <c r="R40" s="198" t="s">
        <v>7</v>
      </c>
      <c r="S40" s="103">
        <f t="shared" si="28"/>
        <v>0</v>
      </c>
      <c r="T40" s="83">
        <f t="shared" si="29"/>
        <v>0</v>
      </c>
      <c r="U40" s="9" t="str">
        <f t="shared" si="39"/>
        <v>SEM VALOR</v>
      </c>
      <c r="V40" s="1" t="str">
        <f ca="1">IF(OR($A40=0,$A40="S",$A40&gt;CFF!$A$9),"",MAX(V$12:OFFSET(V40,-1,0))+1)</f>
        <v/>
      </c>
      <c r="W40" s="4" t="str">
        <f t="shared" si="40"/>
        <v>SINAPI-87275</v>
      </c>
      <c r="X40" s="1">
        <f t="shared" ca="1" si="30"/>
        <v>14291</v>
      </c>
      <c r="Y40" s="103">
        <v>95.94</v>
      </c>
      <c r="Z40" s="113">
        <f ca="1">ROUND(IF(ISNUMBER(R40),R40,IF(LEFT(R40,3)="BDI",HLOOKUP(R40,DADOS!$T$37:$X$38,2,FALSE),0)),15-11*$X$5)</f>
        <v>0.2354</v>
      </c>
      <c r="AA40" s="1"/>
    </row>
    <row r="41" spans="1:27" ht="25.5" x14ac:dyDescent="0.2">
      <c r="A41" t="str">
        <f t="shared" si="31"/>
        <v>S</v>
      </c>
      <c r="B41">
        <f t="shared" si="32"/>
        <v>0</v>
      </c>
      <c r="C41">
        <f t="shared" ca="1" si="33"/>
        <v>1</v>
      </c>
      <c r="D41">
        <f t="shared" ca="1" si="34"/>
        <v>5</v>
      </c>
      <c r="E41">
        <f t="shared" ca="1" si="35"/>
        <v>1</v>
      </c>
      <c r="F41">
        <f t="shared" ca="1" si="36"/>
        <v>0</v>
      </c>
      <c r="G41">
        <f t="shared" ca="1" si="37"/>
        <v>3</v>
      </c>
      <c r="H41">
        <f ca="1">IF(OR($A41="S",$A41=0),0,MATCH(0,OFFSET($B41,1,$A41,ROW($A$202)-ROW($A41)),0))</f>
        <v>0</v>
      </c>
      <c r="I41">
        <f ca="1">IF(OR($A41="S",$A41=0),0,MATCH(OFFSET($B41,0,$A41)+1,OFFSET($B41,1,$A41,ROW($A$202)-ROW($A41)),0))</f>
        <v>0</v>
      </c>
      <c r="J41" s="388" t="s">
        <v>103</v>
      </c>
      <c r="K41" s="138" t="str">
        <f t="shared" ca="1" si="38"/>
        <v>1.5.1.3.</v>
      </c>
      <c r="L41" s="370" t="s">
        <v>230</v>
      </c>
      <c r="M41" s="382" t="s">
        <v>306</v>
      </c>
      <c r="N41" s="368" t="s">
        <v>423</v>
      </c>
      <c r="O41" s="377" t="s">
        <v>521</v>
      </c>
      <c r="P41" s="363">
        <v>9.1199999999999992</v>
      </c>
      <c r="Q41" s="195"/>
      <c r="R41" s="198" t="s">
        <v>7</v>
      </c>
      <c r="S41" s="103">
        <f t="shared" si="28"/>
        <v>0</v>
      </c>
      <c r="T41" s="83">
        <f t="shared" si="29"/>
        <v>0</v>
      </c>
      <c r="U41" s="9" t="str">
        <f t="shared" si="39"/>
        <v>SEM VALOR</v>
      </c>
      <c r="V41" s="1" t="str">
        <f ca="1">IF(OR($A41=0,$A41="S",$A41&gt;CFF!$A$9),"",MAX(V$12:OFFSET(V41,-1,0))+1)</f>
        <v/>
      </c>
      <c r="W41" s="4" t="str">
        <f t="shared" si="40"/>
        <v>SINAPI-87261</v>
      </c>
      <c r="X41" s="1">
        <f t="shared" ca="1" si="30"/>
        <v>14319</v>
      </c>
      <c r="Y41" s="103">
        <v>178.22</v>
      </c>
      <c r="Z41" s="113">
        <f ca="1">ROUND(IF(ISNUMBER(R41),R41,IF(LEFT(R41,3)="BDI",HLOOKUP(R41,DADOS!$T$37:$X$38,2,FALSE),0)),15-11*$X$5)</f>
        <v>0.2354</v>
      </c>
      <c r="AA41" s="1"/>
    </row>
    <row r="42" spans="1:27" x14ac:dyDescent="0.2">
      <c r="A42">
        <f t="shared" si="31"/>
        <v>3</v>
      </c>
      <c r="B42">
        <f t="shared" ca="1" si="32"/>
        <v>4</v>
      </c>
      <c r="C42">
        <f t="shared" ca="1" si="33"/>
        <v>1</v>
      </c>
      <c r="D42">
        <f t="shared" ca="1" si="34"/>
        <v>5</v>
      </c>
      <c r="E42">
        <f t="shared" ca="1" si="35"/>
        <v>2</v>
      </c>
      <c r="F42">
        <f t="shared" ca="1" si="36"/>
        <v>0</v>
      </c>
      <c r="G42">
        <f t="shared" ca="1" si="37"/>
        <v>0</v>
      </c>
      <c r="H42">
        <f ca="1">IF(OR($A42="S",$A42=0),0,MATCH(0,OFFSET($B42,1,$A42,ROW($A$202)-ROW($A42)),0))</f>
        <v>4</v>
      </c>
      <c r="I42">
        <f ca="1">IF(OR($A42="S",$A42=0),0,MATCH(OFFSET($B42,0,$A42)+1,OFFSET($B42,1,$A42,ROW($A$202)-ROW($A42)),0))</f>
        <v>58</v>
      </c>
      <c r="J42" s="388" t="s">
        <v>101</v>
      </c>
      <c r="K42" s="138" t="str">
        <f t="shared" ca="1" si="38"/>
        <v>1.5.2.</v>
      </c>
      <c r="L42" s="370" t="s">
        <v>230</v>
      </c>
      <c r="M42" s="382"/>
      <c r="N42" s="383" t="s">
        <v>369</v>
      </c>
      <c r="O42" s="377" t="s">
        <v>106</v>
      </c>
      <c r="P42" s="363" t="s">
        <v>363</v>
      </c>
      <c r="Q42" s="195"/>
      <c r="R42" s="198" t="s">
        <v>7</v>
      </c>
      <c r="S42" s="103">
        <f t="shared" si="28"/>
        <v>0</v>
      </c>
      <c r="T42" s="83">
        <f t="shared" ca="1" si="29"/>
        <v>0</v>
      </c>
      <c r="U42" s="9" t="str">
        <f t="shared" ca="1" si="39"/>
        <v>SEM VALOR</v>
      </c>
      <c r="V42" s="1" t="str">
        <f ca="1">IF(OR($A42=0,$A42="S",$A42&gt;CFF!$A$9),"",MAX(V$12:OFFSET(V42,-1,0))+1)</f>
        <v/>
      </c>
      <c r="W42" s="4" t="b">
        <f t="shared" si="40"/>
        <v>0</v>
      </c>
      <c r="X42" s="1" t="str">
        <f t="shared" ca="1" si="30"/>
        <v>X</v>
      </c>
      <c r="Y42" s="103">
        <v>0</v>
      </c>
      <c r="Z42" s="113">
        <f ca="1">ROUND(IF(ISNUMBER(R42),R42,IF(LEFT(R42,3)="BDI",HLOOKUP(R42,DADOS!$T$37:$X$38,2,FALSE),0)),15-11*$X$5)</f>
        <v>0.2354</v>
      </c>
      <c r="AA42" s="1"/>
    </row>
    <row r="43" spans="1:27" ht="25.5" x14ac:dyDescent="0.2">
      <c r="A43" t="str">
        <f t="shared" si="31"/>
        <v>S</v>
      </c>
      <c r="B43">
        <f t="shared" si="32"/>
        <v>0</v>
      </c>
      <c r="C43">
        <f t="shared" ca="1" si="33"/>
        <v>1</v>
      </c>
      <c r="D43">
        <f t="shared" ca="1" si="34"/>
        <v>5</v>
      </c>
      <c r="E43">
        <f t="shared" ca="1" si="35"/>
        <v>2</v>
      </c>
      <c r="F43">
        <f t="shared" ca="1" si="36"/>
        <v>0</v>
      </c>
      <c r="G43">
        <f t="shared" ca="1" si="37"/>
        <v>1</v>
      </c>
      <c r="H43">
        <f ca="1">IF(OR($A43="S",$A43=0),0,MATCH(0,OFFSET($B43,1,$A43,ROW($A$202)-ROW($A43)),0))</f>
        <v>0</v>
      </c>
      <c r="I43">
        <f ca="1">IF(OR($A43="S",$A43=0),0,MATCH(OFFSET($B43,0,$A43)+1,OFFSET($B43,1,$A43,ROW($A$202)-ROW($A43)),0))</f>
        <v>0</v>
      </c>
      <c r="J43" s="388" t="s">
        <v>103</v>
      </c>
      <c r="K43" s="138" t="str">
        <f t="shared" ca="1" si="38"/>
        <v>1.5.2.1.</v>
      </c>
      <c r="L43" s="370" t="s">
        <v>234</v>
      </c>
      <c r="M43" s="382" t="s">
        <v>307</v>
      </c>
      <c r="N43" s="368" t="s">
        <v>424</v>
      </c>
      <c r="O43" s="377" t="s">
        <v>521</v>
      </c>
      <c r="P43" s="363">
        <v>353.25</v>
      </c>
      <c r="Q43" s="195"/>
      <c r="R43" s="198" t="s">
        <v>7</v>
      </c>
      <c r="S43" s="103">
        <f t="shared" si="28"/>
        <v>0</v>
      </c>
      <c r="T43" s="83">
        <f t="shared" si="29"/>
        <v>0</v>
      </c>
      <c r="U43" s="9" t="str">
        <f t="shared" si="39"/>
        <v>SEM VALOR</v>
      </c>
      <c r="V43" s="1" t="str">
        <f ca="1">IF(OR($A43=0,$A43="S",$A43&gt;CFF!$A$9),"",MAX(V$12:OFFSET(V43,-1,0))+1)</f>
        <v/>
      </c>
      <c r="W43" s="4" t="str">
        <f t="shared" si="40"/>
        <v>PM BENTO-102</v>
      </c>
      <c r="X43" s="1">
        <f t="shared" ca="1" si="30"/>
        <v>40</v>
      </c>
      <c r="Y43" s="103">
        <v>7.36</v>
      </c>
      <c r="Z43" s="113">
        <f ca="1">ROUND(IF(ISNUMBER(R43),R43,IF(LEFT(R43,3)="BDI",HLOOKUP(R43,DADOS!$T$37:$X$38,2,FALSE),0)),15-11*$X$5)</f>
        <v>0.2354</v>
      </c>
      <c r="AA43" s="1"/>
    </row>
    <row r="44" spans="1:27" x14ac:dyDescent="0.2">
      <c r="A44" t="str">
        <f t="shared" si="31"/>
        <v>S</v>
      </c>
      <c r="B44">
        <f t="shared" si="32"/>
        <v>0</v>
      </c>
      <c r="C44">
        <f t="shared" ca="1" si="33"/>
        <v>1</v>
      </c>
      <c r="D44">
        <f t="shared" ca="1" si="34"/>
        <v>5</v>
      </c>
      <c r="E44">
        <f t="shared" ca="1" si="35"/>
        <v>2</v>
      </c>
      <c r="F44">
        <f t="shared" ca="1" si="36"/>
        <v>0</v>
      </c>
      <c r="G44">
        <f t="shared" ca="1" si="37"/>
        <v>2</v>
      </c>
      <c r="H44">
        <f ca="1">IF(OR($A44="S",$A44=0),0,MATCH(0,OFFSET($B44,1,$A44,ROW($A$202)-ROW($A44)),0))</f>
        <v>0</v>
      </c>
      <c r="I44">
        <f ca="1">IF(OR($A44="S",$A44=0),0,MATCH(OFFSET($B44,0,$A44)+1,OFFSET($B44,1,$A44,ROW($A$202)-ROW($A44)),0))</f>
        <v>0</v>
      </c>
      <c r="J44" s="388" t="s">
        <v>103</v>
      </c>
      <c r="K44" s="138" t="str">
        <f t="shared" ca="1" si="38"/>
        <v>1.5.2.2.</v>
      </c>
      <c r="L44" s="370" t="s">
        <v>230</v>
      </c>
      <c r="M44" s="382" t="s">
        <v>271</v>
      </c>
      <c r="N44" s="368" t="s">
        <v>425</v>
      </c>
      <c r="O44" s="377" t="s">
        <v>521</v>
      </c>
      <c r="P44" s="363">
        <v>353.25</v>
      </c>
      <c r="Q44" s="195"/>
      <c r="R44" s="198" t="s">
        <v>7</v>
      </c>
      <c r="S44" s="103">
        <f t="shared" si="28"/>
        <v>0</v>
      </c>
      <c r="T44" s="83">
        <f t="shared" si="29"/>
        <v>0</v>
      </c>
      <c r="U44" s="9" t="str">
        <f t="shared" si="39"/>
        <v>SEM VALOR</v>
      </c>
      <c r="V44" s="1" t="str">
        <f ca="1">IF(OR($A44=0,$A44="S",$A44&gt;CFF!$A$9),"",MAX(V$12:OFFSET(V44,-1,0))+1)</f>
        <v/>
      </c>
      <c r="W44" s="4" t="str">
        <f t="shared" si="40"/>
        <v>SINAPI-88485</v>
      </c>
      <c r="X44" s="1">
        <f t="shared" ca="1" si="30"/>
        <v>13267</v>
      </c>
      <c r="Y44" s="103">
        <v>4.9800000000000004</v>
      </c>
      <c r="Z44" s="113">
        <f ca="1">ROUND(IF(ISNUMBER(R44),R44,IF(LEFT(R44,3)="BDI",HLOOKUP(R44,DADOS!$T$37:$X$38,2,FALSE),0)),15-11*$X$5)</f>
        <v>0.2354</v>
      </c>
      <c r="AA44" s="1"/>
    </row>
    <row r="45" spans="1:27" x14ac:dyDescent="0.2">
      <c r="A45" t="str">
        <f t="shared" si="31"/>
        <v>S</v>
      </c>
      <c r="B45">
        <f t="shared" si="32"/>
        <v>0</v>
      </c>
      <c r="C45">
        <f t="shared" ca="1" si="33"/>
        <v>1</v>
      </c>
      <c r="D45">
        <f t="shared" ca="1" si="34"/>
        <v>5</v>
      </c>
      <c r="E45">
        <f t="shared" ca="1" si="35"/>
        <v>2</v>
      </c>
      <c r="F45">
        <f t="shared" ca="1" si="36"/>
        <v>0</v>
      </c>
      <c r="G45">
        <f t="shared" ca="1" si="37"/>
        <v>3</v>
      </c>
      <c r="H45">
        <f ca="1">IF(OR($A45="S",$A45=0),0,MATCH(0,OFFSET($B45,1,$A45,ROW($A$202)-ROW($A45)),0))</f>
        <v>0</v>
      </c>
      <c r="I45">
        <f ca="1">IF(OR($A45="S",$A45=0),0,MATCH(OFFSET($B45,0,$A45)+1,OFFSET($B45,1,$A45,ROW($A$202)-ROW($A45)),0))</f>
        <v>0</v>
      </c>
      <c r="J45" s="388" t="s">
        <v>103</v>
      </c>
      <c r="K45" s="138" t="str">
        <f t="shared" ca="1" si="38"/>
        <v>1.5.2.3.</v>
      </c>
      <c r="L45" s="370" t="s">
        <v>230</v>
      </c>
      <c r="M45" s="382" t="s">
        <v>308</v>
      </c>
      <c r="N45" s="368" t="s">
        <v>426</v>
      </c>
      <c r="O45" s="377" t="s">
        <v>521</v>
      </c>
      <c r="P45" s="363">
        <v>353.25</v>
      </c>
      <c r="Q45" s="195"/>
      <c r="R45" s="198" t="s">
        <v>7</v>
      </c>
      <c r="S45" s="103">
        <f t="shared" si="28"/>
        <v>0</v>
      </c>
      <c r="T45" s="83">
        <f t="shared" si="29"/>
        <v>0</v>
      </c>
      <c r="U45" s="9" t="str">
        <f t="shared" si="39"/>
        <v>SEM VALOR</v>
      </c>
      <c r="V45" s="1" t="str">
        <f ca="1">IF(OR($A45=0,$A45="S",$A45&gt;CFF!$A$9),"",MAX(V$12:OFFSET(V45,-1,0))+1)</f>
        <v/>
      </c>
      <c r="W45" s="4" t="str">
        <f t="shared" si="40"/>
        <v>SINAPI-88489</v>
      </c>
      <c r="X45" s="1">
        <f t="shared" ca="1" si="30"/>
        <v>13275</v>
      </c>
      <c r="Y45" s="103">
        <v>17.41</v>
      </c>
      <c r="Z45" s="113">
        <f ca="1">ROUND(IF(ISNUMBER(R45),R45,IF(LEFT(R45,3)="BDI",HLOOKUP(R45,DADOS!$T$37:$X$38,2,FALSE),0)),15-11*$X$5)</f>
        <v>0.2354</v>
      </c>
      <c r="AA45" s="1"/>
    </row>
    <row r="46" spans="1:27" x14ac:dyDescent="0.2">
      <c r="A46">
        <f t="shared" si="31"/>
        <v>2</v>
      </c>
      <c r="B46">
        <f t="shared" ca="1" si="32"/>
        <v>10</v>
      </c>
      <c r="C46">
        <f t="shared" ca="1" si="33"/>
        <v>1</v>
      </c>
      <c r="D46">
        <f t="shared" ca="1" si="34"/>
        <v>6</v>
      </c>
      <c r="E46">
        <f t="shared" ca="1" si="35"/>
        <v>0</v>
      </c>
      <c r="F46">
        <f t="shared" ca="1" si="36"/>
        <v>0</v>
      </c>
      <c r="G46">
        <f t="shared" ca="1" si="37"/>
        <v>0</v>
      </c>
      <c r="H46">
        <f ca="1">IF(OR($A46="S",$A46=0),0,MATCH(0,OFFSET($B46,1,$A46,ROW($A$202)-ROW($A46)),0))</f>
        <v>156</v>
      </c>
      <c r="I46">
        <f ca="1">IF(OR($A46="S",$A46=0),0,MATCH(OFFSET($B46,0,$A46)+1,OFFSET($B46,1,$A46,ROW($A$202)-ROW($A46)),0))</f>
        <v>10</v>
      </c>
      <c r="J46" s="388" t="s">
        <v>100</v>
      </c>
      <c r="K46" s="138" t="str">
        <f t="shared" ca="1" si="38"/>
        <v>1.6.</v>
      </c>
      <c r="L46" s="370" t="s">
        <v>230</v>
      </c>
      <c r="M46" s="382"/>
      <c r="N46" s="356" t="s">
        <v>370</v>
      </c>
      <c r="O46" s="377" t="s">
        <v>106</v>
      </c>
      <c r="P46" s="363" t="s">
        <v>363</v>
      </c>
      <c r="Q46" s="195"/>
      <c r="R46" s="198" t="s">
        <v>7</v>
      </c>
      <c r="S46" s="103">
        <f t="shared" si="28"/>
        <v>0</v>
      </c>
      <c r="T46" s="83">
        <f t="shared" ca="1" si="29"/>
        <v>0</v>
      </c>
      <c r="U46" s="9" t="str">
        <f t="shared" ca="1" si="39"/>
        <v>SEM VALOR</v>
      </c>
      <c r="V46" s="1">
        <f ca="1">IF(OR($A46=0,$A46="S",$A46&gt;CFF!$A$9),"",MAX(V$12:OFFSET(V46,-1,0))+1)</f>
        <v>7</v>
      </c>
      <c r="W46" s="4" t="b">
        <f t="shared" si="40"/>
        <v>0</v>
      </c>
      <c r="X46" s="1" t="str">
        <f t="shared" ca="1" si="30"/>
        <v>X</v>
      </c>
      <c r="Y46" s="103">
        <v>0</v>
      </c>
      <c r="Z46" s="113">
        <f ca="1">ROUND(IF(ISNUMBER(R46),R46,IF(LEFT(R46,3)="BDI",HLOOKUP(R46,DADOS!$T$37:$X$38,2,FALSE),0)),15-11*$X$5)</f>
        <v>0.2354</v>
      </c>
      <c r="AA46" s="1"/>
    </row>
    <row r="47" spans="1:27" ht="38.25" x14ac:dyDescent="0.2">
      <c r="A47" t="str">
        <f t="shared" si="31"/>
        <v>S</v>
      </c>
      <c r="B47">
        <f t="shared" si="32"/>
        <v>0</v>
      </c>
      <c r="C47">
        <f t="shared" ca="1" si="33"/>
        <v>1</v>
      </c>
      <c r="D47">
        <f t="shared" ca="1" si="34"/>
        <v>6</v>
      </c>
      <c r="E47">
        <f t="shared" ca="1" si="35"/>
        <v>0</v>
      </c>
      <c r="F47">
        <f t="shared" ca="1" si="36"/>
        <v>0</v>
      </c>
      <c r="G47">
        <f t="shared" ca="1" si="37"/>
        <v>1</v>
      </c>
      <c r="H47">
        <f ca="1">IF(OR($A47="S",$A47=0),0,MATCH(0,OFFSET($B47,1,$A47,ROW($A$202)-ROW($A47)),0))</f>
        <v>0</v>
      </c>
      <c r="I47">
        <f ca="1">IF(OR($A47="S",$A47=0),0,MATCH(OFFSET($B47,0,$A47)+1,OFFSET($B47,1,$A47,ROW($A$202)-ROW($A47)),0))</f>
        <v>0</v>
      </c>
      <c r="J47" s="388" t="s">
        <v>103</v>
      </c>
      <c r="K47" s="138" t="str">
        <f t="shared" ca="1" si="38"/>
        <v>1.6.0.1.</v>
      </c>
      <c r="L47" s="370" t="s">
        <v>230</v>
      </c>
      <c r="M47" s="382" t="s">
        <v>309</v>
      </c>
      <c r="N47" s="368" t="s">
        <v>427</v>
      </c>
      <c r="O47" s="377" t="s">
        <v>521</v>
      </c>
      <c r="P47" s="363">
        <v>44.63</v>
      </c>
      <c r="Q47" s="195"/>
      <c r="R47" s="198" t="s">
        <v>7</v>
      </c>
      <c r="S47" s="103">
        <f t="shared" si="28"/>
        <v>0</v>
      </c>
      <c r="T47" s="83">
        <f t="shared" si="29"/>
        <v>0</v>
      </c>
      <c r="U47" s="9" t="str">
        <f t="shared" si="39"/>
        <v>SEM VALOR</v>
      </c>
      <c r="V47" s="1" t="str">
        <f ca="1">IF(OR($A47=0,$A47="S",$A47&gt;CFF!$A$9),"",MAX(V$12:OFFSET(V47,-1,0))+1)</f>
        <v/>
      </c>
      <c r="W47" s="4" t="str">
        <f t="shared" si="40"/>
        <v>SINAPI-96359</v>
      </c>
      <c r="X47" s="1">
        <f t="shared" ca="1" si="30"/>
        <v>13010</v>
      </c>
      <c r="Y47" s="103">
        <v>145.55000000000001</v>
      </c>
      <c r="Z47" s="113">
        <f ca="1">ROUND(IF(ISNUMBER(R47),R47,IF(LEFT(R47,3)="BDI",HLOOKUP(R47,DADOS!$T$37:$X$38,2,FALSE),0)),15-11*$X$5)</f>
        <v>0.2354</v>
      </c>
      <c r="AA47" s="1"/>
    </row>
    <row r="48" spans="1:27" ht="38.25" x14ac:dyDescent="0.2">
      <c r="A48" t="str">
        <f t="shared" si="31"/>
        <v>S</v>
      </c>
      <c r="B48">
        <f t="shared" si="32"/>
        <v>0</v>
      </c>
      <c r="C48">
        <f t="shared" ca="1" si="33"/>
        <v>1</v>
      </c>
      <c r="D48">
        <f t="shared" ca="1" si="34"/>
        <v>6</v>
      </c>
      <c r="E48">
        <f t="shared" ca="1" si="35"/>
        <v>0</v>
      </c>
      <c r="F48">
        <f t="shared" ca="1" si="36"/>
        <v>0</v>
      </c>
      <c r="G48">
        <f t="shared" ca="1" si="37"/>
        <v>2</v>
      </c>
      <c r="H48">
        <f ca="1">IF(OR($A48="S",$A48=0),0,MATCH(0,OFFSET($B48,1,$A48,ROW($A$202)-ROW($A48)),0))</f>
        <v>0</v>
      </c>
      <c r="I48">
        <f ca="1">IF(OR($A48="S",$A48=0),0,MATCH(OFFSET($B48,0,$A48)+1,OFFSET($B48,1,$A48,ROW($A$202)-ROW($A48)),0))</f>
        <v>0</v>
      </c>
      <c r="J48" s="388" t="s">
        <v>103</v>
      </c>
      <c r="K48" s="138" t="str">
        <f t="shared" ca="1" si="38"/>
        <v>1.6.0.2.</v>
      </c>
      <c r="L48" s="370" t="s">
        <v>230</v>
      </c>
      <c r="M48" s="382" t="s">
        <v>310</v>
      </c>
      <c r="N48" s="368" t="s">
        <v>428</v>
      </c>
      <c r="O48" s="377" t="s">
        <v>521</v>
      </c>
      <c r="P48" s="363">
        <v>2.64</v>
      </c>
      <c r="Q48" s="195"/>
      <c r="R48" s="198" t="s">
        <v>7</v>
      </c>
      <c r="S48" s="103">
        <f t="shared" si="28"/>
        <v>0</v>
      </c>
      <c r="T48" s="83">
        <f t="shared" si="29"/>
        <v>0</v>
      </c>
      <c r="U48" s="9" t="str">
        <f t="shared" si="39"/>
        <v>SEM VALOR</v>
      </c>
      <c r="V48" s="1" t="str">
        <f ca="1">IF(OR($A48=0,$A48="S",$A48&gt;CFF!$A$9),"",MAX(V$12:OFFSET(V48,-1,0))+1)</f>
        <v/>
      </c>
      <c r="W48" s="4" t="str">
        <f t="shared" si="40"/>
        <v>SINAPI-100674</v>
      </c>
      <c r="X48" s="1">
        <f t="shared" ca="1" si="30"/>
        <v>8570</v>
      </c>
      <c r="Y48" s="103">
        <v>1105.4000000000001</v>
      </c>
      <c r="Z48" s="113">
        <f ca="1">ROUND(IF(ISNUMBER(R48),R48,IF(LEFT(R48,3)="BDI",HLOOKUP(R48,DADOS!$T$37:$X$38,2,FALSE),0)),15-11*$X$5)</f>
        <v>0.2354</v>
      </c>
      <c r="AA48" s="1"/>
    </row>
    <row r="49" spans="1:27" ht="25.5" x14ac:dyDescent="0.2">
      <c r="A49" t="str">
        <f t="shared" si="31"/>
        <v>S</v>
      </c>
      <c r="B49">
        <f t="shared" si="32"/>
        <v>0</v>
      </c>
      <c r="C49">
        <f t="shared" ca="1" si="33"/>
        <v>1</v>
      </c>
      <c r="D49">
        <f t="shared" ca="1" si="34"/>
        <v>6</v>
      </c>
      <c r="E49">
        <f t="shared" ca="1" si="35"/>
        <v>0</v>
      </c>
      <c r="F49">
        <f t="shared" ca="1" si="36"/>
        <v>0</v>
      </c>
      <c r="G49">
        <f t="shared" ca="1" si="37"/>
        <v>3</v>
      </c>
      <c r="H49">
        <f ca="1">IF(OR($A49="S",$A49=0),0,MATCH(0,OFFSET($B49,1,$A49,ROW($A$202)-ROW($A49)),0))</f>
        <v>0</v>
      </c>
      <c r="I49">
        <f ca="1">IF(OR($A49="S",$A49=0),0,MATCH(OFFSET($B49,0,$A49)+1,OFFSET($B49,1,$A49,ROW($A$202)-ROW($A49)),0))</f>
        <v>0</v>
      </c>
      <c r="J49" s="388" t="s">
        <v>103</v>
      </c>
      <c r="K49" s="138" t="str">
        <f t="shared" ca="1" si="38"/>
        <v>1.6.0.3.</v>
      </c>
      <c r="L49" s="370" t="s">
        <v>230</v>
      </c>
      <c r="M49" s="382" t="s">
        <v>272</v>
      </c>
      <c r="N49" s="368" t="s">
        <v>429</v>
      </c>
      <c r="O49" s="377" t="s">
        <v>521</v>
      </c>
      <c r="P49" s="363">
        <v>89.25</v>
      </c>
      <c r="Q49" s="195"/>
      <c r="R49" s="198" t="s">
        <v>7</v>
      </c>
      <c r="S49" s="103">
        <f t="shared" si="28"/>
        <v>0</v>
      </c>
      <c r="T49" s="83">
        <f t="shared" si="29"/>
        <v>0</v>
      </c>
      <c r="U49" s="9" t="str">
        <f t="shared" si="39"/>
        <v>SEM VALOR</v>
      </c>
      <c r="V49" s="1" t="str">
        <f ca="1">IF(OR($A49=0,$A49="S",$A49&gt;CFF!$A$9),"",MAX(V$12:OFFSET(V49,-1,0))+1)</f>
        <v/>
      </c>
      <c r="W49" s="4" t="str">
        <f t="shared" si="40"/>
        <v>SINAPI-88497</v>
      </c>
      <c r="X49" s="1">
        <f t="shared" ca="1" si="30"/>
        <v>13259</v>
      </c>
      <c r="Y49" s="103">
        <v>25.18</v>
      </c>
      <c r="Z49" s="113">
        <f ca="1">ROUND(IF(ISNUMBER(R49),R49,IF(LEFT(R49,3)="BDI",HLOOKUP(R49,DADOS!$T$37:$X$38,2,FALSE),0)),15-11*$X$5)</f>
        <v>0.2354</v>
      </c>
      <c r="AA49" s="1"/>
    </row>
    <row r="50" spans="1:27" x14ac:dyDescent="0.2">
      <c r="A50" t="str">
        <f t="shared" si="31"/>
        <v>S</v>
      </c>
      <c r="B50">
        <f t="shared" si="32"/>
        <v>0</v>
      </c>
      <c r="C50">
        <f t="shared" ca="1" si="33"/>
        <v>1</v>
      </c>
      <c r="D50">
        <f t="shared" ca="1" si="34"/>
        <v>6</v>
      </c>
      <c r="E50">
        <f t="shared" ca="1" si="35"/>
        <v>0</v>
      </c>
      <c r="F50">
        <f t="shared" ca="1" si="36"/>
        <v>0</v>
      </c>
      <c r="G50">
        <f t="shared" ca="1" si="37"/>
        <v>4</v>
      </c>
      <c r="H50">
        <f ca="1">IF(OR($A50="S",$A50=0),0,MATCH(0,OFFSET($B50,1,$A50,ROW($A$202)-ROW($A50)),0))</f>
        <v>0</v>
      </c>
      <c r="I50">
        <f ca="1">IF(OR($A50="S",$A50=0),0,MATCH(OFFSET($B50,0,$A50)+1,OFFSET($B50,1,$A50,ROW($A$202)-ROW($A50)),0))</f>
        <v>0</v>
      </c>
      <c r="J50" s="388" t="s">
        <v>103</v>
      </c>
      <c r="K50" s="138" t="str">
        <f t="shared" ca="1" si="38"/>
        <v>1.6.0.4.</v>
      </c>
      <c r="L50" s="370" t="s">
        <v>230</v>
      </c>
      <c r="M50" s="382" t="s">
        <v>271</v>
      </c>
      <c r="N50" s="368" t="s">
        <v>425</v>
      </c>
      <c r="O50" s="377" t="s">
        <v>521</v>
      </c>
      <c r="P50" s="363">
        <v>178.5</v>
      </c>
      <c r="Q50" s="195"/>
      <c r="R50" s="198" t="s">
        <v>7</v>
      </c>
      <c r="S50" s="103">
        <f t="shared" si="28"/>
        <v>0</v>
      </c>
      <c r="T50" s="83">
        <f t="shared" si="29"/>
        <v>0</v>
      </c>
      <c r="U50" s="9" t="str">
        <f t="shared" si="39"/>
        <v>SEM VALOR</v>
      </c>
      <c r="V50" s="1" t="str">
        <f ca="1">IF(OR($A50=0,$A50="S",$A50&gt;CFF!$A$9),"",MAX(V$12:OFFSET(V50,-1,0))+1)</f>
        <v/>
      </c>
      <c r="W50" s="4" t="str">
        <f t="shared" si="40"/>
        <v>SINAPI-88485</v>
      </c>
      <c r="X50" s="1">
        <f t="shared" ca="1" si="30"/>
        <v>13267</v>
      </c>
      <c r="Y50" s="103">
        <v>4.9800000000000004</v>
      </c>
      <c r="Z50" s="113">
        <f ca="1">ROUND(IF(ISNUMBER(R50),R50,IF(LEFT(R50,3)="BDI",HLOOKUP(R50,DADOS!$T$37:$X$38,2,FALSE),0)),15-11*$X$5)</f>
        <v>0.2354</v>
      </c>
      <c r="AA50" s="1"/>
    </row>
    <row r="51" spans="1:27" x14ac:dyDescent="0.2">
      <c r="A51" t="str">
        <f t="shared" si="31"/>
        <v>S</v>
      </c>
      <c r="B51">
        <f t="shared" si="32"/>
        <v>0</v>
      </c>
      <c r="C51">
        <f t="shared" ca="1" si="33"/>
        <v>1</v>
      </c>
      <c r="D51">
        <f t="shared" ca="1" si="34"/>
        <v>6</v>
      </c>
      <c r="E51">
        <f t="shared" ca="1" si="35"/>
        <v>0</v>
      </c>
      <c r="F51">
        <f t="shared" ca="1" si="36"/>
        <v>0</v>
      </c>
      <c r="G51">
        <f t="shared" ca="1" si="37"/>
        <v>5</v>
      </c>
      <c r="H51">
        <f ca="1">IF(OR($A51="S",$A51=0),0,MATCH(0,OFFSET($B51,1,$A51,ROW($A$202)-ROW($A51)),0))</f>
        <v>0</v>
      </c>
      <c r="I51">
        <f ca="1">IF(OR($A51="S",$A51=0),0,MATCH(OFFSET($B51,0,$A51)+1,OFFSET($B51,1,$A51,ROW($A$202)-ROW($A51)),0))</f>
        <v>0</v>
      </c>
      <c r="J51" s="388" t="s">
        <v>103</v>
      </c>
      <c r="K51" s="138" t="str">
        <f t="shared" ca="1" si="38"/>
        <v>1.6.0.5.</v>
      </c>
      <c r="L51" s="370" t="s">
        <v>230</v>
      </c>
      <c r="M51" s="382" t="s">
        <v>308</v>
      </c>
      <c r="N51" s="368" t="s">
        <v>426</v>
      </c>
      <c r="O51" s="377" t="s">
        <v>521</v>
      </c>
      <c r="P51" s="363">
        <v>89.25</v>
      </c>
      <c r="Q51" s="195"/>
      <c r="R51" s="198" t="s">
        <v>7</v>
      </c>
      <c r="S51" s="103">
        <f t="shared" si="28"/>
        <v>0</v>
      </c>
      <c r="T51" s="83">
        <f t="shared" si="29"/>
        <v>0</v>
      </c>
      <c r="U51" s="9" t="str">
        <f t="shared" si="39"/>
        <v>SEM VALOR</v>
      </c>
      <c r="V51" s="1" t="str">
        <f ca="1">IF(OR($A51=0,$A51="S",$A51&gt;CFF!$A$9),"",MAX(V$12:OFFSET(V51,-1,0))+1)</f>
        <v/>
      </c>
      <c r="W51" s="4" t="str">
        <f t="shared" si="40"/>
        <v>SINAPI-88489</v>
      </c>
      <c r="X51" s="1">
        <f t="shared" ca="1" si="30"/>
        <v>13275</v>
      </c>
      <c r="Y51" s="103">
        <v>17.41</v>
      </c>
      <c r="Z51" s="113">
        <f ca="1">ROUND(IF(ISNUMBER(R51),R51,IF(LEFT(R51,3)="BDI",HLOOKUP(R51,DADOS!$T$37:$X$38,2,FALSE),0)),15-11*$X$5)</f>
        <v>0.2354</v>
      </c>
      <c r="AA51" s="1"/>
    </row>
    <row r="52" spans="1:27" ht="38.25" x14ac:dyDescent="0.2">
      <c r="A52" t="str">
        <f t="shared" si="31"/>
        <v>S</v>
      </c>
      <c r="B52">
        <f t="shared" si="32"/>
        <v>0</v>
      </c>
      <c r="C52">
        <f t="shared" ca="1" si="33"/>
        <v>1</v>
      </c>
      <c r="D52">
        <f t="shared" ca="1" si="34"/>
        <v>6</v>
      </c>
      <c r="E52">
        <f t="shared" ca="1" si="35"/>
        <v>0</v>
      </c>
      <c r="F52">
        <f t="shared" ca="1" si="36"/>
        <v>0</v>
      </c>
      <c r="G52">
        <f t="shared" ca="1" si="37"/>
        <v>6</v>
      </c>
      <c r="H52">
        <f ca="1">IF(OR($A52="S",$A52=0),0,MATCH(0,OFFSET($B52,1,$A52,ROW($A$202)-ROW($A52)),0))</f>
        <v>0</v>
      </c>
      <c r="I52">
        <f ca="1">IF(OR($A52="S",$A52=0),0,MATCH(OFFSET($B52,0,$A52)+1,OFFSET($B52,1,$A52,ROW($A$202)-ROW($A52)),0))</f>
        <v>0</v>
      </c>
      <c r="J52" s="388" t="s">
        <v>103</v>
      </c>
      <c r="K52" s="138" t="str">
        <f t="shared" ca="1" si="38"/>
        <v>1.6.0.6.</v>
      </c>
      <c r="L52" s="370" t="s">
        <v>230</v>
      </c>
      <c r="M52" s="382" t="s">
        <v>311</v>
      </c>
      <c r="N52" s="368" t="s">
        <v>430</v>
      </c>
      <c r="O52" s="377" t="s">
        <v>523</v>
      </c>
      <c r="P52" s="363">
        <v>3</v>
      </c>
      <c r="Q52" s="195"/>
      <c r="R52" s="198" t="s">
        <v>7</v>
      </c>
      <c r="S52" s="103">
        <f t="shared" si="28"/>
        <v>0</v>
      </c>
      <c r="T52" s="83">
        <f t="shared" si="29"/>
        <v>0</v>
      </c>
      <c r="U52" s="9" t="str">
        <f t="shared" si="39"/>
        <v>SEM VALOR</v>
      </c>
      <c r="V52" s="1" t="str">
        <f ca="1">IF(OR($A52=0,$A52="S",$A52&gt;CFF!$A$9),"",MAX(V$12:OFFSET(V52,-1,0))+1)</f>
        <v/>
      </c>
      <c r="W52" s="4" t="str">
        <f t="shared" si="40"/>
        <v>SINAPI-90843</v>
      </c>
      <c r="X52" s="1">
        <f t="shared" ca="1" si="30"/>
        <v>8641</v>
      </c>
      <c r="Y52" s="103">
        <v>1734.92</v>
      </c>
      <c r="Z52" s="113">
        <f ca="1">ROUND(IF(ISNUMBER(R52),R52,IF(LEFT(R52,3)="BDI",HLOOKUP(R52,DADOS!$T$37:$X$38,2,FALSE),0)),15-11*$X$5)</f>
        <v>0.2354</v>
      </c>
      <c r="AA52" s="1"/>
    </row>
    <row r="53" spans="1:27" x14ac:dyDescent="0.2">
      <c r="A53" t="str">
        <f t="shared" si="31"/>
        <v>S</v>
      </c>
      <c r="B53">
        <f t="shared" si="32"/>
        <v>0</v>
      </c>
      <c r="C53">
        <f t="shared" ca="1" si="33"/>
        <v>1</v>
      </c>
      <c r="D53">
        <f t="shared" ca="1" si="34"/>
        <v>6</v>
      </c>
      <c r="E53">
        <f t="shared" ca="1" si="35"/>
        <v>0</v>
      </c>
      <c r="F53">
        <f t="shared" ca="1" si="36"/>
        <v>0</v>
      </c>
      <c r="G53">
        <f t="shared" ca="1" si="37"/>
        <v>7</v>
      </c>
      <c r="H53">
        <f ca="1">IF(OR($A53="S",$A53=0),0,MATCH(0,OFFSET($B53,1,$A53,ROW($A$202)-ROW($A53)),0))</f>
        <v>0</v>
      </c>
      <c r="I53">
        <f ca="1">IF(OR($A53="S",$A53=0),0,MATCH(OFFSET($B53,0,$A53)+1,OFFSET($B53,1,$A53,ROW($A$202)-ROW($A53)),0))</f>
        <v>0</v>
      </c>
      <c r="J53" s="388" t="s">
        <v>103</v>
      </c>
      <c r="K53" s="138" t="str">
        <f t="shared" ca="1" si="38"/>
        <v>1.6.0.7.</v>
      </c>
      <c r="L53" s="370" t="s">
        <v>230</v>
      </c>
      <c r="M53" s="382" t="s">
        <v>312</v>
      </c>
      <c r="N53" s="368" t="s">
        <v>431</v>
      </c>
      <c r="O53" s="377" t="s">
        <v>521</v>
      </c>
      <c r="P53" s="363">
        <v>10.08</v>
      </c>
      <c r="Q53" s="195"/>
      <c r="R53" s="198" t="s">
        <v>7</v>
      </c>
      <c r="S53" s="103">
        <f t="shared" si="28"/>
        <v>0</v>
      </c>
      <c r="T53" s="83">
        <f t="shared" si="29"/>
        <v>0</v>
      </c>
      <c r="U53" s="9" t="str">
        <f t="shared" si="39"/>
        <v>SEM VALOR</v>
      </c>
      <c r="V53" s="1" t="str">
        <f ca="1">IF(OR($A53=0,$A53="S",$A53&gt;CFF!$A$9),"",MAX(V$12:OFFSET(V53,-1,0))+1)</f>
        <v/>
      </c>
      <c r="W53" s="4" t="str">
        <f t="shared" si="40"/>
        <v>SINAPI-102193</v>
      </c>
      <c r="X53" s="1">
        <f t="shared" ca="1" si="30"/>
        <v>13284</v>
      </c>
      <c r="Y53" s="103">
        <v>2.83</v>
      </c>
      <c r="Z53" s="113">
        <f ca="1">ROUND(IF(ISNUMBER(R53),R53,IF(LEFT(R53,3)="BDI",HLOOKUP(R53,DADOS!$T$37:$X$38,2,FALSE),0)),15-11*$X$5)</f>
        <v>0.2354</v>
      </c>
      <c r="AA53" s="1"/>
    </row>
    <row r="54" spans="1:27" x14ac:dyDescent="0.2">
      <c r="A54" t="str">
        <f t="shared" si="31"/>
        <v>S</v>
      </c>
      <c r="B54">
        <f t="shared" si="32"/>
        <v>0</v>
      </c>
      <c r="C54">
        <f t="shared" ca="1" si="33"/>
        <v>1</v>
      </c>
      <c r="D54">
        <f t="shared" ca="1" si="34"/>
        <v>6</v>
      </c>
      <c r="E54">
        <f t="shared" ca="1" si="35"/>
        <v>0</v>
      </c>
      <c r="F54">
        <f t="shared" ca="1" si="36"/>
        <v>0</v>
      </c>
      <c r="G54">
        <f t="shared" ca="1" si="37"/>
        <v>8</v>
      </c>
      <c r="H54">
        <f ca="1">IF(OR($A54="S",$A54=0),0,MATCH(0,OFFSET($B54,1,$A54,ROW($A$202)-ROW($A54)),0))</f>
        <v>0</v>
      </c>
      <c r="I54">
        <f ca="1">IF(OR($A54="S",$A54=0),0,MATCH(OFFSET($B54,0,$A54)+1,OFFSET($B54,1,$A54,ROW($A$202)-ROW($A54)),0))</f>
        <v>0</v>
      </c>
      <c r="J54" s="388" t="s">
        <v>103</v>
      </c>
      <c r="K54" s="138" t="str">
        <f t="shared" ca="1" si="38"/>
        <v>1.6.0.8.</v>
      </c>
      <c r="L54" s="370" t="s">
        <v>230</v>
      </c>
      <c r="M54" s="382" t="s">
        <v>313</v>
      </c>
      <c r="N54" s="368" t="s">
        <v>432</v>
      </c>
      <c r="O54" s="377" t="s">
        <v>521</v>
      </c>
      <c r="P54" s="363">
        <v>10.08</v>
      </c>
      <c r="Q54" s="195"/>
      <c r="R54" s="198" t="s">
        <v>7</v>
      </c>
      <c r="S54" s="103">
        <f t="shared" si="28"/>
        <v>0</v>
      </c>
      <c r="T54" s="83">
        <f t="shared" si="29"/>
        <v>0</v>
      </c>
      <c r="U54" s="9" t="str">
        <f t="shared" si="39"/>
        <v>SEM VALOR</v>
      </c>
      <c r="V54" s="1" t="str">
        <f ca="1">IF(OR($A54=0,$A54="S",$A54&gt;CFF!$A$9),"",MAX(V$12:OFFSET(V54,-1,0))+1)</f>
        <v/>
      </c>
      <c r="W54" s="4" t="str">
        <f t="shared" si="40"/>
        <v>SINAPI-102197</v>
      </c>
      <c r="X54" s="1">
        <f t="shared" ca="1" si="30"/>
        <v>13287</v>
      </c>
      <c r="Y54" s="103">
        <v>38.979999999999997</v>
      </c>
      <c r="Z54" s="113">
        <f ca="1">ROUND(IF(ISNUMBER(R54),R54,IF(LEFT(R54,3)="BDI",HLOOKUP(R54,DADOS!$T$37:$X$38,2,FALSE),0)),15-11*$X$5)</f>
        <v>0.2354</v>
      </c>
      <c r="AA54" s="1"/>
    </row>
    <row r="55" spans="1:27" ht="25.5" x14ac:dyDescent="0.2">
      <c r="A55" t="str">
        <f t="shared" si="31"/>
        <v>S</v>
      </c>
      <c r="B55">
        <f t="shared" si="32"/>
        <v>0</v>
      </c>
      <c r="C55">
        <f t="shared" ca="1" si="33"/>
        <v>1</v>
      </c>
      <c r="D55">
        <f t="shared" ca="1" si="34"/>
        <v>6</v>
      </c>
      <c r="E55">
        <f t="shared" ca="1" si="35"/>
        <v>0</v>
      </c>
      <c r="F55">
        <f t="shared" ca="1" si="36"/>
        <v>0</v>
      </c>
      <c r="G55">
        <f t="shared" ca="1" si="37"/>
        <v>9</v>
      </c>
      <c r="H55">
        <f ca="1">IF(OR($A55="S",$A55=0),0,MATCH(0,OFFSET($B55,1,$A55,ROW($A$202)-ROW($A55)),0))</f>
        <v>0</v>
      </c>
      <c r="I55">
        <f ca="1">IF(OR($A55="S",$A55=0),0,MATCH(OFFSET($B55,0,$A55)+1,OFFSET($B55,1,$A55,ROW($A$202)-ROW($A55)),0))</f>
        <v>0</v>
      </c>
      <c r="J55" s="388" t="s">
        <v>103</v>
      </c>
      <c r="K55" s="138" t="str">
        <f t="shared" ca="1" si="38"/>
        <v>1.6.0.9.</v>
      </c>
      <c r="L55" s="370" t="s">
        <v>230</v>
      </c>
      <c r="M55" s="382" t="s">
        <v>314</v>
      </c>
      <c r="N55" s="368" t="s">
        <v>433</v>
      </c>
      <c r="O55" s="377" t="s">
        <v>521</v>
      </c>
      <c r="P55" s="363">
        <v>10.08</v>
      </c>
      <c r="Q55" s="195"/>
      <c r="R55" s="198" t="s">
        <v>7</v>
      </c>
      <c r="S55" s="103">
        <f t="shared" si="28"/>
        <v>0</v>
      </c>
      <c r="T55" s="83">
        <f t="shared" si="29"/>
        <v>0</v>
      </c>
      <c r="U55" s="9" t="str">
        <f t="shared" si="39"/>
        <v>SEM VALOR</v>
      </c>
      <c r="V55" s="1" t="str">
        <f ca="1">IF(OR($A55=0,$A55="S",$A55&gt;CFF!$A$9),"",MAX(V$12:OFFSET(V55,-1,0))+1)</f>
        <v/>
      </c>
      <c r="W55" s="4" t="str">
        <f t="shared" si="40"/>
        <v>SINAPI-102219</v>
      </c>
      <c r="X55" s="1">
        <f t="shared" ca="1" si="30"/>
        <v>13300</v>
      </c>
      <c r="Y55" s="103">
        <v>22.83</v>
      </c>
      <c r="Z55" s="113">
        <f ca="1">ROUND(IF(ISNUMBER(R55),R55,IF(LEFT(R55,3)="BDI",HLOOKUP(R55,DADOS!$T$37:$X$38,2,FALSE),0)),15-11*$X$5)</f>
        <v>0.2354</v>
      </c>
      <c r="AA55" s="1"/>
    </row>
    <row r="56" spans="1:27" x14ac:dyDescent="0.2">
      <c r="A56">
        <f t="shared" si="31"/>
        <v>2</v>
      </c>
      <c r="B56">
        <f t="shared" ca="1" si="32"/>
        <v>17</v>
      </c>
      <c r="C56">
        <f t="shared" ca="1" si="33"/>
        <v>1</v>
      </c>
      <c r="D56">
        <f t="shared" ca="1" si="34"/>
        <v>7</v>
      </c>
      <c r="E56">
        <f t="shared" ca="1" si="35"/>
        <v>0</v>
      </c>
      <c r="F56">
        <f t="shared" ca="1" si="36"/>
        <v>0</v>
      </c>
      <c r="G56">
        <f t="shared" ca="1" si="37"/>
        <v>0</v>
      </c>
      <c r="H56">
        <f ca="1">IF(OR($A56="S",$A56=0),0,MATCH(0,OFFSET($B56,1,$A56,ROW($A$202)-ROW($A56)),0))</f>
        <v>146</v>
      </c>
      <c r="I56">
        <f ca="1">IF(OR($A56="S",$A56=0),0,MATCH(OFFSET($B56,0,$A56)+1,OFFSET($B56,1,$A56,ROW($A$202)-ROW($A56)),0))</f>
        <v>17</v>
      </c>
      <c r="J56" s="388" t="s">
        <v>100</v>
      </c>
      <c r="K56" s="138" t="str">
        <f t="shared" ca="1" si="38"/>
        <v>1.7.</v>
      </c>
      <c r="L56" s="370" t="s">
        <v>230</v>
      </c>
      <c r="M56" s="382" t="s">
        <v>239</v>
      </c>
      <c r="N56" s="384" t="s">
        <v>371</v>
      </c>
      <c r="O56" s="377" t="s">
        <v>521</v>
      </c>
      <c r="P56" s="363" t="s">
        <v>363</v>
      </c>
      <c r="Q56" s="195"/>
      <c r="R56" s="198" t="s">
        <v>7</v>
      </c>
      <c r="S56" s="103">
        <f t="shared" si="28"/>
        <v>0</v>
      </c>
      <c r="T56" s="83">
        <f t="shared" ca="1" si="29"/>
        <v>0</v>
      </c>
      <c r="U56" s="9" t="str">
        <f t="shared" ca="1" si="39"/>
        <v>SEM VALOR</v>
      </c>
      <c r="V56" s="1">
        <f ca="1">IF(OR($A56=0,$A56="S",$A56&gt;CFF!$A$9),"",MAX(V$12:OFFSET(V56,-1,0))+1)</f>
        <v>8</v>
      </c>
      <c r="W56" s="4" t="b">
        <f t="shared" si="40"/>
        <v>0</v>
      </c>
      <c r="X56" s="1">
        <f t="shared" ca="1" si="30"/>
        <v>13263</v>
      </c>
      <c r="Y56" s="103">
        <v>0</v>
      </c>
      <c r="Z56" s="113">
        <f ca="1">ROUND(IF(ISNUMBER(R56),R56,IF(LEFT(R56,3)="BDI",HLOOKUP(R56,DADOS!$T$37:$X$38,2,FALSE),0)),15-11*$X$5)</f>
        <v>0.2354</v>
      </c>
      <c r="AA56" s="1"/>
    </row>
    <row r="57" spans="1:27" x14ac:dyDescent="0.2">
      <c r="A57">
        <f t="shared" si="31"/>
        <v>3</v>
      </c>
      <c r="B57">
        <f t="shared" ca="1" si="32"/>
        <v>8</v>
      </c>
      <c r="C57">
        <f t="shared" ca="1" si="33"/>
        <v>1</v>
      </c>
      <c r="D57">
        <f t="shared" ca="1" si="34"/>
        <v>7</v>
      </c>
      <c r="E57">
        <f t="shared" ca="1" si="35"/>
        <v>1</v>
      </c>
      <c r="F57">
        <f t="shared" ca="1" si="36"/>
        <v>0</v>
      </c>
      <c r="G57">
        <f t="shared" ca="1" si="37"/>
        <v>0</v>
      </c>
      <c r="H57">
        <f ca="1">IF(OR($A57="S",$A57=0),0,MATCH(0,OFFSET($B57,1,$A57,ROW($A$202)-ROW($A57)),0))</f>
        <v>16</v>
      </c>
      <c r="I57">
        <f ca="1">IF(OR($A57="S",$A57=0),0,MATCH(OFFSET($B57,0,$A57)+1,OFFSET($B57,1,$A57,ROW($A$202)-ROW($A57)),0))</f>
        <v>8</v>
      </c>
      <c r="J57" s="388" t="s">
        <v>101</v>
      </c>
      <c r="K57" s="138" t="str">
        <f t="shared" ca="1" si="38"/>
        <v>1.7.1.</v>
      </c>
      <c r="L57" s="370" t="s">
        <v>230</v>
      </c>
      <c r="M57" s="382"/>
      <c r="N57" s="384" t="s">
        <v>372</v>
      </c>
      <c r="O57" s="377" t="s">
        <v>106</v>
      </c>
      <c r="P57" s="363" t="s">
        <v>363</v>
      </c>
      <c r="Q57" s="195"/>
      <c r="R57" s="198" t="s">
        <v>7</v>
      </c>
      <c r="S57" s="103">
        <f t="shared" si="28"/>
        <v>0</v>
      </c>
      <c r="T57" s="83">
        <f t="shared" ca="1" si="29"/>
        <v>0</v>
      </c>
      <c r="U57" s="9" t="str">
        <f t="shared" ca="1" si="39"/>
        <v>SEM VALOR</v>
      </c>
      <c r="V57" s="1" t="str">
        <f ca="1">IF(OR($A57=0,$A57="S",$A57&gt;CFF!$A$9),"",MAX(V$12:OFFSET(V57,-1,0))+1)</f>
        <v/>
      </c>
      <c r="W57" s="4" t="b">
        <f t="shared" si="40"/>
        <v>0</v>
      </c>
      <c r="X57" s="1" t="str">
        <f t="shared" ca="1" si="30"/>
        <v>X</v>
      </c>
      <c r="Y57" s="103">
        <v>0</v>
      </c>
      <c r="Z57" s="113">
        <f ca="1">ROUND(IF(ISNUMBER(R57),R57,IF(LEFT(R57,3)="BDI",HLOOKUP(R57,DADOS!$T$37:$X$38,2,FALSE),0)),15-11*$X$5)</f>
        <v>0.2354</v>
      </c>
      <c r="AA57" s="1"/>
    </row>
    <row r="58" spans="1:27" ht="38.25" x14ac:dyDescent="0.2">
      <c r="A58" t="str">
        <f t="shared" si="31"/>
        <v>S</v>
      </c>
      <c r="B58">
        <f t="shared" si="32"/>
        <v>0</v>
      </c>
      <c r="C58">
        <f t="shared" ca="1" si="33"/>
        <v>1</v>
      </c>
      <c r="D58">
        <f t="shared" ca="1" si="34"/>
        <v>7</v>
      </c>
      <c r="E58">
        <f t="shared" ca="1" si="35"/>
        <v>1</v>
      </c>
      <c r="F58">
        <f t="shared" ca="1" si="36"/>
        <v>0</v>
      </c>
      <c r="G58">
        <f t="shared" ca="1" si="37"/>
        <v>1</v>
      </c>
      <c r="H58">
        <f ca="1">IF(OR($A58="S",$A58=0),0,MATCH(0,OFFSET($B58,1,$A58,ROW($A$202)-ROW($A58)),0))</f>
        <v>0</v>
      </c>
      <c r="I58">
        <f ca="1">IF(OR($A58="S",$A58=0),0,MATCH(OFFSET($B58,0,$A58)+1,OFFSET($B58,1,$A58,ROW($A$202)-ROW($A58)),0))</f>
        <v>0</v>
      </c>
      <c r="J58" s="388" t="s">
        <v>103</v>
      </c>
      <c r="K58" s="138" t="str">
        <f t="shared" ca="1" si="38"/>
        <v>1.7.1.1.</v>
      </c>
      <c r="L58" s="370" t="s">
        <v>234</v>
      </c>
      <c r="M58" s="382" t="s">
        <v>315</v>
      </c>
      <c r="N58" s="368" t="s">
        <v>434</v>
      </c>
      <c r="O58" s="377" t="s">
        <v>288</v>
      </c>
      <c r="P58" s="363">
        <v>4.08</v>
      </c>
      <c r="Q58" s="195"/>
      <c r="R58" s="198" t="s">
        <v>7</v>
      </c>
      <c r="S58" s="103">
        <f t="shared" si="28"/>
        <v>0</v>
      </c>
      <c r="T58" s="83">
        <f t="shared" si="29"/>
        <v>0</v>
      </c>
      <c r="U58" s="9" t="str">
        <f t="shared" si="39"/>
        <v>SEM VALOR</v>
      </c>
      <c r="V58" s="1" t="str">
        <f ca="1">IF(OR($A58=0,$A58="S",$A58&gt;CFF!$A$9),"",MAX(V$12:OFFSET(V58,-1,0))+1)</f>
        <v/>
      </c>
      <c r="W58" s="4" t="str">
        <f t="shared" si="40"/>
        <v>PM BENTO-107</v>
      </c>
      <c r="X58" s="1">
        <f t="shared" ca="1" si="30"/>
        <v>45</v>
      </c>
      <c r="Y58" s="103">
        <v>29.46</v>
      </c>
      <c r="Z58" s="113">
        <f ca="1">ROUND(IF(ISNUMBER(R58),R58,IF(LEFT(R58,3)="BDI",HLOOKUP(R58,DADOS!$T$37:$X$38,2,FALSE),0)),15-11*$X$5)</f>
        <v>0.2354</v>
      </c>
      <c r="AA58" s="1"/>
    </row>
    <row r="59" spans="1:27" ht="25.5" x14ac:dyDescent="0.2">
      <c r="A59" t="str">
        <f t="shared" si="31"/>
        <v>S</v>
      </c>
      <c r="B59">
        <f t="shared" si="32"/>
        <v>0</v>
      </c>
      <c r="C59">
        <f t="shared" ca="1" si="33"/>
        <v>1</v>
      </c>
      <c r="D59">
        <f t="shared" ca="1" si="34"/>
        <v>7</v>
      </c>
      <c r="E59">
        <f t="shared" ca="1" si="35"/>
        <v>1</v>
      </c>
      <c r="F59">
        <f t="shared" ca="1" si="36"/>
        <v>0</v>
      </c>
      <c r="G59">
        <f t="shared" ca="1" si="37"/>
        <v>2</v>
      </c>
      <c r="H59">
        <f ca="1">IF(OR($A59="S",$A59=0),0,MATCH(0,OFFSET($B59,1,$A59,ROW($A$202)-ROW($A59)),0))</f>
        <v>0</v>
      </c>
      <c r="I59">
        <f ca="1">IF(OR($A59="S",$A59=0),0,MATCH(OFFSET($B59,0,$A59)+1,OFFSET($B59,1,$A59,ROW($A$202)-ROW($A59)),0))</f>
        <v>0</v>
      </c>
      <c r="J59" s="388" t="s">
        <v>103</v>
      </c>
      <c r="K59" s="138" t="str">
        <f t="shared" ca="1" si="38"/>
        <v>1.7.1.2.</v>
      </c>
      <c r="L59" s="370" t="s">
        <v>234</v>
      </c>
      <c r="M59" s="382" t="s">
        <v>316</v>
      </c>
      <c r="N59" s="368" t="s">
        <v>435</v>
      </c>
      <c r="O59" s="377" t="s">
        <v>521</v>
      </c>
      <c r="P59" s="363">
        <v>1.57</v>
      </c>
      <c r="Q59" s="195"/>
      <c r="R59" s="198" t="s">
        <v>7</v>
      </c>
      <c r="S59" s="103">
        <f t="shared" si="28"/>
        <v>0</v>
      </c>
      <c r="T59" s="83">
        <f t="shared" si="29"/>
        <v>0</v>
      </c>
      <c r="U59" s="9" t="str">
        <f t="shared" si="39"/>
        <v>SEM VALOR</v>
      </c>
      <c r="V59" s="1" t="str">
        <f ca="1">IF(OR($A59=0,$A59="S",$A59&gt;CFF!$A$9),"",MAX(V$12:OFFSET(V59,-1,0))+1)</f>
        <v/>
      </c>
      <c r="W59" s="4" t="str">
        <f t="shared" si="40"/>
        <v>PM BENTO-104</v>
      </c>
      <c r="X59" s="1">
        <f t="shared" ca="1" si="30"/>
        <v>42</v>
      </c>
      <c r="Y59" s="103">
        <v>155.63999999999999</v>
      </c>
      <c r="Z59" s="113">
        <f ca="1">ROUND(IF(ISNUMBER(R59),R59,IF(LEFT(R59,3)="BDI",HLOOKUP(R59,DADOS!$T$37:$X$38,2,FALSE),0)),15-11*$X$5)</f>
        <v>0.2354</v>
      </c>
      <c r="AA59" s="1"/>
    </row>
    <row r="60" spans="1:27" ht="25.5" x14ac:dyDescent="0.2">
      <c r="A60" t="str">
        <f t="shared" si="31"/>
        <v>S</v>
      </c>
      <c r="B60">
        <f t="shared" si="32"/>
        <v>0</v>
      </c>
      <c r="C60">
        <f t="shared" ca="1" si="33"/>
        <v>1</v>
      </c>
      <c r="D60">
        <f t="shared" ca="1" si="34"/>
        <v>7</v>
      </c>
      <c r="E60">
        <f t="shared" ca="1" si="35"/>
        <v>1</v>
      </c>
      <c r="F60">
        <f t="shared" ca="1" si="36"/>
        <v>0</v>
      </c>
      <c r="G60">
        <f t="shared" ca="1" si="37"/>
        <v>3</v>
      </c>
      <c r="H60">
        <f ca="1">IF(OR($A60="S",$A60=0),0,MATCH(0,OFFSET($B60,1,$A60,ROW($A$202)-ROW($A60)),0))</f>
        <v>0</v>
      </c>
      <c r="I60">
        <f ca="1">IF(OR($A60="S",$A60=0),0,MATCH(OFFSET($B60,0,$A60)+1,OFFSET($B60,1,$A60,ROW($A$202)-ROW($A60)),0))</f>
        <v>0</v>
      </c>
      <c r="J60" s="388" t="s">
        <v>103</v>
      </c>
      <c r="K60" s="138" t="str">
        <f t="shared" ca="1" si="38"/>
        <v>1.7.1.3.</v>
      </c>
      <c r="L60" s="370" t="s">
        <v>234</v>
      </c>
      <c r="M60" s="382" t="s">
        <v>317</v>
      </c>
      <c r="N60" s="368" t="s">
        <v>436</v>
      </c>
      <c r="O60" s="377" t="s">
        <v>521</v>
      </c>
      <c r="P60" s="363">
        <v>3.61</v>
      </c>
      <c r="Q60" s="195"/>
      <c r="R60" s="198" t="s">
        <v>7</v>
      </c>
      <c r="S60" s="103">
        <f t="shared" ref="S60:S91" si="41">IF($A60="S",IF($Q$10="Preço Unitário (R$)",PO.CustoUnitario,ROUND(PO.CustoUnitario*(1+$Z60),15-13*$X$6)),0)</f>
        <v>0</v>
      </c>
      <c r="T60" s="83">
        <f t="shared" ref="T60:T91" si="42">IF($A60="S",VTOTAL1,IF($A60=0,0,ROUND(SomaAgrup,15-13*$X$7)))</f>
        <v>0</v>
      </c>
      <c r="U60" s="9" t="str">
        <f t="shared" si="39"/>
        <v>SEM VALOR</v>
      </c>
      <c r="V60" s="1" t="str">
        <f ca="1">IF(OR($A60=0,$A60="S",$A60&gt;CFF!$A$9),"",MAX(V$12:OFFSET(V60,-1,0))+1)</f>
        <v/>
      </c>
      <c r="W60" s="4" t="str">
        <f t="shared" si="40"/>
        <v>PM BENTO-105</v>
      </c>
      <c r="X60" s="1">
        <f t="shared" ref="X60:X91" ca="1" si="43">IF(AND(Fonte&lt;&gt;"",Código&lt;&gt;""),MATCH(Fonte&amp;" "&amp;IF(Fonte="sinapi",SUBSTITUTE(SUBSTITUTE(Código,"/00","/"),"/0","/"),Código),INDIRECT("'[Referência "&amp;_xlnm.Database&amp;".xls]Banco'!$a:$a"),0),"X")</f>
        <v>43</v>
      </c>
      <c r="Y60" s="103">
        <v>235.54</v>
      </c>
      <c r="Z60" s="113">
        <f ca="1">ROUND(IF(ISNUMBER(R60),R60,IF(LEFT(R60,3)="BDI",HLOOKUP(R60,DADOS!$T$37:$X$38,2,FALSE),0)),15-11*$X$5)</f>
        <v>0.2354</v>
      </c>
      <c r="AA60" s="1"/>
    </row>
    <row r="61" spans="1:27" ht="25.5" x14ac:dyDescent="0.2">
      <c r="A61" t="str">
        <f t="shared" si="31"/>
        <v>S</v>
      </c>
      <c r="B61">
        <f t="shared" si="32"/>
        <v>0</v>
      </c>
      <c r="C61">
        <f t="shared" ca="1" si="33"/>
        <v>1</v>
      </c>
      <c r="D61">
        <f t="shared" ca="1" si="34"/>
        <v>7</v>
      </c>
      <c r="E61">
        <f t="shared" ca="1" si="35"/>
        <v>1</v>
      </c>
      <c r="F61">
        <f t="shared" ca="1" si="36"/>
        <v>0</v>
      </c>
      <c r="G61">
        <f t="shared" ca="1" si="37"/>
        <v>4</v>
      </c>
      <c r="H61">
        <f ca="1">IF(OR($A61="S",$A61=0),0,MATCH(0,OFFSET($B61,1,$A61,ROW($A$202)-ROW($A61)),0))</f>
        <v>0</v>
      </c>
      <c r="I61">
        <f ca="1">IF(OR($A61="S",$A61=0),0,MATCH(OFFSET($B61,0,$A61)+1,OFFSET($B61,1,$A61,ROW($A$202)-ROW($A61)),0))</f>
        <v>0</v>
      </c>
      <c r="J61" s="388" t="s">
        <v>103</v>
      </c>
      <c r="K61" s="138" t="str">
        <f t="shared" ca="1" si="38"/>
        <v>1.7.1.4.</v>
      </c>
      <c r="L61" s="370" t="s">
        <v>234</v>
      </c>
      <c r="M61" s="382" t="s">
        <v>318</v>
      </c>
      <c r="N61" s="368" t="s">
        <v>437</v>
      </c>
      <c r="O61" s="377" t="s">
        <v>523</v>
      </c>
      <c r="P61" s="363">
        <v>1</v>
      </c>
      <c r="Q61" s="195"/>
      <c r="R61" s="198" t="s">
        <v>7</v>
      </c>
      <c r="S61" s="103">
        <f t="shared" si="41"/>
        <v>0</v>
      </c>
      <c r="T61" s="83">
        <f t="shared" si="42"/>
        <v>0</v>
      </c>
      <c r="U61" s="9" t="str">
        <f t="shared" si="39"/>
        <v>SEM VALOR</v>
      </c>
      <c r="V61" s="1" t="str">
        <f ca="1">IF(OR($A61=0,$A61="S",$A61&gt;CFF!$A$9),"",MAX(V$12:OFFSET(V61,-1,0))+1)</f>
        <v/>
      </c>
      <c r="W61" s="4" t="str">
        <f t="shared" si="40"/>
        <v>PM BENTO-106</v>
      </c>
      <c r="X61" s="1">
        <f t="shared" ca="1" si="43"/>
        <v>44</v>
      </c>
      <c r="Y61" s="103">
        <v>1057.68</v>
      </c>
      <c r="Z61" s="113">
        <f ca="1">ROUND(IF(ISNUMBER(R61),R61,IF(LEFT(R61,3)="BDI",HLOOKUP(R61,DADOS!$T$37:$X$38,2,FALSE),0)),15-11*$X$5)</f>
        <v>0.2354</v>
      </c>
      <c r="AA61" s="1"/>
    </row>
    <row r="62" spans="1:27" x14ac:dyDescent="0.2">
      <c r="A62" t="str">
        <f t="shared" si="31"/>
        <v>S</v>
      </c>
      <c r="B62">
        <f t="shared" si="32"/>
        <v>0</v>
      </c>
      <c r="C62">
        <f t="shared" ca="1" si="33"/>
        <v>1</v>
      </c>
      <c r="D62">
        <f t="shared" ca="1" si="34"/>
        <v>7</v>
      </c>
      <c r="E62">
        <f t="shared" ca="1" si="35"/>
        <v>1</v>
      </c>
      <c r="F62">
        <f t="shared" ca="1" si="36"/>
        <v>0</v>
      </c>
      <c r="G62">
        <f t="shared" ca="1" si="37"/>
        <v>5</v>
      </c>
      <c r="H62">
        <f ca="1">IF(OR($A62="S",$A62=0),0,MATCH(0,OFFSET($B62,1,$A62,ROW($A$202)-ROW($A62)),0))</f>
        <v>0</v>
      </c>
      <c r="I62">
        <f ca="1">IF(OR($A62="S",$A62=0),0,MATCH(OFFSET($B62,0,$A62)+1,OFFSET($B62,1,$A62,ROW($A$202)-ROW($A62)),0))</f>
        <v>0</v>
      </c>
      <c r="J62" s="388" t="s">
        <v>103</v>
      </c>
      <c r="K62" s="138" t="str">
        <f t="shared" ca="1" si="38"/>
        <v>1.7.1.5.</v>
      </c>
      <c r="L62" s="370" t="s">
        <v>230</v>
      </c>
      <c r="M62" s="382" t="s">
        <v>319</v>
      </c>
      <c r="N62" s="368" t="s">
        <v>438</v>
      </c>
      <c r="O62" s="377" t="s">
        <v>521</v>
      </c>
      <c r="P62" s="363">
        <v>7.92</v>
      </c>
      <c r="Q62" s="195"/>
      <c r="R62" s="198" t="s">
        <v>7</v>
      </c>
      <c r="S62" s="103">
        <f t="shared" si="41"/>
        <v>0</v>
      </c>
      <c r="T62" s="83">
        <f t="shared" si="42"/>
        <v>0</v>
      </c>
      <c r="U62" s="9" t="str">
        <f t="shared" si="39"/>
        <v>SEM VALOR</v>
      </c>
      <c r="V62" s="1" t="str">
        <f ca="1">IF(OR($A62=0,$A62="S",$A62&gt;CFF!$A$9),"",MAX(V$12:OFFSET(V62,-1,0))+1)</f>
        <v/>
      </c>
      <c r="W62" s="4" t="str">
        <f t="shared" si="40"/>
        <v>SINAPI-100701</v>
      </c>
      <c r="X62" s="1">
        <f t="shared" ca="1" si="43"/>
        <v>8702</v>
      </c>
      <c r="Y62" s="103">
        <v>847.05</v>
      </c>
      <c r="Z62" s="113">
        <f ca="1">ROUND(IF(ISNUMBER(R62),R62,IF(LEFT(R62,3)="BDI",HLOOKUP(R62,DADOS!$T$37:$X$38,2,FALSE),0)),15-11*$X$5)</f>
        <v>0.2354</v>
      </c>
      <c r="AA62" s="1"/>
    </row>
    <row r="63" spans="1:27" x14ac:dyDescent="0.2">
      <c r="A63" t="str">
        <f t="shared" si="31"/>
        <v>S</v>
      </c>
      <c r="B63">
        <f t="shared" si="32"/>
        <v>0</v>
      </c>
      <c r="C63">
        <f t="shared" ca="1" si="33"/>
        <v>1</v>
      </c>
      <c r="D63">
        <f t="shared" ca="1" si="34"/>
        <v>7</v>
      </c>
      <c r="E63">
        <f t="shared" ca="1" si="35"/>
        <v>1</v>
      </c>
      <c r="F63">
        <f t="shared" ca="1" si="36"/>
        <v>0</v>
      </c>
      <c r="G63">
        <f t="shared" ca="1" si="37"/>
        <v>6</v>
      </c>
      <c r="H63">
        <f ca="1">IF(OR($A63="S",$A63=0),0,MATCH(0,OFFSET($B63,1,$A63,ROW($A$202)-ROW($A63)),0))</f>
        <v>0</v>
      </c>
      <c r="I63">
        <f ca="1">IF(OR($A63="S",$A63=0),0,MATCH(OFFSET($B63,0,$A63)+1,OFFSET($B63,1,$A63,ROW($A$202)-ROW($A63)),0))</f>
        <v>0</v>
      </c>
      <c r="J63" s="388" t="s">
        <v>103</v>
      </c>
      <c r="K63" s="138" t="str">
        <f t="shared" ca="1" si="38"/>
        <v>1.7.1.6.</v>
      </c>
      <c r="L63" s="370" t="s">
        <v>230</v>
      </c>
      <c r="M63" s="382" t="s">
        <v>320</v>
      </c>
      <c r="N63" s="368" t="s">
        <v>439</v>
      </c>
      <c r="O63" s="377" t="s">
        <v>521</v>
      </c>
      <c r="P63" s="363">
        <v>1.57</v>
      </c>
      <c r="Q63" s="195"/>
      <c r="R63" s="198" t="s">
        <v>7</v>
      </c>
      <c r="S63" s="103">
        <f t="shared" si="41"/>
        <v>0</v>
      </c>
      <c r="T63" s="83">
        <f t="shared" si="42"/>
        <v>0</v>
      </c>
      <c r="U63" s="9" t="str">
        <f t="shared" si="39"/>
        <v>SEM VALOR</v>
      </c>
      <c r="V63" s="1" t="str">
        <f ca="1">IF(OR($A63=0,$A63="S",$A63&gt;CFF!$A$9),"",MAX(V$12:OFFSET(V63,-1,0))+1)</f>
        <v/>
      </c>
      <c r="W63" s="4" t="str">
        <f t="shared" si="40"/>
        <v>SINAPI-99861</v>
      </c>
      <c r="X63" s="1">
        <f t="shared" ca="1" si="43"/>
        <v>9471</v>
      </c>
      <c r="Y63" s="103">
        <v>639.42999999999995</v>
      </c>
      <c r="Z63" s="113">
        <f ca="1">ROUND(IF(ISNUMBER(R63),R63,IF(LEFT(R63,3)="BDI",HLOOKUP(R63,DADOS!$T$37:$X$38,2,FALSE),0)),15-11*$X$5)</f>
        <v>0.2354</v>
      </c>
      <c r="AA63" s="1"/>
    </row>
    <row r="64" spans="1:27" ht="25.5" x14ac:dyDescent="0.2">
      <c r="A64" t="str">
        <f t="shared" si="31"/>
        <v>S</v>
      </c>
      <c r="B64">
        <f t="shared" si="32"/>
        <v>0</v>
      </c>
      <c r="C64">
        <f t="shared" ca="1" si="33"/>
        <v>1</v>
      </c>
      <c r="D64">
        <f t="shared" ca="1" si="34"/>
        <v>7</v>
      </c>
      <c r="E64">
        <f t="shared" ca="1" si="35"/>
        <v>1</v>
      </c>
      <c r="F64">
        <f t="shared" ca="1" si="36"/>
        <v>0</v>
      </c>
      <c r="G64">
        <f t="shared" ca="1" si="37"/>
        <v>7</v>
      </c>
      <c r="H64">
        <f ca="1">IF(OR($A64="S",$A64=0),0,MATCH(0,OFFSET($B64,1,$A64,ROW($A$202)-ROW($A64)),0))</f>
        <v>0</v>
      </c>
      <c r="I64">
        <f ca="1">IF(OR($A64="S",$A64=0),0,MATCH(OFFSET($B64,0,$A64)+1,OFFSET($B64,1,$A64,ROW($A$202)-ROW($A64)),0))</f>
        <v>0</v>
      </c>
      <c r="J64" s="388" t="s">
        <v>103</v>
      </c>
      <c r="K64" s="138" t="str">
        <f t="shared" ca="1" si="38"/>
        <v>1.7.1.7.</v>
      </c>
      <c r="L64" s="370" t="s">
        <v>234</v>
      </c>
      <c r="M64" s="382" t="s">
        <v>321</v>
      </c>
      <c r="N64" s="368" t="s">
        <v>440</v>
      </c>
      <c r="O64" s="377" t="s">
        <v>523</v>
      </c>
      <c r="P64" s="363">
        <v>4</v>
      </c>
      <c r="Q64" s="195"/>
      <c r="R64" s="198" t="s">
        <v>7</v>
      </c>
      <c r="S64" s="103">
        <f t="shared" si="41"/>
        <v>0</v>
      </c>
      <c r="T64" s="83">
        <f t="shared" si="42"/>
        <v>0</v>
      </c>
      <c r="U64" s="9" t="str">
        <f t="shared" si="39"/>
        <v>SEM VALOR</v>
      </c>
      <c r="V64" s="1" t="str">
        <f ca="1">IF(OR($A64=0,$A64="S",$A64&gt;CFF!$A$9),"",MAX(V$12:OFFSET(V64,-1,0))+1)</f>
        <v/>
      </c>
      <c r="W64" s="4" t="str">
        <f t="shared" si="40"/>
        <v>PM BENTO-113</v>
      </c>
      <c r="X64" s="1">
        <f t="shared" ca="1" si="43"/>
        <v>51</v>
      </c>
      <c r="Y64" s="103">
        <v>1483.54</v>
      </c>
      <c r="Z64" s="113">
        <f ca="1">ROUND(IF(ISNUMBER(R64),R64,IF(LEFT(R64,3)="BDI",HLOOKUP(R64,DADOS!$T$37:$X$38,2,FALSE),0)),15-11*$X$5)</f>
        <v>0.2354</v>
      </c>
      <c r="AA64" s="1"/>
    </row>
    <row r="65" spans="1:27" x14ac:dyDescent="0.2">
      <c r="A65">
        <f t="shared" si="31"/>
        <v>3</v>
      </c>
      <c r="B65">
        <f t="shared" ca="1" si="32"/>
        <v>8</v>
      </c>
      <c r="C65">
        <f t="shared" ca="1" si="33"/>
        <v>1</v>
      </c>
      <c r="D65">
        <f t="shared" ca="1" si="34"/>
        <v>7</v>
      </c>
      <c r="E65">
        <f t="shared" ca="1" si="35"/>
        <v>2</v>
      </c>
      <c r="F65">
        <f t="shared" ca="1" si="36"/>
        <v>0</v>
      </c>
      <c r="G65">
        <f t="shared" ca="1" si="37"/>
        <v>0</v>
      </c>
      <c r="H65">
        <f ca="1">IF(OR($A65="S",$A65=0),0,MATCH(0,OFFSET($B65,1,$A65,ROW($A$202)-ROW($A65)),0))</f>
        <v>8</v>
      </c>
      <c r="I65">
        <f ca="1">IF(OR($A65="S",$A65=0),0,MATCH(OFFSET($B65,0,$A65)+1,OFFSET($B65,1,$A65,ROW($A$202)-ROW($A65)),0))</f>
        <v>35</v>
      </c>
      <c r="J65" s="388" t="s">
        <v>101</v>
      </c>
      <c r="K65" s="138" t="str">
        <f t="shared" ca="1" si="38"/>
        <v>1.7.2.</v>
      </c>
      <c r="L65" s="370" t="s">
        <v>230</v>
      </c>
      <c r="M65" s="382"/>
      <c r="N65" s="367" t="s">
        <v>373</v>
      </c>
      <c r="O65" s="377" t="s">
        <v>106</v>
      </c>
      <c r="P65" s="363" t="s">
        <v>363</v>
      </c>
      <c r="Q65" s="195"/>
      <c r="R65" s="198" t="s">
        <v>7</v>
      </c>
      <c r="S65" s="103">
        <f t="shared" si="41"/>
        <v>0</v>
      </c>
      <c r="T65" s="83">
        <f t="shared" ca="1" si="42"/>
        <v>0</v>
      </c>
      <c r="U65" s="9" t="str">
        <f t="shared" ca="1" si="39"/>
        <v>SEM VALOR</v>
      </c>
      <c r="V65" s="1" t="str">
        <f ca="1">IF(OR($A65=0,$A65="S",$A65&gt;CFF!$A$9),"",MAX(V$12:OFFSET(V65,-1,0))+1)</f>
        <v/>
      </c>
      <c r="W65" s="4" t="b">
        <f t="shared" si="40"/>
        <v>0</v>
      </c>
      <c r="X65" s="1" t="str">
        <f t="shared" ca="1" si="43"/>
        <v>X</v>
      </c>
      <c r="Y65" s="103">
        <v>0</v>
      </c>
      <c r="Z65" s="113">
        <f ca="1">ROUND(IF(ISNUMBER(R65),R65,IF(LEFT(R65,3)="BDI",HLOOKUP(R65,DADOS!$T$37:$X$38,2,FALSE),0)),15-11*$X$5)</f>
        <v>0.2354</v>
      </c>
      <c r="AA65" s="1"/>
    </row>
    <row r="66" spans="1:27" x14ac:dyDescent="0.2">
      <c r="A66" t="str">
        <f t="shared" si="31"/>
        <v>S</v>
      </c>
      <c r="B66">
        <f t="shared" si="32"/>
        <v>0</v>
      </c>
      <c r="C66">
        <f t="shared" ca="1" si="33"/>
        <v>1</v>
      </c>
      <c r="D66">
        <f t="shared" ca="1" si="34"/>
        <v>7</v>
      </c>
      <c r="E66">
        <f t="shared" ca="1" si="35"/>
        <v>2</v>
      </c>
      <c r="F66">
        <f t="shared" ca="1" si="36"/>
        <v>0</v>
      </c>
      <c r="G66">
        <f t="shared" ca="1" si="37"/>
        <v>1</v>
      </c>
      <c r="H66">
        <f ca="1">IF(OR($A66="S",$A66=0),0,MATCH(0,OFFSET($B66,1,$A66,ROW($A$202)-ROW($A66)),0))</f>
        <v>0</v>
      </c>
      <c r="I66">
        <f ca="1">IF(OR($A66="S",$A66=0),0,MATCH(OFFSET($B66,0,$A66)+1,OFFSET($B66,1,$A66,ROW($A$202)-ROW($A66)),0))</f>
        <v>0</v>
      </c>
      <c r="J66" s="388" t="s">
        <v>103</v>
      </c>
      <c r="K66" s="138" t="str">
        <f t="shared" ca="1" si="38"/>
        <v>1.7.2.1.</v>
      </c>
      <c r="L66" s="370" t="s">
        <v>230</v>
      </c>
      <c r="M66" s="382" t="s">
        <v>312</v>
      </c>
      <c r="N66" s="368" t="s">
        <v>431</v>
      </c>
      <c r="O66" s="377" t="s">
        <v>521</v>
      </c>
      <c r="P66" s="363">
        <v>3.44</v>
      </c>
      <c r="Q66" s="195"/>
      <c r="R66" s="198" t="s">
        <v>7</v>
      </c>
      <c r="S66" s="103">
        <f t="shared" si="41"/>
        <v>0</v>
      </c>
      <c r="T66" s="83">
        <f t="shared" si="42"/>
        <v>0</v>
      </c>
      <c r="U66" s="9" t="str">
        <f t="shared" si="39"/>
        <v>SEM VALOR</v>
      </c>
      <c r="V66" s="1" t="str">
        <f ca="1">IF(OR($A66=0,$A66="S",$A66&gt;CFF!$A$9),"",MAX(V$12:OFFSET(V66,-1,0))+1)</f>
        <v/>
      </c>
      <c r="W66" s="4" t="str">
        <f t="shared" si="40"/>
        <v>SINAPI-102193</v>
      </c>
      <c r="X66" s="1">
        <f t="shared" ca="1" si="43"/>
        <v>13284</v>
      </c>
      <c r="Y66" s="103">
        <v>2.83</v>
      </c>
      <c r="Z66" s="113">
        <f ca="1">ROUND(IF(ISNUMBER(R66),R66,IF(LEFT(R66,3)="BDI",HLOOKUP(R66,DADOS!$T$37:$X$38,2,FALSE),0)),15-11*$X$5)</f>
        <v>0.2354</v>
      </c>
      <c r="AA66" s="1"/>
    </row>
    <row r="67" spans="1:27" x14ac:dyDescent="0.2">
      <c r="A67" t="str">
        <f t="shared" si="31"/>
        <v>S</v>
      </c>
      <c r="B67">
        <f t="shared" si="32"/>
        <v>0</v>
      </c>
      <c r="C67">
        <f t="shared" ca="1" si="33"/>
        <v>1</v>
      </c>
      <c r="D67">
        <f t="shared" ca="1" si="34"/>
        <v>7</v>
      </c>
      <c r="E67">
        <f t="shared" ca="1" si="35"/>
        <v>2</v>
      </c>
      <c r="F67">
        <f t="shared" ca="1" si="36"/>
        <v>0</v>
      </c>
      <c r="G67">
        <f t="shared" ca="1" si="37"/>
        <v>2</v>
      </c>
      <c r="H67">
        <f ca="1">IF(OR($A67="S",$A67=0),0,MATCH(0,OFFSET($B67,1,$A67,ROW($A$202)-ROW($A67)),0))</f>
        <v>0</v>
      </c>
      <c r="I67">
        <f ca="1">IF(OR($A67="S",$A67=0),0,MATCH(OFFSET($B67,0,$A67)+1,OFFSET($B67,1,$A67,ROW($A$202)-ROW($A67)),0))</f>
        <v>0</v>
      </c>
      <c r="J67" s="388" t="s">
        <v>103</v>
      </c>
      <c r="K67" s="138" t="str">
        <f t="shared" ca="1" si="38"/>
        <v>1.7.2.2.</v>
      </c>
      <c r="L67" s="370" t="s">
        <v>230</v>
      </c>
      <c r="M67" s="382" t="s">
        <v>313</v>
      </c>
      <c r="N67" s="368" t="s">
        <v>432</v>
      </c>
      <c r="O67" s="377" t="s">
        <v>521</v>
      </c>
      <c r="P67" s="363">
        <v>3.44</v>
      </c>
      <c r="Q67" s="195"/>
      <c r="R67" s="198" t="s">
        <v>7</v>
      </c>
      <c r="S67" s="103">
        <f t="shared" si="41"/>
        <v>0</v>
      </c>
      <c r="T67" s="83">
        <f t="shared" si="42"/>
        <v>0</v>
      </c>
      <c r="U67" s="9" t="str">
        <f t="shared" si="39"/>
        <v>SEM VALOR</v>
      </c>
      <c r="V67" s="1" t="str">
        <f ca="1">IF(OR($A67=0,$A67="S",$A67&gt;CFF!$A$9),"",MAX(V$12:OFFSET(V67,-1,0))+1)</f>
        <v/>
      </c>
      <c r="W67" s="4" t="str">
        <f t="shared" si="40"/>
        <v>SINAPI-102197</v>
      </c>
      <c r="X67" s="1">
        <f t="shared" ca="1" si="43"/>
        <v>13287</v>
      </c>
      <c r="Y67" s="103">
        <v>38.979999999999997</v>
      </c>
      <c r="Z67" s="113">
        <f ca="1">ROUND(IF(ISNUMBER(R67),R67,IF(LEFT(R67,3)="BDI",HLOOKUP(R67,DADOS!$T$37:$X$38,2,FALSE),0)),15-11*$X$5)</f>
        <v>0.2354</v>
      </c>
      <c r="AA67" s="1"/>
    </row>
    <row r="68" spans="1:27" ht="25.5" x14ac:dyDescent="0.2">
      <c r="A68" t="str">
        <f t="shared" si="31"/>
        <v>S</v>
      </c>
      <c r="B68">
        <f t="shared" si="32"/>
        <v>0</v>
      </c>
      <c r="C68">
        <f t="shared" ca="1" si="33"/>
        <v>1</v>
      </c>
      <c r="D68">
        <f t="shared" ca="1" si="34"/>
        <v>7</v>
      </c>
      <c r="E68">
        <f t="shared" ca="1" si="35"/>
        <v>2</v>
      </c>
      <c r="F68">
        <f t="shared" ca="1" si="36"/>
        <v>0</v>
      </c>
      <c r="G68">
        <f t="shared" ca="1" si="37"/>
        <v>3</v>
      </c>
      <c r="H68">
        <f ca="1">IF(OR($A68="S",$A68=0),0,MATCH(0,OFFSET($B68,1,$A68,ROW($A$202)-ROW($A68)),0))</f>
        <v>0</v>
      </c>
      <c r="I68">
        <f ca="1">IF(OR($A68="S",$A68=0),0,MATCH(OFFSET($B68,0,$A68)+1,OFFSET($B68,1,$A68,ROW($A$202)-ROW($A68)),0))</f>
        <v>0</v>
      </c>
      <c r="J68" s="388" t="s">
        <v>103</v>
      </c>
      <c r="K68" s="138" t="str">
        <f t="shared" ca="1" si="38"/>
        <v>1.7.2.3.</v>
      </c>
      <c r="L68" s="370" t="s">
        <v>230</v>
      </c>
      <c r="M68" s="382" t="s">
        <v>314</v>
      </c>
      <c r="N68" s="368" t="s">
        <v>433</v>
      </c>
      <c r="O68" s="377" t="s">
        <v>521</v>
      </c>
      <c r="P68" s="363">
        <v>3.44</v>
      </c>
      <c r="Q68" s="195"/>
      <c r="R68" s="198" t="s">
        <v>7</v>
      </c>
      <c r="S68" s="103">
        <f t="shared" si="41"/>
        <v>0</v>
      </c>
      <c r="T68" s="83">
        <f t="shared" si="42"/>
        <v>0</v>
      </c>
      <c r="U68" s="9" t="str">
        <f t="shared" si="39"/>
        <v>SEM VALOR</v>
      </c>
      <c r="V68" s="1" t="str">
        <f ca="1">IF(OR($A68=0,$A68="S",$A68&gt;CFF!$A$9),"",MAX(V$12:OFFSET(V68,-1,0))+1)</f>
        <v/>
      </c>
      <c r="W68" s="4" t="str">
        <f t="shared" si="40"/>
        <v>SINAPI-102219</v>
      </c>
      <c r="X68" s="1">
        <f t="shared" ca="1" si="43"/>
        <v>13300</v>
      </c>
      <c r="Y68" s="103">
        <v>22.83</v>
      </c>
      <c r="Z68" s="113">
        <f ca="1">ROUND(IF(ISNUMBER(R68),R68,IF(LEFT(R68,3)="BDI",HLOOKUP(R68,DADOS!$T$37:$X$38,2,FALSE),0)),15-11*$X$5)</f>
        <v>0.2354</v>
      </c>
      <c r="AA68" s="1"/>
    </row>
    <row r="69" spans="1:27" x14ac:dyDescent="0.2">
      <c r="A69" t="str">
        <f t="shared" si="31"/>
        <v>S</v>
      </c>
      <c r="B69">
        <f t="shared" si="32"/>
        <v>0</v>
      </c>
      <c r="C69">
        <f t="shared" ca="1" si="33"/>
        <v>1</v>
      </c>
      <c r="D69">
        <f t="shared" ca="1" si="34"/>
        <v>7</v>
      </c>
      <c r="E69">
        <f t="shared" ca="1" si="35"/>
        <v>2</v>
      </c>
      <c r="F69">
        <f t="shared" ca="1" si="36"/>
        <v>0</v>
      </c>
      <c r="G69">
        <f t="shared" ca="1" si="37"/>
        <v>4</v>
      </c>
      <c r="H69">
        <f ca="1">IF(OR($A69="S",$A69=0),0,MATCH(0,OFFSET($B69,1,$A69,ROW($A$202)-ROW($A69)),0))</f>
        <v>0</v>
      </c>
      <c r="I69">
        <f ca="1">IF(OR($A69="S",$A69=0),0,MATCH(OFFSET($B69,0,$A69)+1,OFFSET($B69,1,$A69,ROW($A$202)-ROW($A69)),0))</f>
        <v>0</v>
      </c>
      <c r="J69" s="388" t="s">
        <v>103</v>
      </c>
      <c r="K69" s="138" t="str">
        <f t="shared" ca="1" si="38"/>
        <v>1.7.2.4.</v>
      </c>
      <c r="L69" s="370" t="s">
        <v>230</v>
      </c>
      <c r="M69" s="382" t="s">
        <v>242</v>
      </c>
      <c r="N69" s="368" t="s">
        <v>441</v>
      </c>
      <c r="O69" s="377" t="s">
        <v>521</v>
      </c>
      <c r="P69" s="363">
        <v>112.15</v>
      </c>
      <c r="Q69" s="195"/>
      <c r="R69" s="198" t="s">
        <v>7</v>
      </c>
      <c r="S69" s="103">
        <f t="shared" si="41"/>
        <v>0</v>
      </c>
      <c r="T69" s="83">
        <f t="shared" si="42"/>
        <v>0</v>
      </c>
      <c r="U69" s="9" t="str">
        <f t="shared" si="39"/>
        <v>SEM VALOR</v>
      </c>
      <c r="V69" s="1" t="str">
        <f ca="1">IF(OR($A69=0,$A69="S",$A69&gt;CFF!$A$9),"",MAX(V$12:OFFSET(V69,-1,0))+1)</f>
        <v/>
      </c>
      <c r="W69" s="4" t="str">
        <f t="shared" si="40"/>
        <v>SINAPI-100717</v>
      </c>
      <c r="X69" s="1">
        <f t="shared" ca="1" si="43"/>
        <v>13325</v>
      </c>
      <c r="Y69" s="103">
        <v>13.29</v>
      </c>
      <c r="Z69" s="113">
        <f ca="1">ROUND(IF(ISNUMBER(R69),R69,IF(LEFT(R69,3)="BDI",HLOOKUP(R69,DADOS!$T$37:$X$38,2,FALSE),0)),15-11*$X$5)</f>
        <v>0.2354</v>
      </c>
      <c r="AA69" s="1"/>
    </row>
    <row r="70" spans="1:27" ht="25.5" x14ac:dyDescent="0.2">
      <c r="A70" t="str">
        <f t="shared" si="31"/>
        <v>S</v>
      </c>
      <c r="B70">
        <f t="shared" si="32"/>
        <v>0</v>
      </c>
      <c r="C70">
        <f t="shared" ca="1" si="33"/>
        <v>1</v>
      </c>
      <c r="D70">
        <f t="shared" ca="1" si="34"/>
        <v>7</v>
      </c>
      <c r="E70">
        <f t="shared" ca="1" si="35"/>
        <v>2</v>
      </c>
      <c r="F70">
        <f t="shared" ca="1" si="36"/>
        <v>0</v>
      </c>
      <c r="G70">
        <f t="shared" ca="1" si="37"/>
        <v>5</v>
      </c>
      <c r="H70">
        <f ca="1">IF(OR($A70="S",$A70=0),0,MATCH(0,OFFSET($B70,1,$A70,ROW($A$202)-ROW($A70)),0))</f>
        <v>0</v>
      </c>
      <c r="I70">
        <f ca="1">IF(OR($A70="S",$A70=0),0,MATCH(OFFSET($B70,0,$A70)+1,OFFSET($B70,1,$A70,ROW($A$202)-ROW($A70)),0))</f>
        <v>0</v>
      </c>
      <c r="J70" s="388" t="s">
        <v>103</v>
      </c>
      <c r="K70" s="138" t="str">
        <f t="shared" ca="1" si="38"/>
        <v>1.7.2.5.</v>
      </c>
      <c r="L70" s="370" t="s">
        <v>230</v>
      </c>
      <c r="M70" s="382" t="s">
        <v>322</v>
      </c>
      <c r="N70" s="368" t="s">
        <v>442</v>
      </c>
      <c r="O70" s="377" t="s">
        <v>521</v>
      </c>
      <c r="P70" s="363">
        <v>112.15</v>
      </c>
      <c r="Q70" s="195"/>
      <c r="R70" s="198" t="s">
        <v>7</v>
      </c>
      <c r="S70" s="103">
        <f t="shared" si="41"/>
        <v>0</v>
      </c>
      <c r="T70" s="83">
        <f t="shared" si="42"/>
        <v>0</v>
      </c>
      <c r="U70" s="9" t="str">
        <f t="shared" si="39"/>
        <v>SEM VALOR</v>
      </c>
      <c r="V70" s="1" t="str">
        <f ca="1">IF(OR($A70=0,$A70="S",$A70&gt;CFF!$A$9),"",MAX(V$12:OFFSET(V70,-1,0))+1)</f>
        <v/>
      </c>
      <c r="W70" s="4" t="str">
        <f t="shared" si="40"/>
        <v>SINAPI-100722</v>
      </c>
      <c r="X70" s="1">
        <f t="shared" ca="1" si="43"/>
        <v>13351</v>
      </c>
      <c r="Y70" s="103">
        <v>32.97</v>
      </c>
      <c r="Z70" s="113">
        <f ca="1">ROUND(IF(ISNUMBER(R70),R70,IF(LEFT(R70,3)="BDI",HLOOKUP(R70,DADOS!$T$37:$X$38,2,FALSE),0)),15-11*$X$5)</f>
        <v>0.2354</v>
      </c>
      <c r="AA70" s="1"/>
    </row>
    <row r="71" spans="1:27" ht="25.5" x14ac:dyDescent="0.2">
      <c r="A71" t="str">
        <f t="shared" si="31"/>
        <v>S</v>
      </c>
      <c r="B71">
        <f t="shared" si="32"/>
        <v>0</v>
      </c>
      <c r="C71">
        <f t="shared" ca="1" si="33"/>
        <v>1</v>
      </c>
      <c r="D71">
        <f t="shared" ca="1" si="34"/>
        <v>7</v>
      </c>
      <c r="E71">
        <f t="shared" ca="1" si="35"/>
        <v>2</v>
      </c>
      <c r="F71">
        <f t="shared" ca="1" si="36"/>
        <v>0</v>
      </c>
      <c r="G71">
        <f t="shared" ca="1" si="37"/>
        <v>6</v>
      </c>
      <c r="H71">
        <f ca="1">IF(OR($A71="S",$A71=0),0,MATCH(0,OFFSET($B71,1,$A71,ROW($A$202)-ROW($A71)),0))</f>
        <v>0</v>
      </c>
      <c r="I71">
        <f ca="1">IF(OR($A71="S",$A71=0),0,MATCH(OFFSET($B71,0,$A71)+1,OFFSET($B71,1,$A71,ROW($A$202)-ROW($A71)),0))</f>
        <v>0</v>
      </c>
      <c r="J71" s="388" t="s">
        <v>103</v>
      </c>
      <c r="K71" s="138" t="str">
        <f t="shared" ca="1" si="38"/>
        <v>1.7.2.6.</v>
      </c>
      <c r="L71" s="370" t="s">
        <v>230</v>
      </c>
      <c r="M71" s="382" t="s">
        <v>323</v>
      </c>
      <c r="N71" s="368" t="s">
        <v>443</v>
      </c>
      <c r="O71" s="377" t="s">
        <v>521</v>
      </c>
      <c r="P71" s="363">
        <v>112.15</v>
      </c>
      <c r="Q71" s="195"/>
      <c r="R71" s="198" t="s">
        <v>7</v>
      </c>
      <c r="S71" s="103">
        <f t="shared" si="41"/>
        <v>0</v>
      </c>
      <c r="T71" s="83">
        <f t="shared" si="42"/>
        <v>0</v>
      </c>
      <c r="U71" s="9" t="str">
        <f t="shared" si="39"/>
        <v>SEM VALOR</v>
      </c>
      <c r="V71" s="1" t="str">
        <f ca="1">IF(OR($A71=0,$A71="S",$A71&gt;CFF!$A$9),"",MAX(V$12:OFFSET(V71,-1,0))+1)</f>
        <v/>
      </c>
      <c r="W71" s="4" t="str">
        <f t="shared" si="40"/>
        <v>SINAPI-100742</v>
      </c>
      <c r="X71" s="1">
        <f t="shared" ca="1" si="43"/>
        <v>13334</v>
      </c>
      <c r="Y71" s="103">
        <v>33.71</v>
      </c>
      <c r="Z71" s="113">
        <f ca="1">ROUND(IF(ISNUMBER(R71),R71,IF(LEFT(R71,3)="BDI",HLOOKUP(R71,DADOS!$T$37:$X$38,2,FALSE),0)),15-11*$X$5)</f>
        <v>0.2354</v>
      </c>
      <c r="AA71" s="1"/>
    </row>
    <row r="72" spans="1:27" ht="25.5" x14ac:dyDescent="0.2">
      <c r="A72" t="str">
        <f t="shared" si="31"/>
        <v>S</v>
      </c>
      <c r="B72">
        <f t="shared" si="32"/>
        <v>0</v>
      </c>
      <c r="C72">
        <f t="shared" ca="1" si="33"/>
        <v>1</v>
      </c>
      <c r="D72">
        <f t="shared" ca="1" si="34"/>
        <v>7</v>
      </c>
      <c r="E72">
        <f t="shared" ca="1" si="35"/>
        <v>2</v>
      </c>
      <c r="F72">
        <f t="shared" ca="1" si="36"/>
        <v>0</v>
      </c>
      <c r="G72">
        <f t="shared" ca="1" si="37"/>
        <v>7</v>
      </c>
      <c r="H72">
        <f ca="1">IF(OR($A72="S",$A72=0),0,MATCH(0,OFFSET($B72,1,$A72,ROW($A$202)-ROW($A72)),0))</f>
        <v>0</v>
      </c>
      <c r="I72">
        <f ca="1">IF(OR($A72="S",$A72=0),0,MATCH(OFFSET($B72,0,$A72)+1,OFFSET($B72,1,$A72,ROW($A$202)-ROW($A72)),0))</f>
        <v>0</v>
      </c>
      <c r="J72" s="388" t="s">
        <v>103</v>
      </c>
      <c r="K72" s="138" t="str">
        <f t="shared" ca="1" si="38"/>
        <v>1.7.2.7.</v>
      </c>
      <c r="L72" s="370" t="s">
        <v>234</v>
      </c>
      <c r="M72" s="382" t="s">
        <v>324</v>
      </c>
      <c r="N72" s="368" t="s">
        <v>444</v>
      </c>
      <c r="O72" s="377" t="s">
        <v>523</v>
      </c>
      <c r="P72" s="363">
        <v>1</v>
      </c>
      <c r="Q72" s="195"/>
      <c r="R72" s="198" t="s">
        <v>7</v>
      </c>
      <c r="S72" s="103">
        <f t="shared" si="41"/>
        <v>0</v>
      </c>
      <c r="T72" s="83">
        <f t="shared" si="42"/>
        <v>0</v>
      </c>
      <c r="U72" s="9" t="str">
        <f t="shared" si="39"/>
        <v>SEM VALOR</v>
      </c>
      <c r="V72" s="1" t="str">
        <f ca="1">IF(OR($A72=0,$A72="S",$A72&gt;CFF!$A$9),"",MAX(V$12:OFFSET(V72,-1,0))+1)</f>
        <v/>
      </c>
      <c r="W72" s="4" t="str">
        <f t="shared" si="40"/>
        <v>PM BENTO-114</v>
      </c>
      <c r="X72" s="1">
        <f t="shared" ca="1" si="43"/>
        <v>52</v>
      </c>
      <c r="Y72" s="103">
        <v>638.6</v>
      </c>
      <c r="Z72" s="113">
        <f ca="1">ROUND(IF(ISNUMBER(R72),R72,IF(LEFT(R72,3)="BDI",HLOOKUP(R72,DADOS!$T$37:$X$38,2,FALSE),0)),15-11*$X$5)</f>
        <v>0.2354</v>
      </c>
      <c r="AA72" s="1"/>
    </row>
    <row r="73" spans="1:27" x14ac:dyDescent="0.2">
      <c r="A73">
        <f t="shared" si="31"/>
        <v>2</v>
      </c>
      <c r="B73">
        <f t="shared" ca="1" si="32"/>
        <v>4</v>
      </c>
      <c r="C73">
        <f t="shared" ca="1" si="33"/>
        <v>1</v>
      </c>
      <c r="D73">
        <f t="shared" ca="1" si="34"/>
        <v>8</v>
      </c>
      <c r="E73">
        <f t="shared" ca="1" si="35"/>
        <v>0</v>
      </c>
      <c r="F73">
        <f t="shared" ca="1" si="36"/>
        <v>0</v>
      </c>
      <c r="G73">
        <f t="shared" ca="1" si="37"/>
        <v>0</v>
      </c>
      <c r="H73">
        <f ca="1">IF(OR($A73="S",$A73=0),0,MATCH(0,OFFSET($B73,1,$A73,ROW($A$202)-ROW($A73)),0))</f>
        <v>129</v>
      </c>
      <c r="I73">
        <f ca="1">IF(OR($A73="S",$A73=0),0,MATCH(OFFSET($B73,0,$A73)+1,OFFSET($B73,1,$A73,ROW($A$202)-ROW($A73)),0))</f>
        <v>4</v>
      </c>
      <c r="J73" s="388" t="s">
        <v>100</v>
      </c>
      <c r="K73" s="138" t="str">
        <f t="shared" ca="1" si="38"/>
        <v>1.8.</v>
      </c>
      <c r="L73" s="370" t="s">
        <v>230</v>
      </c>
      <c r="M73" s="382"/>
      <c r="N73" s="369" t="s">
        <v>374</v>
      </c>
      <c r="O73" s="377" t="s">
        <v>106</v>
      </c>
      <c r="P73" s="363" t="s">
        <v>363</v>
      </c>
      <c r="Q73" s="195"/>
      <c r="R73" s="198" t="s">
        <v>7</v>
      </c>
      <c r="S73" s="103">
        <f t="shared" si="41"/>
        <v>0</v>
      </c>
      <c r="T73" s="83">
        <f t="shared" ca="1" si="42"/>
        <v>0</v>
      </c>
      <c r="U73" s="9" t="str">
        <f t="shared" ca="1" si="39"/>
        <v>SEM VALOR</v>
      </c>
      <c r="V73" s="1">
        <f ca="1">IF(OR($A73=0,$A73="S",$A73&gt;CFF!$A$9),"",MAX(V$12:OFFSET(V73,-1,0))+1)</f>
        <v>9</v>
      </c>
      <c r="W73" s="4" t="b">
        <f t="shared" si="40"/>
        <v>0</v>
      </c>
      <c r="X73" s="1" t="str">
        <f t="shared" ca="1" si="43"/>
        <v>X</v>
      </c>
      <c r="Y73" s="103">
        <v>0</v>
      </c>
      <c r="Z73" s="113">
        <f ca="1">ROUND(IF(ISNUMBER(R73),R73,IF(LEFT(R73,3)="BDI",HLOOKUP(R73,DADOS!$T$37:$X$38,2,FALSE),0)),15-11*$X$5)</f>
        <v>0.2354</v>
      </c>
      <c r="AA73" s="1"/>
    </row>
    <row r="74" spans="1:27" x14ac:dyDescent="0.2">
      <c r="A74" t="str">
        <f t="shared" si="31"/>
        <v>S</v>
      </c>
      <c r="B74">
        <f t="shared" si="32"/>
        <v>0</v>
      </c>
      <c r="C74">
        <f t="shared" ca="1" si="33"/>
        <v>1</v>
      </c>
      <c r="D74">
        <f t="shared" ca="1" si="34"/>
        <v>8</v>
      </c>
      <c r="E74">
        <f t="shared" ca="1" si="35"/>
        <v>0</v>
      </c>
      <c r="F74">
        <f t="shared" ca="1" si="36"/>
        <v>0</v>
      </c>
      <c r="G74">
        <f t="shared" ca="1" si="37"/>
        <v>1</v>
      </c>
      <c r="H74">
        <f ca="1">IF(OR($A74="S",$A74=0),0,MATCH(0,OFFSET($B74,1,$A74,ROW($A$202)-ROW($A74)),0))</f>
        <v>0</v>
      </c>
      <c r="I74">
        <f ca="1">IF(OR($A74="S",$A74=0),0,MATCH(OFFSET($B74,0,$A74)+1,OFFSET($B74,1,$A74,ROW($A$202)-ROW($A74)),0))</f>
        <v>0</v>
      </c>
      <c r="J74" s="388" t="s">
        <v>103</v>
      </c>
      <c r="K74" s="138" t="str">
        <f t="shared" ca="1" si="38"/>
        <v>1.8.0.1.</v>
      </c>
      <c r="L74" s="370" t="s">
        <v>230</v>
      </c>
      <c r="M74" s="382" t="s">
        <v>325</v>
      </c>
      <c r="N74" s="368" t="s">
        <v>445</v>
      </c>
      <c r="O74" s="377" t="s">
        <v>288</v>
      </c>
      <c r="P74" s="363">
        <v>113.38</v>
      </c>
      <c r="Q74" s="195"/>
      <c r="R74" s="198" t="s">
        <v>7</v>
      </c>
      <c r="S74" s="103">
        <f t="shared" si="41"/>
        <v>0</v>
      </c>
      <c r="T74" s="83">
        <f t="shared" si="42"/>
        <v>0</v>
      </c>
      <c r="U74" s="9" t="str">
        <f t="shared" si="39"/>
        <v>SEM VALOR</v>
      </c>
      <c r="V74" s="1" t="str">
        <f ca="1">IF(OR($A74=0,$A74="S",$A74&gt;CFF!$A$9),"",MAX(V$12:OFFSET(V74,-1,0))+1)</f>
        <v/>
      </c>
      <c r="W74" s="4" t="str">
        <f t="shared" si="40"/>
        <v>SINAPI-97632</v>
      </c>
      <c r="X74" s="1">
        <f t="shared" ca="1" si="43"/>
        <v>6867</v>
      </c>
      <c r="Y74" s="103">
        <v>3.68</v>
      </c>
      <c r="Z74" s="113">
        <f ca="1">ROUND(IF(ISNUMBER(R74),R74,IF(LEFT(R74,3)="BDI",HLOOKUP(R74,DADOS!$T$37:$X$38,2,FALSE),0)),15-11*$X$5)</f>
        <v>0.2354</v>
      </c>
      <c r="AA74" s="1"/>
    </row>
    <row r="75" spans="1:27" ht="25.5" x14ac:dyDescent="0.2">
      <c r="A75" t="str">
        <f t="shared" si="31"/>
        <v>S</v>
      </c>
      <c r="B75">
        <f t="shared" si="32"/>
        <v>0</v>
      </c>
      <c r="C75">
        <f t="shared" ca="1" si="33"/>
        <v>1</v>
      </c>
      <c r="D75">
        <f t="shared" ca="1" si="34"/>
        <v>8</v>
      </c>
      <c r="E75">
        <f t="shared" ca="1" si="35"/>
        <v>0</v>
      </c>
      <c r="F75">
        <f t="shared" ca="1" si="36"/>
        <v>0</v>
      </c>
      <c r="G75">
        <f t="shared" ca="1" si="37"/>
        <v>2</v>
      </c>
      <c r="H75">
        <f ca="1">IF(OR($A75="S",$A75=0),0,MATCH(0,OFFSET($B75,1,$A75,ROW($A$202)-ROW($A75)),0))</f>
        <v>0</v>
      </c>
      <c r="I75">
        <f ca="1">IF(OR($A75="S",$A75=0),0,MATCH(OFFSET($B75,0,$A75)+1,OFFSET($B75,1,$A75,ROW($A$202)-ROW($A75)),0))</f>
        <v>0</v>
      </c>
      <c r="J75" s="388" t="s">
        <v>103</v>
      </c>
      <c r="K75" s="138" t="str">
        <f t="shared" ca="1" si="38"/>
        <v>1.8.0.2.</v>
      </c>
      <c r="L75" s="370" t="s">
        <v>230</v>
      </c>
      <c r="M75" s="382" t="s">
        <v>326</v>
      </c>
      <c r="N75" s="368" t="s">
        <v>446</v>
      </c>
      <c r="O75" s="377" t="s">
        <v>521</v>
      </c>
      <c r="P75" s="363">
        <v>178.78</v>
      </c>
      <c r="Q75" s="195"/>
      <c r="R75" s="198" t="s">
        <v>7</v>
      </c>
      <c r="S75" s="103">
        <f t="shared" si="41"/>
        <v>0</v>
      </c>
      <c r="T75" s="83">
        <f t="shared" si="42"/>
        <v>0</v>
      </c>
      <c r="U75" s="9" t="str">
        <f t="shared" si="39"/>
        <v>SEM VALOR</v>
      </c>
      <c r="V75" s="1" t="str">
        <f ca="1">IF(OR($A75=0,$A75="S",$A75&gt;CFF!$A$9),"",MAX(V$12:OFFSET(V75,-1,0))+1)</f>
        <v/>
      </c>
      <c r="W75" s="4" t="str">
        <f t="shared" si="40"/>
        <v>SINAPI-101727</v>
      </c>
      <c r="X75" s="1">
        <f t="shared" ca="1" si="43"/>
        <v>13425</v>
      </c>
      <c r="Y75" s="103">
        <v>213.8</v>
      </c>
      <c r="Z75" s="113">
        <f ca="1">ROUND(IF(ISNUMBER(R75),R75,IF(LEFT(R75,3)="BDI",HLOOKUP(R75,DADOS!$T$37:$X$38,2,FALSE),0)),15-11*$X$5)</f>
        <v>0.2354</v>
      </c>
      <c r="AA75" s="1"/>
    </row>
    <row r="76" spans="1:27" x14ac:dyDescent="0.2">
      <c r="A76" t="str">
        <f t="shared" si="31"/>
        <v>S</v>
      </c>
      <c r="B76">
        <f t="shared" si="32"/>
        <v>0</v>
      </c>
      <c r="C76">
        <f t="shared" ca="1" si="33"/>
        <v>1</v>
      </c>
      <c r="D76">
        <f t="shared" ca="1" si="34"/>
        <v>8</v>
      </c>
      <c r="E76">
        <f t="shared" ca="1" si="35"/>
        <v>0</v>
      </c>
      <c r="F76">
        <f t="shared" ca="1" si="36"/>
        <v>0</v>
      </c>
      <c r="G76">
        <f t="shared" ca="1" si="37"/>
        <v>3</v>
      </c>
      <c r="H76">
        <f ca="1">IF(OR($A76="S",$A76=0),0,MATCH(0,OFFSET($B76,1,$A76,ROW($A$202)-ROW($A76)),0))</f>
        <v>0</v>
      </c>
      <c r="I76">
        <f ca="1">IF(OR($A76="S",$A76=0),0,MATCH(OFFSET($B76,0,$A76)+1,OFFSET($B76,1,$A76,ROW($A$202)-ROW($A76)),0))</f>
        <v>0</v>
      </c>
      <c r="J76" s="388" t="s">
        <v>103</v>
      </c>
      <c r="K76" s="138" t="str">
        <f t="shared" ca="1" si="38"/>
        <v>1.8.0.3.</v>
      </c>
      <c r="L76" s="370" t="s">
        <v>230</v>
      </c>
      <c r="M76" s="382" t="s">
        <v>274</v>
      </c>
      <c r="N76" s="368" t="s">
        <v>447</v>
      </c>
      <c r="O76" s="377" t="s">
        <v>288</v>
      </c>
      <c r="P76" s="363">
        <v>113.38</v>
      </c>
      <c r="Q76" s="195"/>
      <c r="R76" s="198" t="s">
        <v>7</v>
      </c>
      <c r="S76" s="103">
        <f t="shared" si="41"/>
        <v>0</v>
      </c>
      <c r="T76" s="83">
        <f t="shared" si="42"/>
        <v>0</v>
      </c>
      <c r="U76" s="9" t="str">
        <f t="shared" si="39"/>
        <v>SEM VALOR</v>
      </c>
      <c r="V76" s="1" t="str">
        <f ca="1">IF(OR($A76=0,$A76="S",$A76&gt;CFF!$A$9),"",MAX(V$12:OFFSET(V76,-1,0))+1)</f>
        <v/>
      </c>
      <c r="W76" s="4" t="str">
        <f t="shared" si="40"/>
        <v>SINAPI-98688</v>
      </c>
      <c r="X76" s="1">
        <f t="shared" ca="1" si="43"/>
        <v>13438</v>
      </c>
      <c r="Y76" s="103">
        <v>69.819999999999993</v>
      </c>
      <c r="Z76" s="113">
        <f ca="1">ROUND(IF(ISNUMBER(R76),R76,IF(LEFT(R76,3)="BDI",HLOOKUP(R76,DADOS!$T$37:$X$38,2,FALSE),0)),15-11*$X$5)</f>
        <v>0.2354</v>
      </c>
      <c r="AA76" s="1"/>
    </row>
    <row r="77" spans="1:27" x14ac:dyDescent="0.2">
      <c r="A77">
        <f t="shared" si="31"/>
        <v>2</v>
      </c>
      <c r="B77">
        <f t="shared" ca="1" si="32"/>
        <v>9</v>
      </c>
      <c r="C77">
        <f t="shared" ca="1" si="33"/>
        <v>1</v>
      </c>
      <c r="D77">
        <f t="shared" ca="1" si="34"/>
        <v>9</v>
      </c>
      <c r="E77">
        <f t="shared" ca="1" si="35"/>
        <v>0</v>
      </c>
      <c r="F77">
        <f t="shared" ca="1" si="36"/>
        <v>0</v>
      </c>
      <c r="G77">
        <f t="shared" ca="1" si="37"/>
        <v>0</v>
      </c>
      <c r="H77">
        <f ca="1">IF(OR($A77="S",$A77=0),0,MATCH(0,OFFSET($B77,1,$A77,ROW($A$202)-ROW($A77)),0))</f>
        <v>125</v>
      </c>
      <c r="I77">
        <f ca="1">IF(OR($A77="S",$A77=0),0,MATCH(OFFSET($B77,0,$A77)+1,OFFSET($B77,1,$A77,ROW($A$202)-ROW($A77)),0))</f>
        <v>9</v>
      </c>
      <c r="J77" s="388" t="s">
        <v>100</v>
      </c>
      <c r="K77" s="138" t="str">
        <f t="shared" ca="1" si="38"/>
        <v>1.9.</v>
      </c>
      <c r="L77" s="370" t="s">
        <v>230</v>
      </c>
      <c r="M77" s="382"/>
      <c r="N77" s="390" t="s">
        <v>375</v>
      </c>
      <c r="O77" s="377" t="s">
        <v>106</v>
      </c>
      <c r="P77" s="363" t="s">
        <v>363</v>
      </c>
      <c r="Q77" s="195"/>
      <c r="R77" s="198" t="s">
        <v>7</v>
      </c>
      <c r="S77" s="103">
        <f t="shared" si="41"/>
        <v>0</v>
      </c>
      <c r="T77" s="83">
        <f t="shared" ca="1" si="42"/>
        <v>0</v>
      </c>
      <c r="U77" s="9" t="str">
        <f t="shared" ca="1" si="39"/>
        <v>SEM VALOR</v>
      </c>
      <c r="V77" s="1">
        <f ca="1">IF(OR($A77=0,$A77="S",$A77&gt;CFF!$A$9),"",MAX(V$12:OFFSET(V77,-1,0))+1)</f>
        <v>10</v>
      </c>
      <c r="W77" s="4" t="b">
        <f t="shared" si="40"/>
        <v>0</v>
      </c>
      <c r="X77" s="1" t="str">
        <f t="shared" ca="1" si="43"/>
        <v>X</v>
      </c>
      <c r="Y77" s="103">
        <v>0</v>
      </c>
      <c r="Z77" s="113">
        <f ca="1">ROUND(IF(ISNUMBER(R77),R77,IF(LEFT(R77,3)="BDI",HLOOKUP(R77,DADOS!$T$37:$X$38,2,FALSE),0)),15-11*$X$5)</f>
        <v>0.2354</v>
      </c>
      <c r="AA77" s="1"/>
    </row>
    <row r="78" spans="1:27" ht="38.25" x14ac:dyDescent="0.2">
      <c r="A78" t="str">
        <f t="shared" si="31"/>
        <v>S</v>
      </c>
      <c r="B78">
        <f t="shared" si="32"/>
        <v>0</v>
      </c>
      <c r="C78">
        <f t="shared" ca="1" si="33"/>
        <v>1</v>
      </c>
      <c r="D78">
        <f t="shared" ca="1" si="34"/>
        <v>9</v>
      </c>
      <c r="E78">
        <f t="shared" ca="1" si="35"/>
        <v>0</v>
      </c>
      <c r="F78">
        <f t="shared" ca="1" si="36"/>
        <v>0</v>
      </c>
      <c r="G78">
        <f t="shared" ca="1" si="37"/>
        <v>1</v>
      </c>
      <c r="H78">
        <f ca="1">IF(OR($A78="S",$A78=0),0,MATCH(0,OFFSET($B78,1,$A78,ROW($A$202)-ROW($A78)),0))</f>
        <v>0</v>
      </c>
      <c r="I78">
        <f ca="1">IF(OR($A78="S",$A78=0),0,MATCH(OFFSET($B78,0,$A78)+1,OFFSET($B78,1,$A78,ROW($A$202)-ROW($A78)),0))</f>
        <v>0</v>
      </c>
      <c r="J78" s="388" t="s">
        <v>103</v>
      </c>
      <c r="K78" s="138" t="str">
        <f t="shared" ca="1" si="38"/>
        <v>1.9.0.1.</v>
      </c>
      <c r="L78" s="370" t="s">
        <v>230</v>
      </c>
      <c r="M78" s="382" t="s">
        <v>327</v>
      </c>
      <c r="N78" s="368" t="s">
        <v>448</v>
      </c>
      <c r="O78" s="377" t="s">
        <v>521</v>
      </c>
      <c r="P78" s="363">
        <v>198.75</v>
      </c>
      <c r="Q78" s="195"/>
      <c r="R78" s="198" t="s">
        <v>7</v>
      </c>
      <c r="S78" s="103">
        <f t="shared" si="41"/>
        <v>0</v>
      </c>
      <c r="T78" s="83">
        <f t="shared" si="42"/>
        <v>0</v>
      </c>
      <c r="U78" s="9" t="str">
        <f t="shared" si="39"/>
        <v>SEM VALOR</v>
      </c>
      <c r="V78" s="1" t="str">
        <f ca="1">IF(OR($A78=0,$A78="S",$A78&gt;CFF!$A$9),"",MAX(V$12:OFFSET(V78,-1,0))+1)</f>
        <v/>
      </c>
      <c r="W78" s="4" t="str">
        <f t="shared" si="40"/>
        <v>SINAPI-101862</v>
      </c>
      <c r="X78" s="1">
        <f t="shared" ca="1" si="43"/>
        <v>13953</v>
      </c>
      <c r="Y78" s="103">
        <v>47.07</v>
      </c>
      <c r="Z78" s="113">
        <f ca="1">ROUND(IF(ISNUMBER(R78),R78,IF(LEFT(R78,3)="BDI",HLOOKUP(R78,DADOS!$T$37:$X$38,2,FALSE),0)),15-11*$X$5)</f>
        <v>0.2354</v>
      </c>
      <c r="AA78" s="1"/>
    </row>
    <row r="79" spans="1:27" ht="25.5" x14ac:dyDescent="0.2">
      <c r="A79" t="str">
        <f t="shared" si="31"/>
        <v>S</v>
      </c>
      <c r="B79">
        <f t="shared" si="32"/>
        <v>0</v>
      </c>
      <c r="C79">
        <f t="shared" ca="1" si="33"/>
        <v>1</v>
      </c>
      <c r="D79">
        <f t="shared" ca="1" si="34"/>
        <v>9</v>
      </c>
      <c r="E79">
        <f t="shared" ca="1" si="35"/>
        <v>0</v>
      </c>
      <c r="F79">
        <f t="shared" ca="1" si="36"/>
        <v>0</v>
      </c>
      <c r="G79">
        <f t="shared" ca="1" si="37"/>
        <v>2</v>
      </c>
      <c r="H79">
        <f ca="1">IF(OR($A79="S",$A79=0),0,MATCH(0,OFFSET($B79,1,$A79,ROW($A$202)-ROW($A79)),0))</f>
        <v>0</v>
      </c>
      <c r="I79">
        <f ca="1">IF(OR($A79="S",$A79=0),0,MATCH(OFFSET($B79,0,$A79)+1,OFFSET($B79,1,$A79,ROW($A$202)-ROW($A79)),0))</f>
        <v>0</v>
      </c>
      <c r="J79" s="388" t="s">
        <v>103</v>
      </c>
      <c r="K79" s="138" t="str">
        <f t="shared" ca="1" si="38"/>
        <v>1.9.0.2.</v>
      </c>
      <c r="L79" s="370" t="s">
        <v>230</v>
      </c>
      <c r="M79" s="382" t="s">
        <v>328</v>
      </c>
      <c r="N79" s="368" t="s">
        <v>449</v>
      </c>
      <c r="O79" s="377" t="s">
        <v>524</v>
      </c>
      <c r="P79" s="363">
        <v>10.24</v>
      </c>
      <c r="Q79" s="195"/>
      <c r="R79" s="198" t="s">
        <v>7</v>
      </c>
      <c r="S79" s="103">
        <f t="shared" si="41"/>
        <v>0</v>
      </c>
      <c r="T79" s="83">
        <f t="shared" si="42"/>
        <v>0</v>
      </c>
      <c r="U79" s="9" t="str">
        <f t="shared" si="39"/>
        <v>SEM VALOR</v>
      </c>
      <c r="V79" s="1" t="str">
        <f ca="1">IF(OR($A79=0,$A79="S",$A79&gt;CFF!$A$9),"",MAX(V$12:OFFSET(V79,-1,0))+1)</f>
        <v/>
      </c>
      <c r="W79" s="4" t="str">
        <f t="shared" si="40"/>
        <v>SINAPI-105728</v>
      </c>
      <c r="X79" s="1">
        <f t="shared" ca="1" si="43"/>
        <v>5828</v>
      </c>
      <c r="Y79" s="103">
        <v>229.18</v>
      </c>
      <c r="Z79" s="113">
        <f ca="1">ROUND(IF(ISNUMBER(R79),R79,IF(LEFT(R79,3)="BDI",HLOOKUP(R79,DADOS!$T$37:$X$38,2,FALSE),0)),15-11*$X$5)</f>
        <v>0.2354</v>
      </c>
      <c r="AA79" s="1"/>
    </row>
    <row r="80" spans="1:27" ht="25.5" x14ac:dyDescent="0.2">
      <c r="A80" t="str">
        <f t="shared" si="31"/>
        <v>S</v>
      </c>
      <c r="B80">
        <f t="shared" si="32"/>
        <v>0</v>
      </c>
      <c r="C80">
        <f t="shared" ca="1" si="33"/>
        <v>1</v>
      </c>
      <c r="D80">
        <f t="shared" ca="1" si="34"/>
        <v>9</v>
      </c>
      <c r="E80">
        <f t="shared" ca="1" si="35"/>
        <v>0</v>
      </c>
      <c r="F80">
        <f t="shared" ca="1" si="36"/>
        <v>0</v>
      </c>
      <c r="G80">
        <f t="shared" ca="1" si="37"/>
        <v>3</v>
      </c>
      <c r="H80">
        <f ca="1">IF(OR($A80="S",$A80=0),0,MATCH(0,OFFSET($B80,1,$A80,ROW($A$202)-ROW($A80)),0))</f>
        <v>0</v>
      </c>
      <c r="I80">
        <f ca="1">IF(OR($A80="S",$A80=0),0,MATCH(OFFSET($B80,0,$A80)+1,OFFSET($B80,1,$A80,ROW($A$202)-ROW($A80)),0))</f>
        <v>0</v>
      </c>
      <c r="J80" s="388" t="s">
        <v>103</v>
      </c>
      <c r="K80" s="138" t="str">
        <f t="shared" ca="1" si="38"/>
        <v>1.9.0.3.</v>
      </c>
      <c r="L80" s="370" t="s">
        <v>230</v>
      </c>
      <c r="M80" s="382" t="s">
        <v>329</v>
      </c>
      <c r="N80" s="368" t="s">
        <v>450</v>
      </c>
      <c r="O80" s="377" t="s">
        <v>288</v>
      </c>
      <c r="P80" s="363">
        <v>8.6</v>
      </c>
      <c r="Q80" s="195"/>
      <c r="R80" s="198" t="s">
        <v>7</v>
      </c>
      <c r="S80" s="103">
        <f t="shared" si="41"/>
        <v>0</v>
      </c>
      <c r="T80" s="83">
        <f t="shared" si="42"/>
        <v>0</v>
      </c>
      <c r="U80" s="9" t="str">
        <f t="shared" si="39"/>
        <v>SEM VALOR</v>
      </c>
      <c r="V80" s="1" t="str">
        <f ca="1">IF(OR($A80=0,$A80="S",$A80&gt;CFF!$A$9),"",MAX(V$12:OFFSET(V80,-1,0))+1)</f>
        <v/>
      </c>
      <c r="W80" s="4" t="str">
        <f t="shared" si="40"/>
        <v>SINAPI-104797</v>
      </c>
      <c r="X80" s="1">
        <f t="shared" ca="1" si="43"/>
        <v>6869</v>
      </c>
      <c r="Y80" s="103">
        <v>24.09</v>
      </c>
      <c r="Z80" s="113">
        <f ca="1">ROUND(IF(ISNUMBER(R80),R80,IF(LEFT(R80,3)="BDI",HLOOKUP(R80,DADOS!$T$37:$X$38,2,FALSE),0)),15-11*$X$5)</f>
        <v>0.2354</v>
      </c>
      <c r="AA80" s="1"/>
    </row>
    <row r="81" spans="1:27" ht="25.5" x14ac:dyDescent="0.2">
      <c r="A81" t="str">
        <f t="shared" si="31"/>
        <v>S</v>
      </c>
      <c r="B81">
        <f t="shared" si="32"/>
        <v>0</v>
      </c>
      <c r="C81">
        <f t="shared" ca="1" si="33"/>
        <v>1</v>
      </c>
      <c r="D81">
        <f t="shared" ca="1" si="34"/>
        <v>9</v>
      </c>
      <c r="E81">
        <f t="shared" ca="1" si="35"/>
        <v>0</v>
      </c>
      <c r="F81">
        <f t="shared" ca="1" si="36"/>
        <v>0</v>
      </c>
      <c r="G81">
        <f t="shared" ca="1" si="37"/>
        <v>4</v>
      </c>
      <c r="H81">
        <f ca="1">IF(OR($A81="S",$A81=0),0,MATCH(0,OFFSET($B81,1,$A81,ROW($A$202)-ROW($A81)),0))</f>
        <v>0</v>
      </c>
      <c r="I81">
        <f ca="1">IF(OR($A81="S",$A81=0),0,MATCH(OFFSET($B81,0,$A81)+1,OFFSET($B81,1,$A81,ROW($A$202)-ROW($A81)),0))</f>
        <v>0</v>
      </c>
      <c r="J81" s="388" t="s">
        <v>103</v>
      </c>
      <c r="K81" s="138" t="str">
        <f t="shared" ca="1" si="38"/>
        <v>1.9.0.4.</v>
      </c>
      <c r="L81" s="370" t="s">
        <v>230</v>
      </c>
      <c r="M81" s="382" t="s">
        <v>330</v>
      </c>
      <c r="N81" s="368" t="s">
        <v>451</v>
      </c>
      <c r="O81" s="377" t="s">
        <v>288</v>
      </c>
      <c r="P81" s="363">
        <v>8.6</v>
      </c>
      <c r="Q81" s="195"/>
      <c r="R81" s="198" t="s">
        <v>7</v>
      </c>
      <c r="S81" s="103">
        <f t="shared" si="41"/>
        <v>0</v>
      </c>
      <c r="T81" s="83">
        <f t="shared" si="42"/>
        <v>0</v>
      </c>
      <c r="U81" s="9" t="str">
        <f t="shared" si="39"/>
        <v>SEM VALOR</v>
      </c>
      <c r="V81" s="1" t="str">
        <f ca="1">IF(OR($A81=0,$A81="S",$A81&gt;CFF!$A$9),"",MAX(V$12:OFFSET(V81,-1,0))+1)</f>
        <v/>
      </c>
      <c r="W81" s="4" t="str">
        <f t="shared" si="40"/>
        <v>SINAPI-94273</v>
      </c>
      <c r="X81" s="1">
        <f t="shared" ca="1" si="43"/>
        <v>9492</v>
      </c>
      <c r="Y81" s="103">
        <v>65.650000000000006</v>
      </c>
      <c r="Z81" s="113">
        <f ca="1">ROUND(IF(ISNUMBER(R81),R81,IF(LEFT(R81,3)="BDI",HLOOKUP(R81,DADOS!$T$37:$X$38,2,FALSE),0)),15-11*$X$5)</f>
        <v>0.2354</v>
      </c>
      <c r="AA81" s="1"/>
    </row>
    <row r="82" spans="1:27" x14ac:dyDescent="0.2">
      <c r="A82" t="str">
        <f t="shared" si="31"/>
        <v>S</v>
      </c>
      <c r="B82">
        <f t="shared" si="32"/>
        <v>0</v>
      </c>
      <c r="C82">
        <f t="shared" ca="1" si="33"/>
        <v>1</v>
      </c>
      <c r="D82">
        <f t="shared" ca="1" si="34"/>
        <v>9</v>
      </c>
      <c r="E82">
        <f t="shared" ca="1" si="35"/>
        <v>0</v>
      </c>
      <c r="F82">
        <f t="shared" ca="1" si="36"/>
        <v>0</v>
      </c>
      <c r="G82">
        <f t="shared" ca="1" si="37"/>
        <v>5</v>
      </c>
      <c r="H82">
        <f ca="1">IF(OR($A82="S",$A82=0),0,MATCH(0,OFFSET($B82,1,$A82,ROW($A$202)-ROW($A82)),0))</f>
        <v>0</v>
      </c>
      <c r="I82">
        <f ca="1">IF(OR($A82="S",$A82=0),0,MATCH(OFFSET($B82,0,$A82)+1,OFFSET($B82,1,$A82,ROW($A$202)-ROW($A82)),0))</f>
        <v>0</v>
      </c>
      <c r="J82" s="388" t="s">
        <v>103</v>
      </c>
      <c r="K82" s="138" t="str">
        <f t="shared" ca="1" si="38"/>
        <v>1.9.0.5.</v>
      </c>
      <c r="L82" s="370" t="s">
        <v>230</v>
      </c>
      <c r="M82" s="382" t="s">
        <v>275</v>
      </c>
      <c r="N82" s="368" t="s">
        <v>452</v>
      </c>
      <c r="O82" s="377" t="s">
        <v>521</v>
      </c>
      <c r="P82" s="363">
        <v>22.25</v>
      </c>
      <c r="Q82" s="195"/>
      <c r="R82" s="198" t="s">
        <v>7</v>
      </c>
      <c r="S82" s="103">
        <f t="shared" si="41"/>
        <v>0</v>
      </c>
      <c r="T82" s="83">
        <f t="shared" si="42"/>
        <v>0</v>
      </c>
      <c r="U82" s="9" t="str">
        <f t="shared" si="39"/>
        <v>SEM VALOR</v>
      </c>
      <c r="V82" s="1" t="str">
        <f ca="1">IF(OR($A82=0,$A82="S",$A82&gt;CFF!$A$9),"",MAX(V$12:OFFSET(V82,-1,0))+1)</f>
        <v/>
      </c>
      <c r="W82" s="4" t="str">
        <f t="shared" si="40"/>
        <v>SINAPI-104658</v>
      </c>
      <c r="X82" s="1">
        <f t="shared" ca="1" si="43"/>
        <v>4944</v>
      </c>
      <c r="Y82" s="103">
        <v>191.87</v>
      </c>
      <c r="Z82" s="113">
        <f ca="1">ROUND(IF(ISNUMBER(R82),R82,IF(LEFT(R82,3)="BDI",HLOOKUP(R82,DADOS!$T$37:$X$38,2,FALSE),0)),15-11*$X$5)</f>
        <v>0.2354</v>
      </c>
      <c r="AA82" s="1"/>
    </row>
    <row r="83" spans="1:27" x14ac:dyDescent="0.2">
      <c r="A83" t="str">
        <f t="shared" si="31"/>
        <v>S</v>
      </c>
      <c r="B83">
        <f t="shared" si="32"/>
        <v>0</v>
      </c>
      <c r="C83">
        <f t="shared" ca="1" si="33"/>
        <v>1</v>
      </c>
      <c r="D83">
        <f t="shared" ca="1" si="34"/>
        <v>9</v>
      </c>
      <c r="E83">
        <f t="shared" ca="1" si="35"/>
        <v>0</v>
      </c>
      <c r="F83">
        <f t="shared" ca="1" si="36"/>
        <v>0</v>
      </c>
      <c r="G83">
        <f t="shared" ca="1" si="37"/>
        <v>6</v>
      </c>
      <c r="H83">
        <f ca="1">IF(OR($A83="S",$A83=0),0,MATCH(0,OFFSET($B83,1,$A83,ROW($A$202)-ROW($A83)),0))</f>
        <v>0</v>
      </c>
      <c r="I83">
        <f ca="1">IF(OR($A83="S",$A83=0),0,MATCH(OFFSET($B83,0,$A83)+1,OFFSET($B83,1,$A83,ROW($A$202)-ROW($A83)),0))</f>
        <v>0</v>
      </c>
      <c r="J83" s="388" t="s">
        <v>103</v>
      </c>
      <c r="K83" s="138" t="str">
        <f t="shared" ca="1" si="38"/>
        <v>1.9.0.6.</v>
      </c>
      <c r="L83" s="370" t="s">
        <v>234</v>
      </c>
      <c r="M83" s="370" t="s">
        <v>331</v>
      </c>
      <c r="N83" s="368" t="s">
        <v>453</v>
      </c>
      <c r="O83" s="377" t="s">
        <v>521</v>
      </c>
      <c r="P83" s="363">
        <v>3.2</v>
      </c>
      <c r="Q83" s="195"/>
      <c r="R83" s="198" t="s">
        <v>7</v>
      </c>
      <c r="S83" s="103">
        <f t="shared" si="41"/>
        <v>0</v>
      </c>
      <c r="T83" s="83">
        <f t="shared" si="42"/>
        <v>0</v>
      </c>
      <c r="U83" s="9" t="str">
        <f t="shared" si="39"/>
        <v>SEM VALOR</v>
      </c>
      <c r="V83" s="1" t="str">
        <f ca="1">IF(OR($A83=0,$A83="S",$A83&gt;CFF!$A$9),"",MAX(V$12:OFFSET(V83,-1,0))+1)</f>
        <v/>
      </c>
      <c r="W83" s="4" t="str">
        <f t="shared" si="40"/>
        <v>PM BENTO-121</v>
      </c>
      <c r="X83" s="1">
        <f t="shared" ca="1" si="43"/>
        <v>59</v>
      </c>
      <c r="Y83" s="103">
        <v>34.69</v>
      </c>
      <c r="Z83" s="113">
        <f ca="1">ROUND(IF(ISNUMBER(R83),R83,IF(LEFT(R83,3)="BDI",HLOOKUP(R83,DADOS!$T$37:$X$38,2,FALSE),0)),15-11*$X$5)</f>
        <v>0.2354</v>
      </c>
      <c r="AA83" s="1"/>
    </row>
    <row r="84" spans="1:27" ht="25.5" x14ac:dyDescent="0.2">
      <c r="A84" t="str">
        <f t="shared" si="31"/>
        <v>S</v>
      </c>
      <c r="B84">
        <f t="shared" si="32"/>
        <v>0</v>
      </c>
      <c r="C84">
        <f t="shared" ca="1" si="33"/>
        <v>1</v>
      </c>
      <c r="D84">
        <f t="shared" ca="1" si="34"/>
        <v>9</v>
      </c>
      <c r="E84">
        <f t="shared" ca="1" si="35"/>
        <v>0</v>
      </c>
      <c r="F84">
        <f t="shared" ca="1" si="36"/>
        <v>0</v>
      </c>
      <c r="G84">
        <f t="shared" ca="1" si="37"/>
        <v>7</v>
      </c>
      <c r="H84">
        <f ca="1">IF(OR($A84="S",$A84=0),0,MATCH(0,OFFSET($B84,1,$A84,ROW($A$202)-ROW($A84)),0))</f>
        <v>0</v>
      </c>
      <c r="I84">
        <f ca="1">IF(OR($A84="S",$A84=0),0,MATCH(OFFSET($B84,0,$A84)+1,OFFSET($B84,1,$A84,ROW($A$202)-ROW($A84)),0))</f>
        <v>0</v>
      </c>
      <c r="J84" s="388" t="s">
        <v>103</v>
      </c>
      <c r="K84" s="138" t="str">
        <f t="shared" ca="1" si="38"/>
        <v>1.9.0.7.</v>
      </c>
      <c r="L84" s="370" t="s">
        <v>234</v>
      </c>
      <c r="M84" s="382" t="s">
        <v>332</v>
      </c>
      <c r="N84" s="368" t="s">
        <v>454</v>
      </c>
      <c r="O84" s="377" t="s">
        <v>523</v>
      </c>
      <c r="P84" s="363">
        <v>5</v>
      </c>
      <c r="Q84" s="195"/>
      <c r="R84" s="198" t="s">
        <v>7</v>
      </c>
      <c r="S84" s="103">
        <f t="shared" si="41"/>
        <v>0</v>
      </c>
      <c r="T84" s="83">
        <f t="shared" si="42"/>
        <v>0</v>
      </c>
      <c r="U84" s="9" t="str">
        <f t="shared" si="39"/>
        <v>SEM VALOR</v>
      </c>
      <c r="V84" s="1" t="str">
        <f ca="1">IF(OR($A84=0,$A84="S",$A84&gt;CFF!$A$9),"",MAX(V$12:OFFSET(V84,-1,0))+1)</f>
        <v/>
      </c>
      <c r="W84" s="4" t="str">
        <f t="shared" si="40"/>
        <v>PM BENTO-120</v>
      </c>
      <c r="X84" s="1">
        <f t="shared" ca="1" si="43"/>
        <v>58</v>
      </c>
      <c r="Y84" s="103">
        <v>1292.24</v>
      </c>
      <c r="Z84" s="113">
        <f ca="1">ROUND(IF(ISNUMBER(R84),R84,IF(LEFT(R84,3)="BDI",HLOOKUP(R84,DADOS!$T$37:$X$38,2,FALSE),0)),15-11*$X$5)</f>
        <v>0.2354</v>
      </c>
      <c r="AA84" s="1"/>
    </row>
    <row r="85" spans="1:27" ht="25.5" x14ac:dyDescent="0.2">
      <c r="A85" t="str">
        <f t="shared" si="31"/>
        <v>S</v>
      </c>
      <c r="B85">
        <f t="shared" si="32"/>
        <v>0</v>
      </c>
      <c r="C85">
        <f t="shared" ca="1" si="33"/>
        <v>1</v>
      </c>
      <c r="D85">
        <f t="shared" ca="1" si="34"/>
        <v>9</v>
      </c>
      <c r="E85">
        <f t="shared" ca="1" si="35"/>
        <v>0</v>
      </c>
      <c r="F85">
        <f t="shared" ca="1" si="36"/>
        <v>0</v>
      </c>
      <c r="G85">
        <f t="shared" ca="1" si="37"/>
        <v>8</v>
      </c>
      <c r="H85">
        <f ca="1">IF(OR($A85="S",$A85=0),0,MATCH(0,OFFSET($B85,1,$A85,ROW($A$202)-ROW($A85)),0))</f>
        <v>0</v>
      </c>
      <c r="I85">
        <f ca="1">IF(OR($A85="S",$A85=0),0,MATCH(OFFSET($B85,0,$A85)+1,OFFSET($B85,1,$A85,ROW($A$202)-ROW($A85)),0))</f>
        <v>0</v>
      </c>
      <c r="J85" s="388" t="s">
        <v>103</v>
      </c>
      <c r="K85" s="138" t="str">
        <f t="shared" ca="1" si="38"/>
        <v>1.9.0.8.</v>
      </c>
      <c r="L85" s="370" t="s">
        <v>234</v>
      </c>
      <c r="M85" s="382" t="s">
        <v>333</v>
      </c>
      <c r="N85" s="368" t="s">
        <v>455</v>
      </c>
      <c r="O85" s="377" t="s">
        <v>523</v>
      </c>
      <c r="P85" s="363">
        <v>1</v>
      </c>
      <c r="Q85" s="195"/>
      <c r="R85" s="198" t="s">
        <v>7</v>
      </c>
      <c r="S85" s="103">
        <f t="shared" si="41"/>
        <v>0</v>
      </c>
      <c r="T85" s="83">
        <f t="shared" si="42"/>
        <v>0</v>
      </c>
      <c r="U85" s="9" t="str">
        <f t="shared" si="39"/>
        <v>SEM VALOR</v>
      </c>
      <c r="V85" s="1" t="str">
        <f ca="1">IF(OR($A85=0,$A85="S",$A85&gt;CFF!$A$9),"",MAX(V$12:OFFSET(V85,-1,0))+1)</f>
        <v/>
      </c>
      <c r="W85" s="4" t="str">
        <f t="shared" si="40"/>
        <v>PM BENTO-122</v>
      </c>
      <c r="X85" s="1">
        <f t="shared" ca="1" si="43"/>
        <v>60</v>
      </c>
      <c r="Y85" s="103">
        <v>212.37</v>
      </c>
      <c r="Z85" s="113">
        <f ca="1">ROUND(IF(ISNUMBER(R85),R85,IF(LEFT(R85,3)="BDI",HLOOKUP(R85,DADOS!$T$37:$X$38,2,FALSE),0)),15-11*$X$5)</f>
        <v>0.2354</v>
      </c>
      <c r="AA85" s="1"/>
    </row>
    <row r="86" spans="1:27" x14ac:dyDescent="0.2">
      <c r="A86">
        <f t="shared" si="31"/>
        <v>2</v>
      </c>
      <c r="B86">
        <f t="shared" ca="1" si="32"/>
        <v>7</v>
      </c>
      <c r="C86">
        <f t="shared" ca="1" si="33"/>
        <v>1</v>
      </c>
      <c r="D86">
        <f t="shared" ca="1" si="34"/>
        <v>10</v>
      </c>
      <c r="E86">
        <f t="shared" ca="1" si="35"/>
        <v>0</v>
      </c>
      <c r="F86">
        <f t="shared" ca="1" si="36"/>
        <v>0</v>
      </c>
      <c r="G86">
        <f t="shared" ca="1" si="37"/>
        <v>0</v>
      </c>
      <c r="H86">
        <f ca="1">IF(OR($A86="S",$A86=0),0,MATCH(0,OFFSET($B86,1,$A86,ROW($A$202)-ROW($A86)),0))</f>
        <v>116</v>
      </c>
      <c r="I86">
        <f ca="1">IF(OR($A86="S",$A86=0),0,MATCH(OFFSET($B86,0,$A86)+1,OFFSET($B86,1,$A86,ROW($A$202)-ROW($A86)),0))</f>
        <v>7</v>
      </c>
      <c r="J86" s="388" t="s">
        <v>100</v>
      </c>
      <c r="K86" s="138" t="str">
        <f t="shared" ca="1" si="38"/>
        <v>1.10.</v>
      </c>
      <c r="L86" s="370" t="s">
        <v>230</v>
      </c>
      <c r="M86" s="382"/>
      <c r="N86" s="385" t="s">
        <v>376</v>
      </c>
      <c r="O86" s="377" t="s">
        <v>106</v>
      </c>
      <c r="P86" s="363" t="s">
        <v>363</v>
      </c>
      <c r="Q86" s="195"/>
      <c r="R86" s="198" t="s">
        <v>7</v>
      </c>
      <c r="S86" s="103">
        <f t="shared" si="41"/>
        <v>0</v>
      </c>
      <c r="T86" s="83">
        <f t="shared" ca="1" si="42"/>
        <v>0</v>
      </c>
      <c r="U86" s="9" t="str">
        <f t="shared" ca="1" si="39"/>
        <v>SEM VALOR</v>
      </c>
      <c r="V86" s="1">
        <f ca="1">IF(OR($A86=0,$A86="S",$A86&gt;CFF!$A$9),"",MAX(V$12:OFFSET(V86,-1,0))+1)</f>
        <v>11</v>
      </c>
      <c r="W86" s="4" t="b">
        <f t="shared" si="40"/>
        <v>0</v>
      </c>
      <c r="X86" s="1" t="str">
        <f t="shared" ca="1" si="43"/>
        <v>X</v>
      </c>
      <c r="Y86" s="103">
        <v>0</v>
      </c>
      <c r="Z86" s="113">
        <f ca="1">ROUND(IF(ISNUMBER(R86),R86,IF(LEFT(R86,3)="BDI",HLOOKUP(R86,DADOS!$T$37:$X$38,2,FALSE),0)),15-11*$X$5)</f>
        <v>0.2354</v>
      </c>
      <c r="AA86" s="1"/>
    </row>
    <row r="87" spans="1:27" ht="25.5" x14ac:dyDescent="0.2">
      <c r="A87" t="str">
        <f t="shared" si="31"/>
        <v>S</v>
      </c>
      <c r="B87">
        <f t="shared" si="32"/>
        <v>0</v>
      </c>
      <c r="C87">
        <f t="shared" ca="1" si="33"/>
        <v>1</v>
      </c>
      <c r="D87">
        <f t="shared" ca="1" si="34"/>
        <v>10</v>
      </c>
      <c r="E87">
        <f t="shared" ca="1" si="35"/>
        <v>0</v>
      </c>
      <c r="F87">
        <f t="shared" ca="1" si="36"/>
        <v>0</v>
      </c>
      <c r="G87">
        <f t="shared" ca="1" si="37"/>
        <v>1</v>
      </c>
      <c r="H87">
        <f ca="1">IF(OR($A87="S",$A87=0),0,MATCH(0,OFFSET($B87,1,$A87,ROW($A$202)-ROW($A87)),0))</f>
        <v>0</v>
      </c>
      <c r="I87">
        <f ca="1">IF(OR($A87="S",$A87=0),0,MATCH(OFFSET($B87,0,$A87)+1,OFFSET($B87,1,$A87,ROW($A$202)-ROW($A87)),0))</f>
        <v>0</v>
      </c>
      <c r="J87" s="388" t="s">
        <v>103</v>
      </c>
      <c r="K87" s="138" t="str">
        <f t="shared" ca="1" si="38"/>
        <v>1.10.0.1.</v>
      </c>
      <c r="L87" s="370" t="s">
        <v>230</v>
      </c>
      <c r="M87" s="382" t="s">
        <v>258</v>
      </c>
      <c r="N87" s="368" t="s">
        <v>456</v>
      </c>
      <c r="O87" s="377" t="s">
        <v>521</v>
      </c>
      <c r="P87" s="363">
        <v>11.28</v>
      </c>
      <c r="Q87" s="195"/>
      <c r="R87" s="198" t="s">
        <v>7</v>
      </c>
      <c r="S87" s="103">
        <f t="shared" si="41"/>
        <v>0</v>
      </c>
      <c r="T87" s="83">
        <f t="shared" si="42"/>
        <v>0</v>
      </c>
      <c r="U87" s="9" t="str">
        <f t="shared" si="39"/>
        <v>SEM VALOR</v>
      </c>
      <c r="V87" s="1" t="str">
        <f ca="1">IF(OR($A87=0,$A87="S",$A87&gt;CFF!$A$9),"",MAX(V$12:OFFSET(V87,-1,0))+1)</f>
        <v/>
      </c>
      <c r="W87" s="4" t="str">
        <f t="shared" si="40"/>
        <v>SINAPI-96536</v>
      </c>
      <c r="X87" s="1">
        <f t="shared" ca="1" si="43"/>
        <v>9234</v>
      </c>
      <c r="Y87" s="103">
        <v>82.78</v>
      </c>
      <c r="Z87" s="113">
        <f ca="1">ROUND(IF(ISNUMBER(R87),R87,IF(LEFT(R87,3)="BDI",HLOOKUP(R87,DADOS!$T$37:$X$38,2,FALSE),0)),15-11*$X$5)</f>
        <v>0.2354</v>
      </c>
      <c r="AA87" s="1"/>
    </row>
    <row r="88" spans="1:27" ht="25.5" x14ac:dyDescent="0.2">
      <c r="A88" t="str">
        <f t="shared" si="31"/>
        <v>S</v>
      </c>
      <c r="B88">
        <f t="shared" si="32"/>
        <v>0</v>
      </c>
      <c r="C88">
        <f t="shared" ca="1" si="33"/>
        <v>1</v>
      </c>
      <c r="D88">
        <f t="shared" ca="1" si="34"/>
        <v>10</v>
      </c>
      <c r="E88">
        <f t="shared" ca="1" si="35"/>
        <v>0</v>
      </c>
      <c r="F88">
        <f t="shared" ca="1" si="36"/>
        <v>0</v>
      </c>
      <c r="G88">
        <f t="shared" ca="1" si="37"/>
        <v>2</v>
      </c>
      <c r="H88">
        <f ca="1">IF(OR($A88="S",$A88=0),0,MATCH(0,OFFSET($B88,1,$A88,ROW($A$202)-ROW($A88)),0))</f>
        <v>0</v>
      </c>
      <c r="I88">
        <f ca="1">IF(OR($A88="S",$A88=0),0,MATCH(OFFSET($B88,0,$A88)+1,OFFSET($B88,1,$A88,ROW($A$202)-ROW($A88)),0))</f>
        <v>0</v>
      </c>
      <c r="J88" s="388" t="s">
        <v>103</v>
      </c>
      <c r="K88" s="138" t="str">
        <f t="shared" ca="1" si="38"/>
        <v>1.10.0.2.</v>
      </c>
      <c r="L88" s="370" t="s">
        <v>230</v>
      </c>
      <c r="M88" s="382" t="s">
        <v>259</v>
      </c>
      <c r="N88" s="368" t="s">
        <v>457</v>
      </c>
      <c r="O88" s="377" t="s">
        <v>525</v>
      </c>
      <c r="P88" s="363">
        <v>17.309999999999999</v>
      </c>
      <c r="Q88" s="195"/>
      <c r="R88" s="198" t="s">
        <v>7</v>
      </c>
      <c r="S88" s="103">
        <f t="shared" si="41"/>
        <v>0</v>
      </c>
      <c r="T88" s="83">
        <f t="shared" si="42"/>
        <v>0</v>
      </c>
      <c r="U88" s="9" t="str">
        <f t="shared" si="39"/>
        <v>SEM VALOR</v>
      </c>
      <c r="V88" s="1" t="str">
        <f ca="1">IF(OR($A88=0,$A88="S",$A88&gt;CFF!$A$9),"",MAX(V$12:OFFSET(V88,-1,0))+1)</f>
        <v/>
      </c>
      <c r="W88" s="4" t="str">
        <f t="shared" si="40"/>
        <v>SINAPI-104916</v>
      </c>
      <c r="X88" s="1">
        <f t="shared" ca="1" si="43"/>
        <v>9200</v>
      </c>
      <c r="Y88" s="103">
        <v>20.87</v>
      </c>
      <c r="Z88" s="113">
        <f ca="1">ROUND(IF(ISNUMBER(R88),R88,IF(LEFT(R88,3)="BDI",HLOOKUP(R88,DADOS!$T$37:$X$38,2,FALSE),0)),15-11*$X$5)</f>
        <v>0.2354</v>
      </c>
      <c r="AA88" s="1"/>
    </row>
    <row r="89" spans="1:27" ht="25.5" x14ac:dyDescent="0.2">
      <c r="A89" t="str">
        <f t="shared" si="31"/>
        <v>S</v>
      </c>
      <c r="B89">
        <f t="shared" si="32"/>
        <v>0</v>
      </c>
      <c r="C89">
        <f t="shared" ca="1" si="33"/>
        <v>1</v>
      </c>
      <c r="D89">
        <f t="shared" ca="1" si="34"/>
        <v>10</v>
      </c>
      <c r="E89">
        <f t="shared" ca="1" si="35"/>
        <v>0</v>
      </c>
      <c r="F89">
        <f t="shared" ca="1" si="36"/>
        <v>0</v>
      </c>
      <c r="G89">
        <f t="shared" ca="1" si="37"/>
        <v>3</v>
      </c>
      <c r="H89">
        <f ca="1">IF(OR($A89="S",$A89=0),0,MATCH(0,OFFSET($B89,1,$A89,ROW($A$202)-ROW($A89)),0))</f>
        <v>0</v>
      </c>
      <c r="I89">
        <f ca="1">IF(OR($A89="S",$A89=0),0,MATCH(OFFSET($B89,0,$A89)+1,OFFSET($B89,1,$A89,ROW($A$202)-ROW($A89)),0))</f>
        <v>0</v>
      </c>
      <c r="J89" s="388" t="s">
        <v>103</v>
      </c>
      <c r="K89" s="138" t="str">
        <f t="shared" ca="1" si="38"/>
        <v>1.10.0.3.</v>
      </c>
      <c r="L89" s="370" t="s">
        <v>230</v>
      </c>
      <c r="M89" s="382" t="s">
        <v>251</v>
      </c>
      <c r="N89" s="368" t="s">
        <v>458</v>
      </c>
      <c r="O89" s="377" t="s">
        <v>525</v>
      </c>
      <c r="P89" s="363">
        <v>34.590000000000003</v>
      </c>
      <c r="Q89" s="195"/>
      <c r="R89" s="198" t="s">
        <v>7</v>
      </c>
      <c r="S89" s="103">
        <f t="shared" si="41"/>
        <v>0</v>
      </c>
      <c r="T89" s="83">
        <f t="shared" si="42"/>
        <v>0</v>
      </c>
      <c r="U89" s="9" t="str">
        <f t="shared" si="39"/>
        <v>SEM VALOR</v>
      </c>
      <c r="V89" s="1" t="str">
        <f ca="1">IF(OR($A89=0,$A89="S",$A89&gt;CFF!$A$9),"",MAX(V$12:OFFSET(V89,-1,0))+1)</f>
        <v/>
      </c>
      <c r="W89" s="4" t="str">
        <f t="shared" si="40"/>
        <v>SINAPI-104918</v>
      </c>
      <c r="X89" s="1">
        <f t="shared" ca="1" si="43"/>
        <v>9199</v>
      </c>
      <c r="Y89" s="103">
        <v>17.440000000000001</v>
      </c>
      <c r="Z89" s="113">
        <f ca="1">ROUND(IF(ISNUMBER(R89),R89,IF(LEFT(R89,3)="BDI",HLOOKUP(R89,DADOS!$T$37:$X$38,2,FALSE),0)),15-11*$X$5)</f>
        <v>0.2354</v>
      </c>
      <c r="AA89" s="1"/>
    </row>
    <row r="90" spans="1:27" ht="25.5" x14ac:dyDescent="0.2">
      <c r="A90" t="str">
        <f t="shared" si="31"/>
        <v>S</v>
      </c>
      <c r="B90">
        <f t="shared" si="32"/>
        <v>0</v>
      </c>
      <c r="C90">
        <f t="shared" ca="1" si="33"/>
        <v>1</v>
      </c>
      <c r="D90">
        <f t="shared" ca="1" si="34"/>
        <v>10</v>
      </c>
      <c r="E90">
        <f t="shared" ca="1" si="35"/>
        <v>0</v>
      </c>
      <c r="F90">
        <f t="shared" ca="1" si="36"/>
        <v>0</v>
      </c>
      <c r="G90">
        <f t="shared" ca="1" si="37"/>
        <v>4</v>
      </c>
      <c r="H90">
        <f ca="1">IF(OR($A90="S",$A90=0),0,MATCH(0,OFFSET($B90,1,$A90,ROW($A$202)-ROW($A90)),0))</f>
        <v>0</v>
      </c>
      <c r="I90">
        <f ca="1">IF(OR($A90="S",$A90=0),0,MATCH(OFFSET($B90,0,$A90)+1,OFFSET($B90,1,$A90,ROW($A$202)-ROW($A90)),0))</f>
        <v>0</v>
      </c>
      <c r="J90" s="388" t="s">
        <v>103</v>
      </c>
      <c r="K90" s="138" t="str">
        <f t="shared" ca="1" si="38"/>
        <v>1.10.0.4.</v>
      </c>
      <c r="L90" s="370" t="s">
        <v>230</v>
      </c>
      <c r="M90" s="382" t="s">
        <v>260</v>
      </c>
      <c r="N90" s="368" t="s">
        <v>459</v>
      </c>
      <c r="O90" s="377" t="s">
        <v>524</v>
      </c>
      <c r="P90" s="363">
        <v>0.85</v>
      </c>
      <c r="Q90" s="195"/>
      <c r="R90" s="198" t="s">
        <v>7</v>
      </c>
      <c r="S90" s="103">
        <f t="shared" si="41"/>
        <v>0</v>
      </c>
      <c r="T90" s="83">
        <f t="shared" si="42"/>
        <v>0</v>
      </c>
      <c r="U90" s="9" t="str">
        <f t="shared" si="39"/>
        <v>SEM VALOR</v>
      </c>
      <c r="V90" s="1" t="str">
        <f ca="1">IF(OR($A90=0,$A90="S",$A90&gt;CFF!$A$9),"",MAX(V$12:OFFSET(V90,-1,0))+1)</f>
        <v/>
      </c>
      <c r="W90" s="4" t="str">
        <f t="shared" si="40"/>
        <v>SINAPI-96557</v>
      </c>
      <c r="X90" s="1">
        <f t="shared" ca="1" si="43"/>
        <v>9201</v>
      </c>
      <c r="Y90" s="103">
        <v>1070.31</v>
      </c>
      <c r="Z90" s="113">
        <f ca="1">ROUND(IF(ISNUMBER(R90),R90,IF(LEFT(R90,3)="BDI",HLOOKUP(R90,DADOS!$T$37:$X$38,2,FALSE),0)),15-11*$X$5)</f>
        <v>0.2354</v>
      </c>
      <c r="AA90" s="1"/>
    </row>
    <row r="91" spans="1:27" ht="25.5" x14ac:dyDescent="0.2">
      <c r="A91" t="str">
        <f t="shared" si="31"/>
        <v>S</v>
      </c>
      <c r="B91">
        <f t="shared" si="32"/>
        <v>0</v>
      </c>
      <c r="C91">
        <f t="shared" ca="1" si="33"/>
        <v>1</v>
      </c>
      <c r="D91">
        <f t="shared" ca="1" si="34"/>
        <v>10</v>
      </c>
      <c r="E91">
        <f t="shared" ca="1" si="35"/>
        <v>0</v>
      </c>
      <c r="F91">
        <f t="shared" ca="1" si="36"/>
        <v>0</v>
      </c>
      <c r="G91">
        <f t="shared" ca="1" si="37"/>
        <v>5</v>
      </c>
      <c r="H91">
        <f ca="1">IF(OR($A91="S",$A91=0),0,MATCH(0,OFFSET($B91,1,$A91,ROW($A$202)-ROW($A91)),0))</f>
        <v>0</v>
      </c>
      <c r="I91">
        <f ca="1">IF(OR($A91="S",$A91=0),0,MATCH(OFFSET($B91,0,$A91)+1,OFFSET($B91,1,$A91,ROW($A$202)-ROW($A91)),0))</f>
        <v>0</v>
      </c>
      <c r="J91" s="388" t="s">
        <v>103</v>
      </c>
      <c r="K91" s="138" t="str">
        <f t="shared" ca="1" si="38"/>
        <v>1.10.0.5.</v>
      </c>
      <c r="L91" s="370" t="s">
        <v>230</v>
      </c>
      <c r="M91" s="382" t="s">
        <v>334</v>
      </c>
      <c r="N91" s="368" t="s">
        <v>460</v>
      </c>
      <c r="O91" s="377" t="s">
        <v>524</v>
      </c>
      <c r="P91" s="363">
        <v>4.3899999999999997</v>
      </c>
      <c r="Q91" s="195"/>
      <c r="R91" s="198" t="s">
        <v>7</v>
      </c>
      <c r="S91" s="103">
        <f t="shared" si="41"/>
        <v>0</v>
      </c>
      <c r="T91" s="83">
        <f t="shared" si="42"/>
        <v>0</v>
      </c>
      <c r="U91" s="9" t="str">
        <f t="shared" si="39"/>
        <v>SEM VALOR</v>
      </c>
      <c r="V91" s="1" t="str">
        <f ca="1">IF(OR($A91=0,$A91="S",$A91&gt;CFF!$A$9),"",MAX(V$12:OFFSET(V91,-1,0))+1)</f>
        <v/>
      </c>
      <c r="W91" s="4" t="str">
        <f t="shared" si="40"/>
        <v>SINAPI-96624</v>
      </c>
      <c r="X91" s="1">
        <f t="shared" ca="1" si="43"/>
        <v>11994</v>
      </c>
      <c r="Y91" s="103">
        <v>224.11</v>
      </c>
      <c r="Z91" s="113">
        <f ca="1">ROUND(IF(ISNUMBER(R91),R91,IF(LEFT(R91,3)="BDI",HLOOKUP(R91,DADOS!$T$37:$X$38,2,FALSE),0)),15-11*$X$5)</f>
        <v>0.2354</v>
      </c>
      <c r="AA91" s="1"/>
    </row>
    <row r="92" spans="1:27" ht="25.5" x14ac:dyDescent="0.2">
      <c r="A92" t="str">
        <f t="shared" si="31"/>
        <v>S</v>
      </c>
      <c r="B92">
        <f t="shared" si="32"/>
        <v>0</v>
      </c>
      <c r="C92">
        <f t="shared" ca="1" si="33"/>
        <v>1</v>
      </c>
      <c r="D92">
        <f t="shared" ca="1" si="34"/>
        <v>10</v>
      </c>
      <c r="E92">
        <f t="shared" ca="1" si="35"/>
        <v>0</v>
      </c>
      <c r="F92">
        <f t="shared" ca="1" si="36"/>
        <v>0</v>
      </c>
      <c r="G92">
        <f t="shared" ca="1" si="37"/>
        <v>6</v>
      </c>
      <c r="H92">
        <f ca="1">IF(OR($A92="S",$A92=0),0,MATCH(0,OFFSET($B92,1,$A92,ROW($A$202)-ROW($A92)),0))</f>
        <v>0</v>
      </c>
      <c r="I92">
        <f ca="1">IF(OR($A92="S",$A92=0),0,MATCH(OFFSET($B92,0,$A92)+1,OFFSET($B92,1,$A92,ROW($A$202)-ROW($A92)),0))</f>
        <v>0</v>
      </c>
      <c r="J92" s="388" t="s">
        <v>103</v>
      </c>
      <c r="K92" s="138" t="str">
        <f t="shared" ca="1" si="38"/>
        <v>1.10.0.6.</v>
      </c>
      <c r="L92" s="370" t="s">
        <v>230</v>
      </c>
      <c r="M92" s="382" t="s">
        <v>335</v>
      </c>
      <c r="N92" s="368" t="s">
        <v>461</v>
      </c>
      <c r="O92" s="377" t="s">
        <v>521</v>
      </c>
      <c r="P92" s="363">
        <v>25</v>
      </c>
      <c r="Q92" s="195"/>
      <c r="R92" s="198" t="s">
        <v>7</v>
      </c>
      <c r="S92" s="103">
        <f t="shared" ref="S92:S155" si="44">IF($A92="S",IF($Q$10="Preço Unitário (R$)",PO.CustoUnitario,ROUND(PO.CustoUnitario*(1+$Z92),15-13*$X$6)),0)</f>
        <v>0</v>
      </c>
      <c r="T92" s="83">
        <f t="shared" ref="T92:T155" si="45">IF($A92="S",VTOTAL1,IF($A92=0,0,ROUND(SomaAgrup,15-13*$X$7)))</f>
        <v>0</v>
      </c>
      <c r="U92" s="9" t="str">
        <f t="shared" si="39"/>
        <v>SEM VALOR</v>
      </c>
      <c r="V92" s="1" t="str">
        <f ca="1">IF(OR($A92=0,$A92="S",$A92&gt;CFF!$A$9),"",MAX(V$12:OFFSET(V92,-1,0))+1)</f>
        <v/>
      </c>
      <c r="W92" s="4" t="str">
        <f t="shared" si="40"/>
        <v>SINAPI-94995</v>
      </c>
      <c r="X92" s="1">
        <f t="shared" ref="X92:X155" ca="1" si="46">IF(AND(Fonte&lt;&gt;"",Código&lt;&gt;""),MATCH(Fonte&amp;" "&amp;IF(Fonte="sinapi",SUBSTITUTE(SUBSTITUTE(Código,"/00","/"),"/0","/"),Código),INDIRECT("'[Referência "&amp;_xlnm.Database&amp;".xls]Banco'!$a:$a"),0),"X")</f>
        <v>13072</v>
      </c>
      <c r="Y92" s="103">
        <v>127.35</v>
      </c>
      <c r="Z92" s="113">
        <f ca="1">ROUND(IF(ISNUMBER(R92),R92,IF(LEFT(R92,3)="BDI",HLOOKUP(R92,DADOS!$T$37:$X$38,2,FALSE),0)),15-11*$X$5)</f>
        <v>0.2354</v>
      </c>
      <c r="AA92" s="1"/>
    </row>
    <row r="93" spans="1:27" x14ac:dyDescent="0.2">
      <c r="A93">
        <f t="shared" si="31"/>
        <v>2</v>
      </c>
      <c r="B93">
        <f t="shared" ca="1" si="32"/>
        <v>16</v>
      </c>
      <c r="C93">
        <f t="shared" ca="1" si="33"/>
        <v>1</v>
      </c>
      <c r="D93">
        <f t="shared" ca="1" si="34"/>
        <v>11</v>
      </c>
      <c r="E93">
        <f t="shared" ca="1" si="35"/>
        <v>0</v>
      </c>
      <c r="F93">
        <f t="shared" ca="1" si="36"/>
        <v>0</v>
      </c>
      <c r="G93">
        <f t="shared" ca="1" si="37"/>
        <v>0</v>
      </c>
      <c r="H93">
        <f ca="1">IF(OR($A93="S",$A93=0),0,MATCH(0,OFFSET($B93,1,$A93,ROW($A$202)-ROW($A93)),0))</f>
        <v>109</v>
      </c>
      <c r="I93">
        <f ca="1">IF(OR($A93="S",$A93=0),0,MATCH(OFFSET($B93,0,$A93)+1,OFFSET($B93,1,$A93,ROW($A$202)-ROW($A93)),0))</f>
        <v>16</v>
      </c>
      <c r="J93" s="388" t="s">
        <v>100</v>
      </c>
      <c r="K93" s="138" t="str">
        <f t="shared" ca="1" si="38"/>
        <v>1.11.</v>
      </c>
      <c r="L93" s="370" t="s">
        <v>230</v>
      </c>
      <c r="M93" s="370"/>
      <c r="N93" s="364" t="s">
        <v>377</v>
      </c>
      <c r="O93" s="377" t="s">
        <v>106</v>
      </c>
      <c r="P93" s="363" t="s">
        <v>363</v>
      </c>
      <c r="Q93" s="195"/>
      <c r="R93" s="198" t="s">
        <v>7</v>
      </c>
      <c r="S93" s="103">
        <f t="shared" si="44"/>
        <v>0</v>
      </c>
      <c r="T93" s="83">
        <f t="shared" ca="1" si="45"/>
        <v>0</v>
      </c>
      <c r="U93" s="9" t="str">
        <f t="shared" ca="1" si="39"/>
        <v>SEM VALOR</v>
      </c>
      <c r="V93" s="1">
        <f ca="1">IF(OR($A93=0,$A93="S",$A93&gt;CFF!$A$9),"",MAX(V$12:OFFSET(V93,-1,0))+1)</f>
        <v>12</v>
      </c>
      <c r="W93" s="4" t="b">
        <f t="shared" si="40"/>
        <v>0</v>
      </c>
      <c r="X93" s="1" t="str">
        <f t="shared" ca="1" si="46"/>
        <v>X</v>
      </c>
      <c r="Y93" s="103">
        <v>0</v>
      </c>
      <c r="Z93" s="113">
        <f ca="1">ROUND(IF(ISNUMBER(R93),R93,IF(LEFT(R93,3)="BDI",HLOOKUP(R93,DADOS!$T$37:$X$38,2,FALSE),0)),15-11*$X$5)</f>
        <v>0.2354</v>
      </c>
      <c r="AA93" s="1"/>
    </row>
    <row r="94" spans="1:27" x14ac:dyDescent="0.2">
      <c r="A94">
        <f t="shared" si="31"/>
        <v>3</v>
      </c>
      <c r="B94">
        <f t="shared" ca="1" si="32"/>
        <v>3</v>
      </c>
      <c r="C94">
        <f t="shared" ca="1" si="33"/>
        <v>1</v>
      </c>
      <c r="D94">
        <f t="shared" ca="1" si="34"/>
        <v>11</v>
      </c>
      <c r="E94">
        <f t="shared" ca="1" si="35"/>
        <v>1</v>
      </c>
      <c r="F94">
        <f t="shared" ca="1" si="36"/>
        <v>0</v>
      </c>
      <c r="G94">
        <f t="shared" ca="1" si="37"/>
        <v>0</v>
      </c>
      <c r="H94">
        <f ca="1">IF(OR($A94="S",$A94=0),0,MATCH(0,OFFSET($B94,1,$A94,ROW($A$202)-ROW($A94)),0))</f>
        <v>15</v>
      </c>
      <c r="I94">
        <f ca="1">IF(OR($A94="S",$A94=0),0,MATCH(OFFSET($B94,0,$A94)+1,OFFSET($B94,1,$A94,ROW($A$202)-ROW($A94)),0))</f>
        <v>3</v>
      </c>
      <c r="J94" s="388" t="s">
        <v>101</v>
      </c>
      <c r="K94" s="138" t="str">
        <f t="shared" ca="1" si="38"/>
        <v>1.11.1.</v>
      </c>
      <c r="L94" s="370" t="s">
        <v>230</v>
      </c>
      <c r="M94" s="382"/>
      <c r="N94" s="364" t="s">
        <v>378</v>
      </c>
      <c r="O94" s="377" t="s">
        <v>106</v>
      </c>
      <c r="P94" s="363" t="s">
        <v>363</v>
      </c>
      <c r="Q94" s="195"/>
      <c r="R94" s="198" t="s">
        <v>7</v>
      </c>
      <c r="S94" s="103">
        <f t="shared" si="44"/>
        <v>0</v>
      </c>
      <c r="T94" s="83">
        <f t="shared" ca="1" si="45"/>
        <v>0</v>
      </c>
      <c r="U94" s="9" t="str">
        <f t="shared" ca="1" si="39"/>
        <v>SEM VALOR</v>
      </c>
      <c r="V94" s="1" t="str">
        <f ca="1">IF(OR($A94=0,$A94="S",$A94&gt;CFF!$A$9),"",MAX(V$12:OFFSET(V94,-1,0))+1)</f>
        <v/>
      </c>
      <c r="W94" s="4" t="b">
        <f t="shared" si="40"/>
        <v>0</v>
      </c>
      <c r="X94" s="1" t="str">
        <f t="shared" ca="1" si="46"/>
        <v>X</v>
      </c>
      <c r="Y94" s="103">
        <v>0</v>
      </c>
      <c r="Z94" s="113">
        <f ca="1">ROUND(IF(ISNUMBER(R94),R94,IF(LEFT(R94,3)="BDI",HLOOKUP(R94,DADOS!$T$37:$X$38,2,FALSE),0)),15-11*$X$5)</f>
        <v>0.2354</v>
      </c>
      <c r="AA94" s="1"/>
    </row>
    <row r="95" spans="1:27" ht="25.5" x14ac:dyDescent="0.2">
      <c r="A95" t="str">
        <f t="shared" si="31"/>
        <v>S</v>
      </c>
      <c r="B95">
        <f t="shared" si="32"/>
        <v>0</v>
      </c>
      <c r="C95">
        <f t="shared" ca="1" si="33"/>
        <v>1</v>
      </c>
      <c r="D95">
        <f t="shared" ca="1" si="34"/>
        <v>11</v>
      </c>
      <c r="E95">
        <f t="shared" ca="1" si="35"/>
        <v>1</v>
      </c>
      <c r="F95">
        <f t="shared" ca="1" si="36"/>
        <v>0</v>
      </c>
      <c r="G95">
        <f t="shared" ca="1" si="37"/>
        <v>1</v>
      </c>
      <c r="H95">
        <f ca="1">IF(OR($A95="S",$A95=0),0,MATCH(0,OFFSET($B95,1,$A95,ROW($A$202)-ROW($A95)),0))</f>
        <v>0</v>
      </c>
      <c r="I95">
        <f ca="1">IF(OR($A95="S",$A95=0),0,MATCH(OFFSET($B95,0,$A95)+1,OFFSET($B95,1,$A95,ROW($A$202)-ROW($A95)),0))</f>
        <v>0</v>
      </c>
      <c r="J95" s="388" t="s">
        <v>103</v>
      </c>
      <c r="K95" s="138" t="str">
        <f t="shared" ca="1" si="38"/>
        <v>1.11.1.1.</v>
      </c>
      <c r="L95" s="370" t="s">
        <v>234</v>
      </c>
      <c r="M95" s="382" t="s">
        <v>336</v>
      </c>
      <c r="N95" s="368" t="s">
        <v>462</v>
      </c>
      <c r="O95" s="377" t="s">
        <v>288</v>
      </c>
      <c r="P95" s="363">
        <v>11.2</v>
      </c>
      <c r="Q95" s="195"/>
      <c r="R95" s="198" t="s">
        <v>7</v>
      </c>
      <c r="S95" s="103">
        <f t="shared" si="44"/>
        <v>0</v>
      </c>
      <c r="T95" s="83">
        <f t="shared" si="45"/>
        <v>0</v>
      </c>
      <c r="U95" s="9" t="str">
        <f t="shared" si="39"/>
        <v>SEM VALOR</v>
      </c>
      <c r="V95" s="1" t="str">
        <f ca="1">IF(OR($A95=0,$A95="S",$A95&gt;CFF!$A$9),"",MAX(V$12:OFFSET(V95,-1,0))+1)</f>
        <v/>
      </c>
      <c r="W95" s="4" t="str">
        <f t="shared" si="40"/>
        <v>PM BENTO-117</v>
      </c>
      <c r="X95" s="1">
        <f t="shared" ca="1" si="46"/>
        <v>55</v>
      </c>
      <c r="Y95" s="103">
        <v>12.93</v>
      </c>
      <c r="Z95" s="113">
        <f ca="1">ROUND(IF(ISNUMBER(R95),R95,IF(LEFT(R95,3)="BDI",HLOOKUP(R95,DADOS!$T$37:$X$38,2,FALSE),0)),15-11*$X$5)</f>
        <v>0.2354</v>
      </c>
      <c r="AA95" s="1"/>
    </row>
    <row r="96" spans="1:27" ht="25.5" x14ac:dyDescent="0.2">
      <c r="A96" t="str">
        <f t="shared" si="31"/>
        <v>S</v>
      </c>
      <c r="B96">
        <f t="shared" si="32"/>
        <v>0</v>
      </c>
      <c r="C96">
        <f t="shared" ca="1" si="33"/>
        <v>1</v>
      </c>
      <c r="D96">
        <f t="shared" ca="1" si="34"/>
        <v>11</v>
      </c>
      <c r="E96">
        <f t="shared" ca="1" si="35"/>
        <v>1</v>
      </c>
      <c r="F96">
        <f t="shared" ca="1" si="36"/>
        <v>0</v>
      </c>
      <c r="G96">
        <f t="shared" ca="1" si="37"/>
        <v>2</v>
      </c>
      <c r="H96">
        <f ca="1">IF(OR($A96="S",$A96=0),0,MATCH(0,OFFSET($B96,1,$A96,ROW($A$202)-ROW($A96)),0))</f>
        <v>0</v>
      </c>
      <c r="I96">
        <f ca="1">IF(OR($A96="S",$A96=0),0,MATCH(OFFSET($B96,0,$A96)+1,OFFSET($B96,1,$A96,ROW($A$202)-ROW($A96)),0))</f>
        <v>0</v>
      </c>
      <c r="J96" s="388" t="s">
        <v>103</v>
      </c>
      <c r="K96" s="138" t="str">
        <f t="shared" ca="1" si="38"/>
        <v>1.11.1.2.</v>
      </c>
      <c r="L96" s="370" t="s">
        <v>230</v>
      </c>
      <c r="M96" s="382" t="s">
        <v>337</v>
      </c>
      <c r="N96" s="368" t="s">
        <v>463</v>
      </c>
      <c r="O96" s="377" t="s">
        <v>524</v>
      </c>
      <c r="P96" s="363">
        <v>2.82</v>
      </c>
      <c r="Q96" s="195"/>
      <c r="R96" s="198" t="s">
        <v>7</v>
      </c>
      <c r="S96" s="103">
        <f t="shared" si="44"/>
        <v>0</v>
      </c>
      <c r="T96" s="83">
        <f t="shared" si="45"/>
        <v>0</v>
      </c>
      <c r="U96" s="9" t="str">
        <f t="shared" si="39"/>
        <v>SEM VALOR</v>
      </c>
      <c r="V96" s="1" t="str">
        <f ca="1">IF(OR($A96=0,$A96="S",$A96&gt;CFF!$A$9),"",MAX(V$12:OFFSET(V96,-1,0))+1)</f>
        <v/>
      </c>
      <c r="W96" s="4" t="str">
        <f t="shared" si="40"/>
        <v>SINAPI-104790</v>
      </c>
      <c r="X96" s="1">
        <f t="shared" ca="1" si="46"/>
        <v>6864</v>
      </c>
      <c r="Y96" s="103">
        <v>151.6</v>
      </c>
      <c r="Z96" s="113">
        <f ca="1">ROUND(IF(ISNUMBER(R96),R96,IF(LEFT(R96,3)="BDI",HLOOKUP(R96,DADOS!$T$37:$X$38,2,FALSE),0)),15-11*$X$5)</f>
        <v>0.2354</v>
      </c>
      <c r="AA96" s="1"/>
    </row>
    <row r="97" spans="1:27" x14ac:dyDescent="0.2">
      <c r="A97">
        <f t="shared" si="31"/>
        <v>3</v>
      </c>
      <c r="B97">
        <f t="shared" ca="1" si="32"/>
        <v>3</v>
      </c>
      <c r="C97">
        <f t="shared" ca="1" si="33"/>
        <v>1</v>
      </c>
      <c r="D97">
        <f t="shared" ca="1" si="34"/>
        <v>11</v>
      </c>
      <c r="E97">
        <f t="shared" ca="1" si="35"/>
        <v>2</v>
      </c>
      <c r="F97">
        <f t="shared" ca="1" si="36"/>
        <v>0</v>
      </c>
      <c r="G97">
        <f t="shared" ca="1" si="37"/>
        <v>0</v>
      </c>
      <c r="H97">
        <f ca="1">IF(OR($A97="S",$A97=0),0,MATCH(0,OFFSET($B97,1,$A97,ROW($A$202)-ROW($A97)),0))</f>
        <v>12</v>
      </c>
      <c r="I97">
        <f ca="1">IF(OR($A97="S",$A97=0),0,MATCH(OFFSET($B97,0,$A97)+1,OFFSET($B97,1,$A97,ROW($A$202)-ROW($A97)),0))</f>
        <v>3</v>
      </c>
      <c r="J97" s="388" t="s">
        <v>101</v>
      </c>
      <c r="K97" s="138" t="str">
        <f t="shared" ca="1" si="38"/>
        <v>1.11.2.</v>
      </c>
      <c r="L97" s="370" t="s">
        <v>230</v>
      </c>
      <c r="M97" s="382"/>
      <c r="N97" s="376" t="s">
        <v>379</v>
      </c>
      <c r="O97" s="377" t="s">
        <v>106</v>
      </c>
      <c r="P97" s="363" t="s">
        <v>363</v>
      </c>
      <c r="Q97" s="195"/>
      <c r="R97" s="198" t="s">
        <v>7</v>
      </c>
      <c r="S97" s="103">
        <f t="shared" si="44"/>
        <v>0</v>
      </c>
      <c r="T97" s="83">
        <f t="shared" ca="1" si="45"/>
        <v>0</v>
      </c>
      <c r="U97" s="9" t="str">
        <f t="shared" ca="1" si="39"/>
        <v>SEM VALOR</v>
      </c>
      <c r="V97" s="1" t="str">
        <f ca="1">IF(OR($A97=0,$A97="S",$A97&gt;CFF!$A$9),"",MAX(V$12:OFFSET(V97,-1,0))+1)</f>
        <v/>
      </c>
      <c r="W97" s="4" t="b">
        <f t="shared" si="40"/>
        <v>0</v>
      </c>
      <c r="X97" s="1" t="str">
        <f t="shared" ca="1" si="46"/>
        <v>X</v>
      </c>
      <c r="Y97" s="103">
        <v>0</v>
      </c>
      <c r="Z97" s="113">
        <f ca="1">ROUND(IF(ISNUMBER(R97),R97,IF(LEFT(R97,3)="BDI",HLOOKUP(R97,DADOS!$T$37:$X$38,2,FALSE),0)),15-11*$X$5)</f>
        <v>0.2354</v>
      </c>
      <c r="AA97" s="1"/>
    </row>
    <row r="98" spans="1:27" x14ac:dyDescent="0.2">
      <c r="A98" t="str">
        <f t="shared" si="31"/>
        <v>S</v>
      </c>
      <c r="B98">
        <f t="shared" si="32"/>
        <v>0</v>
      </c>
      <c r="C98">
        <f t="shared" ca="1" si="33"/>
        <v>1</v>
      </c>
      <c r="D98">
        <f t="shared" ca="1" si="34"/>
        <v>11</v>
      </c>
      <c r="E98">
        <f t="shared" ca="1" si="35"/>
        <v>2</v>
      </c>
      <c r="F98">
        <f t="shared" ca="1" si="36"/>
        <v>0</v>
      </c>
      <c r="G98">
        <f t="shared" ca="1" si="37"/>
        <v>1</v>
      </c>
      <c r="H98">
        <f ca="1">IF(OR($A98="S",$A98=0),0,MATCH(0,OFFSET($B98,1,$A98,ROW($A$202)-ROW($A98)),0))</f>
        <v>0</v>
      </c>
      <c r="I98">
        <f ca="1">IF(OR($A98="S",$A98=0),0,MATCH(OFFSET($B98,0,$A98)+1,OFFSET($B98,1,$A98,ROW($A$202)-ROW($A98)),0))</f>
        <v>0</v>
      </c>
      <c r="J98" s="388" t="s">
        <v>103</v>
      </c>
      <c r="K98" s="138" t="str">
        <f t="shared" ca="1" si="38"/>
        <v>1.11.2.1.</v>
      </c>
      <c r="L98" s="370" t="s">
        <v>230</v>
      </c>
      <c r="M98" s="370" t="s">
        <v>281</v>
      </c>
      <c r="N98" s="368" t="s">
        <v>464</v>
      </c>
      <c r="O98" s="377" t="s">
        <v>524</v>
      </c>
      <c r="P98" s="363">
        <v>7</v>
      </c>
      <c r="Q98" s="195"/>
      <c r="R98" s="198" t="s">
        <v>7</v>
      </c>
      <c r="S98" s="103">
        <f t="shared" si="44"/>
        <v>0</v>
      </c>
      <c r="T98" s="83">
        <f t="shared" si="45"/>
        <v>0</v>
      </c>
      <c r="U98" s="9" t="str">
        <f t="shared" si="39"/>
        <v>SEM VALOR</v>
      </c>
      <c r="V98" s="1" t="str">
        <f ca="1">IF(OR($A98=0,$A98="S",$A98&gt;CFF!$A$9),"",MAX(V$12:OFFSET(V98,-1,0))+1)</f>
        <v/>
      </c>
      <c r="W98" s="4" t="str">
        <f t="shared" si="40"/>
        <v>SINAPI-93358</v>
      </c>
      <c r="X98" s="1">
        <f t="shared" ca="1" si="46"/>
        <v>8415</v>
      </c>
      <c r="Y98" s="103">
        <v>121.34</v>
      </c>
      <c r="Z98" s="113">
        <f ca="1">ROUND(IF(ISNUMBER(R98),R98,IF(LEFT(R98,3)="BDI",HLOOKUP(R98,DADOS!$T$37:$X$38,2,FALSE),0)),15-11*$X$5)</f>
        <v>0.2354</v>
      </c>
      <c r="AA98" s="1"/>
    </row>
    <row r="99" spans="1:27" x14ac:dyDescent="0.2">
      <c r="A99" t="str">
        <f t="shared" si="31"/>
        <v>S</v>
      </c>
      <c r="B99">
        <f t="shared" si="32"/>
        <v>0</v>
      </c>
      <c r="C99">
        <f t="shared" ca="1" si="33"/>
        <v>1</v>
      </c>
      <c r="D99">
        <f t="shared" ca="1" si="34"/>
        <v>11</v>
      </c>
      <c r="E99">
        <f t="shared" ca="1" si="35"/>
        <v>2</v>
      </c>
      <c r="F99">
        <f t="shared" ca="1" si="36"/>
        <v>0</v>
      </c>
      <c r="G99">
        <f t="shared" ca="1" si="37"/>
        <v>2</v>
      </c>
      <c r="H99">
        <f ca="1">IF(OR($A99="S",$A99=0),0,MATCH(0,OFFSET($B99,1,$A99,ROW($A$202)-ROW($A99)),0))</f>
        <v>0</v>
      </c>
      <c r="I99">
        <f ca="1">IF(OR($A99="S",$A99=0),0,MATCH(OFFSET($B99,0,$A99)+1,OFFSET($B99,1,$A99,ROW($A$202)-ROW($A99)),0))</f>
        <v>0</v>
      </c>
      <c r="J99" s="388" t="s">
        <v>103</v>
      </c>
      <c r="K99" s="138" t="str">
        <f t="shared" ca="1" si="38"/>
        <v>1.11.2.2.</v>
      </c>
      <c r="L99" s="370" t="s">
        <v>230</v>
      </c>
      <c r="M99" s="382" t="s">
        <v>282</v>
      </c>
      <c r="N99" s="368" t="s">
        <v>465</v>
      </c>
      <c r="O99" s="377" t="s">
        <v>524</v>
      </c>
      <c r="P99" s="363">
        <v>7</v>
      </c>
      <c r="Q99" s="195"/>
      <c r="R99" s="198" t="s">
        <v>7</v>
      </c>
      <c r="S99" s="103">
        <f t="shared" si="44"/>
        <v>0</v>
      </c>
      <c r="T99" s="83">
        <f t="shared" si="45"/>
        <v>0</v>
      </c>
      <c r="U99" s="9" t="str">
        <f t="shared" si="39"/>
        <v>SEM VALOR</v>
      </c>
      <c r="V99" s="1" t="str">
        <f ca="1">IF(OR($A99=0,$A99="S",$A99&gt;CFF!$A$9),"",MAX(V$12:OFFSET(V99,-1,0))+1)</f>
        <v/>
      </c>
      <c r="W99" s="4" t="str">
        <f t="shared" si="40"/>
        <v>SINAPI-93382</v>
      </c>
      <c r="X99" s="1">
        <f t="shared" ca="1" si="46"/>
        <v>5680</v>
      </c>
      <c r="Y99" s="103">
        <v>37.4</v>
      </c>
      <c r="Z99" s="113">
        <f ca="1">ROUND(IF(ISNUMBER(R99),R99,IF(LEFT(R99,3)="BDI",HLOOKUP(R99,DADOS!$T$37:$X$38,2,FALSE),0)),15-11*$X$5)</f>
        <v>0.2354</v>
      </c>
      <c r="AA99" s="1"/>
    </row>
    <row r="100" spans="1:27" x14ac:dyDescent="0.2">
      <c r="A100">
        <f t="shared" si="31"/>
        <v>3</v>
      </c>
      <c r="B100">
        <f t="shared" ca="1" si="32"/>
        <v>2</v>
      </c>
      <c r="C100">
        <f t="shared" ca="1" si="33"/>
        <v>1</v>
      </c>
      <c r="D100">
        <f t="shared" ca="1" si="34"/>
        <v>11</v>
      </c>
      <c r="E100">
        <f t="shared" ca="1" si="35"/>
        <v>3</v>
      </c>
      <c r="F100">
        <f t="shared" ca="1" si="36"/>
        <v>0</v>
      </c>
      <c r="G100">
        <f t="shared" ca="1" si="37"/>
        <v>0</v>
      </c>
      <c r="H100">
        <f ca="1">IF(OR($A100="S",$A100=0),0,MATCH(0,OFFSET($B100,1,$A100,ROW($A$202)-ROW($A100)),0))</f>
        <v>9</v>
      </c>
      <c r="I100">
        <f ca="1">IF(OR($A100="S",$A100=0),0,MATCH(OFFSET($B100,0,$A100)+1,OFFSET($B100,1,$A100,ROW($A$202)-ROW($A100)),0))</f>
        <v>2</v>
      </c>
      <c r="J100" s="388" t="s">
        <v>101</v>
      </c>
      <c r="K100" s="138" t="str">
        <f t="shared" ca="1" si="38"/>
        <v>1.11.3.</v>
      </c>
      <c r="L100" s="370" t="s">
        <v>230</v>
      </c>
      <c r="M100" s="382"/>
      <c r="N100" s="374" t="s">
        <v>380</v>
      </c>
      <c r="O100" s="377" t="s">
        <v>106</v>
      </c>
      <c r="P100" s="363" t="s">
        <v>363</v>
      </c>
      <c r="Q100" s="195"/>
      <c r="R100" s="198" t="s">
        <v>7</v>
      </c>
      <c r="S100" s="103">
        <f t="shared" si="44"/>
        <v>0</v>
      </c>
      <c r="T100" s="83">
        <f t="shared" ca="1" si="45"/>
        <v>0</v>
      </c>
      <c r="U100" s="9" t="str">
        <f t="shared" ca="1" si="39"/>
        <v>SEM VALOR</v>
      </c>
      <c r="V100" s="1" t="str">
        <f ca="1">IF(OR($A100=0,$A100="S",$A100&gt;CFF!$A$9),"",MAX(V$12:OFFSET(V100,-1,0))+1)</f>
        <v/>
      </c>
      <c r="W100" s="4" t="b">
        <f t="shared" si="40"/>
        <v>0</v>
      </c>
      <c r="X100" s="1" t="str">
        <f t="shared" ca="1" si="46"/>
        <v>X</v>
      </c>
      <c r="Y100" s="103">
        <v>0</v>
      </c>
      <c r="Z100" s="113">
        <f ca="1">ROUND(IF(ISNUMBER(R100),R100,IF(LEFT(R100,3)="BDI",HLOOKUP(R100,DADOS!$T$37:$X$38,2,FALSE),0)),15-11*$X$5)</f>
        <v>0.2354</v>
      </c>
      <c r="AA100" s="1"/>
    </row>
    <row r="101" spans="1:27" ht="25.5" x14ac:dyDescent="0.2">
      <c r="A101" t="str">
        <f t="shared" si="31"/>
        <v>S</v>
      </c>
      <c r="B101">
        <f t="shared" si="32"/>
        <v>0</v>
      </c>
      <c r="C101">
        <f t="shared" ca="1" si="33"/>
        <v>1</v>
      </c>
      <c r="D101">
        <f t="shared" ca="1" si="34"/>
        <v>11</v>
      </c>
      <c r="E101">
        <f t="shared" ca="1" si="35"/>
        <v>3</v>
      </c>
      <c r="F101">
        <f t="shared" ca="1" si="36"/>
        <v>0</v>
      </c>
      <c r="G101">
        <f t="shared" ca="1" si="37"/>
        <v>1</v>
      </c>
      <c r="H101">
        <f ca="1">IF(OR($A101="S",$A101=0),0,MATCH(0,OFFSET($B101,1,$A101,ROW($A$202)-ROW($A101)),0))</f>
        <v>0</v>
      </c>
      <c r="I101">
        <f ca="1">IF(OR($A101="S",$A101=0),0,MATCH(OFFSET($B101,0,$A101)+1,OFFSET($B101,1,$A101,ROW($A$202)-ROW($A101)),0))</f>
        <v>0</v>
      </c>
      <c r="J101" s="388" t="s">
        <v>103</v>
      </c>
      <c r="K101" s="138" t="str">
        <f t="shared" ca="1" si="38"/>
        <v>1.11.3.1.</v>
      </c>
      <c r="L101" s="370" t="s">
        <v>230</v>
      </c>
      <c r="M101" s="382" t="s">
        <v>338</v>
      </c>
      <c r="N101" s="368" t="s">
        <v>466</v>
      </c>
      <c r="O101" s="377" t="s">
        <v>524</v>
      </c>
      <c r="P101" s="363">
        <v>2.82</v>
      </c>
      <c r="Q101" s="195"/>
      <c r="R101" s="198" t="s">
        <v>7</v>
      </c>
      <c r="S101" s="103">
        <f t="shared" si="44"/>
        <v>0</v>
      </c>
      <c r="T101" s="83">
        <f t="shared" si="45"/>
        <v>0</v>
      </c>
      <c r="U101" s="9" t="str">
        <f t="shared" si="39"/>
        <v>SEM VALOR</v>
      </c>
      <c r="V101" s="1" t="str">
        <f ca="1">IF(OR($A101=0,$A101="S",$A101&gt;CFF!$A$9),"",MAX(V$12:OFFSET(V101,-1,0))+1)</f>
        <v/>
      </c>
      <c r="W101" s="4" t="str">
        <f t="shared" si="40"/>
        <v>SINAPI-102073</v>
      </c>
      <c r="X101" s="1">
        <f t="shared" ca="1" si="46"/>
        <v>8212</v>
      </c>
      <c r="Y101" s="103">
        <v>4930.17</v>
      </c>
      <c r="Z101" s="113">
        <f ca="1">ROUND(IF(ISNUMBER(R101),R101,IF(LEFT(R101,3)="BDI",HLOOKUP(R101,DADOS!$T$37:$X$38,2,FALSE),0)),15-11*$X$5)</f>
        <v>0.2354</v>
      </c>
      <c r="AA101" s="1"/>
    </row>
    <row r="102" spans="1:27" x14ac:dyDescent="0.2">
      <c r="A102">
        <f t="shared" si="31"/>
        <v>3</v>
      </c>
      <c r="B102">
        <f t="shared" ca="1" si="32"/>
        <v>3</v>
      </c>
      <c r="C102">
        <f t="shared" ca="1" si="33"/>
        <v>1</v>
      </c>
      <c r="D102">
        <f t="shared" ca="1" si="34"/>
        <v>11</v>
      </c>
      <c r="E102">
        <f t="shared" ca="1" si="35"/>
        <v>4</v>
      </c>
      <c r="F102">
        <f t="shared" ca="1" si="36"/>
        <v>0</v>
      </c>
      <c r="G102">
        <f t="shared" ca="1" si="37"/>
        <v>0</v>
      </c>
      <c r="H102">
        <f ca="1">IF(OR($A102="S",$A102=0),0,MATCH(0,OFFSET($B102,1,$A102,ROW($A$202)-ROW($A102)),0))</f>
        <v>7</v>
      </c>
      <c r="I102">
        <f ca="1">IF(OR($A102="S",$A102=0),0,MATCH(OFFSET($B102,0,$A102)+1,OFFSET($B102,1,$A102,ROW($A$202)-ROW($A102)),0))</f>
        <v>3</v>
      </c>
      <c r="J102" s="388" t="s">
        <v>101</v>
      </c>
      <c r="K102" s="138" t="str">
        <f t="shared" ca="1" si="38"/>
        <v>1.11.4.</v>
      </c>
      <c r="L102" s="370" t="s">
        <v>230</v>
      </c>
      <c r="M102" s="382"/>
      <c r="N102" s="393" t="s">
        <v>381</v>
      </c>
      <c r="O102" s="377" t="s">
        <v>106</v>
      </c>
      <c r="P102" s="363" t="s">
        <v>363</v>
      </c>
      <c r="Q102" s="195"/>
      <c r="R102" s="198" t="s">
        <v>7</v>
      </c>
      <c r="S102" s="103">
        <f t="shared" si="44"/>
        <v>0</v>
      </c>
      <c r="T102" s="83">
        <f t="shared" ca="1" si="45"/>
        <v>0</v>
      </c>
      <c r="U102" s="9" t="str">
        <f t="shared" ca="1" si="39"/>
        <v>SEM VALOR</v>
      </c>
      <c r="V102" s="1" t="str">
        <f ca="1">IF(OR($A102=0,$A102="S",$A102&gt;CFF!$A$9),"",MAX(V$12:OFFSET(V102,-1,0))+1)</f>
        <v/>
      </c>
      <c r="W102" s="4" t="b">
        <f t="shared" si="40"/>
        <v>0</v>
      </c>
      <c r="X102" s="1" t="str">
        <f t="shared" ca="1" si="46"/>
        <v>X</v>
      </c>
      <c r="Y102" s="103">
        <v>0</v>
      </c>
      <c r="Z102" s="113">
        <f ca="1">ROUND(IF(ISNUMBER(R102),R102,IF(LEFT(R102,3)="BDI",HLOOKUP(R102,DADOS!$T$37:$X$38,2,FALSE),0)),15-11*$X$5)</f>
        <v>0.2354</v>
      </c>
      <c r="AA102" s="1"/>
    </row>
    <row r="103" spans="1:27" ht="63.75" x14ac:dyDescent="0.2">
      <c r="A103" t="str">
        <f t="shared" si="31"/>
        <v>S</v>
      </c>
      <c r="B103">
        <f t="shared" si="32"/>
        <v>0</v>
      </c>
      <c r="C103">
        <f t="shared" ca="1" si="33"/>
        <v>1</v>
      </c>
      <c r="D103">
        <f t="shared" ca="1" si="34"/>
        <v>11</v>
      </c>
      <c r="E103">
        <f t="shared" ca="1" si="35"/>
        <v>4</v>
      </c>
      <c r="F103">
        <f t="shared" ca="1" si="36"/>
        <v>0</v>
      </c>
      <c r="G103">
        <f t="shared" ca="1" si="37"/>
        <v>1</v>
      </c>
      <c r="H103">
        <f ca="1">IF(OR($A103="S",$A103=0),0,MATCH(0,OFFSET($B103,1,$A103,ROW($A$202)-ROW($A103)),0))</f>
        <v>0</v>
      </c>
      <c r="I103">
        <f ca="1">IF(OR($A103="S",$A103=0),0,MATCH(OFFSET($B103,0,$A103)+1,OFFSET($B103,1,$A103,ROW($A$202)-ROW($A103)),0))</f>
        <v>0</v>
      </c>
      <c r="J103" s="388" t="s">
        <v>103</v>
      </c>
      <c r="K103" s="138" t="str">
        <f t="shared" ca="1" si="38"/>
        <v>1.11.4.1.</v>
      </c>
      <c r="L103" s="370" t="s">
        <v>234</v>
      </c>
      <c r="M103" s="382" t="s">
        <v>339</v>
      </c>
      <c r="N103" s="368" t="s">
        <v>467</v>
      </c>
      <c r="O103" s="377" t="s">
        <v>288</v>
      </c>
      <c r="P103" s="363">
        <v>8</v>
      </c>
      <c r="Q103" s="195"/>
      <c r="R103" s="198" t="s">
        <v>7</v>
      </c>
      <c r="S103" s="103">
        <f t="shared" si="44"/>
        <v>0</v>
      </c>
      <c r="T103" s="83">
        <f t="shared" si="45"/>
        <v>0</v>
      </c>
      <c r="U103" s="9" t="str">
        <f t="shared" si="39"/>
        <v>SEM VALOR</v>
      </c>
      <c r="V103" s="1" t="str">
        <f ca="1">IF(OR($A103=0,$A103="S",$A103&gt;CFF!$A$9),"",MAX(V$12:OFFSET(V103,-1,0))+1)</f>
        <v/>
      </c>
      <c r="W103" s="4" t="str">
        <f t="shared" si="40"/>
        <v>PM BENTO-109</v>
      </c>
      <c r="X103" s="1">
        <f t="shared" ca="1" si="46"/>
        <v>47</v>
      </c>
      <c r="Y103" s="103">
        <v>848.55</v>
      </c>
      <c r="Z103" s="113">
        <f ca="1">ROUND(IF(ISNUMBER(R103),R103,IF(LEFT(R103,3)="BDI",HLOOKUP(R103,DADOS!$T$37:$X$38,2,FALSE),0)),15-11*$X$5)</f>
        <v>0.2354</v>
      </c>
      <c r="AA103" s="1"/>
    </row>
    <row r="104" spans="1:27" ht="38.25" x14ac:dyDescent="0.2">
      <c r="A104" t="str">
        <f t="shared" si="31"/>
        <v>S</v>
      </c>
      <c r="B104">
        <f t="shared" si="32"/>
        <v>0</v>
      </c>
      <c r="C104">
        <f t="shared" ca="1" si="33"/>
        <v>1</v>
      </c>
      <c r="D104">
        <f t="shared" ca="1" si="34"/>
        <v>11</v>
      </c>
      <c r="E104">
        <f t="shared" ca="1" si="35"/>
        <v>4</v>
      </c>
      <c r="F104">
        <f t="shared" ca="1" si="36"/>
        <v>0</v>
      </c>
      <c r="G104">
        <f t="shared" ca="1" si="37"/>
        <v>2</v>
      </c>
      <c r="H104">
        <f ca="1">IF(OR($A104="S",$A104=0),0,MATCH(0,OFFSET($B104,1,$A104,ROW($A$202)-ROW($A104)),0))</f>
        <v>0</v>
      </c>
      <c r="I104">
        <f ca="1">IF(OR($A104="S",$A104=0),0,MATCH(OFFSET($B104,0,$A104)+1,OFFSET($B104,1,$A104,ROW($A$202)-ROW($A104)),0))</f>
        <v>0</v>
      </c>
      <c r="J104" s="388" t="s">
        <v>103</v>
      </c>
      <c r="K104" s="138" t="str">
        <f t="shared" ca="1" si="38"/>
        <v>1.11.4.2.</v>
      </c>
      <c r="L104" s="370" t="s">
        <v>234</v>
      </c>
      <c r="M104" s="382" t="s">
        <v>340</v>
      </c>
      <c r="N104" s="368" t="s">
        <v>468</v>
      </c>
      <c r="O104" s="377" t="s">
        <v>288</v>
      </c>
      <c r="P104" s="363">
        <v>4</v>
      </c>
      <c r="Q104" s="195"/>
      <c r="R104" s="198" t="s">
        <v>7</v>
      </c>
      <c r="S104" s="103">
        <f t="shared" si="44"/>
        <v>0</v>
      </c>
      <c r="T104" s="83">
        <f t="shared" si="45"/>
        <v>0</v>
      </c>
      <c r="U104" s="9" t="str">
        <f t="shared" si="39"/>
        <v>SEM VALOR</v>
      </c>
      <c r="V104" s="1" t="str">
        <f ca="1">IF(OR($A104=0,$A104="S",$A104&gt;CFF!$A$9),"",MAX(V$12:OFFSET(V104,-1,0))+1)</f>
        <v/>
      </c>
      <c r="W104" s="4" t="str">
        <f t="shared" si="40"/>
        <v>PM BENTO-110</v>
      </c>
      <c r="X104" s="1">
        <f t="shared" ca="1" si="46"/>
        <v>48</v>
      </c>
      <c r="Y104" s="103">
        <v>610.20000000000005</v>
      </c>
      <c r="Z104" s="113">
        <f ca="1">ROUND(IF(ISNUMBER(R104),R104,IF(LEFT(R104,3)="BDI",HLOOKUP(R104,DADOS!$T$37:$X$38,2,FALSE),0)),15-11*$X$5)</f>
        <v>0.2354</v>
      </c>
      <c r="AA104" s="1"/>
    </row>
    <row r="105" spans="1:27" x14ac:dyDescent="0.2">
      <c r="A105">
        <f t="shared" si="31"/>
        <v>3</v>
      </c>
      <c r="B105">
        <f t="shared" ca="1" si="32"/>
        <v>4</v>
      </c>
      <c r="C105">
        <f t="shared" ca="1" si="33"/>
        <v>1</v>
      </c>
      <c r="D105">
        <f t="shared" ca="1" si="34"/>
        <v>11</v>
      </c>
      <c r="E105">
        <f t="shared" ca="1" si="35"/>
        <v>5</v>
      </c>
      <c r="F105">
        <f t="shared" ca="1" si="36"/>
        <v>0</v>
      </c>
      <c r="G105">
        <f t="shared" ca="1" si="37"/>
        <v>0</v>
      </c>
      <c r="H105">
        <f ca="1">IF(OR($A105="S",$A105=0),0,MATCH(0,OFFSET($B105,1,$A105,ROW($A$202)-ROW($A105)),0))</f>
        <v>4</v>
      </c>
      <c r="I105">
        <f ca="1">IF(OR($A105="S",$A105=0),0,MATCH(OFFSET($B105,0,$A105)+1,OFFSET($B105,1,$A105,ROW($A$202)-ROW($A105)),0))</f>
        <v>36</v>
      </c>
      <c r="J105" s="388" t="s">
        <v>101</v>
      </c>
      <c r="K105" s="138" t="str">
        <f t="shared" ca="1" si="38"/>
        <v>1.11.5.</v>
      </c>
      <c r="L105" s="370" t="s">
        <v>230</v>
      </c>
      <c r="M105" s="370"/>
      <c r="N105" s="354" t="s">
        <v>382</v>
      </c>
      <c r="O105" s="377" t="s">
        <v>106</v>
      </c>
      <c r="P105" s="363" t="s">
        <v>363</v>
      </c>
      <c r="Q105" s="195"/>
      <c r="R105" s="198" t="s">
        <v>7</v>
      </c>
      <c r="S105" s="103">
        <f t="shared" si="44"/>
        <v>0</v>
      </c>
      <c r="T105" s="83">
        <f t="shared" ca="1" si="45"/>
        <v>0</v>
      </c>
      <c r="U105" s="9" t="str">
        <f t="shared" ca="1" si="39"/>
        <v>SEM VALOR</v>
      </c>
      <c r="V105" s="1" t="str">
        <f ca="1">IF(OR($A105=0,$A105="S",$A105&gt;CFF!$A$9),"",MAX(V$12:OFFSET(V105,-1,0))+1)</f>
        <v/>
      </c>
      <c r="W105" s="4" t="b">
        <f t="shared" si="40"/>
        <v>0</v>
      </c>
      <c r="X105" s="1" t="str">
        <f t="shared" ca="1" si="46"/>
        <v>X</v>
      </c>
      <c r="Y105" s="103">
        <v>0</v>
      </c>
      <c r="Z105" s="113">
        <f ca="1">ROUND(IF(ISNUMBER(R105),R105,IF(LEFT(R105,3)="BDI",HLOOKUP(R105,DADOS!$T$37:$X$38,2,FALSE),0)),15-11*$X$5)</f>
        <v>0.2354</v>
      </c>
      <c r="AA105" s="1"/>
    </row>
    <row r="106" spans="1:27" x14ac:dyDescent="0.2">
      <c r="A106" t="str">
        <f t="shared" si="31"/>
        <v>S</v>
      </c>
      <c r="B106">
        <f t="shared" si="32"/>
        <v>0</v>
      </c>
      <c r="C106">
        <f t="shared" ca="1" si="33"/>
        <v>1</v>
      </c>
      <c r="D106">
        <f t="shared" ca="1" si="34"/>
        <v>11</v>
      </c>
      <c r="E106">
        <f t="shared" ca="1" si="35"/>
        <v>5</v>
      </c>
      <c r="F106">
        <f t="shared" ca="1" si="36"/>
        <v>0</v>
      </c>
      <c r="G106">
        <f t="shared" ca="1" si="37"/>
        <v>1</v>
      </c>
      <c r="H106">
        <f ca="1">IF(OR($A106="S",$A106=0),0,MATCH(0,OFFSET($B106,1,$A106,ROW($A$202)-ROW($A106)),0))</f>
        <v>0</v>
      </c>
      <c r="I106">
        <f ca="1">IF(OR($A106="S",$A106=0),0,MATCH(OFFSET($B106,0,$A106)+1,OFFSET($B106,1,$A106,ROW($A$202)-ROW($A106)),0))</f>
        <v>0</v>
      </c>
      <c r="J106" s="388" t="s">
        <v>103</v>
      </c>
      <c r="K106" s="138" t="str">
        <f t="shared" ca="1" si="38"/>
        <v>1.11.5.1.</v>
      </c>
      <c r="L106" s="370" t="s">
        <v>230</v>
      </c>
      <c r="M106" s="370" t="s">
        <v>242</v>
      </c>
      <c r="N106" s="368" t="s">
        <v>441</v>
      </c>
      <c r="O106" s="377" t="s">
        <v>521</v>
      </c>
      <c r="P106" s="363">
        <v>13.08</v>
      </c>
      <c r="Q106" s="195"/>
      <c r="R106" s="198" t="s">
        <v>7</v>
      </c>
      <c r="S106" s="103">
        <f t="shared" si="44"/>
        <v>0</v>
      </c>
      <c r="T106" s="83">
        <f t="shared" si="45"/>
        <v>0</v>
      </c>
      <c r="U106" s="9" t="str">
        <f t="shared" si="39"/>
        <v>SEM VALOR</v>
      </c>
      <c r="V106" s="1" t="str">
        <f ca="1">IF(OR($A106=0,$A106="S",$A106&gt;CFF!$A$9),"",MAX(V$12:OFFSET(V106,-1,0))+1)</f>
        <v/>
      </c>
      <c r="W106" s="4" t="str">
        <f t="shared" si="40"/>
        <v>SINAPI-100717</v>
      </c>
      <c r="X106" s="1">
        <f t="shared" ca="1" si="46"/>
        <v>13325</v>
      </c>
      <c r="Y106" s="103">
        <v>13.29</v>
      </c>
      <c r="Z106" s="113">
        <f ca="1">ROUND(IF(ISNUMBER(R106),R106,IF(LEFT(R106,3)="BDI",HLOOKUP(R106,DADOS!$T$37:$X$38,2,FALSE),0)),15-11*$X$5)</f>
        <v>0.2354</v>
      </c>
      <c r="AA106" s="1"/>
    </row>
    <row r="107" spans="1:27" ht="25.5" x14ac:dyDescent="0.2">
      <c r="A107" t="str">
        <f t="shared" si="31"/>
        <v>S</v>
      </c>
      <c r="B107">
        <f t="shared" si="32"/>
        <v>0</v>
      </c>
      <c r="C107">
        <f t="shared" ca="1" si="33"/>
        <v>1</v>
      </c>
      <c r="D107">
        <f t="shared" ca="1" si="34"/>
        <v>11</v>
      </c>
      <c r="E107">
        <f t="shared" ca="1" si="35"/>
        <v>5</v>
      </c>
      <c r="F107">
        <f t="shared" ca="1" si="36"/>
        <v>0</v>
      </c>
      <c r="G107">
        <f t="shared" ca="1" si="37"/>
        <v>2</v>
      </c>
      <c r="H107">
        <f ca="1">IF(OR($A107="S",$A107=0),0,MATCH(0,OFFSET($B107,1,$A107,ROW($A$202)-ROW($A107)),0))</f>
        <v>0</v>
      </c>
      <c r="I107">
        <f ca="1">IF(OR($A107="S",$A107=0),0,MATCH(OFFSET($B107,0,$A107)+1,OFFSET($B107,1,$A107,ROW($A$202)-ROW($A107)),0))</f>
        <v>0</v>
      </c>
      <c r="J107" s="388" t="s">
        <v>103</v>
      </c>
      <c r="K107" s="138" t="str">
        <f t="shared" ca="1" si="38"/>
        <v>1.11.5.2.</v>
      </c>
      <c r="L107" s="370" t="s">
        <v>230</v>
      </c>
      <c r="M107" s="370" t="s">
        <v>243</v>
      </c>
      <c r="N107" s="368" t="s">
        <v>469</v>
      </c>
      <c r="O107" s="377" t="s">
        <v>521</v>
      </c>
      <c r="P107" s="363">
        <v>26.16</v>
      </c>
      <c r="Q107" s="195"/>
      <c r="R107" s="198" t="s">
        <v>7</v>
      </c>
      <c r="S107" s="103">
        <f t="shared" si="44"/>
        <v>0</v>
      </c>
      <c r="T107" s="83">
        <f t="shared" si="45"/>
        <v>0</v>
      </c>
      <c r="U107" s="9" t="str">
        <f t="shared" si="39"/>
        <v>SEM VALOR</v>
      </c>
      <c r="V107" s="1" t="str">
        <f ca="1">IF(OR($A107=0,$A107="S",$A107&gt;CFF!$A$9),"",MAX(V$12:OFFSET(V107,-1,0))+1)</f>
        <v/>
      </c>
      <c r="W107" s="4" t="str">
        <f t="shared" si="40"/>
        <v>SINAPI-100720</v>
      </c>
      <c r="X107" s="1">
        <f t="shared" ca="1" si="46"/>
        <v>13350</v>
      </c>
      <c r="Y107" s="103">
        <v>14.68</v>
      </c>
      <c r="Z107" s="113">
        <f ca="1">ROUND(IF(ISNUMBER(R107),R107,IF(LEFT(R107,3)="BDI",HLOOKUP(R107,DADOS!$T$37:$X$38,2,FALSE),0)),15-11*$X$5)</f>
        <v>0.2354</v>
      </c>
      <c r="AA107" s="1"/>
    </row>
    <row r="108" spans="1:27" ht="25.5" x14ac:dyDescent="0.2">
      <c r="A108" t="str">
        <f t="shared" si="31"/>
        <v>S</v>
      </c>
      <c r="B108">
        <f t="shared" si="32"/>
        <v>0</v>
      </c>
      <c r="C108">
        <f t="shared" ca="1" si="33"/>
        <v>1</v>
      </c>
      <c r="D108">
        <f t="shared" ca="1" si="34"/>
        <v>11</v>
      </c>
      <c r="E108">
        <f t="shared" ca="1" si="35"/>
        <v>5</v>
      </c>
      <c r="F108">
        <f t="shared" ca="1" si="36"/>
        <v>0</v>
      </c>
      <c r="G108">
        <f t="shared" ca="1" si="37"/>
        <v>3</v>
      </c>
      <c r="H108">
        <f ca="1">IF(OR($A108="S",$A108=0),0,MATCH(0,OFFSET($B108,1,$A108,ROW($A$202)-ROW($A108)),0))</f>
        <v>0</v>
      </c>
      <c r="I108">
        <f ca="1">IF(OR($A108="S",$A108=0),0,MATCH(OFFSET($B108,0,$A108)+1,OFFSET($B108,1,$A108,ROW($A$202)-ROW($A108)),0))</f>
        <v>0</v>
      </c>
      <c r="J108" s="388" t="s">
        <v>103</v>
      </c>
      <c r="K108" s="138" t="str">
        <f t="shared" ca="1" si="38"/>
        <v>1.11.5.3.</v>
      </c>
      <c r="L108" s="370" t="s">
        <v>230</v>
      </c>
      <c r="M108" s="382" t="s">
        <v>244</v>
      </c>
      <c r="N108" s="368" t="s">
        <v>470</v>
      </c>
      <c r="O108" s="377" t="s">
        <v>521</v>
      </c>
      <c r="P108" s="363">
        <v>26.16</v>
      </c>
      <c r="Q108" s="195"/>
      <c r="R108" s="198" t="s">
        <v>7</v>
      </c>
      <c r="S108" s="103">
        <f t="shared" si="44"/>
        <v>0</v>
      </c>
      <c r="T108" s="83">
        <f t="shared" si="45"/>
        <v>0</v>
      </c>
      <c r="U108" s="9" t="str">
        <f t="shared" si="39"/>
        <v>SEM VALOR</v>
      </c>
      <c r="V108" s="1" t="str">
        <f ca="1">IF(OR($A108=0,$A108="S",$A108&gt;CFF!$A$9),"",MAX(V$12:OFFSET(V108,-1,0))+1)</f>
        <v/>
      </c>
      <c r="W108" s="4" t="str">
        <f t="shared" si="40"/>
        <v>SINAPI-100744</v>
      </c>
      <c r="X108" s="1">
        <f t="shared" ca="1" si="46"/>
        <v>13338</v>
      </c>
      <c r="Y108" s="103">
        <v>15.23</v>
      </c>
      <c r="Z108" s="113">
        <f ca="1">ROUND(IF(ISNUMBER(R108),R108,IF(LEFT(R108,3)="BDI",HLOOKUP(R108,DADOS!$T$37:$X$38,2,FALSE),0)),15-11*$X$5)</f>
        <v>0.2354</v>
      </c>
      <c r="AA108" s="1"/>
    </row>
    <row r="109" spans="1:27" x14ac:dyDescent="0.2">
      <c r="A109">
        <f t="shared" si="31"/>
        <v>2</v>
      </c>
      <c r="B109">
        <f t="shared" ca="1" si="32"/>
        <v>39</v>
      </c>
      <c r="C109">
        <f t="shared" ca="1" si="33"/>
        <v>1</v>
      </c>
      <c r="D109">
        <f t="shared" ca="1" si="34"/>
        <v>12</v>
      </c>
      <c r="E109">
        <f t="shared" ca="1" si="35"/>
        <v>0</v>
      </c>
      <c r="F109">
        <f t="shared" ca="1" si="36"/>
        <v>0</v>
      </c>
      <c r="G109">
        <f t="shared" ca="1" si="37"/>
        <v>0</v>
      </c>
      <c r="H109">
        <f ca="1">IF(OR($A109="S",$A109=0),0,MATCH(0,OFFSET($B109,1,$A109,ROW($A$202)-ROW($A109)),0))</f>
        <v>93</v>
      </c>
      <c r="I109">
        <f ca="1">IF(OR($A109="S",$A109=0),0,MATCH(OFFSET($B109,0,$A109)+1,OFFSET($B109,1,$A109,ROW($A$202)-ROW($A109)),0))</f>
        <v>39</v>
      </c>
      <c r="J109" s="388" t="s">
        <v>100</v>
      </c>
      <c r="K109" s="138" t="str">
        <f t="shared" ca="1" si="38"/>
        <v>1.12.</v>
      </c>
      <c r="L109" s="370" t="s">
        <v>230</v>
      </c>
      <c r="M109" s="382"/>
      <c r="N109" s="366" t="s">
        <v>383</v>
      </c>
      <c r="O109" s="377" t="s">
        <v>106</v>
      </c>
      <c r="P109" s="363" t="s">
        <v>363</v>
      </c>
      <c r="Q109" s="195"/>
      <c r="R109" s="198" t="s">
        <v>7</v>
      </c>
      <c r="S109" s="103">
        <f t="shared" si="44"/>
        <v>0</v>
      </c>
      <c r="T109" s="83">
        <f t="shared" ca="1" si="45"/>
        <v>0</v>
      </c>
      <c r="U109" s="9" t="str">
        <f t="shared" ca="1" si="39"/>
        <v>SEM VALOR</v>
      </c>
      <c r="V109" s="1">
        <f ca="1">IF(OR($A109=0,$A109="S",$A109&gt;CFF!$A$9),"",MAX(V$12:OFFSET(V109,-1,0))+1)</f>
        <v>13</v>
      </c>
      <c r="W109" s="4" t="b">
        <f t="shared" si="40"/>
        <v>0</v>
      </c>
      <c r="X109" s="1" t="str">
        <f t="shared" ca="1" si="46"/>
        <v>X</v>
      </c>
      <c r="Y109" s="103">
        <v>0</v>
      </c>
      <c r="Z109" s="113">
        <f ca="1">ROUND(IF(ISNUMBER(R109),R109,IF(LEFT(R109,3)="BDI",HLOOKUP(R109,DADOS!$T$37:$X$38,2,FALSE),0)),15-11*$X$5)</f>
        <v>0.2354</v>
      </c>
      <c r="AA109" s="1"/>
    </row>
    <row r="110" spans="1:27" x14ac:dyDescent="0.2">
      <c r="A110">
        <f t="shared" si="31"/>
        <v>3</v>
      </c>
      <c r="B110">
        <f t="shared" ca="1" si="32"/>
        <v>3</v>
      </c>
      <c r="C110">
        <f t="shared" ca="1" si="33"/>
        <v>1</v>
      </c>
      <c r="D110">
        <f t="shared" ca="1" si="34"/>
        <v>12</v>
      </c>
      <c r="E110">
        <f t="shared" ca="1" si="35"/>
        <v>1</v>
      </c>
      <c r="F110">
        <f t="shared" ca="1" si="36"/>
        <v>0</v>
      </c>
      <c r="G110">
        <f t="shared" ca="1" si="37"/>
        <v>0</v>
      </c>
      <c r="H110">
        <f ca="1">IF(OR($A110="S",$A110=0),0,MATCH(0,OFFSET($B110,1,$A110,ROW($A$202)-ROW($A110)),0))</f>
        <v>38</v>
      </c>
      <c r="I110">
        <f ca="1">IF(OR($A110="S",$A110=0),0,MATCH(OFFSET($B110,0,$A110)+1,OFFSET($B110,1,$A110,ROW($A$202)-ROW($A110)),0))</f>
        <v>3</v>
      </c>
      <c r="J110" s="388" t="s">
        <v>101</v>
      </c>
      <c r="K110" s="138" t="str">
        <f t="shared" ca="1" si="38"/>
        <v>1.12.1.</v>
      </c>
      <c r="L110" s="370" t="s">
        <v>230</v>
      </c>
      <c r="M110" s="382"/>
      <c r="N110" s="379" t="s">
        <v>384</v>
      </c>
      <c r="O110" s="377" t="s">
        <v>106</v>
      </c>
      <c r="P110" s="363" t="s">
        <v>363</v>
      </c>
      <c r="Q110" s="195"/>
      <c r="R110" s="198" t="s">
        <v>7</v>
      </c>
      <c r="S110" s="103">
        <f t="shared" si="44"/>
        <v>0</v>
      </c>
      <c r="T110" s="83">
        <f t="shared" ca="1" si="45"/>
        <v>0</v>
      </c>
      <c r="U110" s="9" t="str">
        <f t="shared" ca="1" si="39"/>
        <v>SEM VALOR</v>
      </c>
      <c r="V110" s="1" t="str">
        <f ca="1">IF(OR($A110=0,$A110="S",$A110&gt;CFF!$A$9),"",MAX(V$12:OFFSET(V110,-1,0))+1)</f>
        <v/>
      </c>
      <c r="W110" s="4" t="b">
        <f t="shared" si="40"/>
        <v>0</v>
      </c>
      <c r="X110" s="1" t="str">
        <f t="shared" ca="1" si="46"/>
        <v>X</v>
      </c>
      <c r="Y110" s="103">
        <v>0</v>
      </c>
      <c r="Z110" s="113">
        <f ca="1">ROUND(IF(ISNUMBER(R110),R110,IF(LEFT(R110,3)="BDI",HLOOKUP(R110,DADOS!$T$37:$X$38,2,FALSE),0)),15-11*$X$5)</f>
        <v>0.2354</v>
      </c>
      <c r="AA110" s="1"/>
    </row>
    <row r="111" spans="1:27" x14ac:dyDescent="0.2">
      <c r="A111" t="str">
        <f t="shared" si="31"/>
        <v>S</v>
      </c>
      <c r="B111">
        <f t="shared" si="32"/>
        <v>0</v>
      </c>
      <c r="C111">
        <f t="shared" ca="1" si="33"/>
        <v>1</v>
      </c>
      <c r="D111">
        <f t="shared" ca="1" si="34"/>
        <v>12</v>
      </c>
      <c r="E111">
        <f t="shared" ca="1" si="35"/>
        <v>1</v>
      </c>
      <c r="F111">
        <f t="shared" ca="1" si="36"/>
        <v>0</v>
      </c>
      <c r="G111">
        <f t="shared" ca="1" si="37"/>
        <v>1</v>
      </c>
      <c r="H111">
        <f ca="1">IF(OR($A111="S",$A111=0),0,MATCH(0,OFFSET($B111,1,$A111,ROW($A$202)-ROW($A111)),0))</f>
        <v>0</v>
      </c>
      <c r="I111">
        <f ca="1">IF(OR($A111="S",$A111=0),0,MATCH(OFFSET($B111,0,$A111)+1,OFFSET($B111,1,$A111,ROW($A$202)-ROW($A111)),0))</f>
        <v>0</v>
      </c>
      <c r="J111" s="388" t="s">
        <v>103</v>
      </c>
      <c r="K111" s="138" t="str">
        <f t="shared" ca="1" si="38"/>
        <v>1.12.1.1.</v>
      </c>
      <c r="L111" s="370" t="s">
        <v>230</v>
      </c>
      <c r="M111" s="370" t="s">
        <v>281</v>
      </c>
      <c r="N111" s="368" t="s">
        <v>464</v>
      </c>
      <c r="O111" s="377" t="s">
        <v>524</v>
      </c>
      <c r="P111" s="363">
        <v>25.99</v>
      </c>
      <c r="Q111" s="195"/>
      <c r="R111" s="198" t="s">
        <v>7</v>
      </c>
      <c r="S111" s="103">
        <f t="shared" si="44"/>
        <v>0</v>
      </c>
      <c r="T111" s="83">
        <f t="shared" si="45"/>
        <v>0</v>
      </c>
      <c r="U111" s="9" t="str">
        <f t="shared" si="39"/>
        <v>SEM VALOR</v>
      </c>
      <c r="V111" s="1" t="str">
        <f ca="1">IF(OR($A111=0,$A111="S",$A111&gt;CFF!$A$9),"",MAX(V$12:OFFSET(V111,-1,0))+1)</f>
        <v/>
      </c>
      <c r="W111" s="4" t="str">
        <f t="shared" si="40"/>
        <v>SINAPI-93358</v>
      </c>
      <c r="X111" s="1">
        <f t="shared" ca="1" si="46"/>
        <v>8415</v>
      </c>
      <c r="Y111" s="103">
        <v>121.34</v>
      </c>
      <c r="Z111" s="113">
        <f ca="1">ROUND(IF(ISNUMBER(R111),R111,IF(LEFT(R111,3)="BDI",HLOOKUP(R111,DADOS!$T$37:$X$38,2,FALSE),0)),15-11*$X$5)</f>
        <v>0.2354</v>
      </c>
      <c r="AA111" s="1"/>
    </row>
    <row r="112" spans="1:27" x14ac:dyDescent="0.2">
      <c r="A112" t="str">
        <f t="shared" si="31"/>
        <v>S</v>
      </c>
      <c r="B112">
        <f t="shared" si="32"/>
        <v>0</v>
      </c>
      <c r="C112">
        <f t="shared" ca="1" si="33"/>
        <v>1</v>
      </c>
      <c r="D112">
        <f t="shared" ca="1" si="34"/>
        <v>12</v>
      </c>
      <c r="E112">
        <f t="shared" ca="1" si="35"/>
        <v>1</v>
      </c>
      <c r="F112">
        <f t="shared" ca="1" si="36"/>
        <v>0</v>
      </c>
      <c r="G112">
        <f t="shared" ca="1" si="37"/>
        <v>2</v>
      </c>
      <c r="H112">
        <f ca="1">IF(OR($A112="S",$A112=0),0,MATCH(0,OFFSET($B112,1,$A112,ROW($A$202)-ROW($A112)),0))</f>
        <v>0</v>
      </c>
      <c r="I112">
        <f ca="1">IF(OR($A112="S",$A112=0),0,MATCH(OFFSET($B112,0,$A112)+1,OFFSET($B112,1,$A112,ROW($A$202)-ROW($A112)),0))</f>
        <v>0</v>
      </c>
      <c r="J112" s="388" t="s">
        <v>103</v>
      </c>
      <c r="K112" s="138" t="str">
        <f t="shared" ca="1" si="38"/>
        <v>1.12.1.2.</v>
      </c>
      <c r="L112" s="370" t="s">
        <v>230</v>
      </c>
      <c r="M112" s="370" t="s">
        <v>282</v>
      </c>
      <c r="N112" s="368" t="s">
        <v>465</v>
      </c>
      <c r="O112" s="377" t="s">
        <v>524</v>
      </c>
      <c r="P112" s="363">
        <v>25.99</v>
      </c>
      <c r="Q112" s="195"/>
      <c r="R112" s="198" t="s">
        <v>7</v>
      </c>
      <c r="S112" s="103">
        <f t="shared" si="44"/>
        <v>0</v>
      </c>
      <c r="T112" s="83">
        <f t="shared" si="45"/>
        <v>0</v>
      </c>
      <c r="U112" s="9" t="str">
        <f t="shared" si="39"/>
        <v>SEM VALOR</v>
      </c>
      <c r="V112" s="1" t="str">
        <f ca="1">IF(OR($A112=0,$A112="S",$A112&gt;CFF!$A$9),"",MAX(V$12:OFFSET(V112,-1,0))+1)</f>
        <v/>
      </c>
      <c r="W112" s="4" t="str">
        <f t="shared" si="40"/>
        <v>SINAPI-93382</v>
      </c>
      <c r="X112" s="1">
        <f t="shared" ca="1" si="46"/>
        <v>5680</v>
      </c>
      <c r="Y112" s="103">
        <v>37.4</v>
      </c>
      <c r="Z112" s="113">
        <f ca="1">ROUND(IF(ISNUMBER(R112),R112,IF(LEFT(R112,3)="BDI",HLOOKUP(R112,DADOS!$T$37:$X$38,2,FALSE),0)),15-11*$X$5)</f>
        <v>0.2354</v>
      </c>
      <c r="AA112" s="1"/>
    </row>
    <row r="113" spans="1:27" x14ac:dyDescent="0.2">
      <c r="A113">
        <f t="shared" si="31"/>
        <v>3</v>
      </c>
      <c r="B113">
        <f t="shared" ca="1" si="32"/>
        <v>15</v>
      </c>
      <c r="C113">
        <f t="shared" ca="1" si="33"/>
        <v>1</v>
      </c>
      <c r="D113">
        <f t="shared" ca="1" si="34"/>
        <v>12</v>
      </c>
      <c r="E113">
        <f t="shared" ca="1" si="35"/>
        <v>2</v>
      </c>
      <c r="F113">
        <f t="shared" ca="1" si="36"/>
        <v>0</v>
      </c>
      <c r="G113">
        <f t="shared" ca="1" si="37"/>
        <v>0</v>
      </c>
      <c r="H113">
        <f ca="1">IF(OR($A113="S",$A113=0),0,MATCH(0,OFFSET($B113,1,$A113,ROW($A$202)-ROW($A113)),0))</f>
        <v>35</v>
      </c>
      <c r="I113">
        <f ca="1">IF(OR($A113="S",$A113=0),0,MATCH(OFFSET($B113,0,$A113)+1,OFFSET($B113,1,$A113,ROW($A$202)-ROW($A113)),0))</f>
        <v>15</v>
      </c>
      <c r="J113" s="388" t="s">
        <v>101</v>
      </c>
      <c r="K113" s="138" t="str">
        <f t="shared" ca="1" si="38"/>
        <v>1.12.2.</v>
      </c>
      <c r="L113" s="370" t="s">
        <v>230</v>
      </c>
      <c r="M113" s="370"/>
      <c r="N113" s="365" t="s">
        <v>385</v>
      </c>
      <c r="O113" s="377" t="s">
        <v>106</v>
      </c>
      <c r="P113" s="363" t="s">
        <v>363</v>
      </c>
      <c r="Q113" s="195"/>
      <c r="R113" s="198" t="s">
        <v>7</v>
      </c>
      <c r="S113" s="103">
        <f t="shared" si="44"/>
        <v>0</v>
      </c>
      <c r="T113" s="83">
        <f t="shared" ca="1" si="45"/>
        <v>0</v>
      </c>
      <c r="U113" s="9" t="str">
        <f t="shared" ca="1" si="39"/>
        <v>SEM VALOR</v>
      </c>
      <c r="V113" s="1" t="str">
        <f ca="1">IF(OR($A113=0,$A113="S",$A113&gt;CFF!$A$9),"",MAX(V$12:OFFSET(V113,-1,0))+1)</f>
        <v/>
      </c>
      <c r="W113" s="4" t="b">
        <f t="shared" si="40"/>
        <v>0</v>
      </c>
      <c r="X113" s="1" t="str">
        <f t="shared" ca="1" si="46"/>
        <v>X</v>
      </c>
      <c r="Y113" s="103">
        <v>0</v>
      </c>
      <c r="Z113" s="113">
        <f ca="1">ROUND(IF(ISNUMBER(R113),R113,IF(LEFT(R113,3)="BDI",HLOOKUP(R113,DADOS!$T$37:$X$38,2,FALSE),0)),15-11*$X$5)</f>
        <v>0.2354</v>
      </c>
      <c r="AA113" s="1"/>
    </row>
    <row r="114" spans="1:27" ht="25.5" x14ac:dyDescent="0.2">
      <c r="A114" t="str">
        <f t="shared" si="31"/>
        <v>S</v>
      </c>
      <c r="B114">
        <f t="shared" si="32"/>
        <v>0</v>
      </c>
      <c r="C114">
        <f t="shared" ca="1" si="33"/>
        <v>1</v>
      </c>
      <c r="D114">
        <f t="shared" ca="1" si="34"/>
        <v>12</v>
      </c>
      <c r="E114">
        <f t="shared" ca="1" si="35"/>
        <v>2</v>
      </c>
      <c r="F114">
        <f t="shared" ca="1" si="36"/>
        <v>0</v>
      </c>
      <c r="G114">
        <f t="shared" ca="1" si="37"/>
        <v>1</v>
      </c>
      <c r="H114">
        <f ca="1">IF(OR($A114="S",$A114=0),0,MATCH(0,OFFSET($B114,1,$A114,ROW($A$202)-ROW($A114)),0))</f>
        <v>0</v>
      </c>
      <c r="I114">
        <f ca="1">IF(OR($A114="S",$A114=0),0,MATCH(OFFSET($B114,0,$A114)+1,OFFSET($B114,1,$A114,ROW($A$202)-ROW($A114)),0))</f>
        <v>0</v>
      </c>
      <c r="J114" s="388" t="s">
        <v>103</v>
      </c>
      <c r="K114" s="138" t="str">
        <f t="shared" ca="1" si="38"/>
        <v>1.12.2.1.</v>
      </c>
      <c r="L114" s="370" t="s">
        <v>230</v>
      </c>
      <c r="M114" s="382" t="s">
        <v>248</v>
      </c>
      <c r="N114" s="368" t="s">
        <v>471</v>
      </c>
      <c r="O114" s="377" t="s">
        <v>521</v>
      </c>
      <c r="P114" s="363">
        <v>51.98</v>
      </c>
      <c r="Q114" s="195"/>
      <c r="R114" s="198" t="s">
        <v>7</v>
      </c>
      <c r="S114" s="103">
        <f t="shared" si="44"/>
        <v>0</v>
      </c>
      <c r="T114" s="83">
        <f t="shared" si="45"/>
        <v>0</v>
      </c>
      <c r="U114" s="9" t="str">
        <f t="shared" si="39"/>
        <v>SEM VALOR</v>
      </c>
      <c r="V114" s="1" t="str">
        <f ca="1">IF(OR($A114=0,$A114="S",$A114&gt;CFF!$A$9),"",MAX(V$12:OFFSET(V114,-1,0))+1)</f>
        <v/>
      </c>
      <c r="W114" s="4" t="str">
        <f t="shared" si="40"/>
        <v>SINAPI-101616</v>
      </c>
      <c r="X114" s="1">
        <f t="shared" ca="1" si="46"/>
        <v>8550</v>
      </c>
      <c r="Y114" s="103">
        <v>10.33</v>
      </c>
      <c r="Z114" s="113">
        <f ca="1">ROUND(IF(ISNUMBER(R114),R114,IF(LEFT(R114,3)="BDI",HLOOKUP(R114,DADOS!$T$37:$X$38,2,FALSE),0)),15-11*$X$5)</f>
        <v>0.2354</v>
      </c>
      <c r="AA114" s="1"/>
    </row>
    <row r="115" spans="1:27" ht="25.5" x14ac:dyDescent="0.2">
      <c r="A115" t="str">
        <f t="shared" si="31"/>
        <v>S</v>
      </c>
      <c r="B115">
        <f t="shared" si="32"/>
        <v>0</v>
      </c>
      <c r="C115">
        <f t="shared" ca="1" si="33"/>
        <v>1</v>
      </c>
      <c r="D115">
        <f t="shared" ca="1" si="34"/>
        <v>12</v>
      </c>
      <c r="E115">
        <f t="shared" ca="1" si="35"/>
        <v>2</v>
      </c>
      <c r="F115">
        <f t="shared" ca="1" si="36"/>
        <v>0</v>
      </c>
      <c r="G115">
        <f t="shared" ca="1" si="37"/>
        <v>2</v>
      </c>
      <c r="H115">
        <f ca="1">IF(OR($A115="S",$A115=0),0,MATCH(0,OFFSET($B115,1,$A115,ROW($A$202)-ROW($A115)),0))</f>
        <v>0</v>
      </c>
      <c r="I115">
        <f ca="1">IF(OR($A115="S",$A115=0),0,MATCH(OFFSET($B115,0,$A115)+1,OFFSET($B115,1,$A115,ROW($A$202)-ROW($A115)),0))</f>
        <v>0</v>
      </c>
      <c r="J115" s="388" t="s">
        <v>103</v>
      </c>
      <c r="K115" s="138" t="str">
        <f t="shared" ca="1" si="38"/>
        <v>1.12.2.2.</v>
      </c>
      <c r="L115" s="370" t="s">
        <v>230</v>
      </c>
      <c r="M115" s="382" t="s">
        <v>249</v>
      </c>
      <c r="N115" s="368" t="s">
        <v>472</v>
      </c>
      <c r="O115" s="377" t="s">
        <v>288</v>
      </c>
      <c r="P115" s="363">
        <v>35.200000000000003</v>
      </c>
      <c r="Q115" s="195"/>
      <c r="R115" s="198" t="s">
        <v>7</v>
      </c>
      <c r="S115" s="103">
        <f t="shared" si="44"/>
        <v>0</v>
      </c>
      <c r="T115" s="83">
        <f t="shared" si="45"/>
        <v>0</v>
      </c>
      <c r="U115" s="9" t="str">
        <f t="shared" si="39"/>
        <v>SEM VALOR</v>
      </c>
      <c r="V115" s="1" t="str">
        <f ca="1">IF(OR($A115=0,$A115="S",$A115&gt;CFF!$A$9),"",MAX(V$12:OFFSET(V115,-1,0))+1)</f>
        <v/>
      </c>
      <c r="W115" s="4" t="str">
        <f t="shared" si="40"/>
        <v>SINAPI-99059</v>
      </c>
      <c r="X115" s="1">
        <f t="shared" ca="1" si="46"/>
        <v>12459</v>
      </c>
      <c r="Y115" s="103">
        <v>82.24</v>
      </c>
      <c r="Z115" s="113">
        <f ca="1">ROUND(IF(ISNUMBER(R115),R115,IF(LEFT(R115,3)="BDI",HLOOKUP(R115,DADOS!$T$37:$X$38,2,FALSE),0)),15-11*$X$5)</f>
        <v>0.2354</v>
      </c>
      <c r="AA115" s="1"/>
    </row>
    <row r="116" spans="1:27" ht="25.5" x14ac:dyDescent="0.2">
      <c r="A116" t="str">
        <f t="shared" si="31"/>
        <v>S</v>
      </c>
      <c r="B116">
        <f t="shared" si="32"/>
        <v>0</v>
      </c>
      <c r="C116">
        <f t="shared" ca="1" si="33"/>
        <v>1</v>
      </c>
      <c r="D116">
        <f t="shared" ca="1" si="34"/>
        <v>12</v>
      </c>
      <c r="E116">
        <f t="shared" ca="1" si="35"/>
        <v>2</v>
      </c>
      <c r="F116">
        <f t="shared" ca="1" si="36"/>
        <v>0</v>
      </c>
      <c r="G116">
        <f t="shared" ca="1" si="37"/>
        <v>3</v>
      </c>
      <c r="H116">
        <f ca="1">IF(OR($A116="S",$A116=0),0,MATCH(0,OFFSET($B116,1,$A116,ROW($A$202)-ROW($A116)),0))</f>
        <v>0</v>
      </c>
      <c r="I116">
        <f ca="1">IF(OR($A116="S",$A116=0),0,MATCH(OFFSET($B116,0,$A116)+1,OFFSET($B116,1,$A116,ROW($A$202)-ROW($A116)),0))</f>
        <v>0</v>
      </c>
      <c r="J116" s="388" t="s">
        <v>103</v>
      </c>
      <c r="K116" s="138" t="str">
        <f t="shared" ca="1" si="38"/>
        <v>1.12.2.3.</v>
      </c>
      <c r="L116" s="370" t="s">
        <v>230</v>
      </c>
      <c r="M116" s="382" t="s">
        <v>250</v>
      </c>
      <c r="N116" s="368" t="s">
        <v>473</v>
      </c>
      <c r="O116" s="377" t="s">
        <v>521</v>
      </c>
      <c r="P116" s="363">
        <v>10.8</v>
      </c>
      <c r="Q116" s="195"/>
      <c r="R116" s="198" t="s">
        <v>7</v>
      </c>
      <c r="S116" s="103">
        <f t="shared" si="44"/>
        <v>0</v>
      </c>
      <c r="T116" s="83">
        <f t="shared" si="45"/>
        <v>0</v>
      </c>
      <c r="U116" s="9" t="str">
        <f t="shared" si="39"/>
        <v>SEM VALOR</v>
      </c>
      <c r="V116" s="1" t="str">
        <f ca="1">IF(OR($A116=0,$A116="S",$A116&gt;CFF!$A$9),"",MAX(V$12:OFFSET(V116,-1,0))+1)</f>
        <v/>
      </c>
      <c r="W116" s="4" t="str">
        <f t="shared" si="40"/>
        <v>SINAPI-96535</v>
      </c>
      <c r="X116" s="1">
        <f t="shared" ca="1" si="46"/>
        <v>9229</v>
      </c>
      <c r="Y116" s="103">
        <v>167.51</v>
      </c>
      <c r="Z116" s="113">
        <f ca="1">ROUND(IF(ISNUMBER(R116),R116,IF(LEFT(R116,3)="BDI",HLOOKUP(R116,DADOS!$T$37:$X$38,2,FALSE),0)),15-11*$X$5)</f>
        <v>0.2354</v>
      </c>
      <c r="AA116" s="1"/>
    </row>
    <row r="117" spans="1:27" ht="25.5" x14ac:dyDescent="0.2">
      <c r="A117" t="str">
        <f t="shared" si="31"/>
        <v>S</v>
      </c>
      <c r="B117">
        <f t="shared" si="32"/>
        <v>0</v>
      </c>
      <c r="C117">
        <f t="shared" ca="1" si="33"/>
        <v>1</v>
      </c>
      <c r="D117">
        <f t="shared" ca="1" si="34"/>
        <v>12</v>
      </c>
      <c r="E117">
        <f t="shared" ca="1" si="35"/>
        <v>2</v>
      </c>
      <c r="F117">
        <f t="shared" ca="1" si="36"/>
        <v>0</v>
      </c>
      <c r="G117">
        <f t="shared" ca="1" si="37"/>
        <v>4</v>
      </c>
      <c r="H117">
        <f ca="1">IF(OR($A117="S",$A117=0),0,MATCH(0,OFFSET($B117,1,$A117,ROW($A$202)-ROW($A117)),0))</f>
        <v>0</v>
      </c>
      <c r="I117">
        <f ca="1">IF(OR($A117="S",$A117=0),0,MATCH(OFFSET($B117,0,$A117)+1,OFFSET($B117,1,$A117,ROW($A$202)-ROW($A117)),0))</f>
        <v>0</v>
      </c>
      <c r="J117" s="388" t="s">
        <v>103</v>
      </c>
      <c r="K117" s="138" t="str">
        <f t="shared" ca="1" si="38"/>
        <v>1.12.2.4.</v>
      </c>
      <c r="L117" s="370" t="s">
        <v>230</v>
      </c>
      <c r="M117" s="382" t="s">
        <v>251</v>
      </c>
      <c r="N117" s="368" t="s">
        <v>458</v>
      </c>
      <c r="O117" s="377" t="s">
        <v>525</v>
      </c>
      <c r="P117" s="363">
        <v>78.84</v>
      </c>
      <c r="Q117" s="195"/>
      <c r="R117" s="198" t="s">
        <v>7</v>
      </c>
      <c r="S117" s="103">
        <f t="shared" si="44"/>
        <v>0</v>
      </c>
      <c r="T117" s="83">
        <f t="shared" si="45"/>
        <v>0</v>
      </c>
      <c r="U117" s="9" t="str">
        <f t="shared" si="39"/>
        <v>SEM VALOR</v>
      </c>
      <c r="V117" s="1" t="str">
        <f ca="1">IF(OR($A117=0,$A117="S",$A117&gt;CFF!$A$9),"",MAX(V$12:OFFSET(V117,-1,0))+1)</f>
        <v/>
      </c>
      <c r="W117" s="4" t="str">
        <f t="shared" si="40"/>
        <v>SINAPI-104918</v>
      </c>
      <c r="X117" s="1">
        <f t="shared" ca="1" si="46"/>
        <v>9199</v>
      </c>
      <c r="Y117" s="103">
        <v>17.440000000000001</v>
      </c>
      <c r="Z117" s="113">
        <f ca="1">ROUND(IF(ISNUMBER(R117),R117,IF(LEFT(R117,3)="BDI",HLOOKUP(R117,DADOS!$T$37:$X$38,2,FALSE),0)),15-11*$X$5)</f>
        <v>0.2354</v>
      </c>
      <c r="AA117" s="1"/>
    </row>
    <row r="118" spans="1:27" ht="25.5" x14ac:dyDescent="0.2">
      <c r="A118" t="str">
        <f t="shared" ref="A118:A181" si="47">CHOOSE(1+LOG(1+2*(J118="Meta")+4*(J118="Nível 2")+8*(J118="Nível 3")+16*(J118="Nível 4")+32*(J118="Serviço"),2),0,1,2,3,4,"S")</f>
        <v>S</v>
      </c>
      <c r="B118">
        <f t="shared" ref="B118:B181" si="48">IF(OR(A118="S",A118=0),0,IF(ISERROR(I118),H118,SMALL(H118:I118,1)))</f>
        <v>0</v>
      </c>
      <c r="C118">
        <f t="shared" ref="C118:C181" ca="1" si="49">IF($A118=1,OFFSET(C118,-1,0)+1,OFFSET(C118,-1,0))</f>
        <v>1</v>
      </c>
      <c r="D118">
        <f t="shared" ref="D118:D181" ca="1" si="50">IF($A118=1,0,IF($A118=2,OFFSET(D118,-1,0)+1,OFFSET(D118,-1,0)))</f>
        <v>12</v>
      </c>
      <c r="E118">
        <f t="shared" ref="E118:E181" ca="1" si="51">IF(AND($A118&lt;=2,$A118&lt;&gt;0),0,IF($A118=3,OFFSET(E118,-1,0)+1,OFFSET(E118,-1,0)))</f>
        <v>2</v>
      </c>
      <c r="F118">
        <f t="shared" ref="F118:F181" ca="1" si="52">IF(AND($A118&lt;=3,$A118&lt;&gt;0),0,IF($A118=4,OFFSET(F118,-1,0)+1,OFFSET(F118,-1,0)))</f>
        <v>0</v>
      </c>
      <c r="G118">
        <f t="shared" ref="G118:G181" ca="1" si="53">IF(AND($A118&lt;=4,$A118&lt;&gt;0),0,IF($A118="S",OFFSET(G118,-1,0)+1,OFFSET(G118,-1,0)))</f>
        <v>5</v>
      </c>
      <c r="H118">
        <f ca="1">IF(OR($A118="S",$A118=0),0,MATCH(0,OFFSET($B118,1,$A118,ROW($A$202)-ROW($A118)),0))</f>
        <v>0</v>
      </c>
      <c r="I118">
        <f ca="1">IF(OR($A118="S",$A118=0),0,MATCH(OFFSET($B118,0,$A118)+1,OFFSET($B118,1,$A118,ROW($A$202)-ROW($A118)),0))</f>
        <v>0</v>
      </c>
      <c r="J118" s="388" t="s">
        <v>103</v>
      </c>
      <c r="K118" s="138" t="str">
        <f t="shared" ref="K118:K181" ca="1" si="54">IF($A118=0,"-",CONCATENATE(C118&amp;".",IF(AND($A$5&gt;=2,$A118&gt;=2),D118&amp;".",""),IF(AND($A$5&gt;=3,$A118&gt;=3),E118&amp;".",""),IF(AND($A$5&gt;=4,$A118&gt;=4),F118&amp;".",""),IF($A118="S",G118&amp;".","")))</f>
        <v>1.12.2.5.</v>
      </c>
      <c r="L118" s="370" t="s">
        <v>230</v>
      </c>
      <c r="M118" s="370" t="s">
        <v>252</v>
      </c>
      <c r="N118" s="368" t="s">
        <v>474</v>
      </c>
      <c r="O118" s="377" t="s">
        <v>524</v>
      </c>
      <c r="P118" s="363">
        <v>1.62</v>
      </c>
      <c r="Q118" s="195"/>
      <c r="R118" s="198" t="s">
        <v>7</v>
      </c>
      <c r="S118" s="103">
        <f t="shared" si="44"/>
        <v>0</v>
      </c>
      <c r="T118" s="83">
        <f t="shared" si="45"/>
        <v>0</v>
      </c>
      <c r="U118" s="9" t="str">
        <f t="shared" ref="U118:U181" si="55">IF($J118="","",IF($N118="","DESCRIÇÃO",IF(AND($J118="Serviço",$O118=""),"UNIDADE",IF($T118&lt;=0,"SEM VALOR",IF(AND($Y118&lt;&gt;"",$Q118&gt;$Y118),"ACIMA REF.","")))))</f>
        <v>SEM VALOR</v>
      </c>
      <c r="V118" s="1" t="str">
        <f ca="1">IF(OR($A118=0,$A118="S",$A118&gt;CFF!$A$9),"",MAX(V$12:OFFSET(V118,-1,0))+1)</f>
        <v/>
      </c>
      <c r="W118" s="4" t="str">
        <f t="shared" ref="W118:W181" si="56">IF(AND($J118="Serviço",$M118&lt;&gt;""),IF($L118="",$M118,CONCATENATE($L118,"-",$M118)))</f>
        <v>SINAPI-96558</v>
      </c>
      <c r="X118" s="1">
        <f t="shared" ca="1" si="46"/>
        <v>9205</v>
      </c>
      <c r="Y118" s="103">
        <v>1116.9000000000001</v>
      </c>
      <c r="Z118" s="113">
        <f ca="1">ROUND(IF(ISNUMBER(R118),R118,IF(LEFT(R118,3)="BDI",HLOOKUP(R118,DADOS!$T$37:$X$38,2,FALSE),0)),15-11*$X$5)</f>
        <v>0.2354</v>
      </c>
      <c r="AA118" s="1"/>
    </row>
    <row r="119" spans="1:27" ht="25.5" x14ac:dyDescent="0.2">
      <c r="A119" t="str">
        <f t="shared" si="47"/>
        <v>S</v>
      </c>
      <c r="B119">
        <f t="shared" si="48"/>
        <v>0</v>
      </c>
      <c r="C119">
        <f t="shared" ca="1" si="49"/>
        <v>1</v>
      </c>
      <c r="D119">
        <f t="shared" ca="1" si="50"/>
        <v>12</v>
      </c>
      <c r="E119">
        <f t="shared" ca="1" si="51"/>
        <v>2</v>
      </c>
      <c r="F119">
        <f t="shared" ca="1" si="52"/>
        <v>0</v>
      </c>
      <c r="G119">
        <f t="shared" ca="1" si="53"/>
        <v>6</v>
      </c>
      <c r="H119">
        <f ca="1">IF(OR($A119="S",$A119=0),0,MATCH(0,OFFSET($B119,1,$A119,ROW($A$202)-ROW($A119)),0))</f>
        <v>0</v>
      </c>
      <c r="I119">
        <f ca="1">IF(OR($A119="S",$A119=0),0,MATCH(OFFSET($B119,0,$A119)+1,OFFSET($B119,1,$A119,ROW($A$202)-ROW($A119)),0))</f>
        <v>0</v>
      </c>
      <c r="J119" s="388" t="s">
        <v>103</v>
      </c>
      <c r="K119" s="138" t="str">
        <f t="shared" ca="1" si="54"/>
        <v>1.12.2.6.</v>
      </c>
      <c r="L119" s="370" t="s">
        <v>230</v>
      </c>
      <c r="M119" s="370" t="s">
        <v>253</v>
      </c>
      <c r="N119" s="368" t="s">
        <v>475</v>
      </c>
      <c r="O119" s="377" t="s">
        <v>521</v>
      </c>
      <c r="P119" s="363">
        <v>4.03</v>
      </c>
      <c r="Q119" s="195"/>
      <c r="R119" s="198" t="s">
        <v>7</v>
      </c>
      <c r="S119" s="103">
        <f t="shared" si="44"/>
        <v>0</v>
      </c>
      <c r="T119" s="83">
        <f t="shared" si="45"/>
        <v>0</v>
      </c>
      <c r="U119" s="9" t="str">
        <f t="shared" si="55"/>
        <v>SEM VALOR</v>
      </c>
      <c r="V119" s="1" t="str">
        <f ca="1">IF(OR($A119=0,$A119="S",$A119&gt;CFF!$A$9),"",MAX(V$12:OFFSET(V119,-1,0))+1)</f>
        <v/>
      </c>
      <c r="W119" s="4" t="str">
        <f t="shared" si="56"/>
        <v>SINAPI-92269</v>
      </c>
      <c r="X119" s="1">
        <f t="shared" ca="1" si="46"/>
        <v>9249</v>
      </c>
      <c r="Y119" s="103">
        <v>148.47999999999999</v>
      </c>
      <c r="Z119" s="113">
        <f ca="1">ROUND(IF(ISNUMBER(R119),R119,IF(LEFT(R119,3)="BDI",HLOOKUP(R119,DADOS!$T$37:$X$38,2,FALSE),0)),15-11*$X$5)</f>
        <v>0.2354</v>
      </c>
      <c r="AA119" s="1"/>
    </row>
    <row r="120" spans="1:27" ht="25.5" x14ac:dyDescent="0.2">
      <c r="A120" t="str">
        <f t="shared" si="47"/>
        <v>S</v>
      </c>
      <c r="B120">
        <f t="shared" si="48"/>
        <v>0</v>
      </c>
      <c r="C120">
        <f t="shared" ca="1" si="49"/>
        <v>1</v>
      </c>
      <c r="D120">
        <f t="shared" ca="1" si="50"/>
        <v>12</v>
      </c>
      <c r="E120">
        <f t="shared" ca="1" si="51"/>
        <v>2</v>
      </c>
      <c r="F120">
        <f t="shared" ca="1" si="52"/>
        <v>0</v>
      </c>
      <c r="G120">
        <f t="shared" ca="1" si="53"/>
        <v>7</v>
      </c>
      <c r="H120">
        <f ca="1">IF(OR($A120="S",$A120=0),0,MATCH(0,OFFSET($B120,1,$A120,ROW($A$202)-ROW($A120)),0))</f>
        <v>0</v>
      </c>
      <c r="I120">
        <f ca="1">IF(OR($A120="S",$A120=0),0,MATCH(OFFSET($B120,0,$A120)+1,OFFSET($B120,1,$A120,ROW($A$202)-ROW($A120)),0))</f>
        <v>0</v>
      </c>
      <c r="J120" s="388" t="s">
        <v>103</v>
      </c>
      <c r="K120" s="138" t="str">
        <f t="shared" ca="1" si="54"/>
        <v>1.12.2.7.</v>
      </c>
      <c r="L120" s="370" t="s">
        <v>230</v>
      </c>
      <c r="M120" s="370" t="s">
        <v>261</v>
      </c>
      <c r="N120" s="368" t="s">
        <v>476</v>
      </c>
      <c r="O120" s="377" t="s">
        <v>525</v>
      </c>
      <c r="P120" s="363">
        <v>21.01</v>
      </c>
      <c r="Q120" s="195"/>
      <c r="R120" s="198" t="s">
        <v>7</v>
      </c>
      <c r="S120" s="103">
        <f t="shared" si="44"/>
        <v>0</v>
      </c>
      <c r="T120" s="83">
        <f t="shared" si="45"/>
        <v>0</v>
      </c>
      <c r="U120" s="9" t="str">
        <f t="shared" si="55"/>
        <v>SEM VALOR</v>
      </c>
      <c r="V120" s="1" t="str">
        <f ca="1">IF(OR($A120=0,$A120="S",$A120&gt;CFF!$A$9),"",MAX(V$12:OFFSET(V120,-1,0))+1)</f>
        <v/>
      </c>
      <c r="W120" s="4" t="str">
        <f t="shared" si="56"/>
        <v>SINAPI-92762</v>
      </c>
      <c r="X120" s="1">
        <f t="shared" ca="1" si="46"/>
        <v>5235</v>
      </c>
      <c r="Y120" s="103">
        <v>13.16</v>
      </c>
      <c r="Z120" s="113">
        <f ca="1">ROUND(IF(ISNUMBER(R120),R120,IF(LEFT(R120,3)="BDI",HLOOKUP(R120,DADOS!$T$37:$X$38,2,FALSE),0)),15-11*$X$5)</f>
        <v>0.2354</v>
      </c>
      <c r="AA120" s="1"/>
    </row>
    <row r="121" spans="1:27" ht="25.5" x14ac:dyDescent="0.2">
      <c r="A121" t="str">
        <f t="shared" si="47"/>
        <v>S</v>
      </c>
      <c r="B121">
        <f t="shared" si="48"/>
        <v>0</v>
      </c>
      <c r="C121">
        <f t="shared" ca="1" si="49"/>
        <v>1</v>
      </c>
      <c r="D121">
        <f t="shared" ca="1" si="50"/>
        <v>12</v>
      </c>
      <c r="E121">
        <f t="shared" ca="1" si="51"/>
        <v>2</v>
      </c>
      <c r="F121">
        <f t="shared" ca="1" si="52"/>
        <v>0</v>
      </c>
      <c r="G121">
        <f t="shared" ca="1" si="53"/>
        <v>8</v>
      </c>
      <c r="H121">
        <f ca="1">IF(OR($A121="S",$A121=0),0,MATCH(0,OFFSET($B121,1,$A121,ROW($A$202)-ROW($A121)),0))</f>
        <v>0</v>
      </c>
      <c r="I121">
        <f ca="1">IF(OR($A121="S",$A121=0),0,MATCH(OFFSET($B121,0,$A121)+1,OFFSET($B121,1,$A121,ROW($A$202)-ROW($A121)),0))</f>
        <v>0</v>
      </c>
      <c r="J121" s="388" t="s">
        <v>103</v>
      </c>
      <c r="K121" s="138" t="str">
        <f t="shared" ca="1" si="54"/>
        <v>1.12.2.8.</v>
      </c>
      <c r="L121" s="370" t="s">
        <v>230</v>
      </c>
      <c r="M121" s="370" t="s">
        <v>262</v>
      </c>
      <c r="N121" s="368" t="s">
        <v>477</v>
      </c>
      <c r="O121" s="377" t="s">
        <v>525</v>
      </c>
      <c r="P121" s="363">
        <v>3.92</v>
      </c>
      <c r="Q121" s="195"/>
      <c r="R121" s="198" t="s">
        <v>7</v>
      </c>
      <c r="S121" s="103">
        <f t="shared" si="44"/>
        <v>0</v>
      </c>
      <c r="T121" s="83">
        <f t="shared" si="45"/>
        <v>0</v>
      </c>
      <c r="U121" s="9" t="str">
        <f t="shared" si="55"/>
        <v>SEM VALOR</v>
      </c>
      <c r="V121" s="1" t="str">
        <f ca="1">IF(OR($A121=0,$A121="S",$A121&gt;CFF!$A$9),"",MAX(V$12:OFFSET(V121,-1,0))+1)</f>
        <v/>
      </c>
      <c r="W121" s="4" t="str">
        <f t="shared" si="56"/>
        <v>SINAPI-92759</v>
      </c>
      <c r="X121" s="1">
        <f t="shared" ca="1" si="46"/>
        <v>5243</v>
      </c>
      <c r="Y121" s="103">
        <v>17.260000000000002</v>
      </c>
      <c r="Z121" s="113">
        <f ca="1">ROUND(IF(ISNUMBER(R121),R121,IF(LEFT(R121,3)="BDI",HLOOKUP(R121,DADOS!$T$37:$X$38,2,FALSE),0)),15-11*$X$5)</f>
        <v>0.2354</v>
      </c>
      <c r="AA121" s="1"/>
    </row>
    <row r="122" spans="1:27" ht="25.5" x14ac:dyDescent="0.2">
      <c r="A122" t="str">
        <f t="shared" si="47"/>
        <v>S</v>
      </c>
      <c r="B122">
        <f t="shared" si="48"/>
        <v>0</v>
      </c>
      <c r="C122">
        <f t="shared" ca="1" si="49"/>
        <v>1</v>
      </c>
      <c r="D122">
        <f t="shared" ca="1" si="50"/>
        <v>12</v>
      </c>
      <c r="E122">
        <f t="shared" ca="1" si="51"/>
        <v>2</v>
      </c>
      <c r="F122">
        <f t="shared" ca="1" si="52"/>
        <v>0</v>
      </c>
      <c r="G122">
        <f t="shared" ca="1" si="53"/>
        <v>9</v>
      </c>
      <c r="H122">
        <f ca="1">IF(OR($A122="S",$A122=0),0,MATCH(0,OFFSET($B122,1,$A122,ROW($A$202)-ROW($A122)),0))</f>
        <v>0</v>
      </c>
      <c r="I122">
        <f ca="1">IF(OR($A122="S",$A122=0),0,MATCH(OFFSET($B122,0,$A122)+1,OFFSET($B122,1,$A122,ROW($A$202)-ROW($A122)),0))</f>
        <v>0</v>
      </c>
      <c r="J122" s="388" t="s">
        <v>103</v>
      </c>
      <c r="K122" s="138" t="str">
        <f t="shared" ca="1" si="54"/>
        <v>1.12.2.9.</v>
      </c>
      <c r="L122" s="370" t="s">
        <v>230</v>
      </c>
      <c r="M122" s="370" t="s">
        <v>254</v>
      </c>
      <c r="N122" s="368" t="s">
        <v>478</v>
      </c>
      <c r="O122" s="377" t="s">
        <v>524</v>
      </c>
      <c r="P122" s="363">
        <v>0.2</v>
      </c>
      <c r="Q122" s="195"/>
      <c r="R122" s="198" t="s">
        <v>7</v>
      </c>
      <c r="S122" s="103">
        <f t="shared" si="44"/>
        <v>0</v>
      </c>
      <c r="T122" s="83">
        <f t="shared" si="45"/>
        <v>0</v>
      </c>
      <c r="U122" s="9" t="str">
        <f t="shared" si="55"/>
        <v>SEM VALOR</v>
      </c>
      <c r="V122" s="1" t="str">
        <f ca="1">IF(OR($A122=0,$A122="S",$A122&gt;CFF!$A$9),"",MAX(V$12:OFFSET(V122,-1,0))+1)</f>
        <v/>
      </c>
      <c r="W122" s="4" t="str">
        <f t="shared" si="56"/>
        <v>SINAPI-103672</v>
      </c>
      <c r="X122" s="1">
        <f t="shared" ca="1" si="46"/>
        <v>6260</v>
      </c>
      <c r="Y122" s="103">
        <v>964.75</v>
      </c>
      <c r="Z122" s="113">
        <f ca="1">ROUND(IF(ISNUMBER(R122),R122,IF(LEFT(R122,3)="BDI",HLOOKUP(R122,DADOS!$T$37:$X$38,2,FALSE),0)),15-11*$X$5)</f>
        <v>0.2354</v>
      </c>
      <c r="AA122" s="1"/>
    </row>
    <row r="123" spans="1:27" ht="25.5" x14ac:dyDescent="0.2">
      <c r="A123" t="str">
        <f t="shared" si="47"/>
        <v>S</v>
      </c>
      <c r="B123">
        <f t="shared" si="48"/>
        <v>0</v>
      </c>
      <c r="C123">
        <f t="shared" ca="1" si="49"/>
        <v>1</v>
      </c>
      <c r="D123">
        <f t="shared" ca="1" si="50"/>
        <v>12</v>
      </c>
      <c r="E123">
        <f t="shared" ca="1" si="51"/>
        <v>2</v>
      </c>
      <c r="F123">
        <f t="shared" ca="1" si="52"/>
        <v>0</v>
      </c>
      <c r="G123">
        <f t="shared" ca="1" si="53"/>
        <v>10</v>
      </c>
      <c r="H123">
        <f ca="1">IF(OR($A123="S",$A123=0),0,MATCH(0,OFFSET($B123,1,$A123,ROW($A$202)-ROW($A123)),0))</f>
        <v>0</v>
      </c>
      <c r="I123">
        <f ca="1">IF(OR($A123="S",$A123=0),0,MATCH(OFFSET($B123,0,$A123)+1,OFFSET($B123,1,$A123,ROW($A$202)-ROW($A123)),0))</f>
        <v>0</v>
      </c>
      <c r="J123" s="388" t="s">
        <v>103</v>
      </c>
      <c r="K123" s="138" t="str">
        <f t="shared" ca="1" si="54"/>
        <v>1.12.2.10.</v>
      </c>
      <c r="L123" s="370" t="s">
        <v>230</v>
      </c>
      <c r="M123" s="370" t="s">
        <v>258</v>
      </c>
      <c r="N123" s="368" t="s">
        <v>456</v>
      </c>
      <c r="O123" s="377" t="s">
        <v>521</v>
      </c>
      <c r="P123" s="363">
        <v>26.61</v>
      </c>
      <c r="Q123" s="195"/>
      <c r="R123" s="198" t="s">
        <v>7</v>
      </c>
      <c r="S123" s="103">
        <f t="shared" si="44"/>
        <v>0</v>
      </c>
      <c r="T123" s="83">
        <f t="shared" si="45"/>
        <v>0</v>
      </c>
      <c r="U123" s="9" t="str">
        <f t="shared" si="55"/>
        <v>SEM VALOR</v>
      </c>
      <c r="V123" s="1" t="str">
        <f ca="1">IF(OR($A123=0,$A123="S",$A123&gt;CFF!$A$9),"",MAX(V$12:OFFSET(V123,-1,0))+1)</f>
        <v/>
      </c>
      <c r="W123" s="4" t="str">
        <f t="shared" si="56"/>
        <v>SINAPI-96536</v>
      </c>
      <c r="X123" s="1">
        <f t="shared" ca="1" si="46"/>
        <v>9234</v>
      </c>
      <c r="Y123" s="103">
        <v>82.78</v>
      </c>
      <c r="Z123" s="113">
        <f ca="1">ROUND(IF(ISNUMBER(R123),R123,IF(LEFT(R123,3)="BDI",HLOOKUP(R123,DADOS!$T$37:$X$38,2,FALSE),0)),15-11*$X$5)</f>
        <v>0.2354</v>
      </c>
      <c r="AA123" s="1"/>
    </row>
    <row r="124" spans="1:27" ht="25.5" x14ac:dyDescent="0.2">
      <c r="A124" t="str">
        <f t="shared" si="47"/>
        <v>S</v>
      </c>
      <c r="B124">
        <f t="shared" si="48"/>
        <v>0</v>
      </c>
      <c r="C124">
        <f t="shared" ca="1" si="49"/>
        <v>1</v>
      </c>
      <c r="D124">
        <f t="shared" ca="1" si="50"/>
        <v>12</v>
      </c>
      <c r="E124">
        <f t="shared" ca="1" si="51"/>
        <v>2</v>
      </c>
      <c r="F124">
        <f t="shared" ca="1" si="52"/>
        <v>0</v>
      </c>
      <c r="G124">
        <f t="shared" ca="1" si="53"/>
        <v>11</v>
      </c>
      <c r="H124">
        <f ca="1">IF(OR($A124="S",$A124=0),0,MATCH(0,OFFSET($B124,1,$A124,ROW($A$202)-ROW($A124)),0))</f>
        <v>0</v>
      </c>
      <c r="I124">
        <f ca="1">IF(OR($A124="S",$A124=0),0,MATCH(OFFSET($B124,0,$A124)+1,OFFSET($B124,1,$A124,ROW($A$202)-ROW($A124)),0))</f>
        <v>0</v>
      </c>
      <c r="J124" s="388" t="s">
        <v>103</v>
      </c>
      <c r="K124" s="138" t="str">
        <f t="shared" ca="1" si="54"/>
        <v>1.12.2.11.</v>
      </c>
      <c r="L124" s="370" t="s">
        <v>230</v>
      </c>
      <c r="M124" s="370" t="s">
        <v>259</v>
      </c>
      <c r="N124" s="368" t="s">
        <v>457</v>
      </c>
      <c r="O124" s="377" t="s">
        <v>525</v>
      </c>
      <c r="P124" s="363">
        <v>44.13</v>
      </c>
      <c r="Q124" s="195"/>
      <c r="R124" s="198" t="s">
        <v>7</v>
      </c>
      <c r="S124" s="103">
        <f t="shared" si="44"/>
        <v>0</v>
      </c>
      <c r="T124" s="83">
        <f t="shared" si="45"/>
        <v>0</v>
      </c>
      <c r="U124" s="9" t="str">
        <f t="shared" si="55"/>
        <v>SEM VALOR</v>
      </c>
      <c r="V124" s="1" t="str">
        <f ca="1">IF(OR($A124=0,$A124="S",$A124&gt;CFF!$A$9),"",MAX(V$12:OFFSET(V124,-1,0))+1)</f>
        <v/>
      </c>
      <c r="W124" s="4" t="str">
        <f t="shared" si="56"/>
        <v>SINAPI-104916</v>
      </c>
      <c r="X124" s="1">
        <f t="shared" ca="1" si="46"/>
        <v>9200</v>
      </c>
      <c r="Y124" s="103">
        <v>20.87</v>
      </c>
      <c r="Z124" s="113">
        <f ca="1">ROUND(IF(ISNUMBER(R124),R124,IF(LEFT(R124,3)="BDI",HLOOKUP(R124,DADOS!$T$37:$X$38,2,FALSE),0)),15-11*$X$5)</f>
        <v>0.2354</v>
      </c>
      <c r="AA124" s="1"/>
    </row>
    <row r="125" spans="1:27" ht="25.5" x14ac:dyDescent="0.2">
      <c r="A125" t="str">
        <f t="shared" si="47"/>
        <v>S</v>
      </c>
      <c r="B125">
        <f t="shared" si="48"/>
        <v>0</v>
      </c>
      <c r="C125">
        <f t="shared" ca="1" si="49"/>
        <v>1</v>
      </c>
      <c r="D125">
        <f t="shared" ca="1" si="50"/>
        <v>12</v>
      </c>
      <c r="E125">
        <f t="shared" ca="1" si="51"/>
        <v>2</v>
      </c>
      <c r="F125">
        <f t="shared" ca="1" si="52"/>
        <v>0</v>
      </c>
      <c r="G125">
        <f t="shared" ca="1" si="53"/>
        <v>12</v>
      </c>
      <c r="H125">
        <f ca="1">IF(OR($A125="S",$A125=0),0,MATCH(0,OFFSET($B125,1,$A125,ROW($A$202)-ROW($A125)),0))</f>
        <v>0</v>
      </c>
      <c r="I125">
        <f ca="1">IF(OR($A125="S",$A125=0),0,MATCH(OFFSET($B125,0,$A125)+1,OFFSET($B125,1,$A125,ROW($A$202)-ROW($A125)),0))</f>
        <v>0</v>
      </c>
      <c r="J125" s="388" t="s">
        <v>103</v>
      </c>
      <c r="K125" s="138" t="str">
        <f t="shared" ca="1" si="54"/>
        <v>1.12.2.12.</v>
      </c>
      <c r="L125" s="370" t="s">
        <v>230</v>
      </c>
      <c r="M125" s="370" t="s">
        <v>251</v>
      </c>
      <c r="N125" s="368" t="s">
        <v>458</v>
      </c>
      <c r="O125" s="377" t="s">
        <v>525</v>
      </c>
      <c r="P125" s="363">
        <v>77.08</v>
      </c>
      <c r="Q125" s="195"/>
      <c r="R125" s="198" t="s">
        <v>7</v>
      </c>
      <c r="S125" s="103">
        <f t="shared" si="44"/>
        <v>0</v>
      </c>
      <c r="T125" s="83">
        <f t="shared" si="45"/>
        <v>0</v>
      </c>
      <c r="U125" s="9" t="str">
        <f t="shared" si="55"/>
        <v>SEM VALOR</v>
      </c>
      <c r="V125" s="1" t="str">
        <f ca="1">IF(OR($A125=0,$A125="S",$A125&gt;CFF!$A$9),"",MAX(V$12:OFFSET(V125,-1,0))+1)</f>
        <v/>
      </c>
      <c r="W125" s="4" t="str">
        <f t="shared" si="56"/>
        <v>SINAPI-104918</v>
      </c>
      <c r="X125" s="1">
        <f t="shared" ca="1" si="46"/>
        <v>9199</v>
      </c>
      <c r="Y125" s="103">
        <v>17.440000000000001</v>
      </c>
      <c r="Z125" s="113">
        <f ca="1">ROUND(IF(ISNUMBER(R125),R125,IF(LEFT(R125,3)="BDI",HLOOKUP(R125,DADOS!$T$37:$X$38,2,FALSE),0)),15-11*$X$5)</f>
        <v>0.2354</v>
      </c>
      <c r="AA125" s="1"/>
    </row>
    <row r="126" spans="1:27" ht="25.5" x14ac:dyDescent="0.2">
      <c r="A126" t="str">
        <f t="shared" si="47"/>
        <v>S</v>
      </c>
      <c r="B126">
        <f t="shared" si="48"/>
        <v>0</v>
      </c>
      <c r="C126">
        <f t="shared" ca="1" si="49"/>
        <v>1</v>
      </c>
      <c r="D126">
        <f t="shared" ca="1" si="50"/>
        <v>12</v>
      </c>
      <c r="E126">
        <f t="shared" ca="1" si="51"/>
        <v>2</v>
      </c>
      <c r="F126">
        <f t="shared" ca="1" si="52"/>
        <v>0</v>
      </c>
      <c r="G126">
        <f t="shared" ca="1" si="53"/>
        <v>13</v>
      </c>
      <c r="H126">
        <f ca="1">IF(OR($A126="S",$A126=0),0,MATCH(0,OFFSET($B126,1,$A126,ROW($A$202)-ROW($A126)),0))</f>
        <v>0</v>
      </c>
      <c r="I126">
        <f ca="1">IF(OR($A126="S",$A126=0),0,MATCH(OFFSET($B126,0,$A126)+1,OFFSET($B126,1,$A126,ROW($A$202)-ROW($A126)),0))</f>
        <v>0</v>
      </c>
      <c r="J126" s="388" t="s">
        <v>103</v>
      </c>
      <c r="K126" s="138" t="str">
        <f t="shared" ca="1" si="54"/>
        <v>1.12.2.13.</v>
      </c>
      <c r="L126" s="370" t="s">
        <v>230</v>
      </c>
      <c r="M126" s="370" t="s">
        <v>260</v>
      </c>
      <c r="N126" s="368" t="s">
        <v>459</v>
      </c>
      <c r="O126" s="377" t="s">
        <v>524</v>
      </c>
      <c r="P126" s="363">
        <v>2.66</v>
      </c>
      <c r="Q126" s="195"/>
      <c r="R126" s="198" t="s">
        <v>7</v>
      </c>
      <c r="S126" s="103">
        <f t="shared" si="44"/>
        <v>0</v>
      </c>
      <c r="T126" s="83">
        <f t="shared" si="45"/>
        <v>0</v>
      </c>
      <c r="U126" s="9" t="str">
        <f t="shared" si="55"/>
        <v>SEM VALOR</v>
      </c>
      <c r="V126" s="1" t="str">
        <f ca="1">IF(OR($A126=0,$A126="S",$A126&gt;CFF!$A$9),"",MAX(V$12:OFFSET(V126,-1,0))+1)</f>
        <v/>
      </c>
      <c r="W126" s="4" t="str">
        <f t="shared" si="56"/>
        <v>SINAPI-96557</v>
      </c>
      <c r="X126" s="1">
        <f t="shared" ca="1" si="46"/>
        <v>9201</v>
      </c>
      <c r="Y126" s="103">
        <v>1070.31</v>
      </c>
      <c r="Z126" s="113">
        <f ca="1">ROUND(IF(ISNUMBER(R126),R126,IF(LEFT(R126,3)="BDI",HLOOKUP(R126,DADOS!$T$37:$X$38,2,FALSE),0)),15-11*$X$5)</f>
        <v>0.2354</v>
      </c>
      <c r="AA126" s="1"/>
    </row>
    <row r="127" spans="1:27" ht="38.25" x14ac:dyDescent="0.2">
      <c r="A127" t="str">
        <f t="shared" si="47"/>
        <v>S</v>
      </c>
      <c r="B127">
        <f t="shared" si="48"/>
        <v>0</v>
      </c>
      <c r="C127">
        <f t="shared" ca="1" si="49"/>
        <v>1</v>
      </c>
      <c r="D127">
        <f t="shared" ca="1" si="50"/>
        <v>12</v>
      </c>
      <c r="E127">
        <f t="shared" ca="1" si="51"/>
        <v>2</v>
      </c>
      <c r="F127">
        <f t="shared" ca="1" si="52"/>
        <v>0</v>
      </c>
      <c r="G127">
        <f t="shared" ca="1" si="53"/>
        <v>14</v>
      </c>
      <c r="H127">
        <f ca="1">IF(OR($A127="S",$A127=0),0,MATCH(0,OFFSET($B127,1,$A127,ROW($A$202)-ROW($A127)),0))</f>
        <v>0</v>
      </c>
      <c r="I127">
        <f ca="1">IF(OR($A127="S",$A127=0),0,MATCH(OFFSET($B127,0,$A127)+1,OFFSET($B127,1,$A127,ROW($A$202)-ROW($A127)),0))</f>
        <v>0</v>
      </c>
      <c r="J127" s="388" t="s">
        <v>103</v>
      </c>
      <c r="K127" s="138" t="str">
        <f t="shared" ca="1" si="54"/>
        <v>1.12.2.14.</v>
      </c>
      <c r="L127" s="370" t="s">
        <v>234</v>
      </c>
      <c r="M127" s="370" t="s">
        <v>341</v>
      </c>
      <c r="N127" s="368" t="s">
        <v>479</v>
      </c>
      <c r="O127" s="377" t="s">
        <v>521</v>
      </c>
      <c r="P127" s="363">
        <v>15.85</v>
      </c>
      <c r="Q127" s="195"/>
      <c r="R127" s="198" t="s">
        <v>7</v>
      </c>
      <c r="S127" s="103">
        <f t="shared" si="44"/>
        <v>0</v>
      </c>
      <c r="T127" s="83">
        <f t="shared" si="45"/>
        <v>0</v>
      </c>
      <c r="U127" s="9" t="str">
        <f t="shared" si="55"/>
        <v>SEM VALOR</v>
      </c>
      <c r="V127" s="1" t="str">
        <f ca="1">IF(OR($A127=0,$A127="S",$A127&gt;CFF!$A$9),"",MAX(V$12:OFFSET(V127,-1,0))+1)</f>
        <v/>
      </c>
      <c r="W127" s="4" t="str">
        <f t="shared" si="56"/>
        <v>PM BENTO-118</v>
      </c>
      <c r="X127" s="1">
        <f t="shared" ca="1" si="46"/>
        <v>56</v>
      </c>
      <c r="Y127" s="103">
        <v>617.05999999999995</v>
      </c>
      <c r="Z127" s="113">
        <f ca="1">ROUND(IF(ISNUMBER(R127),R127,IF(LEFT(R127,3)="BDI",HLOOKUP(R127,DADOS!$T$37:$X$38,2,FALSE),0)),15-11*$X$5)</f>
        <v>0.2354</v>
      </c>
      <c r="AA127" s="1"/>
    </row>
    <row r="128" spans="1:27" x14ac:dyDescent="0.2">
      <c r="A128">
        <f t="shared" si="47"/>
        <v>3</v>
      </c>
      <c r="B128">
        <f t="shared" ca="1" si="48"/>
        <v>7</v>
      </c>
      <c r="C128">
        <f t="shared" ca="1" si="49"/>
        <v>1</v>
      </c>
      <c r="D128">
        <f t="shared" ca="1" si="50"/>
        <v>12</v>
      </c>
      <c r="E128">
        <f t="shared" ca="1" si="51"/>
        <v>3</v>
      </c>
      <c r="F128">
        <f t="shared" ca="1" si="52"/>
        <v>0</v>
      </c>
      <c r="G128">
        <f t="shared" ca="1" si="53"/>
        <v>0</v>
      </c>
      <c r="H128">
        <f ca="1">IF(OR($A128="S",$A128=0),0,MATCH(0,OFFSET($B128,1,$A128,ROW($A$202)-ROW($A128)),0))</f>
        <v>20</v>
      </c>
      <c r="I128">
        <f ca="1">IF(OR($A128="S",$A128=0),0,MATCH(OFFSET($B128,0,$A128)+1,OFFSET($B128,1,$A128,ROW($A$202)-ROW($A128)),0))</f>
        <v>7</v>
      </c>
      <c r="J128" s="388" t="s">
        <v>101</v>
      </c>
      <c r="K128" s="138" t="str">
        <f t="shared" ca="1" si="54"/>
        <v>1.12.3.</v>
      </c>
      <c r="L128" s="370" t="s">
        <v>230</v>
      </c>
      <c r="M128" s="370"/>
      <c r="N128" s="392" t="s">
        <v>386</v>
      </c>
      <c r="O128" s="377" t="s">
        <v>106</v>
      </c>
      <c r="P128" s="363" t="s">
        <v>363</v>
      </c>
      <c r="Q128" s="195"/>
      <c r="R128" s="198" t="s">
        <v>7</v>
      </c>
      <c r="S128" s="103">
        <f t="shared" si="44"/>
        <v>0</v>
      </c>
      <c r="T128" s="83">
        <f t="shared" ca="1" si="45"/>
        <v>0</v>
      </c>
      <c r="U128" s="9" t="str">
        <f t="shared" ca="1" si="55"/>
        <v>SEM VALOR</v>
      </c>
      <c r="V128" s="1" t="str">
        <f ca="1">IF(OR($A128=0,$A128="S",$A128&gt;CFF!$A$9),"",MAX(V$12:OFFSET(V128,-1,0))+1)</f>
        <v/>
      </c>
      <c r="W128" s="4" t="b">
        <f t="shared" si="56"/>
        <v>0</v>
      </c>
      <c r="X128" s="1" t="str">
        <f t="shared" ca="1" si="46"/>
        <v>X</v>
      </c>
      <c r="Y128" s="103">
        <v>0</v>
      </c>
      <c r="Z128" s="113">
        <f ca="1">ROUND(IF(ISNUMBER(R128),R128,IF(LEFT(R128,3)="BDI",HLOOKUP(R128,DADOS!$T$37:$X$38,2,FALSE),0)),15-11*$X$5)</f>
        <v>0.2354</v>
      </c>
      <c r="AA128" s="1"/>
    </row>
    <row r="129" spans="1:27" x14ac:dyDescent="0.2">
      <c r="A129" t="str">
        <f t="shared" si="47"/>
        <v>S</v>
      </c>
      <c r="B129">
        <f t="shared" si="48"/>
        <v>0</v>
      </c>
      <c r="C129">
        <f t="shared" ca="1" si="49"/>
        <v>1</v>
      </c>
      <c r="D129">
        <f t="shared" ca="1" si="50"/>
        <v>12</v>
      </c>
      <c r="E129">
        <f t="shared" ca="1" si="51"/>
        <v>3</v>
      </c>
      <c r="F129">
        <f t="shared" ca="1" si="52"/>
        <v>0</v>
      </c>
      <c r="G129">
        <f t="shared" ca="1" si="53"/>
        <v>1</v>
      </c>
      <c r="H129">
        <f ca="1">IF(OR($A129="S",$A129=0),0,MATCH(0,OFFSET($B129,1,$A129,ROW($A$202)-ROW($A129)),0))</f>
        <v>0</v>
      </c>
      <c r="I129">
        <f ca="1">IF(OR($A129="S",$A129=0),0,MATCH(OFFSET($B129,0,$A129)+1,OFFSET($B129,1,$A129,ROW($A$202)-ROW($A129)),0))</f>
        <v>0</v>
      </c>
      <c r="J129" s="388" t="s">
        <v>103</v>
      </c>
      <c r="K129" s="138" t="str">
        <f t="shared" ca="1" si="54"/>
        <v>1.12.3.1.</v>
      </c>
      <c r="L129" s="370" t="s">
        <v>230</v>
      </c>
      <c r="M129" s="370" t="s">
        <v>257</v>
      </c>
      <c r="N129" s="368" t="s">
        <v>480</v>
      </c>
      <c r="O129" s="377" t="s">
        <v>521</v>
      </c>
      <c r="P129" s="363">
        <v>35.479999999999997</v>
      </c>
      <c r="Q129" s="195"/>
      <c r="R129" s="198" t="s">
        <v>7</v>
      </c>
      <c r="S129" s="103">
        <f t="shared" si="44"/>
        <v>0</v>
      </c>
      <c r="T129" s="83">
        <f t="shared" si="45"/>
        <v>0</v>
      </c>
      <c r="U129" s="9" t="str">
        <f t="shared" si="55"/>
        <v>SEM VALOR</v>
      </c>
      <c r="V129" s="1" t="str">
        <f ca="1">IF(OR($A129=0,$A129="S",$A129&gt;CFF!$A$9),"",MAX(V$12:OFFSET(V129,-1,0))+1)</f>
        <v/>
      </c>
      <c r="W129" s="4" t="str">
        <f t="shared" si="56"/>
        <v>SINAPI-98557</v>
      </c>
      <c r="X129" s="1">
        <f t="shared" ca="1" si="46"/>
        <v>9571</v>
      </c>
      <c r="Y129" s="103">
        <v>56.84</v>
      </c>
      <c r="Z129" s="113">
        <f ca="1">ROUND(IF(ISNUMBER(R129),R129,IF(LEFT(R129,3)="BDI",HLOOKUP(R129,DADOS!$T$37:$X$38,2,FALSE),0)),15-11*$X$5)</f>
        <v>0.2354</v>
      </c>
      <c r="AA129" s="1"/>
    </row>
    <row r="130" spans="1:27" x14ac:dyDescent="0.2">
      <c r="A130" t="str">
        <f t="shared" si="47"/>
        <v>S</v>
      </c>
      <c r="B130">
        <f t="shared" si="48"/>
        <v>0</v>
      </c>
      <c r="C130">
        <f t="shared" ca="1" si="49"/>
        <v>1</v>
      </c>
      <c r="D130">
        <f t="shared" ca="1" si="50"/>
        <v>12</v>
      </c>
      <c r="E130">
        <f t="shared" ca="1" si="51"/>
        <v>3</v>
      </c>
      <c r="F130">
        <f t="shared" ca="1" si="52"/>
        <v>0</v>
      </c>
      <c r="G130">
        <f t="shared" ca="1" si="53"/>
        <v>2</v>
      </c>
      <c r="H130">
        <f ca="1">IF(OR($A130="S",$A130=0),0,MATCH(0,OFFSET($B130,1,$A130,ROW($A$202)-ROW($A130)),0))</f>
        <v>0</v>
      </c>
      <c r="I130">
        <f ca="1">IF(OR($A130="S",$A130=0),0,MATCH(OFFSET($B130,0,$A130)+1,OFFSET($B130,1,$A130,ROW($A$202)-ROW($A130)),0))</f>
        <v>0</v>
      </c>
      <c r="J130" s="388" t="s">
        <v>103</v>
      </c>
      <c r="K130" s="138" t="str">
        <f t="shared" ca="1" si="54"/>
        <v>1.12.3.2.</v>
      </c>
      <c r="L130" s="370" t="s">
        <v>230</v>
      </c>
      <c r="M130" s="370" t="s">
        <v>257</v>
      </c>
      <c r="N130" s="368" t="s">
        <v>480</v>
      </c>
      <c r="O130" s="377" t="s">
        <v>521</v>
      </c>
      <c r="P130" s="363">
        <v>31.7</v>
      </c>
      <c r="Q130" s="195"/>
      <c r="R130" s="198" t="s">
        <v>7</v>
      </c>
      <c r="S130" s="103">
        <f t="shared" si="44"/>
        <v>0</v>
      </c>
      <c r="T130" s="83">
        <f t="shared" si="45"/>
        <v>0</v>
      </c>
      <c r="U130" s="9" t="str">
        <f t="shared" si="55"/>
        <v>SEM VALOR</v>
      </c>
      <c r="V130" s="1" t="str">
        <f ca="1">IF(OR($A130=0,$A130="S",$A130&gt;CFF!$A$9),"",MAX(V$12:OFFSET(V130,-1,0))+1)</f>
        <v/>
      </c>
      <c r="W130" s="4" t="str">
        <f t="shared" si="56"/>
        <v>SINAPI-98557</v>
      </c>
      <c r="X130" s="1">
        <f t="shared" ca="1" si="46"/>
        <v>9571</v>
      </c>
      <c r="Y130" s="103">
        <v>56.84</v>
      </c>
      <c r="Z130" s="113">
        <f ca="1">ROUND(IF(ISNUMBER(R130),R130,IF(LEFT(R130,3)="BDI",HLOOKUP(R130,DADOS!$T$37:$X$38,2,FALSE),0)),15-11*$X$5)</f>
        <v>0.2354</v>
      </c>
      <c r="AA130" s="1"/>
    </row>
    <row r="131" spans="1:27" ht="38.25" x14ac:dyDescent="0.2">
      <c r="A131" t="str">
        <f t="shared" si="47"/>
        <v>S</v>
      </c>
      <c r="B131">
        <f t="shared" si="48"/>
        <v>0</v>
      </c>
      <c r="C131">
        <f t="shared" ca="1" si="49"/>
        <v>1</v>
      </c>
      <c r="D131">
        <f t="shared" ca="1" si="50"/>
        <v>12</v>
      </c>
      <c r="E131">
        <f t="shared" ca="1" si="51"/>
        <v>3</v>
      </c>
      <c r="F131">
        <f t="shared" ca="1" si="52"/>
        <v>0</v>
      </c>
      <c r="G131">
        <f t="shared" ca="1" si="53"/>
        <v>3</v>
      </c>
      <c r="H131">
        <f ca="1">IF(OR($A131="S",$A131=0),0,MATCH(0,OFFSET($B131,1,$A131,ROW($A$202)-ROW($A131)),0))</f>
        <v>0</v>
      </c>
      <c r="I131">
        <f ca="1">IF(OR($A131="S",$A131=0),0,MATCH(OFFSET($B131,0,$A131)+1,OFFSET($B131,1,$A131,ROW($A$202)-ROW($A131)),0))</f>
        <v>0</v>
      </c>
      <c r="J131" s="388" t="s">
        <v>103</v>
      </c>
      <c r="K131" s="138" t="str">
        <f t="shared" ca="1" si="54"/>
        <v>1.12.3.3.</v>
      </c>
      <c r="L131" s="370" t="s">
        <v>230</v>
      </c>
      <c r="M131" s="370" t="s">
        <v>255</v>
      </c>
      <c r="N131" s="368" t="s">
        <v>481</v>
      </c>
      <c r="O131" s="377" t="s">
        <v>521</v>
      </c>
      <c r="P131" s="363">
        <v>40.479999999999997</v>
      </c>
      <c r="Q131" s="195"/>
      <c r="R131" s="198" t="s">
        <v>7</v>
      </c>
      <c r="S131" s="103">
        <f t="shared" si="44"/>
        <v>0</v>
      </c>
      <c r="T131" s="83">
        <f t="shared" si="45"/>
        <v>0</v>
      </c>
      <c r="U131" s="9" t="str">
        <f t="shared" si="55"/>
        <v>SEM VALOR</v>
      </c>
      <c r="V131" s="1" t="str">
        <f ca="1">IF(OR($A131=0,$A131="S",$A131&gt;CFF!$A$9),"",MAX(V$12:OFFSET(V131,-1,0))+1)</f>
        <v/>
      </c>
      <c r="W131" s="4" t="str">
        <f t="shared" si="56"/>
        <v>SINAPI-87894</v>
      </c>
      <c r="X131" s="1">
        <f t="shared" ca="1" si="46"/>
        <v>6237</v>
      </c>
      <c r="Y131" s="103">
        <v>9.5</v>
      </c>
      <c r="Z131" s="113">
        <f ca="1">ROUND(IF(ISNUMBER(R131),R131,IF(LEFT(R131,3)="BDI",HLOOKUP(R131,DADOS!$T$37:$X$38,2,FALSE),0)),15-11*$X$5)</f>
        <v>0.2354</v>
      </c>
      <c r="AA131" s="1"/>
    </row>
    <row r="132" spans="1:27" ht="25.5" x14ac:dyDescent="0.2">
      <c r="A132" t="str">
        <f t="shared" si="47"/>
        <v>S</v>
      </c>
      <c r="B132">
        <f t="shared" si="48"/>
        <v>0</v>
      </c>
      <c r="C132">
        <f t="shared" ca="1" si="49"/>
        <v>1</v>
      </c>
      <c r="D132">
        <f t="shared" ca="1" si="50"/>
        <v>12</v>
      </c>
      <c r="E132">
        <f t="shared" ca="1" si="51"/>
        <v>3</v>
      </c>
      <c r="F132">
        <f t="shared" ca="1" si="52"/>
        <v>0</v>
      </c>
      <c r="G132">
        <f t="shared" ca="1" si="53"/>
        <v>4</v>
      </c>
      <c r="H132">
        <f ca="1">IF(OR($A132="S",$A132=0),0,MATCH(0,OFFSET($B132,1,$A132,ROW($A$202)-ROW($A132)),0))</f>
        <v>0</v>
      </c>
      <c r="I132">
        <f ca="1">IF(OR($A132="S",$A132=0),0,MATCH(OFFSET($B132,0,$A132)+1,OFFSET($B132,1,$A132,ROW($A$202)-ROW($A132)),0))</f>
        <v>0</v>
      </c>
      <c r="J132" s="388" t="s">
        <v>103</v>
      </c>
      <c r="K132" s="138" t="str">
        <f t="shared" ca="1" si="54"/>
        <v>1.12.3.4.</v>
      </c>
      <c r="L132" s="370" t="s">
        <v>230</v>
      </c>
      <c r="M132" s="370" t="s">
        <v>256</v>
      </c>
      <c r="N132" s="368" t="s">
        <v>482</v>
      </c>
      <c r="O132" s="377" t="s">
        <v>521</v>
      </c>
      <c r="P132" s="363">
        <v>15.85</v>
      </c>
      <c r="Q132" s="195"/>
      <c r="R132" s="198" t="s">
        <v>7</v>
      </c>
      <c r="S132" s="103">
        <f t="shared" si="44"/>
        <v>0</v>
      </c>
      <c r="T132" s="83">
        <f t="shared" si="45"/>
        <v>0</v>
      </c>
      <c r="U132" s="9" t="str">
        <f t="shared" si="55"/>
        <v>SEM VALOR</v>
      </c>
      <c r="V132" s="1" t="str">
        <f ca="1">IF(OR($A132=0,$A132="S",$A132&gt;CFF!$A$9),"",MAX(V$12:OFFSET(V132,-1,0))+1)</f>
        <v/>
      </c>
      <c r="W132" s="4" t="str">
        <f t="shared" si="56"/>
        <v>SINAPI-98562</v>
      </c>
      <c r="X132" s="1">
        <f t="shared" ca="1" si="46"/>
        <v>9568</v>
      </c>
      <c r="Y132" s="103">
        <v>67.709999999999994</v>
      </c>
      <c r="Z132" s="113">
        <f ca="1">ROUND(IF(ISNUMBER(R132),R132,IF(LEFT(R132,3)="BDI",HLOOKUP(R132,DADOS!$T$37:$X$38,2,FALSE),0)),15-11*$X$5)</f>
        <v>0.2354</v>
      </c>
      <c r="AA132" s="1"/>
    </row>
    <row r="133" spans="1:27" ht="25.5" x14ac:dyDescent="0.2">
      <c r="A133" t="str">
        <f t="shared" si="47"/>
        <v>S</v>
      </c>
      <c r="B133">
        <f t="shared" si="48"/>
        <v>0</v>
      </c>
      <c r="C133">
        <f t="shared" ca="1" si="49"/>
        <v>1</v>
      </c>
      <c r="D133">
        <f t="shared" ca="1" si="50"/>
        <v>12</v>
      </c>
      <c r="E133">
        <f t="shared" ca="1" si="51"/>
        <v>3</v>
      </c>
      <c r="F133">
        <f t="shared" ca="1" si="52"/>
        <v>0</v>
      </c>
      <c r="G133">
        <f t="shared" ca="1" si="53"/>
        <v>5</v>
      </c>
      <c r="H133">
        <f ca="1">IF(OR($A133="S",$A133=0),0,MATCH(0,OFFSET($B133,1,$A133,ROW($A$202)-ROW($A133)),0))</f>
        <v>0</v>
      </c>
      <c r="I133">
        <f ca="1">IF(OR($A133="S",$A133=0),0,MATCH(OFFSET($B133,0,$A133)+1,OFFSET($B133,1,$A133,ROW($A$202)-ROW($A133)),0))</f>
        <v>0</v>
      </c>
      <c r="J133" s="388" t="s">
        <v>103</v>
      </c>
      <c r="K133" s="138" t="str">
        <f t="shared" ca="1" si="54"/>
        <v>1.12.3.5.</v>
      </c>
      <c r="L133" s="370" t="s">
        <v>230</v>
      </c>
      <c r="M133" s="370" t="s">
        <v>342</v>
      </c>
      <c r="N133" s="368" t="s">
        <v>483</v>
      </c>
      <c r="O133" s="377" t="s">
        <v>521</v>
      </c>
      <c r="P133" s="363">
        <v>15.85</v>
      </c>
      <c r="Q133" s="195"/>
      <c r="R133" s="198" t="s">
        <v>7</v>
      </c>
      <c r="S133" s="103">
        <f t="shared" si="44"/>
        <v>0</v>
      </c>
      <c r="T133" s="83">
        <f t="shared" si="45"/>
        <v>0</v>
      </c>
      <c r="U133" s="9" t="str">
        <f t="shared" si="55"/>
        <v>SEM VALOR</v>
      </c>
      <c r="V133" s="1" t="str">
        <f ca="1">IF(OR($A133=0,$A133="S",$A133&gt;CFF!$A$9),"",MAX(V$12:OFFSET(V133,-1,0))+1)</f>
        <v/>
      </c>
      <c r="W133" s="4" t="str">
        <f t="shared" si="56"/>
        <v>SINAPI-98564</v>
      </c>
      <c r="X133" s="1">
        <f t="shared" ca="1" si="46"/>
        <v>9584</v>
      </c>
      <c r="Y133" s="103">
        <v>71.59</v>
      </c>
      <c r="Z133" s="113">
        <f ca="1">ROUND(IF(ISNUMBER(R133),R133,IF(LEFT(R133,3)="BDI",HLOOKUP(R133,DADOS!$T$37:$X$38,2,FALSE),0)),15-11*$X$5)</f>
        <v>0.2354</v>
      </c>
      <c r="AA133" s="1"/>
    </row>
    <row r="134" spans="1:27" ht="25.5" x14ac:dyDescent="0.2">
      <c r="A134" t="str">
        <f t="shared" si="47"/>
        <v>S</v>
      </c>
      <c r="B134">
        <f t="shared" si="48"/>
        <v>0</v>
      </c>
      <c r="C134">
        <f t="shared" ca="1" si="49"/>
        <v>1</v>
      </c>
      <c r="D134">
        <f t="shared" ca="1" si="50"/>
        <v>12</v>
      </c>
      <c r="E134">
        <f t="shared" ca="1" si="51"/>
        <v>3</v>
      </c>
      <c r="F134">
        <f t="shared" ca="1" si="52"/>
        <v>0</v>
      </c>
      <c r="G134">
        <f t="shared" ca="1" si="53"/>
        <v>6</v>
      </c>
      <c r="H134">
        <f ca="1">IF(OR($A134="S",$A134=0),0,MATCH(0,OFFSET($B134,1,$A134,ROW($A$202)-ROW($A134)),0))</f>
        <v>0</v>
      </c>
      <c r="I134">
        <f ca="1">IF(OR($A134="S",$A134=0),0,MATCH(OFFSET($B134,0,$A134)+1,OFFSET($B134,1,$A134,ROW($A$202)-ROW($A134)),0))</f>
        <v>0</v>
      </c>
      <c r="J134" s="388" t="s">
        <v>103</v>
      </c>
      <c r="K134" s="138" t="str">
        <f t="shared" ca="1" si="54"/>
        <v>1.12.3.6.</v>
      </c>
      <c r="L134" s="370" t="s">
        <v>230</v>
      </c>
      <c r="M134" s="370" t="s">
        <v>343</v>
      </c>
      <c r="N134" s="368" t="s">
        <v>484</v>
      </c>
      <c r="O134" s="377" t="s">
        <v>521</v>
      </c>
      <c r="P134" s="363">
        <v>24.63</v>
      </c>
      <c r="Q134" s="195"/>
      <c r="R134" s="198" t="s">
        <v>7</v>
      </c>
      <c r="S134" s="103">
        <f t="shared" si="44"/>
        <v>0</v>
      </c>
      <c r="T134" s="83">
        <f t="shared" si="45"/>
        <v>0</v>
      </c>
      <c r="U134" s="9" t="str">
        <f t="shared" si="55"/>
        <v>SEM VALOR</v>
      </c>
      <c r="V134" s="1" t="str">
        <f ca="1">IF(OR($A134=0,$A134="S",$A134&gt;CFF!$A$9),"",MAX(V$12:OFFSET(V134,-1,0))+1)</f>
        <v/>
      </c>
      <c r="W134" s="4" t="str">
        <f t="shared" si="56"/>
        <v>SINAPI-87794</v>
      </c>
      <c r="X134" s="1">
        <f t="shared" ca="1" si="46"/>
        <v>12638</v>
      </c>
      <c r="Y134" s="103">
        <v>58.57</v>
      </c>
      <c r="Z134" s="113">
        <f ca="1">ROUND(IF(ISNUMBER(R134),R134,IF(LEFT(R134,3)="BDI",HLOOKUP(R134,DADOS!$T$37:$X$38,2,FALSE),0)),15-11*$X$5)</f>
        <v>0.2354</v>
      </c>
      <c r="AA134" s="1"/>
    </row>
    <row r="135" spans="1:27" x14ac:dyDescent="0.2">
      <c r="A135">
        <f t="shared" si="47"/>
        <v>3</v>
      </c>
      <c r="B135">
        <f t="shared" ca="1" si="48"/>
        <v>4</v>
      </c>
      <c r="C135">
        <f t="shared" ca="1" si="49"/>
        <v>1</v>
      </c>
      <c r="D135">
        <f t="shared" ca="1" si="50"/>
        <v>12</v>
      </c>
      <c r="E135">
        <f t="shared" ca="1" si="51"/>
        <v>4</v>
      </c>
      <c r="F135">
        <f t="shared" ca="1" si="52"/>
        <v>0</v>
      </c>
      <c r="G135">
        <f t="shared" ca="1" si="53"/>
        <v>0</v>
      </c>
      <c r="H135">
        <f ca="1">IF(OR($A135="S",$A135=0),0,MATCH(0,OFFSET($B135,1,$A135,ROW($A$202)-ROW($A135)),0))</f>
        <v>13</v>
      </c>
      <c r="I135">
        <f ca="1">IF(OR($A135="S",$A135=0),0,MATCH(OFFSET($B135,0,$A135)+1,OFFSET($B135,1,$A135,ROW($A$202)-ROW($A135)),0))</f>
        <v>4</v>
      </c>
      <c r="J135" s="388" t="s">
        <v>101</v>
      </c>
      <c r="K135" s="138" t="str">
        <f t="shared" ca="1" si="54"/>
        <v>1.12.4.</v>
      </c>
      <c r="L135" s="370" t="s">
        <v>230</v>
      </c>
      <c r="M135" s="370"/>
      <c r="N135" s="386" t="s">
        <v>387</v>
      </c>
      <c r="O135" s="377" t="s">
        <v>106</v>
      </c>
      <c r="P135" s="363" t="s">
        <v>363</v>
      </c>
      <c r="Q135" s="195"/>
      <c r="R135" s="198" t="s">
        <v>7</v>
      </c>
      <c r="S135" s="103">
        <f t="shared" si="44"/>
        <v>0</v>
      </c>
      <c r="T135" s="83">
        <f t="shared" ca="1" si="45"/>
        <v>0</v>
      </c>
      <c r="U135" s="9" t="str">
        <f t="shared" ca="1" si="55"/>
        <v>SEM VALOR</v>
      </c>
      <c r="V135" s="1" t="str">
        <f ca="1">IF(OR($A135=0,$A135="S",$A135&gt;CFF!$A$9),"",MAX(V$12:OFFSET(V135,-1,0))+1)</f>
        <v/>
      </c>
      <c r="W135" s="4" t="b">
        <f t="shared" si="56"/>
        <v>0</v>
      </c>
      <c r="X135" s="1" t="str">
        <f t="shared" ca="1" si="46"/>
        <v>X</v>
      </c>
      <c r="Y135" s="103">
        <v>0</v>
      </c>
      <c r="Z135" s="113">
        <f ca="1">ROUND(IF(ISNUMBER(R135),R135,IF(LEFT(R135,3)="BDI",HLOOKUP(R135,DADOS!$T$37:$X$38,2,FALSE),0)),15-11*$X$5)</f>
        <v>0.2354</v>
      </c>
      <c r="AA135" s="1"/>
    </row>
    <row r="136" spans="1:27" ht="25.5" x14ac:dyDescent="0.2">
      <c r="A136" t="str">
        <f t="shared" si="47"/>
        <v>S</v>
      </c>
      <c r="B136">
        <f t="shared" si="48"/>
        <v>0</v>
      </c>
      <c r="C136">
        <f t="shared" ca="1" si="49"/>
        <v>1</v>
      </c>
      <c r="D136">
        <f t="shared" ca="1" si="50"/>
        <v>12</v>
      </c>
      <c r="E136">
        <f t="shared" ca="1" si="51"/>
        <v>4</v>
      </c>
      <c r="F136">
        <f t="shared" ca="1" si="52"/>
        <v>0</v>
      </c>
      <c r="G136">
        <f t="shared" ca="1" si="53"/>
        <v>1</v>
      </c>
      <c r="H136">
        <f ca="1">IF(OR($A136="S",$A136=0),0,MATCH(0,OFFSET($B136,1,$A136,ROW($A$202)-ROW($A136)),0))</f>
        <v>0</v>
      </c>
      <c r="I136">
        <f ca="1">IF(OR($A136="S",$A136=0),0,MATCH(OFFSET($B136,0,$A136)+1,OFFSET($B136,1,$A136,ROW($A$202)-ROW($A136)),0))</f>
        <v>0</v>
      </c>
      <c r="J136" s="388" t="s">
        <v>103</v>
      </c>
      <c r="K136" s="138" t="str">
        <f t="shared" ca="1" si="54"/>
        <v>1.12.4.1.</v>
      </c>
      <c r="L136" s="370" t="s">
        <v>234</v>
      </c>
      <c r="M136" s="370" t="s">
        <v>307</v>
      </c>
      <c r="N136" s="368" t="s">
        <v>424</v>
      </c>
      <c r="O136" s="377" t="s">
        <v>521</v>
      </c>
      <c r="P136" s="363">
        <v>24.63</v>
      </c>
      <c r="Q136" s="195"/>
      <c r="R136" s="198" t="s">
        <v>7</v>
      </c>
      <c r="S136" s="103">
        <f t="shared" si="44"/>
        <v>0</v>
      </c>
      <c r="T136" s="83">
        <f t="shared" si="45"/>
        <v>0</v>
      </c>
      <c r="U136" s="9" t="str">
        <f t="shared" si="55"/>
        <v>SEM VALOR</v>
      </c>
      <c r="V136" s="1" t="str">
        <f ca="1">IF(OR($A136=0,$A136="S",$A136&gt;CFF!$A$9),"",MAX(V$12:OFFSET(V136,-1,0))+1)</f>
        <v/>
      </c>
      <c r="W136" s="4" t="str">
        <f t="shared" si="56"/>
        <v>PM BENTO-102</v>
      </c>
      <c r="X136" s="1">
        <f t="shared" ca="1" si="46"/>
        <v>40</v>
      </c>
      <c r="Y136" s="103">
        <v>7.36</v>
      </c>
      <c r="Z136" s="113">
        <f ca="1">ROUND(IF(ISNUMBER(R136),R136,IF(LEFT(R136,3)="BDI",HLOOKUP(R136,DADOS!$T$37:$X$38,2,FALSE),0)),15-11*$X$5)</f>
        <v>0.2354</v>
      </c>
      <c r="AA136" s="1"/>
    </row>
    <row r="137" spans="1:27" x14ac:dyDescent="0.2">
      <c r="A137" t="str">
        <f t="shared" si="47"/>
        <v>S</v>
      </c>
      <c r="B137">
        <f t="shared" si="48"/>
        <v>0</v>
      </c>
      <c r="C137">
        <f t="shared" ca="1" si="49"/>
        <v>1</v>
      </c>
      <c r="D137">
        <f t="shared" ca="1" si="50"/>
        <v>12</v>
      </c>
      <c r="E137">
        <f t="shared" ca="1" si="51"/>
        <v>4</v>
      </c>
      <c r="F137">
        <f t="shared" ca="1" si="52"/>
        <v>0</v>
      </c>
      <c r="G137">
        <f t="shared" ca="1" si="53"/>
        <v>2</v>
      </c>
      <c r="H137">
        <f ca="1">IF(OR($A137="S",$A137=0),0,MATCH(0,OFFSET($B137,1,$A137,ROW($A$202)-ROW($A137)),0))</f>
        <v>0</v>
      </c>
      <c r="I137">
        <f ca="1">IF(OR($A137="S",$A137=0),0,MATCH(OFFSET($B137,0,$A137)+1,OFFSET($B137,1,$A137,ROW($A$202)-ROW($A137)),0))</f>
        <v>0</v>
      </c>
      <c r="J137" s="388" t="s">
        <v>103</v>
      </c>
      <c r="K137" s="138" t="str">
        <f t="shared" ca="1" si="54"/>
        <v>1.12.4.2.</v>
      </c>
      <c r="L137" s="370" t="s">
        <v>230</v>
      </c>
      <c r="M137" s="370" t="s">
        <v>269</v>
      </c>
      <c r="N137" s="368" t="s">
        <v>485</v>
      </c>
      <c r="O137" s="377" t="s">
        <v>521</v>
      </c>
      <c r="P137" s="363">
        <v>24.63</v>
      </c>
      <c r="Q137" s="195"/>
      <c r="R137" s="198" t="s">
        <v>7</v>
      </c>
      <c r="S137" s="103">
        <f t="shared" si="44"/>
        <v>0</v>
      </c>
      <c r="T137" s="83">
        <f t="shared" si="45"/>
        <v>0</v>
      </c>
      <c r="U137" s="9" t="str">
        <f t="shared" si="55"/>
        <v>SEM VALOR</v>
      </c>
      <c r="V137" s="1" t="str">
        <f ca="1">IF(OR($A137=0,$A137="S",$A137&gt;CFF!$A$9),"",MAX(V$12:OFFSET(V137,-1,0))+1)</f>
        <v/>
      </c>
      <c r="W137" s="4" t="str">
        <f t="shared" si="56"/>
        <v>SINAPI-88415</v>
      </c>
      <c r="X137" s="1">
        <f t="shared" ca="1" si="46"/>
        <v>13230</v>
      </c>
      <c r="Y137" s="103">
        <v>5.5</v>
      </c>
      <c r="Z137" s="113">
        <f ca="1">ROUND(IF(ISNUMBER(R137),R137,IF(LEFT(R137,3)="BDI",HLOOKUP(R137,DADOS!$T$37:$X$38,2,FALSE),0)),15-11*$X$5)</f>
        <v>0.2354</v>
      </c>
      <c r="AA137" s="1"/>
    </row>
    <row r="138" spans="1:27" ht="25.5" x14ac:dyDescent="0.2">
      <c r="A138" t="str">
        <f t="shared" si="47"/>
        <v>S</v>
      </c>
      <c r="B138">
        <f t="shared" si="48"/>
        <v>0</v>
      </c>
      <c r="C138">
        <f t="shared" ca="1" si="49"/>
        <v>1</v>
      </c>
      <c r="D138">
        <f t="shared" ca="1" si="50"/>
        <v>12</v>
      </c>
      <c r="E138">
        <f t="shared" ca="1" si="51"/>
        <v>4</v>
      </c>
      <c r="F138">
        <f t="shared" ca="1" si="52"/>
        <v>0</v>
      </c>
      <c r="G138">
        <f t="shared" ca="1" si="53"/>
        <v>3</v>
      </c>
      <c r="H138">
        <f ca="1">IF(OR($A138="S",$A138=0),0,MATCH(0,OFFSET($B138,1,$A138,ROW($A$202)-ROW($A138)),0))</f>
        <v>0</v>
      </c>
      <c r="I138">
        <f ca="1">IF(OR($A138="S",$A138=0),0,MATCH(OFFSET($B138,0,$A138)+1,OFFSET($B138,1,$A138,ROW($A$202)-ROW($A138)),0))</f>
        <v>0</v>
      </c>
      <c r="J138" s="388" t="s">
        <v>103</v>
      </c>
      <c r="K138" s="138" t="str">
        <f t="shared" ca="1" si="54"/>
        <v>1.12.4.3.</v>
      </c>
      <c r="L138" s="370" t="s">
        <v>230</v>
      </c>
      <c r="M138" s="370" t="s">
        <v>270</v>
      </c>
      <c r="N138" s="368" t="s">
        <v>486</v>
      </c>
      <c r="O138" s="377" t="s">
        <v>521</v>
      </c>
      <c r="P138" s="363">
        <v>24.63</v>
      </c>
      <c r="Q138" s="195"/>
      <c r="R138" s="198" t="s">
        <v>7</v>
      </c>
      <c r="S138" s="103">
        <f t="shared" si="44"/>
        <v>0</v>
      </c>
      <c r="T138" s="83">
        <f t="shared" si="45"/>
        <v>0</v>
      </c>
      <c r="U138" s="9" t="str">
        <f t="shared" si="55"/>
        <v>SEM VALOR</v>
      </c>
      <c r="V138" s="1" t="str">
        <f ca="1">IF(OR($A138=0,$A138="S",$A138&gt;CFF!$A$9),"",MAX(V$12:OFFSET(V138,-1,0))+1)</f>
        <v/>
      </c>
      <c r="W138" s="4" t="str">
        <f t="shared" si="56"/>
        <v>SINAPI-95626</v>
      </c>
      <c r="X138" s="1">
        <f t="shared" ca="1" si="46"/>
        <v>13256</v>
      </c>
      <c r="Y138" s="103">
        <v>21.08</v>
      </c>
      <c r="Z138" s="113">
        <f ca="1">ROUND(IF(ISNUMBER(R138),R138,IF(LEFT(R138,3)="BDI",HLOOKUP(R138,DADOS!$T$37:$X$38,2,FALSE),0)),15-11*$X$5)</f>
        <v>0.2354</v>
      </c>
      <c r="AA138" s="1"/>
    </row>
    <row r="139" spans="1:27" x14ac:dyDescent="0.2">
      <c r="A139">
        <f t="shared" si="47"/>
        <v>3</v>
      </c>
      <c r="B139">
        <f t="shared" ca="1" si="48"/>
        <v>2</v>
      </c>
      <c r="C139">
        <f t="shared" ca="1" si="49"/>
        <v>1</v>
      </c>
      <c r="D139">
        <f t="shared" ca="1" si="50"/>
        <v>12</v>
      </c>
      <c r="E139">
        <f t="shared" ca="1" si="51"/>
        <v>5</v>
      </c>
      <c r="F139">
        <f t="shared" ca="1" si="52"/>
        <v>0</v>
      </c>
      <c r="G139">
        <f t="shared" ca="1" si="53"/>
        <v>0</v>
      </c>
      <c r="H139">
        <f ca="1">IF(OR($A139="S",$A139=0),0,MATCH(0,OFFSET($B139,1,$A139,ROW($A$202)-ROW($A139)),0))</f>
        <v>9</v>
      </c>
      <c r="I139">
        <f ca="1">IF(OR($A139="S",$A139=0),0,MATCH(OFFSET($B139,0,$A139)+1,OFFSET($B139,1,$A139,ROW($A$202)-ROW($A139)),0))</f>
        <v>2</v>
      </c>
      <c r="J139" s="388" t="s">
        <v>101</v>
      </c>
      <c r="K139" s="138" t="str">
        <f t="shared" ca="1" si="54"/>
        <v>1.12.5.</v>
      </c>
      <c r="L139" s="370" t="s">
        <v>230</v>
      </c>
      <c r="M139" s="370"/>
      <c r="N139" s="375" t="s">
        <v>388</v>
      </c>
      <c r="O139" s="377" t="s">
        <v>106</v>
      </c>
      <c r="P139" s="363" t="s">
        <v>363</v>
      </c>
      <c r="Q139" s="195"/>
      <c r="R139" s="198" t="s">
        <v>7</v>
      </c>
      <c r="S139" s="103">
        <f t="shared" si="44"/>
        <v>0</v>
      </c>
      <c r="T139" s="83">
        <f t="shared" ca="1" si="45"/>
        <v>0</v>
      </c>
      <c r="U139" s="9" t="str">
        <f t="shared" ca="1" si="55"/>
        <v>SEM VALOR</v>
      </c>
      <c r="V139" s="1" t="str">
        <f ca="1">IF(OR($A139=0,$A139="S",$A139&gt;CFF!$A$9),"",MAX(V$12:OFFSET(V139,-1,0))+1)</f>
        <v/>
      </c>
      <c r="W139" s="4" t="b">
        <f t="shared" si="56"/>
        <v>0</v>
      </c>
      <c r="X139" s="1" t="str">
        <f t="shared" ca="1" si="46"/>
        <v>X</v>
      </c>
      <c r="Y139" s="103">
        <v>0</v>
      </c>
      <c r="Z139" s="113">
        <f ca="1">ROUND(IF(ISNUMBER(R139),R139,IF(LEFT(R139,3)="BDI",HLOOKUP(R139,DADOS!$T$37:$X$38,2,FALSE),0)),15-11*$X$5)</f>
        <v>0.2354</v>
      </c>
      <c r="AA139" s="1"/>
    </row>
    <row r="140" spans="1:27" ht="25.5" x14ac:dyDescent="0.2">
      <c r="A140" t="str">
        <f t="shared" si="47"/>
        <v>S</v>
      </c>
      <c r="B140">
        <f t="shared" si="48"/>
        <v>0</v>
      </c>
      <c r="C140">
        <f t="shared" ca="1" si="49"/>
        <v>1</v>
      </c>
      <c r="D140">
        <f t="shared" ca="1" si="50"/>
        <v>12</v>
      </c>
      <c r="E140">
        <f t="shared" ca="1" si="51"/>
        <v>5</v>
      </c>
      <c r="F140">
        <f t="shared" ca="1" si="52"/>
        <v>0</v>
      </c>
      <c r="G140">
        <f t="shared" ca="1" si="53"/>
        <v>1</v>
      </c>
      <c r="H140">
        <f ca="1">IF(OR($A140="S",$A140=0),0,MATCH(0,OFFSET($B140,1,$A140,ROW($A$202)-ROW($A140)),0))</f>
        <v>0</v>
      </c>
      <c r="I140">
        <f ca="1">IF(OR($A140="S",$A140=0),0,MATCH(OFFSET($B140,0,$A140)+1,OFFSET($B140,1,$A140,ROW($A$202)-ROW($A140)),0))</f>
        <v>0</v>
      </c>
      <c r="J140" s="388" t="s">
        <v>103</v>
      </c>
      <c r="K140" s="138" t="str">
        <f t="shared" ca="1" si="54"/>
        <v>1.12.5.1.</v>
      </c>
      <c r="L140" s="370" t="s">
        <v>230</v>
      </c>
      <c r="M140" s="370" t="s">
        <v>344</v>
      </c>
      <c r="N140" s="368" t="s">
        <v>487</v>
      </c>
      <c r="O140" s="377" t="s">
        <v>521</v>
      </c>
      <c r="P140" s="363">
        <v>41.28</v>
      </c>
      <c r="Q140" s="195"/>
      <c r="R140" s="198" t="s">
        <v>7</v>
      </c>
      <c r="S140" s="103">
        <f t="shared" si="44"/>
        <v>0</v>
      </c>
      <c r="T140" s="83">
        <f t="shared" si="45"/>
        <v>0</v>
      </c>
      <c r="U140" s="9" t="str">
        <f t="shared" si="55"/>
        <v>SEM VALOR</v>
      </c>
      <c r="V140" s="1" t="str">
        <f ca="1">IF(OR($A140=0,$A140="S",$A140&gt;CFF!$A$9),"",MAX(V$12:OFFSET(V140,-1,0))+1)</f>
        <v/>
      </c>
      <c r="W140" s="4" t="str">
        <f t="shared" si="56"/>
        <v>SINAPI-103076</v>
      </c>
      <c r="X140" s="1">
        <f t="shared" ca="1" si="46"/>
        <v>13816</v>
      </c>
      <c r="Y140" s="103">
        <v>206.36</v>
      </c>
      <c r="Z140" s="113">
        <f ca="1">ROUND(IF(ISNUMBER(R140),R140,IF(LEFT(R140,3)="BDI",HLOOKUP(R140,DADOS!$T$37:$X$38,2,FALSE),0)),15-11*$X$5)</f>
        <v>0.2354</v>
      </c>
      <c r="AA140" s="1"/>
    </row>
    <row r="141" spans="1:27" x14ac:dyDescent="0.2">
      <c r="A141">
        <f t="shared" si="47"/>
        <v>3</v>
      </c>
      <c r="B141">
        <f t="shared" ca="1" si="48"/>
        <v>3</v>
      </c>
      <c r="C141">
        <f t="shared" ca="1" si="49"/>
        <v>1</v>
      </c>
      <c r="D141">
        <f t="shared" ca="1" si="50"/>
        <v>12</v>
      </c>
      <c r="E141">
        <f t="shared" ca="1" si="51"/>
        <v>6</v>
      </c>
      <c r="F141">
        <f t="shared" ca="1" si="52"/>
        <v>0</v>
      </c>
      <c r="G141">
        <f t="shared" ca="1" si="53"/>
        <v>0</v>
      </c>
      <c r="H141">
        <f ca="1">IF(OR($A141="S",$A141=0),0,MATCH(0,OFFSET($B141,1,$A141,ROW($A$202)-ROW($A141)),0))</f>
        <v>7</v>
      </c>
      <c r="I141">
        <f ca="1">IF(OR($A141="S",$A141=0),0,MATCH(OFFSET($B141,0,$A141)+1,OFFSET($B141,1,$A141,ROW($A$202)-ROW($A141)),0))</f>
        <v>3</v>
      </c>
      <c r="J141" s="388" t="s">
        <v>101</v>
      </c>
      <c r="K141" s="138" t="str">
        <f t="shared" ca="1" si="54"/>
        <v>1.12.6.</v>
      </c>
      <c r="L141" s="370" t="s">
        <v>230</v>
      </c>
      <c r="M141" s="370"/>
      <c r="N141" s="387" t="s">
        <v>389</v>
      </c>
      <c r="O141" s="377" t="s">
        <v>106</v>
      </c>
      <c r="P141" s="363" t="s">
        <v>363</v>
      </c>
      <c r="Q141" s="195"/>
      <c r="R141" s="198" t="s">
        <v>7</v>
      </c>
      <c r="S141" s="103">
        <f t="shared" si="44"/>
        <v>0</v>
      </c>
      <c r="T141" s="83">
        <f t="shared" ca="1" si="45"/>
        <v>0</v>
      </c>
      <c r="U141" s="9" t="str">
        <f t="shared" ca="1" si="55"/>
        <v>SEM VALOR</v>
      </c>
      <c r="V141" s="1" t="str">
        <f ca="1">IF(OR($A141=0,$A141="S",$A141&gt;CFF!$A$9),"",MAX(V$12:OFFSET(V141,-1,0))+1)</f>
        <v/>
      </c>
      <c r="W141" s="4" t="b">
        <f t="shared" si="56"/>
        <v>0</v>
      </c>
      <c r="X141" s="1" t="str">
        <f t="shared" ca="1" si="46"/>
        <v>X</v>
      </c>
      <c r="Y141" s="103">
        <v>0</v>
      </c>
      <c r="Z141" s="113">
        <f ca="1">ROUND(IF(ISNUMBER(R141),R141,IF(LEFT(R141,3)="BDI",HLOOKUP(R141,DADOS!$T$37:$X$38,2,FALSE),0)),15-11*$X$5)</f>
        <v>0.2354</v>
      </c>
      <c r="AA141" s="1"/>
    </row>
    <row r="142" spans="1:27" ht="63.75" x14ac:dyDescent="0.2">
      <c r="A142" t="str">
        <f t="shared" si="47"/>
        <v>S</v>
      </c>
      <c r="B142">
        <f t="shared" si="48"/>
        <v>0</v>
      </c>
      <c r="C142">
        <f t="shared" ca="1" si="49"/>
        <v>1</v>
      </c>
      <c r="D142">
        <f t="shared" ca="1" si="50"/>
        <v>12</v>
      </c>
      <c r="E142">
        <f t="shared" ca="1" si="51"/>
        <v>6</v>
      </c>
      <c r="F142">
        <f t="shared" ca="1" si="52"/>
        <v>0</v>
      </c>
      <c r="G142">
        <f t="shared" ca="1" si="53"/>
        <v>1</v>
      </c>
      <c r="H142">
        <f ca="1">IF(OR($A142="S",$A142=0),0,MATCH(0,OFFSET($B142,1,$A142,ROW($A$202)-ROW($A142)),0))</f>
        <v>0</v>
      </c>
      <c r="I142">
        <f ca="1">IF(OR($A142="S",$A142=0),0,MATCH(OFFSET($B142,0,$A142)+1,OFFSET($B142,1,$A142,ROW($A$202)-ROW($A142)),0))</f>
        <v>0</v>
      </c>
      <c r="J142" s="388" t="s">
        <v>103</v>
      </c>
      <c r="K142" s="138" t="str">
        <f t="shared" ca="1" si="54"/>
        <v>1.12.6.1.</v>
      </c>
      <c r="L142" s="370" t="s">
        <v>234</v>
      </c>
      <c r="M142" s="370" t="s">
        <v>339</v>
      </c>
      <c r="N142" s="368" t="s">
        <v>467</v>
      </c>
      <c r="O142" s="377" t="s">
        <v>288</v>
      </c>
      <c r="P142" s="363">
        <v>33.6</v>
      </c>
      <c r="Q142" s="195"/>
      <c r="R142" s="198" t="s">
        <v>7</v>
      </c>
      <c r="S142" s="103">
        <f t="shared" si="44"/>
        <v>0</v>
      </c>
      <c r="T142" s="83">
        <f t="shared" si="45"/>
        <v>0</v>
      </c>
      <c r="U142" s="9" t="str">
        <f t="shared" si="55"/>
        <v>SEM VALOR</v>
      </c>
      <c r="V142" s="1" t="str">
        <f ca="1">IF(OR($A142=0,$A142="S",$A142&gt;CFF!$A$9),"",MAX(V$12:OFFSET(V142,-1,0))+1)</f>
        <v/>
      </c>
      <c r="W142" s="4" t="str">
        <f t="shared" si="56"/>
        <v>PM BENTO-109</v>
      </c>
      <c r="X142" s="1">
        <f t="shared" ca="1" si="46"/>
        <v>47</v>
      </c>
      <c r="Y142" s="103">
        <v>848.55</v>
      </c>
      <c r="Z142" s="113">
        <f ca="1">ROUND(IF(ISNUMBER(R142),R142,IF(LEFT(R142,3)="BDI",HLOOKUP(R142,DADOS!$T$37:$X$38,2,FALSE),0)),15-11*$X$5)</f>
        <v>0.2354</v>
      </c>
      <c r="AA142" s="1"/>
    </row>
    <row r="143" spans="1:27" ht="38.25" x14ac:dyDescent="0.2">
      <c r="A143" t="str">
        <f t="shared" si="47"/>
        <v>S</v>
      </c>
      <c r="B143">
        <f t="shared" si="48"/>
        <v>0</v>
      </c>
      <c r="C143">
        <f t="shared" ca="1" si="49"/>
        <v>1</v>
      </c>
      <c r="D143">
        <f t="shared" ca="1" si="50"/>
        <v>12</v>
      </c>
      <c r="E143">
        <f t="shared" ca="1" si="51"/>
        <v>6</v>
      </c>
      <c r="F143">
        <f t="shared" ca="1" si="52"/>
        <v>0</v>
      </c>
      <c r="G143">
        <f t="shared" ca="1" si="53"/>
        <v>2</v>
      </c>
      <c r="H143">
        <f ca="1">IF(OR($A143="S",$A143=0),0,MATCH(0,OFFSET($B143,1,$A143,ROW($A$202)-ROW($A143)),0))</f>
        <v>0</v>
      </c>
      <c r="I143">
        <f ca="1">IF(OR($A143="S",$A143=0),0,MATCH(OFFSET($B143,0,$A143)+1,OFFSET($B143,1,$A143,ROW($A$202)-ROW($A143)),0))</f>
        <v>0</v>
      </c>
      <c r="J143" s="388" t="s">
        <v>103</v>
      </c>
      <c r="K143" s="138" t="str">
        <f t="shared" ca="1" si="54"/>
        <v>1.12.6.2.</v>
      </c>
      <c r="L143" s="370" t="s">
        <v>234</v>
      </c>
      <c r="M143" s="370" t="s">
        <v>345</v>
      </c>
      <c r="N143" s="368" t="s">
        <v>488</v>
      </c>
      <c r="O143" s="377" t="s">
        <v>288</v>
      </c>
      <c r="P143" s="363">
        <v>8.4</v>
      </c>
      <c r="Q143" s="195"/>
      <c r="R143" s="198" t="s">
        <v>7</v>
      </c>
      <c r="S143" s="103">
        <f t="shared" si="44"/>
        <v>0</v>
      </c>
      <c r="T143" s="83">
        <f t="shared" si="45"/>
        <v>0</v>
      </c>
      <c r="U143" s="9" t="str">
        <f t="shared" si="55"/>
        <v>SEM VALOR</v>
      </c>
      <c r="V143" s="1" t="str">
        <f ca="1">IF(OR($A143=0,$A143="S",$A143&gt;CFF!$A$9),"",MAX(V$12:OFFSET(V143,-1,0))+1)</f>
        <v/>
      </c>
      <c r="W143" s="4" t="str">
        <f t="shared" si="56"/>
        <v>PM BENTO-119</v>
      </c>
      <c r="X143" s="1">
        <f t="shared" ca="1" si="46"/>
        <v>57</v>
      </c>
      <c r="Y143" s="103">
        <v>406.1</v>
      </c>
      <c r="Z143" s="113">
        <f ca="1">ROUND(IF(ISNUMBER(R143),R143,IF(LEFT(R143,3)="BDI",HLOOKUP(R143,DADOS!$T$37:$X$38,2,FALSE),0)),15-11*$X$5)</f>
        <v>0.2354</v>
      </c>
      <c r="AA143" s="1"/>
    </row>
    <row r="144" spans="1:27" x14ac:dyDescent="0.2">
      <c r="A144">
        <f t="shared" si="47"/>
        <v>3</v>
      </c>
      <c r="B144">
        <f t="shared" ca="1" si="48"/>
        <v>4</v>
      </c>
      <c r="C144">
        <f t="shared" ca="1" si="49"/>
        <v>1</v>
      </c>
      <c r="D144">
        <f t="shared" ca="1" si="50"/>
        <v>12</v>
      </c>
      <c r="E144">
        <f t="shared" ca="1" si="51"/>
        <v>7</v>
      </c>
      <c r="F144">
        <f t="shared" ca="1" si="52"/>
        <v>0</v>
      </c>
      <c r="G144">
        <f t="shared" ca="1" si="53"/>
        <v>0</v>
      </c>
      <c r="H144">
        <f ca="1">IF(OR($A144="S",$A144=0),0,MATCH(0,OFFSET($B144,1,$A144,ROW($A$202)-ROW($A144)),0))</f>
        <v>4</v>
      </c>
      <c r="I144" t="e">
        <f ca="1">IF(OR($A144="S",$A144=0),0,MATCH(OFFSET($B144,0,$A144)+1,OFFSET($B144,1,$A144,ROW($A$202)-ROW($A144)),0))</f>
        <v>#N/A</v>
      </c>
      <c r="J144" s="388" t="s">
        <v>101</v>
      </c>
      <c r="K144" s="138" t="str">
        <f t="shared" ca="1" si="54"/>
        <v>1.12.7.</v>
      </c>
      <c r="L144" s="370" t="s">
        <v>230</v>
      </c>
      <c r="M144" s="370"/>
      <c r="N144" s="380" t="s">
        <v>390</v>
      </c>
      <c r="O144" s="377" t="s">
        <v>106</v>
      </c>
      <c r="P144" s="363" t="s">
        <v>363</v>
      </c>
      <c r="Q144" s="195"/>
      <c r="R144" s="198" t="s">
        <v>7</v>
      </c>
      <c r="S144" s="103">
        <f t="shared" si="44"/>
        <v>0</v>
      </c>
      <c r="T144" s="83">
        <f t="shared" ca="1" si="45"/>
        <v>0</v>
      </c>
      <c r="U144" s="9" t="str">
        <f t="shared" ca="1" si="55"/>
        <v>SEM VALOR</v>
      </c>
      <c r="V144" s="1" t="str">
        <f ca="1">IF(OR($A144=0,$A144="S",$A144&gt;CFF!$A$9),"",MAX(V$12:OFFSET(V144,-1,0))+1)</f>
        <v/>
      </c>
      <c r="W144" s="4" t="b">
        <f t="shared" si="56"/>
        <v>0</v>
      </c>
      <c r="X144" s="1" t="str">
        <f t="shared" ca="1" si="46"/>
        <v>X</v>
      </c>
      <c r="Y144" s="103">
        <v>0</v>
      </c>
      <c r="Z144" s="113">
        <f ca="1">ROUND(IF(ISNUMBER(R144),R144,IF(LEFT(R144,3)="BDI",HLOOKUP(R144,DADOS!$T$37:$X$38,2,FALSE),0)),15-11*$X$5)</f>
        <v>0.2354</v>
      </c>
      <c r="AA144" s="1"/>
    </row>
    <row r="145" spans="1:27" x14ac:dyDescent="0.2">
      <c r="A145" t="str">
        <f t="shared" si="47"/>
        <v>S</v>
      </c>
      <c r="B145">
        <f t="shared" si="48"/>
        <v>0</v>
      </c>
      <c r="C145">
        <f t="shared" ca="1" si="49"/>
        <v>1</v>
      </c>
      <c r="D145">
        <f t="shared" ca="1" si="50"/>
        <v>12</v>
      </c>
      <c r="E145">
        <f t="shared" ca="1" si="51"/>
        <v>7</v>
      </c>
      <c r="F145">
        <f t="shared" ca="1" si="52"/>
        <v>0</v>
      </c>
      <c r="G145">
        <f t="shared" ca="1" si="53"/>
        <v>1</v>
      </c>
      <c r="H145">
        <f ca="1">IF(OR($A145="S",$A145=0),0,MATCH(0,OFFSET($B145,1,$A145,ROW($A$202)-ROW($A145)),0))</f>
        <v>0</v>
      </c>
      <c r="I145">
        <f ca="1">IF(OR($A145="S",$A145=0),0,MATCH(OFFSET($B145,0,$A145)+1,OFFSET($B145,1,$A145,ROW($A$202)-ROW($A145)),0))</f>
        <v>0</v>
      </c>
      <c r="J145" s="388" t="s">
        <v>103</v>
      </c>
      <c r="K145" s="138" t="str">
        <f t="shared" ca="1" si="54"/>
        <v>1.12.7.1.</v>
      </c>
      <c r="L145" s="370" t="s">
        <v>230</v>
      </c>
      <c r="M145" s="370" t="s">
        <v>242</v>
      </c>
      <c r="N145" s="368" t="s">
        <v>441</v>
      </c>
      <c r="O145" s="377" t="s">
        <v>521</v>
      </c>
      <c r="P145" s="363">
        <v>46.95</v>
      </c>
      <c r="Q145" s="195"/>
      <c r="R145" s="198" t="s">
        <v>7</v>
      </c>
      <c r="S145" s="103">
        <f t="shared" si="44"/>
        <v>0</v>
      </c>
      <c r="T145" s="83">
        <f t="shared" si="45"/>
        <v>0</v>
      </c>
      <c r="U145" s="9" t="str">
        <f t="shared" si="55"/>
        <v>SEM VALOR</v>
      </c>
      <c r="V145" s="1" t="str">
        <f ca="1">IF(OR($A145=0,$A145="S",$A145&gt;CFF!$A$9),"",MAX(V$12:OFFSET(V145,-1,0))+1)</f>
        <v/>
      </c>
      <c r="W145" s="4" t="str">
        <f t="shared" si="56"/>
        <v>SINAPI-100717</v>
      </c>
      <c r="X145" s="1">
        <f t="shared" ca="1" si="46"/>
        <v>13325</v>
      </c>
      <c r="Y145" s="103">
        <v>13.29</v>
      </c>
      <c r="Z145" s="113">
        <f ca="1">ROUND(IF(ISNUMBER(R145),R145,IF(LEFT(R145,3)="BDI",HLOOKUP(R145,DADOS!$T$37:$X$38,2,FALSE),0)),15-11*$X$5)</f>
        <v>0.2354</v>
      </c>
      <c r="AA145" s="1"/>
    </row>
    <row r="146" spans="1:27" ht="25.5" x14ac:dyDescent="0.2">
      <c r="A146" t="str">
        <f t="shared" si="47"/>
        <v>S</v>
      </c>
      <c r="B146">
        <f t="shared" si="48"/>
        <v>0</v>
      </c>
      <c r="C146">
        <f t="shared" ca="1" si="49"/>
        <v>1</v>
      </c>
      <c r="D146">
        <f t="shared" ca="1" si="50"/>
        <v>12</v>
      </c>
      <c r="E146">
        <f t="shared" ca="1" si="51"/>
        <v>7</v>
      </c>
      <c r="F146">
        <f t="shared" ca="1" si="52"/>
        <v>0</v>
      </c>
      <c r="G146">
        <f t="shared" ca="1" si="53"/>
        <v>2</v>
      </c>
      <c r="H146">
        <f ca="1">IF(OR($A146="S",$A146=0),0,MATCH(0,OFFSET($B146,1,$A146,ROW($A$202)-ROW($A146)),0))</f>
        <v>0</v>
      </c>
      <c r="I146">
        <f ca="1">IF(OR($A146="S",$A146=0),0,MATCH(OFFSET($B146,0,$A146)+1,OFFSET($B146,1,$A146,ROW($A$202)-ROW($A146)),0))</f>
        <v>0</v>
      </c>
      <c r="J146" s="388" t="s">
        <v>103</v>
      </c>
      <c r="K146" s="138" t="str">
        <f t="shared" ca="1" si="54"/>
        <v>1.12.7.2.</v>
      </c>
      <c r="L146" s="370" t="s">
        <v>230</v>
      </c>
      <c r="M146" s="370" t="s">
        <v>243</v>
      </c>
      <c r="N146" s="368" t="s">
        <v>469</v>
      </c>
      <c r="O146" s="377" t="s">
        <v>521</v>
      </c>
      <c r="P146" s="363">
        <v>93.9</v>
      </c>
      <c r="Q146" s="195"/>
      <c r="R146" s="198" t="s">
        <v>7</v>
      </c>
      <c r="S146" s="103">
        <f t="shared" si="44"/>
        <v>0</v>
      </c>
      <c r="T146" s="83">
        <f t="shared" si="45"/>
        <v>0</v>
      </c>
      <c r="U146" s="9" t="str">
        <f t="shared" si="55"/>
        <v>SEM VALOR</v>
      </c>
      <c r="V146" s="1" t="str">
        <f ca="1">IF(OR($A146=0,$A146="S",$A146&gt;CFF!$A$9),"",MAX(V$12:OFFSET(V146,-1,0))+1)</f>
        <v/>
      </c>
      <c r="W146" s="4" t="str">
        <f t="shared" si="56"/>
        <v>SINAPI-100720</v>
      </c>
      <c r="X146" s="1">
        <f t="shared" ca="1" si="46"/>
        <v>13350</v>
      </c>
      <c r="Y146" s="103">
        <v>14.68</v>
      </c>
      <c r="Z146" s="113">
        <f ca="1">ROUND(IF(ISNUMBER(R146),R146,IF(LEFT(R146,3)="BDI",HLOOKUP(R146,DADOS!$T$37:$X$38,2,FALSE),0)),15-11*$X$5)</f>
        <v>0.2354</v>
      </c>
      <c r="AA146" s="1"/>
    </row>
    <row r="147" spans="1:27" ht="25.5" x14ac:dyDescent="0.2">
      <c r="A147" t="str">
        <f t="shared" si="47"/>
        <v>S</v>
      </c>
      <c r="B147">
        <f t="shared" si="48"/>
        <v>0</v>
      </c>
      <c r="C147">
        <f t="shared" ca="1" si="49"/>
        <v>1</v>
      </c>
      <c r="D147">
        <f t="shared" ca="1" si="50"/>
        <v>12</v>
      </c>
      <c r="E147">
        <f t="shared" ca="1" si="51"/>
        <v>7</v>
      </c>
      <c r="F147">
        <f t="shared" ca="1" si="52"/>
        <v>0</v>
      </c>
      <c r="G147">
        <f t="shared" ca="1" si="53"/>
        <v>3</v>
      </c>
      <c r="H147">
        <f ca="1">IF(OR($A147="S",$A147=0),0,MATCH(0,OFFSET($B147,1,$A147,ROW($A$202)-ROW($A147)),0))</f>
        <v>0</v>
      </c>
      <c r="I147">
        <f ca="1">IF(OR($A147="S",$A147=0),0,MATCH(OFFSET($B147,0,$A147)+1,OFFSET($B147,1,$A147,ROW($A$202)-ROW($A147)),0))</f>
        <v>0</v>
      </c>
      <c r="J147" s="388" t="s">
        <v>103</v>
      </c>
      <c r="K147" s="138" t="str">
        <f t="shared" ca="1" si="54"/>
        <v>1.12.7.3.</v>
      </c>
      <c r="L147" s="370" t="s">
        <v>230</v>
      </c>
      <c r="M147" s="370" t="s">
        <v>244</v>
      </c>
      <c r="N147" s="368" t="s">
        <v>470</v>
      </c>
      <c r="O147" s="377" t="s">
        <v>521</v>
      </c>
      <c r="P147" s="363">
        <v>93.9</v>
      </c>
      <c r="Q147" s="195"/>
      <c r="R147" s="198" t="s">
        <v>7</v>
      </c>
      <c r="S147" s="103">
        <f t="shared" si="44"/>
        <v>0</v>
      </c>
      <c r="T147" s="83">
        <f t="shared" si="45"/>
        <v>0</v>
      </c>
      <c r="U147" s="9" t="str">
        <f t="shared" si="55"/>
        <v>SEM VALOR</v>
      </c>
      <c r="V147" s="1" t="str">
        <f ca="1">IF(OR($A147=0,$A147="S",$A147&gt;CFF!$A$9),"",MAX(V$12:OFFSET(V147,-1,0))+1)</f>
        <v/>
      </c>
      <c r="W147" s="4" t="str">
        <f t="shared" si="56"/>
        <v>SINAPI-100744</v>
      </c>
      <c r="X147" s="1">
        <f t="shared" ca="1" si="46"/>
        <v>13338</v>
      </c>
      <c r="Y147" s="103">
        <v>15.23</v>
      </c>
      <c r="Z147" s="113">
        <f ca="1">ROUND(IF(ISNUMBER(R147),R147,IF(LEFT(R147,3)="BDI",HLOOKUP(R147,DADOS!$T$37:$X$38,2,FALSE),0)),15-11*$X$5)</f>
        <v>0.2354</v>
      </c>
      <c r="AA147" s="1"/>
    </row>
    <row r="148" spans="1:27" x14ac:dyDescent="0.2">
      <c r="A148">
        <f t="shared" si="47"/>
        <v>2</v>
      </c>
      <c r="B148">
        <f t="shared" ca="1" si="48"/>
        <v>11</v>
      </c>
      <c r="C148">
        <f t="shared" ca="1" si="49"/>
        <v>1</v>
      </c>
      <c r="D148">
        <f t="shared" ca="1" si="50"/>
        <v>13</v>
      </c>
      <c r="E148">
        <f t="shared" ca="1" si="51"/>
        <v>0</v>
      </c>
      <c r="F148">
        <f t="shared" ca="1" si="52"/>
        <v>0</v>
      </c>
      <c r="G148">
        <f t="shared" ca="1" si="53"/>
        <v>0</v>
      </c>
      <c r="H148">
        <f ca="1">IF(OR($A148="S",$A148=0),0,MATCH(0,OFFSET($B148,1,$A148,ROW($A$202)-ROW($A148)),0))</f>
        <v>54</v>
      </c>
      <c r="I148">
        <f ca="1">IF(OR($A148="S",$A148=0),0,MATCH(OFFSET($B148,0,$A148)+1,OFFSET($B148,1,$A148,ROW($A$202)-ROW($A148)),0))</f>
        <v>11</v>
      </c>
      <c r="J148" s="388" t="s">
        <v>100</v>
      </c>
      <c r="K148" s="138" t="str">
        <f t="shared" ca="1" si="54"/>
        <v>1.13.</v>
      </c>
      <c r="L148" s="370" t="s">
        <v>230</v>
      </c>
      <c r="M148" s="370"/>
      <c r="N148" s="361" t="s">
        <v>391</v>
      </c>
      <c r="O148" s="377" t="s">
        <v>106</v>
      </c>
      <c r="P148" s="363" t="s">
        <v>363</v>
      </c>
      <c r="Q148" s="195"/>
      <c r="R148" s="198" t="s">
        <v>7</v>
      </c>
      <c r="S148" s="103">
        <f t="shared" si="44"/>
        <v>0</v>
      </c>
      <c r="T148" s="83">
        <f t="shared" ca="1" si="45"/>
        <v>0</v>
      </c>
      <c r="U148" s="9" t="str">
        <f t="shared" ca="1" si="55"/>
        <v>SEM VALOR</v>
      </c>
      <c r="V148" s="1">
        <f ca="1">IF(OR($A148=0,$A148="S",$A148&gt;CFF!$A$9),"",MAX(V$12:OFFSET(V148,-1,0))+1)</f>
        <v>14</v>
      </c>
      <c r="W148" s="4" t="b">
        <f t="shared" si="56"/>
        <v>0</v>
      </c>
      <c r="X148" s="1" t="str">
        <f t="shared" ca="1" si="46"/>
        <v>X</v>
      </c>
      <c r="Y148" s="103">
        <v>0</v>
      </c>
      <c r="Z148" s="113">
        <f ca="1">ROUND(IF(ISNUMBER(R148),R148,IF(LEFT(R148,3)="BDI",HLOOKUP(R148,DADOS!$T$37:$X$38,2,FALSE),0)),15-11*$X$5)</f>
        <v>0.2354</v>
      </c>
      <c r="AA148" s="1"/>
    </row>
    <row r="149" spans="1:27" x14ac:dyDescent="0.2">
      <c r="A149">
        <f t="shared" si="47"/>
        <v>3</v>
      </c>
      <c r="B149">
        <f t="shared" ca="1" si="48"/>
        <v>2</v>
      </c>
      <c r="C149">
        <f t="shared" ca="1" si="49"/>
        <v>1</v>
      </c>
      <c r="D149">
        <f t="shared" ca="1" si="50"/>
        <v>13</v>
      </c>
      <c r="E149">
        <f t="shared" ca="1" si="51"/>
        <v>1</v>
      </c>
      <c r="F149">
        <f t="shared" ca="1" si="52"/>
        <v>0</v>
      </c>
      <c r="G149">
        <f t="shared" ca="1" si="53"/>
        <v>0</v>
      </c>
      <c r="H149">
        <f ca="1">IF(OR($A149="S",$A149=0),0,MATCH(0,OFFSET($B149,1,$A149,ROW($A$202)-ROW($A149)),0))</f>
        <v>10</v>
      </c>
      <c r="I149">
        <f ca="1">IF(OR($A149="S",$A149=0),0,MATCH(OFFSET($B149,0,$A149)+1,OFFSET($B149,1,$A149,ROW($A$202)-ROW($A149)),0))</f>
        <v>2</v>
      </c>
      <c r="J149" s="388" t="s">
        <v>101</v>
      </c>
      <c r="K149" s="138" t="str">
        <f t="shared" ca="1" si="54"/>
        <v>1.13.1.</v>
      </c>
      <c r="L149" s="370" t="s">
        <v>230</v>
      </c>
      <c r="M149" s="370"/>
      <c r="N149" s="361" t="s">
        <v>392</v>
      </c>
      <c r="O149" s="377" t="s">
        <v>106</v>
      </c>
      <c r="P149" s="363" t="s">
        <v>363</v>
      </c>
      <c r="Q149" s="195"/>
      <c r="R149" s="198" t="s">
        <v>7</v>
      </c>
      <c r="S149" s="103">
        <f t="shared" si="44"/>
        <v>0</v>
      </c>
      <c r="T149" s="83">
        <f t="shared" ca="1" si="45"/>
        <v>0</v>
      </c>
      <c r="U149" s="9" t="str">
        <f t="shared" ca="1" si="55"/>
        <v>SEM VALOR</v>
      </c>
      <c r="V149" s="1" t="str">
        <f ca="1">IF(OR($A149=0,$A149="S",$A149&gt;CFF!$A$9),"",MAX(V$12:OFFSET(V149,-1,0))+1)</f>
        <v/>
      </c>
      <c r="W149" s="4" t="b">
        <f t="shared" si="56"/>
        <v>0</v>
      </c>
      <c r="X149" s="1" t="str">
        <f t="shared" ca="1" si="46"/>
        <v>X</v>
      </c>
      <c r="Y149" s="103">
        <v>0</v>
      </c>
      <c r="Z149" s="113">
        <f ca="1">ROUND(IF(ISNUMBER(R149),R149,IF(LEFT(R149,3)="BDI",HLOOKUP(R149,DADOS!$T$37:$X$38,2,FALSE),0)),15-11*$X$5)</f>
        <v>0.2354</v>
      </c>
      <c r="AA149" s="1"/>
    </row>
    <row r="150" spans="1:27" ht="25.5" x14ac:dyDescent="0.2">
      <c r="A150" t="str">
        <f t="shared" si="47"/>
        <v>S</v>
      </c>
      <c r="B150">
        <f t="shared" si="48"/>
        <v>0</v>
      </c>
      <c r="C150">
        <f t="shared" ca="1" si="49"/>
        <v>1</v>
      </c>
      <c r="D150">
        <f t="shared" ca="1" si="50"/>
        <v>13</v>
      </c>
      <c r="E150">
        <f t="shared" ca="1" si="51"/>
        <v>1</v>
      </c>
      <c r="F150">
        <f t="shared" ca="1" si="52"/>
        <v>0</v>
      </c>
      <c r="G150">
        <f t="shared" ca="1" si="53"/>
        <v>1</v>
      </c>
      <c r="H150">
        <f ca="1">IF(OR($A150="S",$A150=0),0,MATCH(0,OFFSET($B150,1,$A150,ROW($A$202)-ROW($A150)),0))</f>
        <v>0</v>
      </c>
      <c r="I150">
        <f ca="1">IF(OR($A150="S",$A150=0),0,MATCH(OFFSET($B150,0,$A150)+1,OFFSET($B150,1,$A150,ROW($A$202)-ROW($A150)),0))</f>
        <v>0</v>
      </c>
      <c r="J150" s="388" t="s">
        <v>103</v>
      </c>
      <c r="K150" s="138" t="str">
        <f t="shared" ca="1" si="54"/>
        <v>1.13.1.1.</v>
      </c>
      <c r="L150" s="370" t="s">
        <v>230</v>
      </c>
      <c r="M150" s="370" t="s">
        <v>344</v>
      </c>
      <c r="N150" s="368" t="s">
        <v>487</v>
      </c>
      <c r="O150" s="377" t="s">
        <v>521</v>
      </c>
      <c r="P150" s="363">
        <v>1.84</v>
      </c>
      <c r="Q150" s="195"/>
      <c r="R150" s="198" t="s">
        <v>7</v>
      </c>
      <c r="S150" s="103">
        <f t="shared" si="44"/>
        <v>0</v>
      </c>
      <c r="T150" s="83">
        <f t="shared" si="45"/>
        <v>0</v>
      </c>
      <c r="U150" s="9" t="str">
        <f t="shared" si="55"/>
        <v>SEM VALOR</v>
      </c>
      <c r="V150" s="1" t="str">
        <f ca="1">IF(OR($A150=0,$A150="S",$A150&gt;CFF!$A$9),"",MAX(V$12:OFFSET(V150,-1,0))+1)</f>
        <v/>
      </c>
      <c r="W150" s="4" t="str">
        <f t="shared" si="56"/>
        <v>SINAPI-103076</v>
      </c>
      <c r="X150" s="1">
        <f t="shared" ca="1" si="46"/>
        <v>13816</v>
      </c>
      <c r="Y150" s="103">
        <v>206.36</v>
      </c>
      <c r="Z150" s="113">
        <f ca="1">ROUND(IF(ISNUMBER(R150),R150,IF(LEFT(R150,3)="BDI",HLOOKUP(R150,DADOS!$T$37:$X$38,2,FALSE),0)),15-11*$X$5)</f>
        <v>0.2354</v>
      </c>
      <c r="AA150" s="1"/>
    </row>
    <row r="151" spans="1:27" x14ac:dyDescent="0.2">
      <c r="A151">
        <f t="shared" si="47"/>
        <v>3</v>
      </c>
      <c r="B151">
        <f t="shared" ca="1" si="48"/>
        <v>5</v>
      </c>
      <c r="C151">
        <f t="shared" ca="1" si="49"/>
        <v>1</v>
      </c>
      <c r="D151">
        <f t="shared" ca="1" si="50"/>
        <v>13</v>
      </c>
      <c r="E151">
        <f t="shared" ca="1" si="51"/>
        <v>2</v>
      </c>
      <c r="F151">
        <f t="shared" ca="1" si="52"/>
        <v>0</v>
      </c>
      <c r="G151">
        <f t="shared" ca="1" si="53"/>
        <v>0</v>
      </c>
      <c r="H151">
        <f ca="1">IF(OR($A151="S",$A151=0),0,MATCH(0,OFFSET($B151,1,$A151,ROW($A$202)-ROW($A151)),0))</f>
        <v>8</v>
      </c>
      <c r="I151">
        <f ca="1">IF(OR($A151="S",$A151=0),0,MATCH(OFFSET($B151,0,$A151)+1,OFFSET($B151,1,$A151,ROW($A$202)-ROW($A151)),0))</f>
        <v>5</v>
      </c>
      <c r="J151" s="388" t="s">
        <v>101</v>
      </c>
      <c r="K151" s="138" t="str">
        <f t="shared" ca="1" si="54"/>
        <v>1.13.2.</v>
      </c>
      <c r="L151" s="370" t="s">
        <v>230</v>
      </c>
      <c r="M151" s="370"/>
      <c r="N151" s="357" t="s">
        <v>393</v>
      </c>
      <c r="O151" s="377" t="s">
        <v>106</v>
      </c>
      <c r="P151" s="363" t="s">
        <v>363</v>
      </c>
      <c r="Q151" s="195"/>
      <c r="R151" s="198" t="s">
        <v>7</v>
      </c>
      <c r="S151" s="103">
        <f t="shared" si="44"/>
        <v>0</v>
      </c>
      <c r="T151" s="83">
        <f t="shared" ca="1" si="45"/>
        <v>0</v>
      </c>
      <c r="U151" s="9" t="str">
        <f t="shared" ca="1" si="55"/>
        <v>SEM VALOR</v>
      </c>
      <c r="V151" s="1" t="str">
        <f ca="1">IF(OR($A151=0,$A151="S",$A151&gt;CFF!$A$9),"",MAX(V$12:OFFSET(V151,-1,0))+1)</f>
        <v/>
      </c>
      <c r="W151" s="4" t="b">
        <f t="shared" si="56"/>
        <v>0</v>
      </c>
      <c r="X151" s="1" t="str">
        <f t="shared" ca="1" si="46"/>
        <v>X</v>
      </c>
      <c r="Y151" s="103">
        <v>0</v>
      </c>
      <c r="Z151" s="113">
        <f ca="1">ROUND(IF(ISNUMBER(R151),R151,IF(LEFT(R151,3)="BDI",HLOOKUP(R151,DADOS!$T$37:$X$38,2,FALSE),0)),15-11*$X$5)</f>
        <v>0.2354</v>
      </c>
      <c r="AA151" s="1"/>
    </row>
    <row r="152" spans="1:27" ht="25.5" x14ac:dyDescent="0.2">
      <c r="A152" t="str">
        <f t="shared" si="47"/>
        <v>S</v>
      </c>
      <c r="B152">
        <f t="shared" si="48"/>
        <v>0</v>
      </c>
      <c r="C152">
        <f t="shared" ca="1" si="49"/>
        <v>1</v>
      </c>
      <c r="D152">
        <f t="shared" ca="1" si="50"/>
        <v>13</v>
      </c>
      <c r="E152">
        <f t="shared" ca="1" si="51"/>
        <v>2</v>
      </c>
      <c r="F152">
        <f t="shared" ca="1" si="52"/>
        <v>0</v>
      </c>
      <c r="G152">
        <f t="shared" ca="1" si="53"/>
        <v>1</v>
      </c>
      <c r="H152">
        <f ca="1">IF(OR($A152="S",$A152=0),0,MATCH(0,OFFSET($B152,1,$A152,ROW($A$202)-ROW($A152)),0))</f>
        <v>0</v>
      </c>
      <c r="I152">
        <f ca="1">IF(OR($A152="S",$A152=0),0,MATCH(OFFSET($B152,0,$A152)+1,OFFSET($B152,1,$A152,ROW($A$202)-ROW($A152)),0))</f>
        <v>0</v>
      </c>
      <c r="J152" s="388" t="s">
        <v>103</v>
      </c>
      <c r="K152" s="138" t="str">
        <f t="shared" ca="1" si="54"/>
        <v>1.13.2.1.</v>
      </c>
      <c r="L152" s="370" t="s">
        <v>230</v>
      </c>
      <c r="M152" s="370" t="s">
        <v>263</v>
      </c>
      <c r="N152" s="368" t="s">
        <v>418</v>
      </c>
      <c r="O152" s="377" t="s">
        <v>521</v>
      </c>
      <c r="P152" s="363">
        <v>3.78</v>
      </c>
      <c r="Q152" s="195"/>
      <c r="R152" s="198" t="s">
        <v>7</v>
      </c>
      <c r="S152" s="103">
        <f t="shared" si="44"/>
        <v>0</v>
      </c>
      <c r="T152" s="83">
        <f t="shared" si="45"/>
        <v>0</v>
      </c>
      <c r="U152" s="9" t="str">
        <f t="shared" si="55"/>
        <v>SEM VALOR</v>
      </c>
      <c r="V152" s="1" t="str">
        <f ca="1">IF(OR($A152=0,$A152="S",$A152&gt;CFF!$A$9),"",MAX(V$12:OFFSET(V152,-1,0))+1)</f>
        <v/>
      </c>
      <c r="W152" s="4" t="str">
        <f t="shared" si="56"/>
        <v>SINAPI-103358</v>
      </c>
      <c r="X152" s="1">
        <f t="shared" ca="1" si="46"/>
        <v>4977</v>
      </c>
      <c r="Y152" s="103">
        <v>92.89</v>
      </c>
      <c r="Z152" s="113">
        <f ca="1">ROUND(IF(ISNUMBER(R152),R152,IF(LEFT(R152,3)="BDI",HLOOKUP(R152,DADOS!$T$37:$X$38,2,FALSE),0)),15-11*$X$5)</f>
        <v>0.2354</v>
      </c>
      <c r="AA152" s="1"/>
    </row>
    <row r="153" spans="1:27" ht="25.5" x14ac:dyDescent="0.2">
      <c r="A153" t="str">
        <f t="shared" si="47"/>
        <v>S</v>
      </c>
      <c r="B153">
        <f t="shared" si="48"/>
        <v>0</v>
      </c>
      <c r="C153">
        <f t="shared" ca="1" si="49"/>
        <v>1</v>
      </c>
      <c r="D153">
        <f t="shared" ca="1" si="50"/>
        <v>13</v>
      </c>
      <c r="E153">
        <f t="shared" ca="1" si="51"/>
        <v>2</v>
      </c>
      <c r="F153">
        <f t="shared" ca="1" si="52"/>
        <v>0</v>
      </c>
      <c r="G153">
        <f t="shared" ca="1" si="53"/>
        <v>2</v>
      </c>
      <c r="H153">
        <f ca="1">IF(OR($A153="S",$A153=0),0,MATCH(0,OFFSET($B153,1,$A153,ROW($A$202)-ROW($A153)),0))</f>
        <v>0</v>
      </c>
      <c r="I153">
        <f ca="1">IF(OR($A153="S",$A153=0),0,MATCH(OFFSET($B153,0,$A153)+1,OFFSET($B153,1,$A153,ROW($A$202)-ROW($A153)),0))</f>
        <v>0</v>
      </c>
      <c r="J153" s="388" t="s">
        <v>103</v>
      </c>
      <c r="K153" s="138" t="str">
        <f t="shared" ca="1" si="54"/>
        <v>1.13.2.2.</v>
      </c>
      <c r="L153" s="370" t="s">
        <v>230</v>
      </c>
      <c r="M153" s="370" t="s">
        <v>346</v>
      </c>
      <c r="N153" s="368" t="s">
        <v>489</v>
      </c>
      <c r="O153" s="377" t="s">
        <v>288</v>
      </c>
      <c r="P153" s="363">
        <v>3.6</v>
      </c>
      <c r="Q153" s="195"/>
      <c r="R153" s="198" t="s">
        <v>7</v>
      </c>
      <c r="S153" s="103">
        <f t="shared" si="44"/>
        <v>0</v>
      </c>
      <c r="T153" s="83">
        <f t="shared" si="45"/>
        <v>0</v>
      </c>
      <c r="U153" s="9" t="str">
        <f t="shared" si="55"/>
        <v>SEM VALOR</v>
      </c>
      <c r="V153" s="1" t="str">
        <f ca="1">IF(OR($A153=0,$A153="S",$A153&gt;CFF!$A$9),"",MAX(V$12:OFFSET(V153,-1,0))+1)</f>
        <v/>
      </c>
      <c r="W153" s="4" t="str">
        <f t="shared" si="56"/>
        <v>SINAPI-105033</v>
      </c>
      <c r="X153" s="1">
        <f t="shared" ca="1" si="46"/>
        <v>15156</v>
      </c>
      <c r="Y153" s="103">
        <v>97.89</v>
      </c>
      <c r="Z153" s="113">
        <f ca="1">ROUND(IF(ISNUMBER(R153),R153,IF(LEFT(R153,3)="BDI",HLOOKUP(R153,DADOS!$T$37:$X$38,2,FALSE),0)),15-11*$X$5)</f>
        <v>0.2354</v>
      </c>
      <c r="AA153" s="1"/>
    </row>
    <row r="154" spans="1:27" ht="38.25" x14ac:dyDescent="0.2">
      <c r="A154" t="str">
        <f t="shared" si="47"/>
        <v>S</v>
      </c>
      <c r="B154">
        <f t="shared" si="48"/>
        <v>0</v>
      </c>
      <c r="C154">
        <f t="shared" ca="1" si="49"/>
        <v>1</v>
      </c>
      <c r="D154">
        <f t="shared" ca="1" si="50"/>
        <v>13</v>
      </c>
      <c r="E154">
        <f t="shared" ca="1" si="51"/>
        <v>2</v>
      </c>
      <c r="F154">
        <f t="shared" ca="1" si="52"/>
        <v>0</v>
      </c>
      <c r="G154">
        <f t="shared" ca="1" si="53"/>
        <v>3</v>
      </c>
      <c r="H154">
        <f ca="1">IF(OR($A154="S",$A154=0),0,MATCH(0,OFFSET($B154,1,$A154,ROW($A$202)-ROW($A154)),0))</f>
        <v>0</v>
      </c>
      <c r="I154">
        <f ca="1">IF(OR($A154="S",$A154=0),0,MATCH(OFFSET($B154,0,$A154)+1,OFFSET($B154,1,$A154,ROW($A$202)-ROW($A154)),0))</f>
        <v>0</v>
      </c>
      <c r="J154" s="388" t="s">
        <v>103</v>
      </c>
      <c r="K154" s="138" t="str">
        <f t="shared" ca="1" si="54"/>
        <v>1.13.2.3.</v>
      </c>
      <c r="L154" s="370" t="s">
        <v>230</v>
      </c>
      <c r="M154" s="370" t="s">
        <v>264</v>
      </c>
      <c r="N154" s="368" t="s">
        <v>490</v>
      </c>
      <c r="O154" s="377" t="s">
        <v>521</v>
      </c>
      <c r="P154" s="363">
        <v>9.5399999999999991</v>
      </c>
      <c r="Q154" s="195"/>
      <c r="R154" s="198" t="s">
        <v>7</v>
      </c>
      <c r="S154" s="103">
        <f t="shared" si="44"/>
        <v>0</v>
      </c>
      <c r="T154" s="83">
        <f t="shared" si="45"/>
        <v>0</v>
      </c>
      <c r="U154" s="9" t="str">
        <f t="shared" si="55"/>
        <v>SEM VALOR</v>
      </c>
      <c r="V154" s="1" t="str">
        <f ca="1">IF(OR($A154=0,$A154="S",$A154&gt;CFF!$A$9),"",MAX(V$12:OFFSET(V154,-1,0))+1)</f>
        <v/>
      </c>
      <c r="W154" s="4" t="str">
        <f t="shared" si="56"/>
        <v>SINAPI-87905</v>
      </c>
      <c r="X154" s="1">
        <f t="shared" ca="1" si="46"/>
        <v>6229</v>
      </c>
      <c r="Y154" s="103">
        <v>11.06</v>
      </c>
      <c r="Z154" s="113">
        <f ca="1">ROUND(IF(ISNUMBER(R154),R154,IF(LEFT(R154,3)="BDI",HLOOKUP(R154,DADOS!$T$37:$X$38,2,FALSE),0)),15-11*$X$5)</f>
        <v>0.2354</v>
      </c>
      <c r="AA154" s="1"/>
    </row>
    <row r="155" spans="1:27" ht="38.25" x14ac:dyDescent="0.2">
      <c r="A155" t="str">
        <f t="shared" si="47"/>
        <v>S</v>
      </c>
      <c r="B155">
        <f t="shared" si="48"/>
        <v>0</v>
      </c>
      <c r="C155">
        <f t="shared" ca="1" si="49"/>
        <v>1</v>
      </c>
      <c r="D155">
        <f t="shared" ca="1" si="50"/>
        <v>13</v>
      </c>
      <c r="E155">
        <f t="shared" ca="1" si="51"/>
        <v>2</v>
      </c>
      <c r="F155">
        <f t="shared" ca="1" si="52"/>
        <v>0</v>
      </c>
      <c r="G155">
        <f t="shared" ca="1" si="53"/>
        <v>4</v>
      </c>
      <c r="H155">
        <f ca="1">IF(OR($A155="S",$A155=0),0,MATCH(0,OFFSET($B155,1,$A155,ROW($A$202)-ROW($A155)),0))</f>
        <v>0</v>
      </c>
      <c r="I155">
        <f ca="1">IF(OR($A155="S",$A155=0),0,MATCH(OFFSET($B155,0,$A155)+1,OFFSET($B155,1,$A155,ROW($A$202)-ROW($A155)),0))</f>
        <v>0</v>
      </c>
      <c r="J155" s="388" t="s">
        <v>103</v>
      </c>
      <c r="K155" s="138" t="str">
        <f t="shared" ca="1" si="54"/>
        <v>1.13.2.4.</v>
      </c>
      <c r="L155" s="370" t="s">
        <v>230</v>
      </c>
      <c r="M155" s="370" t="s">
        <v>265</v>
      </c>
      <c r="N155" s="368" t="s">
        <v>491</v>
      </c>
      <c r="O155" s="377" t="s">
        <v>521</v>
      </c>
      <c r="P155" s="363">
        <v>9.5399999999999991</v>
      </c>
      <c r="Q155" s="195"/>
      <c r="R155" s="198" t="s">
        <v>7</v>
      </c>
      <c r="S155" s="103">
        <f t="shared" si="44"/>
        <v>0</v>
      </c>
      <c r="T155" s="83">
        <f t="shared" si="45"/>
        <v>0</v>
      </c>
      <c r="U155" s="9" t="str">
        <f t="shared" si="55"/>
        <v>SEM VALOR</v>
      </c>
      <c r="V155" s="1" t="str">
        <f ca="1">IF(OR($A155=0,$A155="S",$A155&gt;CFF!$A$9),"",MAX(V$12:OFFSET(V155,-1,0))+1)</f>
        <v/>
      </c>
      <c r="W155" s="4" t="str">
        <f t="shared" si="56"/>
        <v>SINAPI-87779</v>
      </c>
      <c r="X155" s="1">
        <f t="shared" ca="1" si="46"/>
        <v>12704</v>
      </c>
      <c r="Y155" s="103">
        <v>94.72</v>
      </c>
      <c r="Z155" s="113">
        <f ca="1">ROUND(IF(ISNUMBER(R155),R155,IF(LEFT(R155,3)="BDI",HLOOKUP(R155,DADOS!$T$37:$X$38,2,FALSE),0)),15-11*$X$5)</f>
        <v>0.2354</v>
      </c>
      <c r="AA155" s="1"/>
    </row>
    <row r="156" spans="1:27" x14ac:dyDescent="0.2">
      <c r="A156">
        <f t="shared" si="47"/>
        <v>3</v>
      </c>
      <c r="B156">
        <f t="shared" ca="1" si="48"/>
        <v>3</v>
      </c>
      <c r="C156">
        <f t="shared" ca="1" si="49"/>
        <v>1</v>
      </c>
      <c r="D156">
        <f t="shared" ca="1" si="50"/>
        <v>13</v>
      </c>
      <c r="E156">
        <f t="shared" ca="1" si="51"/>
        <v>3</v>
      </c>
      <c r="F156">
        <f t="shared" ca="1" si="52"/>
        <v>0</v>
      </c>
      <c r="G156">
        <f t="shared" ca="1" si="53"/>
        <v>0</v>
      </c>
      <c r="H156">
        <f ca="1">IF(OR($A156="S",$A156=0),0,MATCH(0,OFFSET($B156,1,$A156,ROW($A$202)-ROW($A156)),0))</f>
        <v>3</v>
      </c>
      <c r="I156" t="e">
        <f ca="1">IF(OR($A156="S",$A156=0),0,MATCH(OFFSET($B156,0,$A156)+1,OFFSET($B156,1,$A156,ROW($A$202)-ROW($A156)),0))</f>
        <v>#N/A</v>
      </c>
      <c r="J156" s="388" t="s">
        <v>101</v>
      </c>
      <c r="K156" s="138" t="str">
        <f t="shared" ca="1" si="54"/>
        <v>1.13.3.</v>
      </c>
      <c r="L156" s="370" t="s">
        <v>230</v>
      </c>
      <c r="M156" s="370"/>
      <c r="N156" s="359" t="s">
        <v>394</v>
      </c>
      <c r="O156" s="377" t="s">
        <v>106</v>
      </c>
      <c r="P156" s="363" t="s">
        <v>363</v>
      </c>
      <c r="Q156" s="195"/>
      <c r="R156" s="198" t="s">
        <v>7</v>
      </c>
      <c r="S156" s="103">
        <f t="shared" ref="S156:S201" si="57">IF($A156="S",IF($Q$10="Preço Unitário (R$)",PO.CustoUnitario,ROUND(PO.CustoUnitario*(1+$Z156),15-13*$X$6)),0)</f>
        <v>0</v>
      </c>
      <c r="T156" s="83">
        <f t="shared" ref="T156:T201" ca="1" si="58">IF($A156="S",VTOTAL1,IF($A156=0,0,ROUND(SomaAgrup,15-13*$X$7)))</f>
        <v>0</v>
      </c>
      <c r="U156" s="9" t="str">
        <f t="shared" ca="1" si="55"/>
        <v>SEM VALOR</v>
      </c>
      <c r="V156" s="1" t="str">
        <f ca="1">IF(OR($A156=0,$A156="S",$A156&gt;CFF!$A$9),"",MAX(V$12:OFFSET(V156,-1,0))+1)</f>
        <v/>
      </c>
      <c r="W156" s="4" t="b">
        <f t="shared" si="56"/>
        <v>0</v>
      </c>
      <c r="X156" s="1" t="str">
        <f t="shared" ref="X156:X201" ca="1" si="59">IF(AND(Fonte&lt;&gt;"",Código&lt;&gt;""),MATCH(Fonte&amp;" "&amp;IF(Fonte="sinapi",SUBSTITUTE(SUBSTITUTE(Código,"/00","/"),"/0","/"),Código),INDIRECT("'[Referência "&amp;_xlnm.Database&amp;".xls]Banco'!$a:$a"),0),"X")</f>
        <v>X</v>
      </c>
      <c r="Y156" s="103">
        <v>0</v>
      </c>
      <c r="Z156" s="113">
        <f ca="1">ROUND(IF(ISNUMBER(R156),R156,IF(LEFT(R156,3)="BDI",HLOOKUP(R156,DADOS!$T$37:$X$38,2,FALSE),0)),15-11*$X$5)</f>
        <v>0.2354</v>
      </c>
      <c r="AA156" s="1"/>
    </row>
    <row r="157" spans="1:27" x14ac:dyDescent="0.2">
      <c r="A157" t="str">
        <f t="shared" si="47"/>
        <v>S</v>
      </c>
      <c r="B157">
        <f t="shared" si="48"/>
        <v>0</v>
      </c>
      <c r="C157">
        <f t="shared" ca="1" si="49"/>
        <v>1</v>
      </c>
      <c r="D157">
        <f t="shared" ca="1" si="50"/>
        <v>13</v>
      </c>
      <c r="E157">
        <f t="shared" ca="1" si="51"/>
        <v>3</v>
      </c>
      <c r="F157">
        <f t="shared" ca="1" si="52"/>
        <v>0</v>
      </c>
      <c r="G157">
        <f t="shared" ca="1" si="53"/>
        <v>1</v>
      </c>
      <c r="H157">
        <f ca="1">IF(OR($A157="S",$A157=0),0,MATCH(0,OFFSET($B157,1,$A157,ROW($A$202)-ROW($A157)),0))</f>
        <v>0</v>
      </c>
      <c r="I157">
        <f ca="1">IF(OR($A157="S",$A157=0),0,MATCH(OFFSET($B157,0,$A157)+1,OFFSET($B157,1,$A157,ROW($A$202)-ROW($A157)),0))</f>
        <v>0</v>
      </c>
      <c r="J157" s="388" t="s">
        <v>103</v>
      </c>
      <c r="K157" s="138" t="str">
        <f t="shared" ca="1" si="54"/>
        <v>1.13.3.1.</v>
      </c>
      <c r="L157" s="370" t="s">
        <v>230</v>
      </c>
      <c r="M157" s="370" t="s">
        <v>269</v>
      </c>
      <c r="N157" s="368" t="s">
        <v>485</v>
      </c>
      <c r="O157" s="377" t="s">
        <v>521</v>
      </c>
      <c r="P157" s="363">
        <v>9.5399999999999991</v>
      </c>
      <c r="Q157" s="195"/>
      <c r="R157" s="198" t="s">
        <v>7</v>
      </c>
      <c r="S157" s="103">
        <f t="shared" si="57"/>
        <v>0</v>
      </c>
      <c r="T157" s="83">
        <f t="shared" si="58"/>
        <v>0</v>
      </c>
      <c r="U157" s="9" t="str">
        <f t="shared" si="55"/>
        <v>SEM VALOR</v>
      </c>
      <c r="V157" s="1" t="str">
        <f ca="1">IF(OR($A157=0,$A157="S",$A157&gt;CFF!$A$9),"",MAX(V$12:OFFSET(V157,-1,0))+1)</f>
        <v/>
      </c>
      <c r="W157" s="4" t="str">
        <f t="shared" si="56"/>
        <v>SINAPI-88415</v>
      </c>
      <c r="X157" s="1">
        <f t="shared" ca="1" si="59"/>
        <v>13230</v>
      </c>
      <c r="Y157" s="103">
        <v>5.5</v>
      </c>
      <c r="Z157" s="113">
        <f ca="1">ROUND(IF(ISNUMBER(R157),R157,IF(LEFT(R157,3)="BDI",HLOOKUP(R157,DADOS!$T$37:$X$38,2,FALSE),0)),15-11*$X$5)</f>
        <v>0.2354</v>
      </c>
      <c r="AA157" s="1"/>
    </row>
    <row r="158" spans="1:27" ht="25.5" x14ac:dyDescent="0.2">
      <c r="A158" t="str">
        <f t="shared" si="47"/>
        <v>S</v>
      </c>
      <c r="B158">
        <f t="shared" si="48"/>
        <v>0</v>
      </c>
      <c r="C158">
        <f t="shared" ca="1" si="49"/>
        <v>1</v>
      </c>
      <c r="D158">
        <f t="shared" ca="1" si="50"/>
        <v>13</v>
      </c>
      <c r="E158">
        <f t="shared" ca="1" si="51"/>
        <v>3</v>
      </c>
      <c r="F158">
        <f t="shared" ca="1" si="52"/>
        <v>0</v>
      </c>
      <c r="G158">
        <f t="shared" ca="1" si="53"/>
        <v>2</v>
      </c>
      <c r="H158">
        <f ca="1">IF(OR($A158="S",$A158=0),0,MATCH(0,OFFSET($B158,1,$A158,ROW($A$202)-ROW($A158)),0))</f>
        <v>0</v>
      </c>
      <c r="I158">
        <f ca="1">IF(OR($A158="S",$A158=0),0,MATCH(OFFSET($B158,0,$A158)+1,OFFSET($B158,1,$A158,ROW($A$202)-ROW($A158)),0))</f>
        <v>0</v>
      </c>
      <c r="J158" s="388" t="s">
        <v>103</v>
      </c>
      <c r="K158" s="138" t="str">
        <f t="shared" ca="1" si="54"/>
        <v>1.13.3.2.</v>
      </c>
      <c r="L158" s="370" t="s">
        <v>230</v>
      </c>
      <c r="M158" s="370" t="s">
        <v>270</v>
      </c>
      <c r="N158" s="368" t="s">
        <v>486</v>
      </c>
      <c r="O158" s="377" t="s">
        <v>521</v>
      </c>
      <c r="P158" s="363">
        <v>9.5399999999999991</v>
      </c>
      <c r="Q158" s="195"/>
      <c r="R158" s="198" t="s">
        <v>7</v>
      </c>
      <c r="S158" s="103">
        <f t="shared" si="57"/>
        <v>0</v>
      </c>
      <c r="T158" s="83">
        <f t="shared" si="58"/>
        <v>0</v>
      </c>
      <c r="U158" s="9" t="str">
        <f t="shared" si="55"/>
        <v>SEM VALOR</v>
      </c>
      <c r="V158" s="1" t="str">
        <f ca="1">IF(OR($A158=0,$A158="S",$A158&gt;CFF!$A$9),"",MAX(V$12:OFFSET(V158,-1,0))+1)</f>
        <v/>
      </c>
      <c r="W158" s="4" t="str">
        <f t="shared" si="56"/>
        <v>SINAPI-95626</v>
      </c>
      <c r="X158" s="1">
        <f t="shared" ca="1" si="59"/>
        <v>13256</v>
      </c>
      <c r="Y158" s="103">
        <v>21.08</v>
      </c>
      <c r="Z158" s="113">
        <f ca="1">ROUND(IF(ISNUMBER(R158),R158,IF(LEFT(R158,3)="BDI",HLOOKUP(R158,DADOS!$T$37:$X$38,2,FALSE),0)),15-11*$X$5)</f>
        <v>0.2354</v>
      </c>
      <c r="AA158" s="1"/>
    </row>
    <row r="159" spans="1:27" x14ac:dyDescent="0.2">
      <c r="A159">
        <f t="shared" si="47"/>
        <v>2</v>
      </c>
      <c r="B159">
        <f t="shared" ca="1" si="48"/>
        <v>6</v>
      </c>
      <c r="C159">
        <f t="shared" ca="1" si="49"/>
        <v>1</v>
      </c>
      <c r="D159">
        <f t="shared" ca="1" si="50"/>
        <v>14</v>
      </c>
      <c r="E159">
        <f t="shared" ca="1" si="51"/>
        <v>0</v>
      </c>
      <c r="F159">
        <f t="shared" ca="1" si="52"/>
        <v>0</v>
      </c>
      <c r="G159">
        <f t="shared" ca="1" si="53"/>
        <v>0</v>
      </c>
      <c r="H159">
        <f ca="1">IF(OR($A159="S",$A159=0),0,MATCH(0,OFFSET($B159,1,$A159,ROW($A$202)-ROW($A159)),0))</f>
        <v>43</v>
      </c>
      <c r="I159">
        <f ca="1">IF(OR($A159="S",$A159=0),0,MATCH(OFFSET($B159,0,$A159)+1,OFFSET($B159,1,$A159,ROW($A$202)-ROW($A159)),0))</f>
        <v>6</v>
      </c>
      <c r="J159" s="388" t="s">
        <v>100</v>
      </c>
      <c r="K159" s="138" t="str">
        <f t="shared" ca="1" si="54"/>
        <v>1.14.</v>
      </c>
      <c r="L159" s="370" t="s">
        <v>230</v>
      </c>
      <c r="M159" s="370"/>
      <c r="N159" s="360" t="s">
        <v>395</v>
      </c>
      <c r="O159" s="377" t="s">
        <v>106</v>
      </c>
      <c r="P159" s="363" t="s">
        <v>363</v>
      </c>
      <c r="Q159" s="195"/>
      <c r="R159" s="198" t="s">
        <v>7</v>
      </c>
      <c r="S159" s="103">
        <f t="shared" si="57"/>
        <v>0</v>
      </c>
      <c r="T159" s="83">
        <f t="shared" ca="1" si="58"/>
        <v>0</v>
      </c>
      <c r="U159" s="9" t="str">
        <f t="shared" ca="1" si="55"/>
        <v>SEM VALOR</v>
      </c>
      <c r="V159" s="1">
        <f ca="1">IF(OR($A159=0,$A159="S",$A159&gt;CFF!$A$9),"",MAX(V$12:OFFSET(V159,-1,0))+1)</f>
        <v>15</v>
      </c>
      <c r="W159" s="4" t="b">
        <f t="shared" si="56"/>
        <v>0</v>
      </c>
      <c r="X159" s="1" t="str">
        <f t="shared" ca="1" si="59"/>
        <v>X</v>
      </c>
      <c r="Y159" s="103">
        <v>0</v>
      </c>
      <c r="Z159" s="113">
        <f ca="1">ROUND(IF(ISNUMBER(R159),R159,IF(LEFT(R159,3)="BDI",HLOOKUP(R159,DADOS!$T$37:$X$38,2,FALSE),0)),15-11*$X$5)</f>
        <v>0.2354</v>
      </c>
      <c r="AA159" s="1"/>
    </row>
    <row r="160" spans="1:27" ht="25.5" x14ac:dyDescent="0.2">
      <c r="A160" t="str">
        <f t="shared" si="47"/>
        <v>S</v>
      </c>
      <c r="B160">
        <f t="shared" si="48"/>
        <v>0</v>
      </c>
      <c r="C160">
        <f t="shared" ca="1" si="49"/>
        <v>1</v>
      </c>
      <c r="D160">
        <f t="shared" ca="1" si="50"/>
        <v>14</v>
      </c>
      <c r="E160">
        <f t="shared" ca="1" si="51"/>
        <v>0</v>
      </c>
      <c r="F160">
        <f t="shared" ca="1" si="52"/>
        <v>0</v>
      </c>
      <c r="G160">
        <f t="shared" ca="1" si="53"/>
        <v>1</v>
      </c>
      <c r="H160">
        <f ca="1">IF(OR($A160="S",$A160=0),0,MATCH(0,OFFSET($B160,1,$A160,ROW($A$202)-ROW($A160)),0))</f>
        <v>0</v>
      </c>
      <c r="I160">
        <f ca="1">IF(OR($A160="S",$A160=0),0,MATCH(OFFSET($B160,0,$A160)+1,OFFSET($B160,1,$A160,ROW($A$202)-ROW($A160)),0))</f>
        <v>0</v>
      </c>
      <c r="J160" s="388" t="s">
        <v>103</v>
      </c>
      <c r="K160" s="138" t="str">
        <f t="shared" ca="1" si="54"/>
        <v>1.14.0.1.</v>
      </c>
      <c r="L160" s="370" t="s">
        <v>234</v>
      </c>
      <c r="M160" s="370" t="s">
        <v>347</v>
      </c>
      <c r="N160" s="368" t="s">
        <v>492</v>
      </c>
      <c r="O160" s="377" t="s">
        <v>521</v>
      </c>
      <c r="P160" s="363">
        <v>71.94</v>
      </c>
      <c r="Q160" s="195"/>
      <c r="R160" s="198" t="s">
        <v>7</v>
      </c>
      <c r="S160" s="103">
        <f t="shared" si="57"/>
        <v>0</v>
      </c>
      <c r="T160" s="83">
        <f t="shared" si="58"/>
        <v>0</v>
      </c>
      <c r="U160" s="9" t="str">
        <f t="shared" si="55"/>
        <v>SEM VALOR</v>
      </c>
      <c r="V160" s="1" t="str">
        <f ca="1">IF(OR($A160=0,$A160="S",$A160&gt;CFF!$A$9),"",MAX(V$12:OFFSET(V160,-1,0))+1)</f>
        <v/>
      </c>
      <c r="W160" s="4" t="str">
        <f t="shared" si="56"/>
        <v>PM BENTO-108</v>
      </c>
      <c r="X160" s="1">
        <f t="shared" ca="1" si="59"/>
        <v>46</v>
      </c>
      <c r="Y160" s="103">
        <v>246.12</v>
      </c>
      <c r="Z160" s="113">
        <f ca="1">ROUND(IF(ISNUMBER(R160),R160,IF(LEFT(R160,3)="BDI",HLOOKUP(R160,DADOS!$T$37:$X$38,2,FALSE),0)),15-11*$X$5)</f>
        <v>0.2354</v>
      </c>
      <c r="AA160" s="1"/>
    </row>
    <row r="161" spans="1:27" ht="25.5" x14ac:dyDescent="0.2">
      <c r="A161" t="str">
        <f t="shared" si="47"/>
        <v>S</v>
      </c>
      <c r="B161">
        <f t="shared" si="48"/>
        <v>0</v>
      </c>
      <c r="C161">
        <f t="shared" ca="1" si="49"/>
        <v>1</v>
      </c>
      <c r="D161">
        <f t="shared" ca="1" si="50"/>
        <v>14</v>
      </c>
      <c r="E161">
        <f t="shared" ca="1" si="51"/>
        <v>0</v>
      </c>
      <c r="F161">
        <f t="shared" ca="1" si="52"/>
        <v>0</v>
      </c>
      <c r="G161">
        <f t="shared" ca="1" si="53"/>
        <v>2</v>
      </c>
      <c r="H161">
        <f ca="1">IF(OR($A161="S",$A161=0),0,MATCH(0,OFFSET($B161,1,$A161,ROW($A$202)-ROW($A161)),0))</f>
        <v>0</v>
      </c>
      <c r="I161">
        <f ca="1">IF(OR($A161="S",$A161=0),0,MATCH(OFFSET($B161,0,$A161)+1,OFFSET($B161,1,$A161,ROW($A$202)-ROW($A161)),0))</f>
        <v>0</v>
      </c>
      <c r="J161" s="388" t="s">
        <v>103</v>
      </c>
      <c r="K161" s="138" t="str">
        <f t="shared" ca="1" si="54"/>
        <v>1.14.0.2.</v>
      </c>
      <c r="L161" s="370" t="s">
        <v>234</v>
      </c>
      <c r="M161" s="370" t="s">
        <v>348</v>
      </c>
      <c r="N161" s="368" t="s">
        <v>493</v>
      </c>
      <c r="O161" s="377" t="s">
        <v>523</v>
      </c>
      <c r="P161" s="363">
        <v>1</v>
      </c>
      <c r="Q161" s="195"/>
      <c r="R161" s="198" t="s">
        <v>7</v>
      </c>
      <c r="S161" s="103">
        <f t="shared" si="57"/>
        <v>0</v>
      </c>
      <c r="T161" s="83">
        <f t="shared" si="58"/>
        <v>0</v>
      </c>
      <c r="U161" s="9" t="str">
        <f t="shared" si="55"/>
        <v>SEM VALOR</v>
      </c>
      <c r="V161" s="1" t="str">
        <f ca="1">IF(OR($A161=0,$A161="S",$A161&gt;CFF!$A$9),"",MAX(V$12:OFFSET(V161,-1,0))+1)</f>
        <v/>
      </c>
      <c r="W161" s="4" t="str">
        <f t="shared" si="56"/>
        <v>PM BENTO-116</v>
      </c>
      <c r="X161" s="1">
        <f t="shared" ca="1" si="59"/>
        <v>54</v>
      </c>
      <c r="Y161" s="103">
        <v>210.18</v>
      </c>
      <c r="Z161" s="113">
        <f ca="1">ROUND(IF(ISNUMBER(R161),R161,IF(LEFT(R161,3)="BDI",HLOOKUP(R161,DADOS!$T$37:$X$38,2,FALSE),0)),15-11*$X$5)</f>
        <v>0.2354</v>
      </c>
      <c r="AA161" s="1"/>
    </row>
    <row r="162" spans="1:27" ht="25.5" x14ac:dyDescent="0.2">
      <c r="A162" t="str">
        <f t="shared" si="47"/>
        <v>S</v>
      </c>
      <c r="B162">
        <f t="shared" si="48"/>
        <v>0</v>
      </c>
      <c r="C162">
        <f t="shared" ca="1" si="49"/>
        <v>1</v>
      </c>
      <c r="D162">
        <f t="shared" ca="1" si="50"/>
        <v>14</v>
      </c>
      <c r="E162">
        <f t="shared" ca="1" si="51"/>
        <v>0</v>
      </c>
      <c r="F162">
        <f t="shared" ca="1" si="52"/>
        <v>0</v>
      </c>
      <c r="G162">
        <f t="shared" ca="1" si="53"/>
        <v>3</v>
      </c>
      <c r="H162">
        <f ca="1">IF(OR($A162="S",$A162=0),0,MATCH(0,OFFSET($B162,1,$A162,ROW($A$202)-ROW($A162)),0))</f>
        <v>0</v>
      </c>
      <c r="I162">
        <f ca="1">IF(OR($A162="S",$A162=0),0,MATCH(OFFSET($B162,0,$A162)+1,OFFSET($B162,1,$A162,ROW($A$202)-ROW($A162)),0))</f>
        <v>0</v>
      </c>
      <c r="J162" s="388" t="s">
        <v>103</v>
      </c>
      <c r="K162" s="138" t="str">
        <f t="shared" ca="1" si="54"/>
        <v>1.14.0.3.</v>
      </c>
      <c r="L162" s="370" t="s">
        <v>230</v>
      </c>
      <c r="M162" s="370" t="s">
        <v>283</v>
      </c>
      <c r="N162" s="368" t="s">
        <v>494</v>
      </c>
      <c r="O162" s="377" t="s">
        <v>523</v>
      </c>
      <c r="P162" s="363">
        <v>1</v>
      </c>
      <c r="Q162" s="195"/>
      <c r="R162" s="198" t="s">
        <v>7</v>
      </c>
      <c r="S162" s="103">
        <f t="shared" si="57"/>
        <v>0</v>
      </c>
      <c r="T162" s="83">
        <f t="shared" si="58"/>
        <v>0</v>
      </c>
      <c r="U162" s="9" t="str">
        <f t="shared" si="55"/>
        <v>SEM VALOR</v>
      </c>
      <c r="V162" s="1" t="str">
        <f ca="1">IF(OR($A162=0,$A162="S",$A162&gt;CFF!$A$9),"",MAX(V$12:OFFSET(V162,-1,0))+1)</f>
        <v/>
      </c>
      <c r="W162" s="4" t="str">
        <f t="shared" si="56"/>
        <v>SINAPI-86932</v>
      </c>
      <c r="X162" s="1">
        <f t="shared" ca="1" si="59"/>
        <v>12473</v>
      </c>
      <c r="Y162" s="103">
        <v>848.3</v>
      </c>
      <c r="Z162" s="113">
        <f ca="1">ROUND(IF(ISNUMBER(R162),R162,IF(LEFT(R162,3)="BDI",HLOOKUP(R162,DADOS!$T$37:$X$38,2,FALSE),0)),15-11*$X$5)</f>
        <v>0.2354</v>
      </c>
      <c r="AA162" s="1"/>
    </row>
    <row r="163" spans="1:27" x14ac:dyDescent="0.2">
      <c r="A163" t="str">
        <f t="shared" si="47"/>
        <v>S</v>
      </c>
      <c r="B163">
        <f t="shared" si="48"/>
        <v>0</v>
      </c>
      <c r="C163">
        <f t="shared" ca="1" si="49"/>
        <v>1</v>
      </c>
      <c r="D163">
        <f t="shared" ca="1" si="50"/>
        <v>14</v>
      </c>
      <c r="E163">
        <f t="shared" ca="1" si="51"/>
        <v>0</v>
      </c>
      <c r="F163">
        <f t="shared" ca="1" si="52"/>
        <v>0</v>
      </c>
      <c r="G163">
        <f t="shared" ca="1" si="53"/>
        <v>4</v>
      </c>
      <c r="H163">
        <f ca="1">IF(OR($A163="S",$A163=0),0,MATCH(0,OFFSET($B163,1,$A163,ROW($A$202)-ROW($A163)),0))</f>
        <v>0</v>
      </c>
      <c r="I163">
        <f ca="1">IF(OR($A163="S",$A163=0),0,MATCH(OFFSET($B163,0,$A163)+1,OFFSET($B163,1,$A163,ROW($A$202)-ROW($A163)),0))</f>
        <v>0</v>
      </c>
      <c r="J163" s="388" t="s">
        <v>103</v>
      </c>
      <c r="K163" s="138" t="str">
        <f t="shared" ca="1" si="54"/>
        <v>1.14.0.4.</v>
      </c>
      <c r="L163" s="370" t="s">
        <v>230</v>
      </c>
      <c r="M163" s="370" t="s">
        <v>284</v>
      </c>
      <c r="N163" s="368" t="s">
        <v>495</v>
      </c>
      <c r="O163" s="377" t="s">
        <v>523</v>
      </c>
      <c r="P163" s="363">
        <v>1</v>
      </c>
      <c r="Q163" s="195"/>
      <c r="R163" s="198" t="s">
        <v>7</v>
      </c>
      <c r="S163" s="103">
        <f t="shared" si="57"/>
        <v>0</v>
      </c>
      <c r="T163" s="83">
        <f t="shared" si="58"/>
        <v>0</v>
      </c>
      <c r="U163" s="9" t="str">
        <f t="shared" si="55"/>
        <v>SEM VALOR</v>
      </c>
      <c r="V163" s="1" t="str">
        <f ca="1">IF(OR($A163=0,$A163="S",$A163&gt;CFF!$A$9),"",MAX(V$12:OFFSET(V163,-1,0))+1)</f>
        <v/>
      </c>
      <c r="W163" s="4" t="str">
        <f t="shared" si="56"/>
        <v>SINAPI-100849</v>
      </c>
      <c r="X163" s="1">
        <f t="shared" ca="1" si="59"/>
        <v>12469</v>
      </c>
      <c r="Y163" s="103">
        <v>46.8</v>
      </c>
      <c r="Z163" s="113">
        <f ca="1">ROUND(IF(ISNUMBER(R163),R163,IF(LEFT(R163,3)="BDI",HLOOKUP(R163,DADOS!$T$37:$X$38,2,FALSE),0)),15-11*$X$5)</f>
        <v>0.2354</v>
      </c>
      <c r="AA163" s="1"/>
    </row>
    <row r="164" spans="1:27" ht="25.5" x14ac:dyDescent="0.2">
      <c r="A164" t="str">
        <f t="shared" si="47"/>
        <v>S</v>
      </c>
      <c r="B164">
        <f t="shared" si="48"/>
        <v>0</v>
      </c>
      <c r="C164">
        <f t="shared" ca="1" si="49"/>
        <v>1</v>
      </c>
      <c r="D164">
        <f t="shared" ca="1" si="50"/>
        <v>14</v>
      </c>
      <c r="E164">
        <f t="shared" ca="1" si="51"/>
        <v>0</v>
      </c>
      <c r="F164">
        <f t="shared" ca="1" si="52"/>
        <v>0</v>
      </c>
      <c r="G164">
        <f t="shared" ca="1" si="53"/>
        <v>5</v>
      </c>
      <c r="H164">
        <f ca="1">IF(OR($A164="S",$A164=0),0,MATCH(0,OFFSET($B164,1,$A164,ROW($A$202)-ROW($A164)),0))</f>
        <v>0</v>
      </c>
      <c r="I164">
        <f ca="1">IF(OR($A164="S",$A164=0),0,MATCH(OFFSET($B164,0,$A164)+1,OFFSET($B164,1,$A164,ROW($A$202)-ROW($A164)),0))</f>
        <v>0</v>
      </c>
      <c r="J164" s="388" t="s">
        <v>103</v>
      </c>
      <c r="K164" s="138" t="str">
        <f t="shared" ca="1" si="54"/>
        <v>1.14.0.5.</v>
      </c>
      <c r="L164" s="370" t="s">
        <v>234</v>
      </c>
      <c r="M164" s="370" t="s">
        <v>349</v>
      </c>
      <c r="N164" s="368" t="s">
        <v>496</v>
      </c>
      <c r="O164" s="377" t="s">
        <v>523</v>
      </c>
      <c r="P164" s="363">
        <v>1</v>
      </c>
      <c r="Q164" s="195"/>
      <c r="R164" s="198" t="s">
        <v>7</v>
      </c>
      <c r="S164" s="103">
        <f t="shared" si="57"/>
        <v>0</v>
      </c>
      <c r="T164" s="83">
        <f t="shared" si="58"/>
        <v>0</v>
      </c>
      <c r="U164" s="9" t="str">
        <f t="shared" si="55"/>
        <v>SEM VALOR</v>
      </c>
      <c r="V164" s="1" t="str">
        <f ca="1">IF(OR($A164=0,$A164="S",$A164&gt;CFF!$A$9),"",MAX(V$12:OFFSET(V164,-1,0))+1)</f>
        <v/>
      </c>
      <c r="W164" s="4" t="str">
        <f t="shared" si="56"/>
        <v>PM BENTO-123</v>
      </c>
      <c r="X164" s="1">
        <f t="shared" ca="1" si="59"/>
        <v>61</v>
      </c>
      <c r="Y164" s="103">
        <v>505.2</v>
      </c>
      <c r="Z164" s="113">
        <f ca="1">ROUND(IF(ISNUMBER(R164),R164,IF(LEFT(R164,3)="BDI",HLOOKUP(R164,DADOS!$T$37:$X$38,2,FALSE),0)),15-11*$X$5)</f>
        <v>0.2354</v>
      </c>
      <c r="AA164" s="1"/>
    </row>
    <row r="165" spans="1:27" x14ac:dyDescent="0.2">
      <c r="A165">
        <f t="shared" si="47"/>
        <v>2</v>
      </c>
      <c r="B165">
        <f t="shared" ca="1" si="48"/>
        <v>18</v>
      </c>
      <c r="C165">
        <f t="shared" ca="1" si="49"/>
        <v>1</v>
      </c>
      <c r="D165">
        <f t="shared" ca="1" si="50"/>
        <v>15</v>
      </c>
      <c r="E165">
        <f t="shared" ca="1" si="51"/>
        <v>0</v>
      </c>
      <c r="F165">
        <f t="shared" ca="1" si="52"/>
        <v>0</v>
      </c>
      <c r="G165">
        <f t="shared" ca="1" si="53"/>
        <v>0</v>
      </c>
      <c r="H165">
        <f ca="1">IF(OR($A165="S",$A165=0),0,MATCH(0,OFFSET($B165,1,$A165,ROW($A$202)-ROW($A165)),0))</f>
        <v>37</v>
      </c>
      <c r="I165">
        <f ca="1">IF(OR($A165="S",$A165=0),0,MATCH(OFFSET($B165,0,$A165)+1,OFFSET($B165,1,$A165,ROW($A$202)-ROW($A165)),0))</f>
        <v>18</v>
      </c>
      <c r="J165" s="388" t="s">
        <v>100</v>
      </c>
      <c r="K165" s="138" t="str">
        <f t="shared" ca="1" si="54"/>
        <v>1.15.</v>
      </c>
      <c r="L165" s="370" t="s">
        <v>230</v>
      </c>
      <c r="M165" s="370"/>
      <c r="N165" s="394" t="s">
        <v>396</v>
      </c>
      <c r="O165" s="377" t="s">
        <v>106</v>
      </c>
      <c r="P165" s="363" t="s">
        <v>363</v>
      </c>
      <c r="Q165" s="195"/>
      <c r="R165" s="198" t="s">
        <v>7</v>
      </c>
      <c r="S165" s="103">
        <f t="shared" si="57"/>
        <v>0</v>
      </c>
      <c r="T165" s="83">
        <f t="shared" ca="1" si="58"/>
        <v>0</v>
      </c>
      <c r="U165" s="9" t="str">
        <f t="shared" ca="1" si="55"/>
        <v>SEM VALOR</v>
      </c>
      <c r="V165" s="1">
        <f ca="1">IF(OR($A165=0,$A165="S",$A165&gt;CFF!$A$9),"",MAX(V$12:OFFSET(V165,-1,0))+1)</f>
        <v>16</v>
      </c>
      <c r="W165" s="4" t="b">
        <f t="shared" si="56"/>
        <v>0</v>
      </c>
      <c r="X165" s="1" t="str">
        <f t="shared" ca="1" si="59"/>
        <v>X</v>
      </c>
      <c r="Y165" s="103">
        <v>0</v>
      </c>
      <c r="Z165" s="113">
        <f ca="1">ROUND(IF(ISNUMBER(R165),R165,IF(LEFT(R165,3)="BDI",HLOOKUP(R165,DADOS!$T$37:$X$38,2,FALSE),0)),15-11*$X$5)</f>
        <v>0.2354</v>
      </c>
      <c r="AA165" s="1"/>
    </row>
    <row r="166" spans="1:27" ht="25.5" x14ac:dyDescent="0.2">
      <c r="A166" t="str">
        <f t="shared" si="47"/>
        <v>S</v>
      </c>
      <c r="B166">
        <f t="shared" si="48"/>
        <v>0</v>
      </c>
      <c r="C166">
        <f t="shared" ca="1" si="49"/>
        <v>1</v>
      </c>
      <c r="D166">
        <f t="shared" ca="1" si="50"/>
        <v>15</v>
      </c>
      <c r="E166">
        <f t="shared" ca="1" si="51"/>
        <v>0</v>
      </c>
      <c r="F166">
        <f t="shared" ca="1" si="52"/>
        <v>0</v>
      </c>
      <c r="G166">
        <f t="shared" ca="1" si="53"/>
        <v>1</v>
      </c>
      <c r="H166">
        <f ca="1">IF(OR($A166="S",$A166=0),0,MATCH(0,OFFSET($B166,1,$A166,ROW($A$202)-ROW($A166)),0))</f>
        <v>0</v>
      </c>
      <c r="I166">
        <f ca="1">IF(OR($A166="S",$A166=0),0,MATCH(OFFSET($B166,0,$A166)+1,OFFSET($B166,1,$A166,ROW($A$202)-ROW($A166)),0))</f>
        <v>0</v>
      </c>
      <c r="J166" s="388" t="s">
        <v>103</v>
      </c>
      <c r="K166" s="138" t="str">
        <f t="shared" ca="1" si="54"/>
        <v>1.15.0.1.</v>
      </c>
      <c r="L166" s="370" t="s">
        <v>230</v>
      </c>
      <c r="M166" s="370" t="s">
        <v>350</v>
      </c>
      <c r="N166" s="368" t="s">
        <v>497</v>
      </c>
      <c r="O166" s="377" t="s">
        <v>521</v>
      </c>
      <c r="P166" s="363">
        <v>7</v>
      </c>
      <c r="Q166" s="195"/>
      <c r="R166" s="198" t="s">
        <v>7</v>
      </c>
      <c r="S166" s="103">
        <f t="shared" si="57"/>
        <v>0</v>
      </c>
      <c r="T166" s="83">
        <f t="shared" si="58"/>
        <v>0</v>
      </c>
      <c r="U166" s="9" t="str">
        <f t="shared" si="55"/>
        <v>SEM VALOR</v>
      </c>
      <c r="V166" s="1" t="str">
        <f ca="1">IF(OR($A166=0,$A166="S",$A166&gt;CFF!$A$9),"",MAX(V$12:OFFSET(V166,-1,0))+1)</f>
        <v/>
      </c>
      <c r="W166" s="4" t="str">
        <f t="shared" si="56"/>
        <v>SINAPI-97647</v>
      </c>
      <c r="X166" s="1">
        <f t="shared" ca="1" si="59"/>
        <v>6896</v>
      </c>
      <c r="Y166" s="103">
        <v>4.99</v>
      </c>
      <c r="Z166" s="113">
        <f ca="1">ROUND(IF(ISNUMBER(R166),R166,IF(LEFT(R166,3)="BDI",HLOOKUP(R166,DADOS!$T$37:$X$38,2,FALSE),0)),15-11*$X$5)</f>
        <v>0.2354</v>
      </c>
      <c r="AA166" s="1"/>
    </row>
    <row r="167" spans="1:27" x14ac:dyDescent="0.2">
      <c r="A167" t="str">
        <f t="shared" si="47"/>
        <v>S</v>
      </c>
      <c r="B167">
        <f t="shared" si="48"/>
        <v>0</v>
      </c>
      <c r="C167">
        <f t="shared" ca="1" si="49"/>
        <v>1</v>
      </c>
      <c r="D167">
        <f t="shared" ca="1" si="50"/>
        <v>15</v>
      </c>
      <c r="E167">
        <f t="shared" ca="1" si="51"/>
        <v>0</v>
      </c>
      <c r="F167">
        <f t="shared" ca="1" si="52"/>
        <v>0</v>
      </c>
      <c r="G167">
        <f t="shared" ca="1" si="53"/>
        <v>2</v>
      </c>
      <c r="H167">
        <f ca="1">IF(OR($A167="S",$A167=0),0,MATCH(0,OFFSET($B167,1,$A167,ROW($A$202)-ROW($A167)),0))</f>
        <v>0</v>
      </c>
      <c r="I167">
        <f ca="1">IF(OR($A167="S",$A167=0),0,MATCH(OFFSET($B167,0,$A167)+1,OFFSET($B167,1,$A167,ROW($A$202)-ROW($A167)),0))</f>
        <v>0</v>
      </c>
      <c r="J167" s="388" t="s">
        <v>103</v>
      </c>
      <c r="K167" s="138" t="str">
        <f t="shared" ca="1" si="54"/>
        <v>1.15.0.2.</v>
      </c>
      <c r="L167" s="370" t="s">
        <v>230</v>
      </c>
      <c r="M167" s="370" t="s">
        <v>277</v>
      </c>
      <c r="N167" s="368" t="s">
        <v>498</v>
      </c>
      <c r="O167" s="377" t="s">
        <v>521</v>
      </c>
      <c r="P167" s="363">
        <v>7</v>
      </c>
      <c r="Q167" s="195"/>
      <c r="R167" s="198" t="s">
        <v>7</v>
      </c>
      <c r="S167" s="103">
        <f t="shared" si="57"/>
        <v>0</v>
      </c>
      <c r="T167" s="83">
        <f t="shared" si="58"/>
        <v>0</v>
      </c>
      <c r="U167" s="9" t="str">
        <f t="shared" si="55"/>
        <v>SEM VALOR</v>
      </c>
      <c r="V167" s="1" t="str">
        <f ca="1">IF(OR($A167=0,$A167="S",$A167&gt;CFF!$A$9),"",MAX(V$12:OFFSET(V167,-1,0))+1)</f>
        <v/>
      </c>
      <c r="W167" s="4" t="str">
        <f t="shared" si="56"/>
        <v>SINAPI-94213</v>
      </c>
      <c r="X167" s="1">
        <f t="shared" ca="1" si="59"/>
        <v>14536</v>
      </c>
      <c r="Y167" s="103">
        <v>83.18</v>
      </c>
      <c r="Z167" s="113">
        <f ca="1">ROUND(IF(ISNUMBER(R167),R167,IF(LEFT(R167,3)="BDI",HLOOKUP(R167,DADOS!$T$37:$X$38,2,FALSE),0)),15-11*$X$5)</f>
        <v>0.2354</v>
      </c>
      <c r="AA167" s="1"/>
    </row>
    <row r="168" spans="1:27" x14ac:dyDescent="0.2">
      <c r="A168" t="str">
        <f t="shared" si="47"/>
        <v>S</v>
      </c>
      <c r="B168">
        <f t="shared" si="48"/>
        <v>0</v>
      </c>
      <c r="C168">
        <f t="shared" ca="1" si="49"/>
        <v>1</v>
      </c>
      <c r="D168">
        <f t="shared" ca="1" si="50"/>
        <v>15</v>
      </c>
      <c r="E168">
        <f t="shared" ca="1" si="51"/>
        <v>0</v>
      </c>
      <c r="F168">
        <f t="shared" ca="1" si="52"/>
        <v>0</v>
      </c>
      <c r="G168">
        <f t="shared" ca="1" si="53"/>
        <v>3</v>
      </c>
      <c r="H168">
        <f ca="1">IF(OR($A168="S",$A168=0),0,MATCH(0,OFFSET($B168,1,$A168,ROW($A$202)-ROW($A168)),0))</f>
        <v>0</v>
      </c>
      <c r="I168">
        <f ca="1">IF(OR($A168="S",$A168=0),0,MATCH(OFFSET($B168,0,$A168)+1,OFFSET($B168,1,$A168,ROW($A$202)-ROW($A168)),0))</f>
        <v>0</v>
      </c>
      <c r="J168" s="388" t="s">
        <v>103</v>
      </c>
      <c r="K168" s="138" t="str">
        <f t="shared" ca="1" si="54"/>
        <v>1.15.0.3.</v>
      </c>
      <c r="L168" s="370" t="s">
        <v>230</v>
      </c>
      <c r="M168" s="370" t="s">
        <v>351</v>
      </c>
      <c r="N168" s="368" t="s">
        <v>499</v>
      </c>
      <c r="O168" s="377" t="s">
        <v>288</v>
      </c>
      <c r="P168" s="363">
        <v>4</v>
      </c>
      <c r="Q168" s="195"/>
      <c r="R168" s="198" t="s">
        <v>7</v>
      </c>
      <c r="S168" s="103">
        <f t="shared" si="57"/>
        <v>0</v>
      </c>
      <c r="T168" s="83">
        <f t="shared" si="58"/>
        <v>0</v>
      </c>
      <c r="U168" s="9" t="str">
        <f t="shared" si="55"/>
        <v>SEM VALOR</v>
      </c>
      <c r="V168" s="1" t="str">
        <f ca="1">IF(OR($A168=0,$A168="S",$A168&gt;CFF!$A$9),"",MAX(V$12:OFFSET(V168,-1,0))+1)</f>
        <v/>
      </c>
      <c r="W168" s="4" t="str">
        <f t="shared" si="56"/>
        <v>SINAPI-104803</v>
      </c>
      <c r="X168" s="1">
        <f t="shared" ca="1" si="59"/>
        <v>6870</v>
      </c>
      <c r="Y168" s="103">
        <v>6.35</v>
      </c>
      <c r="Z168" s="113">
        <f ca="1">ROUND(IF(ISNUMBER(R168),R168,IF(LEFT(R168,3)="BDI",HLOOKUP(R168,DADOS!$T$37:$X$38,2,FALSE),0)),15-11*$X$5)</f>
        <v>0.2354</v>
      </c>
      <c r="AA168" s="1"/>
    </row>
    <row r="169" spans="1:27" x14ac:dyDescent="0.2">
      <c r="A169" t="str">
        <f t="shared" si="47"/>
        <v>S</v>
      </c>
      <c r="B169">
        <f t="shared" si="48"/>
        <v>0</v>
      </c>
      <c r="C169">
        <f t="shared" ca="1" si="49"/>
        <v>1</v>
      </c>
      <c r="D169">
        <f t="shared" ca="1" si="50"/>
        <v>15</v>
      </c>
      <c r="E169">
        <f t="shared" ca="1" si="51"/>
        <v>0</v>
      </c>
      <c r="F169">
        <f t="shared" ca="1" si="52"/>
        <v>0</v>
      </c>
      <c r="G169">
        <f t="shared" ca="1" si="53"/>
        <v>4</v>
      </c>
      <c r="H169">
        <f ca="1">IF(OR($A169="S",$A169=0),0,MATCH(0,OFFSET($B169,1,$A169,ROW($A$202)-ROW($A169)),0))</f>
        <v>0</v>
      </c>
      <c r="I169">
        <f ca="1">IF(OR($A169="S",$A169=0),0,MATCH(OFFSET($B169,0,$A169)+1,OFFSET($B169,1,$A169,ROW($A$202)-ROW($A169)),0))</f>
        <v>0</v>
      </c>
      <c r="J169" s="388" t="s">
        <v>103</v>
      </c>
      <c r="K169" s="138" t="str">
        <f t="shared" ca="1" si="54"/>
        <v>1.15.0.4.</v>
      </c>
      <c r="L169" s="370" t="s">
        <v>230</v>
      </c>
      <c r="M169" s="370" t="s">
        <v>352</v>
      </c>
      <c r="N169" s="368" t="s">
        <v>500</v>
      </c>
      <c r="O169" s="377" t="s">
        <v>521</v>
      </c>
      <c r="P169" s="363">
        <v>2</v>
      </c>
      <c r="Q169" s="195"/>
      <c r="R169" s="198" t="s">
        <v>7</v>
      </c>
      <c r="S169" s="103">
        <f t="shared" si="57"/>
        <v>0</v>
      </c>
      <c r="T169" s="83">
        <f t="shared" si="58"/>
        <v>0</v>
      </c>
      <c r="U169" s="9" t="str">
        <f t="shared" si="55"/>
        <v>SEM VALOR</v>
      </c>
      <c r="V169" s="1" t="str">
        <f ca="1">IF(OR($A169=0,$A169="S",$A169&gt;CFF!$A$9),"",MAX(V$12:OFFSET(V169,-1,0))+1)</f>
        <v/>
      </c>
      <c r="W169" s="4" t="str">
        <f t="shared" si="56"/>
        <v>SINAPI-98553</v>
      </c>
      <c r="X169" s="1">
        <f t="shared" ca="1" si="59"/>
        <v>9576</v>
      </c>
      <c r="Y169" s="103">
        <v>227.24</v>
      </c>
      <c r="Z169" s="113">
        <f ca="1">ROUND(IF(ISNUMBER(R169),R169,IF(LEFT(R169,3)="BDI",HLOOKUP(R169,DADOS!$T$37:$X$38,2,FALSE),0)),15-11*$X$5)</f>
        <v>0.2354</v>
      </c>
      <c r="AA169" s="1"/>
    </row>
    <row r="170" spans="1:27" x14ac:dyDescent="0.2">
      <c r="A170" t="str">
        <f t="shared" si="47"/>
        <v>S</v>
      </c>
      <c r="B170">
        <f t="shared" si="48"/>
        <v>0</v>
      </c>
      <c r="C170">
        <f t="shared" ca="1" si="49"/>
        <v>1</v>
      </c>
      <c r="D170">
        <f t="shared" ca="1" si="50"/>
        <v>15</v>
      </c>
      <c r="E170">
        <f t="shared" ca="1" si="51"/>
        <v>0</v>
      </c>
      <c r="F170">
        <f t="shared" ca="1" si="52"/>
        <v>0</v>
      </c>
      <c r="G170">
        <f t="shared" ca="1" si="53"/>
        <v>5</v>
      </c>
      <c r="H170">
        <f ca="1">IF(OR($A170="S",$A170=0),0,MATCH(0,OFFSET($B170,1,$A170,ROW($A$202)-ROW($A170)),0))</f>
        <v>0</v>
      </c>
      <c r="I170">
        <f ca="1">IF(OR($A170="S",$A170=0),0,MATCH(OFFSET($B170,0,$A170)+1,OFFSET($B170,1,$A170,ROW($A$202)-ROW($A170)),0))</f>
        <v>0</v>
      </c>
      <c r="J170" s="388" t="s">
        <v>103</v>
      </c>
      <c r="K170" s="138" t="str">
        <f t="shared" ca="1" si="54"/>
        <v>1.15.0.5.</v>
      </c>
      <c r="L170" s="370" t="s">
        <v>230</v>
      </c>
      <c r="M170" s="370" t="s">
        <v>278</v>
      </c>
      <c r="N170" s="368" t="s">
        <v>501</v>
      </c>
      <c r="O170" s="377" t="s">
        <v>288</v>
      </c>
      <c r="P170" s="363">
        <v>2</v>
      </c>
      <c r="Q170" s="195"/>
      <c r="R170" s="198" t="s">
        <v>7</v>
      </c>
      <c r="S170" s="103">
        <f t="shared" si="57"/>
        <v>0</v>
      </c>
      <c r="T170" s="83">
        <f t="shared" si="58"/>
        <v>0</v>
      </c>
      <c r="U170" s="9" t="str">
        <f t="shared" si="55"/>
        <v>SEM VALOR</v>
      </c>
      <c r="V170" s="1" t="str">
        <f ca="1">IF(OR($A170=0,$A170="S",$A170&gt;CFF!$A$9),"",MAX(V$12:OFFSET(V170,-1,0))+1)</f>
        <v/>
      </c>
      <c r="W170" s="4" t="str">
        <f t="shared" si="56"/>
        <v>SINAPI-101979</v>
      </c>
      <c r="X170" s="1">
        <f t="shared" ca="1" si="59"/>
        <v>13145</v>
      </c>
      <c r="Y170" s="103">
        <v>53.1</v>
      </c>
      <c r="Z170" s="113">
        <f ca="1">ROUND(IF(ISNUMBER(R170),R170,IF(LEFT(R170,3)="BDI",HLOOKUP(R170,DADOS!$T$37:$X$38,2,FALSE),0)),15-11*$X$5)</f>
        <v>0.2354</v>
      </c>
      <c r="AA170" s="1"/>
    </row>
    <row r="171" spans="1:27" ht="25.5" x14ac:dyDescent="0.2">
      <c r="A171" t="str">
        <f t="shared" si="47"/>
        <v>S</v>
      </c>
      <c r="B171">
        <f t="shared" si="48"/>
        <v>0</v>
      </c>
      <c r="C171">
        <f t="shared" ca="1" si="49"/>
        <v>1</v>
      </c>
      <c r="D171">
        <f t="shared" ca="1" si="50"/>
        <v>15</v>
      </c>
      <c r="E171">
        <f t="shared" ca="1" si="51"/>
        <v>0</v>
      </c>
      <c r="F171">
        <f t="shared" ca="1" si="52"/>
        <v>0</v>
      </c>
      <c r="G171">
        <f t="shared" ca="1" si="53"/>
        <v>6</v>
      </c>
      <c r="H171">
        <f ca="1">IF(OR($A171="S",$A171=0),0,MATCH(0,OFFSET($B171,1,$A171,ROW($A$202)-ROW($A171)),0))</f>
        <v>0</v>
      </c>
      <c r="I171">
        <f ca="1">IF(OR($A171="S",$A171=0),0,MATCH(OFFSET($B171,0,$A171)+1,OFFSET($B171,1,$A171,ROW($A$202)-ROW($A171)),0))</f>
        <v>0</v>
      </c>
      <c r="J171" s="388" t="s">
        <v>103</v>
      </c>
      <c r="K171" s="138" t="str">
        <f t="shared" ca="1" si="54"/>
        <v>1.15.0.6.</v>
      </c>
      <c r="L171" s="370" t="s">
        <v>230</v>
      </c>
      <c r="M171" s="370" t="s">
        <v>273</v>
      </c>
      <c r="N171" s="368" t="s">
        <v>502</v>
      </c>
      <c r="O171" s="377" t="s">
        <v>523</v>
      </c>
      <c r="P171" s="363">
        <v>2</v>
      </c>
      <c r="Q171" s="195"/>
      <c r="R171" s="198" t="s">
        <v>7</v>
      </c>
      <c r="S171" s="103">
        <f t="shared" si="57"/>
        <v>0</v>
      </c>
      <c r="T171" s="83">
        <f t="shared" si="58"/>
        <v>0</v>
      </c>
      <c r="U171" s="9" t="str">
        <f t="shared" si="55"/>
        <v>SEM VALOR</v>
      </c>
      <c r="V171" s="1" t="str">
        <f ca="1">IF(OR($A171=0,$A171="S",$A171&gt;CFF!$A$9),"",MAX(V$12:OFFSET(V171,-1,0))+1)</f>
        <v/>
      </c>
      <c r="W171" s="4" t="str">
        <f t="shared" si="56"/>
        <v>SINAPI-98558</v>
      </c>
      <c r="X171" s="1">
        <f t="shared" ca="1" si="59"/>
        <v>9592</v>
      </c>
      <c r="Y171" s="103">
        <v>13.03</v>
      </c>
      <c r="Z171" s="113">
        <f ca="1">ROUND(IF(ISNUMBER(R171),R171,IF(LEFT(R171,3)="BDI",HLOOKUP(R171,DADOS!$T$37:$X$38,2,FALSE),0)),15-11*$X$5)</f>
        <v>0.2354</v>
      </c>
      <c r="AA171" s="1"/>
    </row>
    <row r="172" spans="1:27" ht="25.5" x14ac:dyDescent="0.2">
      <c r="A172" t="str">
        <f t="shared" si="47"/>
        <v>S</v>
      </c>
      <c r="B172">
        <f t="shared" si="48"/>
        <v>0</v>
      </c>
      <c r="C172">
        <f t="shared" ca="1" si="49"/>
        <v>1</v>
      </c>
      <c r="D172">
        <f t="shared" ca="1" si="50"/>
        <v>15</v>
      </c>
      <c r="E172">
        <f t="shared" ca="1" si="51"/>
        <v>0</v>
      </c>
      <c r="F172">
        <f t="shared" ca="1" si="52"/>
        <v>0</v>
      </c>
      <c r="G172">
        <f t="shared" ca="1" si="53"/>
        <v>7</v>
      </c>
      <c r="H172">
        <f ca="1">IF(OR($A172="S",$A172=0),0,MATCH(0,OFFSET($B172,1,$A172,ROW($A$202)-ROW($A172)),0))</f>
        <v>0</v>
      </c>
      <c r="I172">
        <f ca="1">IF(OR($A172="S",$A172=0),0,MATCH(OFFSET($B172,0,$A172)+1,OFFSET($B172,1,$A172,ROW($A$202)-ROW($A172)),0))</f>
        <v>0</v>
      </c>
      <c r="J172" s="388" t="s">
        <v>103</v>
      </c>
      <c r="K172" s="138" t="str">
        <f t="shared" ca="1" si="54"/>
        <v>1.15.0.7.</v>
      </c>
      <c r="L172" s="370" t="s">
        <v>230</v>
      </c>
      <c r="M172" s="370" t="s">
        <v>280</v>
      </c>
      <c r="N172" s="368" t="s">
        <v>503</v>
      </c>
      <c r="O172" s="377" t="s">
        <v>288</v>
      </c>
      <c r="P172" s="363">
        <v>2</v>
      </c>
      <c r="Q172" s="195"/>
      <c r="R172" s="198" t="s">
        <v>7</v>
      </c>
      <c r="S172" s="103">
        <f t="shared" si="57"/>
        <v>0</v>
      </c>
      <c r="T172" s="83">
        <f t="shared" si="58"/>
        <v>0</v>
      </c>
      <c r="U172" s="9" t="str">
        <f t="shared" si="55"/>
        <v>SEM VALOR</v>
      </c>
      <c r="V172" s="1" t="str">
        <f ca="1">IF(OR($A172=0,$A172="S",$A172&gt;CFF!$A$9),"",MAX(V$12:OFFSET(V172,-1,0))+1)</f>
        <v/>
      </c>
      <c r="W172" s="4" t="str">
        <f t="shared" si="56"/>
        <v>SINAPI-94228</v>
      </c>
      <c r="X172" s="1">
        <f t="shared" ca="1" si="59"/>
        <v>14503</v>
      </c>
      <c r="Y172" s="103">
        <v>121.81</v>
      </c>
      <c r="Z172" s="113">
        <f ca="1">ROUND(IF(ISNUMBER(R172),R172,IF(LEFT(R172,3)="BDI",HLOOKUP(R172,DADOS!$T$37:$X$38,2,FALSE),0)),15-11*$X$5)</f>
        <v>0.2354</v>
      </c>
      <c r="AA172" s="1"/>
    </row>
    <row r="173" spans="1:27" ht="25.5" x14ac:dyDescent="0.2">
      <c r="A173" t="str">
        <f t="shared" si="47"/>
        <v>S</v>
      </c>
      <c r="B173">
        <f t="shared" si="48"/>
        <v>0</v>
      </c>
      <c r="C173">
        <f t="shared" ca="1" si="49"/>
        <v>1</v>
      </c>
      <c r="D173">
        <f t="shared" ca="1" si="50"/>
        <v>15</v>
      </c>
      <c r="E173">
        <f t="shared" ca="1" si="51"/>
        <v>0</v>
      </c>
      <c r="F173">
        <f t="shared" ca="1" si="52"/>
        <v>0</v>
      </c>
      <c r="G173">
        <f t="shared" ca="1" si="53"/>
        <v>8</v>
      </c>
      <c r="H173">
        <f ca="1">IF(OR($A173="S",$A173=0),0,MATCH(0,OFFSET($B173,1,$A173,ROW($A$202)-ROW($A173)),0))</f>
        <v>0</v>
      </c>
      <c r="I173">
        <f ca="1">IF(OR($A173="S",$A173=0),0,MATCH(OFFSET($B173,0,$A173)+1,OFFSET($B173,1,$A173,ROW($A$202)-ROW($A173)),0))</f>
        <v>0</v>
      </c>
      <c r="J173" s="388" t="s">
        <v>103</v>
      </c>
      <c r="K173" s="138" t="str">
        <f t="shared" ca="1" si="54"/>
        <v>1.15.0.8.</v>
      </c>
      <c r="L173" s="370" t="s">
        <v>230</v>
      </c>
      <c r="M173" s="370" t="s">
        <v>279</v>
      </c>
      <c r="N173" s="368" t="s">
        <v>504</v>
      </c>
      <c r="O173" s="377" t="s">
        <v>288</v>
      </c>
      <c r="P173" s="363">
        <v>2</v>
      </c>
      <c r="Q173" s="195"/>
      <c r="R173" s="198" t="s">
        <v>7</v>
      </c>
      <c r="S173" s="103">
        <f t="shared" si="57"/>
        <v>0</v>
      </c>
      <c r="T173" s="83">
        <f t="shared" si="58"/>
        <v>0</v>
      </c>
      <c r="U173" s="9" t="str">
        <f t="shared" si="55"/>
        <v>SEM VALOR</v>
      </c>
      <c r="V173" s="1" t="str">
        <f ca="1">IF(OR($A173=0,$A173="S",$A173&gt;CFF!$A$9),"",MAX(V$12:OFFSET(V173,-1,0))+1)</f>
        <v/>
      </c>
      <c r="W173" s="4" t="str">
        <f t="shared" si="56"/>
        <v>SINAPI-100327</v>
      </c>
      <c r="X173" s="1">
        <f t="shared" ca="1" si="59"/>
        <v>14522</v>
      </c>
      <c r="Y173" s="103">
        <v>77.92</v>
      </c>
      <c r="Z173" s="113">
        <f ca="1">ROUND(IF(ISNUMBER(R173),R173,IF(LEFT(R173,3)="BDI",HLOOKUP(R173,DADOS!$T$37:$X$38,2,FALSE),0)),15-11*$X$5)</f>
        <v>0.2354</v>
      </c>
      <c r="AA173" s="1"/>
    </row>
    <row r="174" spans="1:27" x14ac:dyDescent="0.2">
      <c r="A174" t="str">
        <f t="shared" si="47"/>
        <v>S</v>
      </c>
      <c r="B174">
        <f t="shared" si="48"/>
        <v>0</v>
      </c>
      <c r="C174">
        <f t="shared" ca="1" si="49"/>
        <v>1</v>
      </c>
      <c r="D174">
        <f t="shared" ca="1" si="50"/>
        <v>15</v>
      </c>
      <c r="E174">
        <f t="shared" ca="1" si="51"/>
        <v>0</v>
      </c>
      <c r="F174">
        <f t="shared" ca="1" si="52"/>
        <v>0</v>
      </c>
      <c r="G174">
        <f t="shared" ca="1" si="53"/>
        <v>9</v>
      </c>
      <c r="H174">
        <f ca="1">IF(OR($A174="S",$A174=0),0,MATCH(0,OFFSET($B174,1,$A174,ROW($A$202)-ROW($A174)),0))</f>
        <v>0</v>
      </c>
      <c r="I174">
        <f ca="1">IF(OR($A174="S",$A174=0),0,MATCH(OFFSET($B174,0,$A174)+1,OFFSET($B174,1,$A174,ROW($A$202)-ROW($A174)),0))</f>
        <v>0</v>
      </c>
      <c r="J174" s="388" t="s">
        <v>103</v>
      </c>
      <c r="K174" s="138" t="str">
        <f t="shared" ca="1" si="54"/>
        <v>1.15.0.9.</v>
      </c>
      <c r="L174" s="370" t="s">
        <v>230</v>
      </c>
      <c r="M174" s="370" t="s">
        <v>353</v>
      </c>
      <c r="N174" s="368" t="s">
        <v>505</v>
      </c>
      <c r="O174" s="377" t="s">
        <v>521</v>
      </c>
      <c r="P174" s="363">
        <v>1.75</v>
      </c>
      <c r="Q174" s="195"/>
      <c r="R174" s="198" t="s">
        <v>7</v>
      </c>
      <c r="S174" s="103">
        <f t="shared" si="57"/>
        <v>0</v>
      </c>
      <c r="T174" s="83">
        <f t="shared" si="58"/>
        <v>0</v>
      </c>
      <c r="U174" s="9" t="str">
        <f t="shared" si="55"/>
        <v>SEM VALOR</v>
      </c>
      <c r="V174" s="1" t="str">
        <f ca="1">IF(OR($A174=0,$A174="S",$A174&gt;CFF!$A$9),"",MAX(V$12:OFFSET(V174,-1,0))+1)</f>
        <v/>
      </c>
      <c r="W174" s="4" t="str">
        <f t="shared" si="56"/>
        <v>SINAPI-97631</v>
      </c>
      <c r="X174" s="1">
        <f t="shared" ca="1" si="59"/>
        <v>6856</v>
      </c>
      <c r="Y174" s="103">
        <v>16.11</v>
      </c>
      <c r="Z174" s="113">
        <f ca="1">ROUND(IF(ISNUMBER(R174),R174,IF(LEFT(R174,3)="BDI",HLOOKUP(R174,DADOS!$T$37:$X$38,2,FALSE),0)),15-11*$X$5)</f>
        <v>0.2354</v>
      </c>
      <c r="AA174" s="1"/>
    </row>
    <row r="175" spans="1:27" x14ac:dyDescent="0.2">
      <c r="A175" t="str">
        <f t="shared" si="47"/>
        <v>S</v>
      </c>
      <c r="B175">
        <f t="shared" si="48"/>
        <v>0</v>
      </c>
      <c r="C175">
        <f t="shared" ca="1" si="49"/>
        <v>1</v>
      </c>
      <c r="D175">
        <f t="shared" ca="1" si="50"/>
        <v>15</v>
      </c>
      <c r="E175">
        <f t="shared" ca="1" si="51"/>
        <v>0</v>
      </c>
      <c r="F175">
        <f t="shared" ca="1" si="52"/>
        <v>0</v>
      </c>
      <c r="G175">
        <f t="shared" ca="1" si="53"/>
        <v>10</v>
      </c>
      <c r="H175">
        <f ca="1">IF(OR($A175="S",$A175=0),0,MATCH(0,OFFSET($B175,1,$A175,ROW($A$202)-ROW($A175)),0))</f>
        <v>0</v>
      </c>
      <c r="I175">
        <f ca="1">IF(OR($A175="S",$A175=0),0,MATCH(OFFSET($B175,0,$A175)+1,OFFSET($B175,1,$A175,ROW($A$202)-ROW($A175)),0))</f>
        <v>0</v>
      </c>
      <c r="J175" s="388" t="s">
        <v>103</v>
      </c>
      <c r="K175" s="138" t="str">
        <f t="shared" ca="1" si="54"/>
        <v>1.15.0.10.</v>
      </c>
      <c r="L175" s="370" t="s">
        <v>234</v>
      </c>
      <c r="M175" s="370" t="s">
        <v>354</v>
      </c>
      <c r="N175" s="368" t="s">
        <v>506</v>
      </c>
      <c r="O175" s="377" t="s">
        <v>288</v>
      </c>
      <c r="P175" s="363">
        <v>3.5</v>
      </c>
      <c r="Q175" s="195"/>
      <c r="R175" s="198" t="s">
        <v>7</v>
      </c>
      <c r="S175" s="103">
        <f t="shared" si="57"/>
        <v>0</v>
      </c>
      <c r="T175" s="83">
        <f t="shared" si="58"/>
        <v>0</v>
      </c>
      <c r="U175" s="9" t="str">
        <f t="shared" si="55"/>
        <v>SEM VALOR</v>
      </c>
      <c r="V175" s="1" t="str">
        <f ca="1">IF(OR($A175=0,$A175="S",$A175&gt;CFF!$A$9),"",MAX(V$12:OFFSET(V175,-1,0))+1)</f>
        <v/>
      </c>
      <c r="W175" s="4" t="str">
        <f t="shared" si="56"/>
        <v>PM BENTO-124</v>
      </c>
      <c r="X175" s="1">
        <f t="shared" ca="1" si="59"/>
        <v>62</v>
      </c>
      <c r="Y175" s="103">
        <v>90.47</v>
      </c>
      <c r="Z175" s="113">
        <f ca="1">ROUND(IF(ISNUMBER(R175),R175,IF(LEFT(R175,3)="BDI",HLOOKUP(R175,DADOS!$T$37:$X$38,2,FALSE),0)),15-11*$X$5)</f>
        <v>0.2354</v>
      </c>
      <c r="AA175" s="1"/>
    </row>
    <row r="176" spans="1:27" ht="25.5" x14ac:dyDescent="0.2">
      <c r="A176" t="str">
        <f t="shared" si="47"/>
        <v>S</v>
      </c>
      <c r="B176">
        <f t="shared" si="48"/>
        <v>0</v>
      </c>
      <c r="C176">
        <f t="shared" ca="1" si="49"/>
        <v>1</v>
      </c>
      <c r="D176">
        <f t="shared" ca="1" si="50"/>
        <v>15</v>
      </c>
      <c r="E176">
        <f t="shared" ca="1" si="51"/>
        <v>0</v>
      </c>
      <c r="F176">
        <f t="shared" ca="1" si="52"/>
        <v>0</v>
      </c>
      <c r="G176">
        <f t="shared" ca="1" si="53"/>
        <v>11</v>
      </c>
      <c r="H176">
        <f ca="1">IF(OR($A176="S",$A176=0),0,MATCH(0,OFFSET($B176,1,$A176,ROW($A$202)-ROW($A176)),0))</f>
        <v>0</v>
      </c>
      <c r="I176">
        <f ca="1">IF(OR($A176="S",$A176=0),0,MATCH(OFFSET($B176,0,$A176)+1,OFFSET($B176,1,$A176,ROW($A$202)-ROW($A176)),0))</f>
        <v>0</v>
      </c>
      <c r="J176" s="388" t="s">
        <v>103</v>
      </c>
      <c r="K176" s="138" t="str">
        <f t="shared" ca="1" si="54"/>
        <v>1.15.0.11.</v>
      </c>
      <c r="L176" s="370" t="s">
        <v>230</v>
      </c>
      <c r="M176" s="370" t="s">
        <v>266</v>
      </c>
      <c r="N176" s="368" t="s">
        <v>419</v>
      </c>
      <c r="O176" s="377" t="s">
        <v>521</v>
      </c>
      <c r="P176" s="363">
        <v>1.75</v>
      </c>
      <c r="Q176" s="195"/>
      <c r="R176" s="198" t="s">
        <v>7</v>
      </c>
      <c r="S176" s="103">
        <f t="shared" si="57"/>
        <v>0</v>
      </c>
      <c r="T176" s="83">
        <f t="shared" si="58"/>
        <v>0</v>
      </c>
      <c r="U176" s="9" t="str">
        <f t="shared" si="55"/>
        <v>SEM VALOR</v>
      </c>
      <c r="V176" s="1" t="str">
        <f ca="1">IF(OR($A176=0,$A176="S",$A176&gt;CFF!$A$9),"",MAX(V$12:OFFSET(V176,-1,0))+1)</f>
        <v/>
      </c>
      <c r="W176" s="4" t="str">
        <f t="shared" si="56"/>
        <v>SINAPI-87879</v>
      </c>
      <c r="X176" s="1">
        <f t="shared" ca="1" si="59"/>
        <v>6247</v>
      </c>
      <c r="Y176" s="103">
        <v>6.23</v>
      </c>
      <c r="Z176" s="113">
        <f ca="1">ROUND(IF(ISNUMBER(R176),R176,IF(LEFT(R176,3)="BDI",HLOOKUP(R176,DADOS!$T$37:$X$38,2,FALSE),0)),15-11*$X$5)</f>
        <v>0.2354</v>
      </c>
      <c r="AA176" s="1"/>
    </row>
    <row r="177" spans="1:27" ht="25.5" x14ac:dyDescent="0.2">
      <c r="A177" t="str">
        <f t="shared" si="47"/>
        <v>S</v>
      </c>
      <c r="B177">
        <f t="shared" si="48"/>
        <v>0</v>
      </c>
      <c r="C177">
        <f t="shared" ca="1" si="49"/>
        <v>1</v>
      </c>
      <c r="D177">
        <f t="shared" ca="1" si="50"/>
        <v>15</v>
      </c>
      <c r="E177">
        <f t="shared" ca="1" si="51"/>
        <v>0</v>
      </c>
      <c r="F177">
        <f t="shared" ca="1" si="52"/>
        <v>0</v>
      </c>
      <c r="G177">
        <f t="shared" ca="1" si="53"/>
        <v>12</v>
      </c>
      <c r="H177">
        <f ca="1">IF(OR($A177="S",$A177=0),0,MATCH(0,OFFSET($B177,1,$A177,ROW($A$202)-ROW($A177)),0))</f>
        <v>0</v>
      </c>
      <c r="I177">
        <f ca="1">IF(OR($A177="S",$A177=0),0,MATCH(OFFSET($B177,0,$A177)+1,OFFSET($B177,1,$A177,ROW($A$202)-ROW($A177)),0))</f>
        <v>0</v>
      </c>
      <c r="J177" s="388" t="s">
        <v>103</v>
      </c>
      <c r="K177" s="138" t="str">
        <f t="shared" ca="1" si="54"/>
        <v>1.15.0.12.</v>
      </c>
      <c r="L177" s="370" t="s">
        <v>230</v>
      </c>
      <c r="M177" s="370" t="s">
        <v>355</v>
      </c>
      <c r="N177" s="368" t="s">
        <v>507</v>
      </c>
      <c r="O177" s="377" t="s">
        <v>521</v>
      </c>
      <c r="P177" s="363">
        <v>1.75</v>
      </c>
      <c r="Q177" s="195"/>
      <c r="R177" s="198" t="s">
        <v>7</v>
      </c>
      <c r="S177" s="103">
        <f t="shared" si="57"/>
        <v>0</v>
      </c>
      <c r="T177" s="83">
        <f t="shared" si="58"/>
        <v>0</v>
      </c>
      <c r="U177" s="9" t="str">
        <f t="shared" si="55"/>
        <v>SEM VALOR</v>
      </c>
      <c r="V177" s="1" t="str">
        <f ca="1">IF(OR($A177=0,$A177="S",$A177&gt;CFF!$A$9),"",MAX(V$12:OFFSET(V177,-1,0))+1)</f>
        <v/>
      </c>
      <c r="W177" s="4" t="str">
        <f t="shared" si="56"/>
        <v>SINAPI-87531</v>
      </c>
      <c r="X177" s="1">
        <f t="shared" ca="1" si="59"/>
        <v>12736</v>
      </c>
      <c r="Y177" s="103">
        <v>46.72</v>
      </c>
      <c r="Z177" s="113">
        <f ca="1">ROUND(IF(ISNUMBER(R177),R177,IF(LEFT(R177,3)="BDI",HLOOKUP(R177,DADOS!$T$37:$X$38,2,FALSE),0)),15-11*$X$5)</f>
        <v>0.2354</v>
      </c>
      <c r="AA177" s="1"/>
    </row>
    <row r="178" spans="1:27" x14ac:dyDescent="0.2">
      <c r="A178" t="str">
        <f t="shared" si="47"/>
        <v>S</v>
      </c>
      <c r="B178">
        <f t="shared" si="48"/>
        <v>0</v>
      </c>
      <c r="C178">
        <f t="shared" ca="1" si="49"/>
        <v>1</v>
      </c>
      <c r="D178">
        <f t="shared" ca="1" si="50"/>
        <v>15</v>
      </c>
      <c r="E178">
        <f t="shared" ca="1" si="51"/>
        <v>0</v>
      </c>
      <c r="F178">
        <f t="shared" ca="1" si="52"/>
        <v>0</v>
      </c>
      <c r="G178">
        <f t="shared" ca="1" si="53"/>
        <v>13</v>
      </c>
      <c r="H178">
        <f ca="1">IF(OR($A178="S",$A178=0),0,MATCH(0,OFFSET($B178,1,$A178,ROW($A$202)-ROW($A178)),0))</f>
        <v>0</v>
      </c>
      <c r="I178">
        <f ca="1">IF(OR($A178="S",$A178=0),0,MATCH(OFFSET($B178,0,$A178)+1,OFFSET($B178,1,$A178,ROW($A$202)-ROW($A178)),0))</f>
        <v>0</v>
      </c>
      <c r="J178" s="388" t="s">
        <v>103</v>
      </c>
      <c r="K178" s="138" t="str">
        <f t="shared" ca="1" si="54"/>
        <v>1.15.0.13.</v>
      </c>
      <c r="L178" s="370" t="s">
        <v>230</v>
      </c>
      <c r="M178" s="370" t="s">
        <v>356</v>
      </c>
      <c r="N178" s="368" t="s">
        <v>508</v>
      </c>
      <c r="O178" s="377" t="s">
        <v>521</v>
      </c>
      <c r="P178" s="363">
        <v>2</v>
      </c>
      <c r="Q178" s="195"/>
      <c r="R178" s="198" t="s">
        <v>7</v>
      </c>
      <c r="S178" s="103">
        <f t="shared" si="57"/>
        <v>0</v>
      </c>
      <c r="T178" s="83">
        <f t="shared" si="58"/>
        <v>0</v>
      </c>
      <c r="U178" s="9" t="str">
        <f t="shared" si="55"/>
        <v>SEM VALOR</v>
      </c>
      <c r="V178" s="1" t="str">
        <f ca="1">IF(OR($A178=0,$A178="S",$A178&gt;CFF!$A$9),"",MAX(V$12:OFFSET(V178,-1,0))+1)</f>
        <v/>
      </c>
      <c r="W178" s="4" t="str">
        <f t="shared" si="56"/>
        <v>SINAPI-97641</v>
      </c>
      <c r="X178" s="1">
        <f t="shared" ca="1" si="59"/>
        <v>6880</v>
      </c>
      <c r="Y178" s="103">
        <v>4.1399999999999997</v>
      </c>
      <c r="Z178" s="113">
        <f ca="1">ROUND(IF(ISNUMBER(R178),R178,IF(LEFT(R178,3)="BDI",HLOOKUP(R178,DADOS!$T$37:$X$38,2,FALSE),0)),15-11*$X$5)</f>
        <v>0.2354</v>
      </c>
      <c r="AA178" s="1"/>
    </row>
    <row r="179" spans="1:27" x14ac:dyDescent="0.2">
      <c r="A179" t="str">
        <f t="shared" si="47"/>
        <v>S</v>
      </c>
      <c r="B179">
        <f t="shared" si="48"/>
        <v>0</v>
      </c>
      <c r="C179">
        <f t="shared" ca="1" si="49"/>
        <v>1</v>
      </c>
      <c r="D179">
        <f t="shared" ca="1" si="50"/>
        <v>15</v>
      </c>
      <c r="E179">
        <f t="shared" ca="1" si="51"/>
        <v>0</v>
      </c>
      <c r="F179">
        <f t="shared" ca="1" si="52"/>
        <v>0</v>
      </c>
      <c r="G179">
        <f t="shared" ca="1" si="53"/>
        <v>14</v>
      </c>
      <c r="H179">
        <f ca="1">IF(OR($A179="S",$A179=0),0,MATCH(0,OFFSET($B179,1,$A179,ROW($A$202)-ROW($A179)),0))</f>
        <v>0</v>
      </c>
      <c r="I179">
        <f ca="1">IF(OR($A179="S",$A179=0),0,MATCH(OFFSET($B179,0,$A179)+1,OFFSET($B179,1,$A179,ROW($A$202)-ROW($A179)),0))</f>
        <v>0</v>
      </c>
      <c r="J179" s="388" t="s">
        <v>103</v>
      </c>
      <c r="K179" s="138" t="str">
        <f t="shared" ca="1" si="54"/>
        <v>1.15.0.14.</v>
      </c>
      <c r="L179" s="370" t="s">
        <v>230</v>
      </c>
      <c r="M179" s="370" t="s">
        <v>357</v>
      </c>
      <c r="N179" s="368" t="s">
        <v>509</v>
      </c>
      <c r="O179" s="377" t="s">
        <v>521</v>
      </c>
      <c r="P179" s="363">
        <v>2</v>
      </c>
      <c r="Q179" s="195"/>
      <c r="R179" s="198" t="s">
        <v>7</v>
      </c>
      <c r="S179" s="103">
        <f t="shared" si="57"/>
        <v>0</v>
      </c>
      <c r="T179" s="83">
        <f t="shared" si="58"/>
        <v>0</v>
      </c>
      <c r="U179" s="9" t="str">
        <f t="shared" si="55"/>
        <v>SEM VALOR</v>
      </c>
      <c r="V179" s="1" t="str">
        <f ca="1">IF(OR($A179=0,$A179="S",$A179&gt;CFF!$A$9),"",MAX(V$12:OFFSET(V179,-1,0))+1)</f>
        <v/>
      </c>
      <c r="W179" s="4" t="str">
        <f t="shared" si="56"/>
        <v>SINAPI-96109</v>
      </c>
      <c r="X179" s="1">
        <f t="shared" ca="1" si="59"/>
        <v>9134</v>
      </c>
      <c r="Y179" s="103">
        <v>71.44</v>
      </c>
      <c r="Z179" s="113">
        <f ca="1">ROUND(IF(ISNUMBER(R179),R179,IF(LEFT(R179,3)="BDI",HLOOKUP(R179,DADOS!$T$37:$X$38,2,FALSE),0)),15-11*$X$5)</f>
        <v>0.2354</v>
      </c>
      <c r="AA179" s="1"/>
    </row>
    <row r="180" spans="1:27" x14ac:dyDescent="0.2">
      <c r="A180" t="str">
        <f t="shared" si="47"/>
        <v>S</v>
      </c>
      <c r="B180">
        <f t="shared" si="48"/>
        <v>0</v>
      </c>
      <c r="C180">
        <f t="shared" ca="1" si="49"/>
        <v>1</v>
      </c>
      <c r="D180">
        <f t="shared" ca="1" si="50"/>
        <v>15</v>
      </c>
      <c r="E180">
        <f t="shared" ca="1" si="51"/>
        <v>0</v>
      </c>
      <c r="F180">
        <f t="shared" ca="1" si="52"/>
        <v>0</v>
      </c>
      <c r="G180">
        <f t="shared" ca="1" si="53"/>
        <v>15</v>
      </c>
      <c r="H180">
        <f ca="1">IF(OR($A180="S",$A180=0),0,MATCH(0,OFFSET($B180,1,$A180,ROW($A$202)-ROW($A180)),0))</f>
        <v>0</v>
      </c>
      <c r="I180">
        <f ca="1">IF(OR($A180="S",$A180=0),0,MATCH(OFFSET($B180,0,$A180)+1,OFFSET($B180,1,$A180,ROW($A$202)-ROW($A180)),0))</f>
        <v>0</v>
      </c>
      <c r="J180" s="388" t="s">
        <v>103</v>
      </c>
      <c r="K180" s="138" t="str">
        <f t="shared" ca="1" si="54"/>
        <v>1.15.0.15.</v>
      </c>
      <c r="L180" s="370" t="s">
        <v>230</v>
      </c>
      <c r="M180" s="370" t="s">
        <v>238</v>
      </c>
      <c r="N180" s="368" t="s">
        <v>510</v>
      </c>
      <c r="O180" s="377" t="s">
        <v>521</v>
      </c>
      <c r="P180" s="363">
        <v>2</v>
      </c>
      <c r="Q180" s="195"/>
      <c r="R180" s="198" t="s">
        <v>7</v>
      </c>
      <c r="S180" s="103">
        <f t="shared" si="57"/>
        <v>0</v>
      </c>
      <c r="T180" s="83">
        <f t="shared" si="58"/>
        <v>0</v>
      </c>
      <c r="U180" s="9" t="str">
        <f t="shared" si="55"/>
        <v>SEM VALOR</v>
      </c>
      <c r="V180" s="1" t="str">
        <f ca="1">IF(OR($A180=0,$A180="S",$A180&gt;CFF!$A$9),"",MAX(V$12:OFFSET(V180,-1,0))+1)</f>
        <v/>
      </c>
      <c r="W180" s="4" t="str">
        <f t="shared" si="56"/>
        <v>SINAPI-88484</v>
      </c>
      <c r="X180" s="1">
        <f t="shared" ca="1" si="59"/>
        <v>13268</v>
      </c>
      <c r="Y180" s="103">
        <v>6.25</v>
      </c>
      <c r="Z180" s="113">
        <f ca="1">ROUND(IF(ISNUMBER(R180),R180,IF(LEFT(R180,3)="BDI",HLOOKUP(R180,DADOS!$T$37:$X$38,2,FALSE),0)),15-11*$X$5)</f>
        <v>0.2354</v>
      </c>
      <c r="AA180" s="1"/>
    </row>
    <row r="181" spans="1:27" x14ac:dyDescent="0.2">
      <c r="A181" t="str">
        <f t="shared" si="47"/>
        <v>S</v>
      </c>
      <c r="B181">
        <f t="shared" si="48"/>
        <v>0</v>
      </c>
      <c r="C181">
        <f t="shared" ca="1" si="49"/>
        <v>1</v>
      </c>
      <c r="D181">
        <f t="shared" ca="1" si="50"/>
        <v>15</v>
      </c>
      <c r="E181">
        <f t="shared" ca="1" si="51"/>
        <v>0</v>
      </c>
      <c r="F181">
        <f t="shared" ca="1" si="52"/>
        <v>0</v>
      </c>
      <c r="G181">
        <f t="shared" ca="1" si="53"/>
        <v>16</v>
      </c>
      <c r="H181">
        <f ca="1">IF(OR($A181="S",$A181=0),0,MATCH(0,OFFSET($B181,1,$A181,ROW($A$202)-ROW($A181)),0))</f>
        <v>0</v>
      </c>
      <c r="I181">
        <f ca="1">IF(OR($A181="S",$A181=0),0,MATCH(OFFSET($B181,0,$A181)+1,OFFSET($B181,1,$A181,ROW($A$202)-ROW($A181)),0))</f>
        <v>0</v>
      </c>
      <c r="J181" s="388" t="s">
        <v>103</v>
      </c>
      <c r="K181" s="138" t="str">
        <f t="shared" ca="1" si="54"/>
        <v>1.15.0.16.</v>
      </c>
      <c r="L181" s="370" t="s">
        <v>230</v>
      </c>
      <c r="M181" s="370" t="s">
        <v>239</v>
      </c>
      <c r="N181" s="368" t="s">
        <v>511</v>
      </c>
      <c r="O181" s="377" t="s">
        <v>521</v>
      </c>
      <c r="P181" s="363">
        <v>2</v>
      </c>
      <c r="Q181" s="195"/>
      <c r="R181" s="198" t="s">
        <v>7</v>
      </c>
      <c r="S181" s="103">
        <f t="shared" si="57"/>
        <v>0</v>
      </c>
      <c r="T181" s="83">
        <f t="shared" si="58"/>
        <v>0</v>
      </c>
      <c r="U181" s="9" t="str">
        <f t="shared" si="55"/>
        <v>SEM VALOR</v>
      </c>
      <c r="V181" s="1" t="str">
        <f ca="1">IF(OR($A181=0,$A181="S",$A181&gt;CFF!$A$9),"",MAX(V$12:OFFSET(V181,-1,0))+1)</f>
        <v/>
      </c>
      <c r="W181" s="4" t="str">
        <f t="shared" si="56"/>
        <v>SINAPI-88496</v>
      </c>
      <c r="X181" s="1">
        <f t="shared" ca="1" si="59"/>
        <v>13263</v>
      </c>
      <c r="Y181" s="103">
        <v>43.94</v>
      </c>
      <c r="Z181" s="113">
        <f ca="1">ROUND(IF(ISNUMBER(R181),R181,IF(LEFT(R181,3)="BDI",HLOOKUP(R181,DADOS!$T$37:$X$38,2,FALSE),0)),15-11*$X$5)</f>
        <v>0.2354</v>
      </c>
      <c r="AA181" s="1"/>
    </row>
    <row r="182" spans="1:27" x14ac:dyDescent="0.2">
      <c r="A182" t="str">
        <f t="shared" ref="A182:A201" si="60">CHOOSE(1+LOG(1+2*(J182="Meta")+4*(J182="Nível 2")+8*(J182="Nível 3")+16*(J182="Nível 4")+32*(J182="Serviço"),2),0,1,2,3,4,"S")</f>
        <v>S</v>
      </c>
      <c r="B182">
        <f t="shared" ref="B182:B201" si="61">IF(OR(A182="S",A182=0),0,IF(ISERROR(I182),H182,SMALL(H182:I182,1)))</f>
        <v>0</v>
      </c>
      <c r="C182">
        <f t="shared" ref="C182:C201" ca="1" si="62">IF($A182=1,OFFSET(C182,-1,0)+1,OFFSET(C182,-1,0))</f>
        <v>1</v>
      </c>
      <c r="D182">
        <f t="shared" ref="D182:D201" ca="1" si="63">IF($A182=1,0,IF($A182=2,OFFSET(D182,-1,0)+1,OFFSET(D182,-1,0)))</f>
        <v>15</v>
      </c>
      <c r="E182">
        <f t="shared" ref="E182:E201" ca="1" si="64">IF(AND($A182&lt;=2,$A182&lt;&gt;0),0,IF($A182=3,OFFSET(E182,-1,0)+1,OFFSET(E182,-1,0)))</f>
        <v>0</v>
      </c>
      <c r="F182">
        <f t="shared" ref="F182:F201" ca="1" si="65">IF(AND($A182&lt;=3,$A182&lt;&gt;0),0,IF($A182=4,OFFSET(F182,-1,0)+1,OFFSET(F182,-1,0)))</f>
        <v>0</v>
      </c>
      <c r="G182">
        <f t="shared" ref="G182:G201" ca="1" si="66">IF(AND($A182&lt;=4,$A182&lt;&gt;0),0,IF($A182="S",OFFSET(G182,-1,0)+1,OFFSET(G182,-1,0)))</f>
        <v>17</v>
      </c>
      <c r="H182">
        <f ca="1">IF(OR($A182="S",$A182=0),0,MATCH(0,OFFSET($B182,1,$A182,ROW($A$202)-ROW($A182)),0))</f>
        <v>0</v>
      </c>
      <c r="I182">
        <f ca="1">IF(OR($A182="S",$A182=0),0,MATCH(OFFSET($B182,0,$A182)+1,OFFSET($B182,1,$A182,ROW($A$202)-ROW($A182)),0))</f>
        <v>0</v>
      </c>
      <c r="J182" s="388" t="s">
        <v>103</v>
      </c>
      <c r="K182" s="138" t="str">
        <f t="shared" ref="K182:K201" ca="1" si="67">IF($A182=0,"-",CONCATENATE(C182&amp;".",IF(AND($A$5&gt;=2,$A182&gt;=2),D182&amp;".",""),IF(AND($A$5&gt;=3,$A182&gt;=3),E182&amp;".",""),IF(AND($A$5&gt;=4,$A182&gt;=4),F182&amp;".",""),IF($A182="S",G182&amp;".","")))</f>
        <v>1.15.0.17.</v>
      </c>
      <c r="L182" s="370" t="s">
        <v>230</v>
      </c>
      <c r="M182" s="370" t="s">
        <v>241</v>
      </c>
      <c r="N182" s="368" t="s">
        <v>512</v>
      </c>
      <c r="O182" s="377" t="s">
        <v>521</v>
      </c>
      <c r="P182" s="363">
        <v>2</v>
      </c>
      <c r="Q182" s="195"/>
      <c r="R182" s="198" t="s">
        <v>7</v>
      </c>
      <c r="S182" s="103">
        <f t="shared" si="57"/>
        <v>0</v>
      </c>
      <c r="T182" s="83">
        <f t="shared" si="58"/>
        <v>0</v>
      </c>
      <c r="U182" s="9" t="str">
        <f t="shared" ref="U182:U201" si="68">IF($J182="","",IF($N182="","DESCRIÇÃO",IF(AND($J182="Serviço",$O182=""),"UNIDADE",IF($T182&lt;=0,"SEM VALOR",IF(AND($Y182&lt;&gt;"",$Q182&gt;$Y182),"ACIMA REF.","")))))</f>
        <v>SEM VALOR</v>
      </c>
      <c r="V182" s="1" t="str">
        <f ca="1">IF(OR($A182=0,$A182="S",$A182&gt;CFF!$A$9),"",MAX(V$12:OFFSET(V182,-1,0))+1)</f>
        <v/>
      </c>
      <c r="W182" s="4" t="str">
        <f t="shared" ref="W182:W201" si="69">IF(AND($J182="Serviço",$M182&lt;&gt;""),IF($L182="",$M182,CONCATENATE($L182,"-",$M182)))</f>
        <v>SINAPI-104640</v>
      </c>
      <c r="X182" s="1">
        <f t="shared" ca="1" si="59"/>
        <v>13278</v>
      </c>
      <c r="Y182" s="103">
        <v>17.53</v>
      </c>
      <c r="Z182" s="113">
        <f ca="1">ROUND(IF(ISNUMBER(R182),R182,IF(LEFT(R182,3)="BDI",HLOOKUP(R182,DADOS!$T$37:$X$38,2,FALSE),0)),15-11*$X$5)</f>
        <v>0.2354</v>
      </c>
      <c r="AA182" s="1"/>
    </row>
    <row r="183" spans="1:27" x14ac:dyDescent="0.2">
      <c r="A183">
        <f t="shared" si="60"/>
        <v>2</v>
      </c>
      <c r="B183">
        <f t="shared" ca="1" si="61"/>
        <v>9</v>
      </c>
      <c r="C183">
        <f t="shared" ca="1" si="62"/>
        <v>1</v>
      </c>
      <c r="D183">
        <f t="shared" ca="1" si="63"/>
        <v>16</v>
      </c>
      <c r="E183">
        <f t="shared" ca="1" si="64"/>
        <v>0</v>
      </c>
      <c r="F183">
        <f t="shared" ca="1" si="65"/>
        <v>0</v>
      </c>
      <c r="G183">
        <f t="shared" ca="1" si="66"/>
        <v>0</v>
      </c>
      <c r="H183">
        <f ca="1">IF(OR($A183="S",$A183=0),0,MATCH(0,OFFSET($B183,1,$A183,ROW($A$202)-ROW($A183)),0))</f>
        <v>19</v>
      </c>
      <c r="I183">
        <f ca="1">IF(OR($A183="S",$A183=0),0,MATCH(OFFSET($B183,0,$A183)+1,OFFSET($B183,1,$A183,ROW($A$202)-ROW($A183)),0))</f>
        <v>9</v>
      </c>
      <c r="J183" s="388" t="s">
        <v>100</v>
      </c>
      <c r="K183" s="138" t="str">
        <f t="shared" ca="1" si="67"/>
        <v>1.16.</v>
      </c>
      <c r="L183" s="370" t="s">
        <v>230</v>
      </c>
      <c r="M183" s="370"/>
      <c r="N183" s="381" t="s">
        <v>397</v>
      </c>
      <c r="O183" s="377" t="s">
        <v>106</v>
      </c>
      <c r="P183" s="363" t="s">
        <v>363</v>
      </c>
      <c r="Q183" s="195"/>
      <c r="R183" s="198" t="s">
        <v>7</v>
      </c>
      <c r="S183" s="103">
        <f t="shared" si="57"/>
        <v>0</v>
      </c>
      <c r="T183" s="83">
        <f t="shared" ca="1" si="58"/>
        <v>0</v>
      </c>
      <c r="U183" s="9" t="str">
        <f t="shared" ca="1" si="68"/>
        <v>SEM VALOR</v>
      </c>
      <c r="V183" s="1">
        <f ca="1">IF(OR($A183=0,$A183="S",$A183&gt;CFF!$A$9),"",MAX(V$12:OFFSET(V183,-1,0))+1)</f>
        <v>17</v>
      </c>
      <c r="W183" s="4" t="b">
        <f t="shared" si="69"/>
        <v>0</v>
      </c>
      <c r="X183" s="1" t="str">
        <f t="shared" ca="1" si="59"/>
        <v>X</v>
      </c>
      <c r="Y183" s="103">
        <v>0</v>
      </c>
      <c r="Z183" s="113">
        <f ca="1">ROUND(IF(ISNUMBER(R183),R183,IF(LEFT(R183,3)="BDI",HLOOKUP(R183,DADOS!$T$37:$X$38,2,FALSE),0)),15-11*$X$5)</f>
        <v>0.2354</v>
      </c>
      <c r="AA183" s="1"/>
    </row>
    <row r="184" spans="1:27" x14ac:dyDescent="0.2">
      <c r="A184">
        <f t="shared" si="60"/>
        <v>3</v>
      </c>
      <c r="B184">
        <f t="shared" ca="1" si="61"/>
        <v>4</v>
      </c>
      <c r="C184">
        <f t="shared" ca="1" si="62"/>
        <v>1</v>
      </c>
      <c r="D184">
        <f t="shared" ca="1" si="63"/>
        <v>16</v>
      </c>
      <c r="E184">
        <f t="shared" ca="1" si="64"/>
        <v>1</v>
      </c>
      <c r="F184">
        <f t="shared" ca="1" si="65"/>
        <v>0</v>
      </c>
      <c r="G184">
        <f t="shared" ca="1" si="66"/>
        <v>0</v>
      </c>
      <c r="H184">
        <f ca="1">IF(OR($A184="S",$A184=0),0,MATCH(0,OFFSET($B184,1,$A184,ROW($A$202)-ROW($A184)),0))</f>
        <v>8</v>
      </c>
      <c r="I184">
        <f ca="1">IF(OR($A184="S",$A184=0),0,MATCH(OFFSET($B184,0,$A184)+1,OFFSET($B184,1,$A184,ROW($A$202)-ROW($A184)),0))</f>
        <v>4</v>
      </c>
      <c r="J184" s="388" t="s">
        <v>101</v>
      </c>
      <c r="K184" s="138" t="str">
        <f t="shared" ca="1" si="67"/>
        <v>1.16.1.</v>
      </c>
      <c r="L184" s="370" t="s">
        <v>230</v>
      </c>
      <c r="M184" s="370"/>
      <c r="N184" s="381" t="s">
        <v>398</v>
      </c>
      <c r="O184" s="377" t="s">
        <v>106</v>
      </c>
      <c r="P184" s="363" t="s">
        <v>363</v>
      </c>
      <c r="Q184" s="195"/>
      <c r="R184" s="198" t="s">
        <v>7</v>
      </c>
      <c r="S184" s="103">
        <f t="shared" si="57"/>
        <v>0</v>
      </c>
      <c r="T184" s="83">
        <f t="shared" ca="1" si="58"/>
        <v>0</v>
      </c>
      <c r="U184" s="9" t="str">
        <f t="shared" ca="1" si="68"/>
        <v>SEM VALOR</v>
      </c>
      <c r="V184" s="1" t="str">
        <f ca="1">IF(OR($A184=0,$A184="S",$A184&gt;CFF!$A$9),"",MAX(V$12:OFFSET(V184,-1,0))+1)</f>
        <v/>
      </c>
      <c r="W184" s="4" t="b">
        <f t="shared" si="69"/>
        <v>0</v>
      </c>
      <c r="X184" s="1" t="str">
        <f t="shared" ca="1" si="59"/>
        <v>X</v>
      </c>
      <c r="Y184" s="103">
        <v>0</v>
      </c>
      <c r="Z184" s="113">
        <f ca="1">ROUND(IF(ISNUMBER(R184),R184,IF(LEFT(R184,3)="BDI",HLOOKUP(R184,DADOS!$T$37:$X$38,2,FALSE),0)),15-11*$X$5)</f>
        <v>0.2354</v>
      </c>
      <c r="AA184" s="1"/>
    </row>
    <row r="185" spans="1:27" ht="63.75" x14ac:dyDescent="0.2">
      <c r="A185" t="str">
        <f t="shared" si="60"/>
        <v>S</v>
      </c>
      <c r="B185">
        <f t="shared" si="61"/>
        <v>0</v>
      </c>
      <c r="C185">
        <f t="shared" ca="1" si="62"/>
        <v>1</v>
      </c>
      <c r="D185">
        <f t="shared" ca="1" si="63"/>
        <v>16</v>
      </c>
      <c r="E185">
        <f t="shared" ca="1" si="64"/>
        <v>1</v>
      </c>
      <c r="F185">
        <f t="shared" ca="1" si="65"/>
        <v>0</v>
      </c>
      <c r="G185">
        <f t="shared" ca="1" si="66"/>
        <v>1</v>
      </c>
      <c r="H185">
        <f ca="1">IF(OR($A185="S",$A185=0),0,MATCH(0,OFFSET($B185,1,$A185,ROW($A$202)-ROW($A185)),0))</f>
        <v>0</v>
      </c>
      <c r="I185">
        <f ca="1">IF(OR($A185="S",$A185=0),0,MATCH(OFFSET($B185,0,$A185)+1,OFFSET($B185,1,$A185,ROW($A$202)-ROW($A185)),0))</f>
        <v>0</v>
      </c>
      <c r="J185" s="388" t="s">
        <v>103</v>
      </c>
      <c r="K185" s="138" t="str">
        <f t="shared" ca="1" si="67"/>
        <v>1.16.1.1.</v>
      </c>
      <c r="L185" s="370" t="s">
        <v>234</v>
      </c>
      <c r="M185" s="370" t="s">
        <v>339</v>
      </c>
      <c r="N185" s="368" t="s">
        <v>467</v>
      </c>
      <c r="O185" s="377" t="s">
        <v>288</v>
      </c>
      <c r="P185" s="363">
        <v>20.7</v>
      </c>
      <c r="Q185" s="195"/>
      <c r="R185" s="198" t="s">
        <v>7</v>
      </c>
      <c r="S185" s="103">
        <f t="shared" si="57"/>
        <v>0</v>
      </c>
      <c r="T185" s="83">
        <f t="shared" si="58"/>
        <v>0</v>
      </c>
      <c r="U185" s="9" t="str">
        <f t="shared" si="68"/>
        <v>SEM VALOR</v>
      </c>
      <c r="V185" s="1" t="str">
        <f ca="1">IF(OR($A185=0,$A185="S",$A185&gt;CFF!$A$9),"",MAX(V$12:OFFSET(V185,-1,0))+1)</f>
        <v/>
      </c>
      <c r="W185" s="4" t="str">
        <f t="shared" si="69"/>
        <v>PM BENTO-109</v>
      </c>
      <c r="X185" s="1">
        <f t="shared" ca="1" si="59"/>
        <v>47</v>
      </c>
      <c r="Y185" s="103">
        <v>848.55</v>
      </c>
      <c r="Z185" s="113">
        <f ca="1">ROUND(IF(ISNUMBER(R185),R185,IF(LEFT(R185,3)="BDI",HLOOKUP(R185,DADOS!$T$37:$X$38,2,FALSE),0)),15-11*$X$5)</f>
        <v>0.2354</v>
      </c>
      <c r="AA185" s="1"/>
    </row>
    <row r="186" spans="1:27" ht="38.25" x14ac:dyDescent="0.2">
      <c r="A186" t="str">
        <f t="shared" si="60"/>
        <v>S</v>
      </c>
      <c r="B186">
        <f t="shared" si="61"/>
        <v>0</v>
      </c>
      <c r="C186">
        <f t="shared" ca="1" si="62"/>
        <v>1</v>
      </c>
      <c r="D186">
        <f t="shared" ca="1" si="63"/>
        <v>16</v>
      </c>
      <c r="E186">
        <f t="shared" ca="1" si="64"/>
        <v>1</v>
      </c>
      <c r="F186">
        <f t="shared" ca="1" si="65"/>
        <v>0</v>
      </c>
      <c r="G186">
        <f t="shared" ca="1" si="66"/>
        <v>2</v>
      </c>
      <c r="H186">
        <f ca="1">IF(OR($A186="S",$A186=0),0,MATCH(0,OFFSET($B186,1,$A186,ROW($A$202)-ROW($A186)),0))</f>
        <v>0</v>
      </c>
      <c r="I186">
        <f ca="1">IF(OR($A186="S",$A186=0),0,MATCH(OFFSET($B186,0,$A186)+1,OFFSET($B186,1,$A186,ROW($A$202)-ROW($A186)),0))</f>
        <v>0</v>
      </c>
      <c r="J186" s="388" t="s">
        <v>103</v>
      </c>
      <c r="K186" s="138" t="str">
        <f t="shared" ca="1" si="67"/>
        <v>1.16.1.2.</v>
      </c>
      <c r="L186" s="370" t="s">
        <v>234</v>
      </c>
      <c r="M186" s="370" t="s">
        <v>340</v>
      </c>
      <c r="N186" s="368" t="s">
        <v>468</v>
      </c>
      <c r="O186" s="377" t="s">
        <v>288</v>
      </c>
      <c r="P186" s="363">
        <v>8.4</v>
      </c>
      <c r="Q186" s="195"/>
      <c r="R186" s="198" t="s">
        <v>7</v>
      </c>
      <c r="S186" s="103">
        <f t="shared" si="57"/>
        <v>0</v>
      </c>
      <c r="T186" s="83">
        <f t="shared" si="58"/>
        <v>0</v>
      </c>
      <c r="U186" s="9" t="str">
        <f t="shared" si="68"/>
        <v>SEM VALOR</v>
      </c>
      <c r="V186" s="1" t="str">
        <f ca="1">IF(OR($A186=0,$A186="S",$A186&gt;CFF!$A$9),"",MAX(V$12:OFFSET(V186,-1,0))+1)</f>
        <v/>
      </c>
      <c r="W186" s="4" t="str">
        <f t="shared" si="69"/>
        <v>PM BENTO-110</v>
      </c>
      <c r="X186" s="1">
        <f t="shared" ca="1" si="59"/>
        <v>48</v>
      </c>
      <c r="Y186" s="103">
        <v>610.20000000000005</v>
      </c>
      <c r="Z186" s="113">
        <f ca="1">ROUND(IF(ISNUMBER(R186),R186,IF(LEFT(R186,3)="BDI",HLOOKUP(R186,DADOS!$T$37:$X$38,2,FALSE),0)),15-11*$X$5)</f>
        <v>0.2354</v>
      </c>
      <c r="AA186" s="1"/>
    </row>
    <row r="187" spans="1:27" ht="38.25" x14ac:dyDescent="0.2">
      <c r="A187" t="str">
        <f t="shared" si="60"/>
        <v>S</v>
      </c>
      <c r="B187">
        <f t="shared" si="61"/>
        <v>0</v>
      </c>
      <c r="C187">
        <f t="shared" ca="1" si="62"/>
        <v>1</v>
      </c>
      <c r="D187">
        <f t="shared" ca="1" si="63"/>
        <v>16</v>
      </c>
      <c r="E187">
        <f t="shared" ca="1" si="64"/>
        <v>1</v>
      </c>
      <c r="F187">
        <f t="shared" ca="1" si="65"/>
        <v>0</v>
      </c>
      <c r="G187">
        <f t="shared" ca="1" si="66"/>
        <v>3</v>
      </c>
      <c r="H187">
        <f ca="1">IF(OR($A187="S",$A187=0),0,MATCH(0,OFFSET($B187,1,$A187,ROW($A$202)-ROW($A187)),0))</f>
        <v>0</v>
      </c>
      <c r="I187">
        <f ca="1">IF(OR($A187="S",$A187=0),0,MATCH(OFFSET($B187,0,$A187)+1,OFFSET($B187,1,$A187,ROW($A$202)-ROW($A187)),0))</f>
        <v>0</v>
      </c>
      <c r="J187" s="388" t="s">
        <v>103</v>
      </c>
      <c r="K187" s="138" t="str">
        <f t="shared" ca="1" si="67"/>
        <v>1.16.1.3.</v>
      </c>
      <c r="L187" s="370" t="s">
        <v>230</v>
      </c>
      <c r="M187" s="370" t="s">
        <v>276</v>
      </c>
      <c r="N187" s="368" t="s">
        <v>513</v>
      </c>
      <c r="O187" s="377" t="s">
        <v>288</v>
      </c>
      <c r="P187" s="363">
        <v>2.85</v>
      </c>
      <c r="Q187" s="195"/>
      <c r="R187" s="198" t="s">
        <v>7</v>
      </c>
      <c r="S187" s="103">
        <f t="shared" si="57"/>
        <v>0</v>
      </c>
      <c r="T187" s="83">
        <f t="shared" si="58"/>
        <v>0</v>
      </c>
      <c r="U187" s="9" t="str">
        <f t="shared" si="68"/>
        <v>SEM VALOR</v>
      </c>
      <c r="V187" s="1" t="str">
        <f ca="1">IF(OR($A187=0,$A187="S",$A187&gt;CFF!$A$9),"",MAX(V$12:OFFSET(V187,-1,0))+1)</f>
        <v/>
      </c>
      <c r="W187" s="4" t="str">
        <f t="shared" si="69"/>
        <v>SINAPI-99842</v>
      </c>
      <c r="X187" s="1">
        <f t="shared" ca="1" si="59"/>
        <v>9480</v>
      </c>
      <c r="Y187" s="103">
        <v>639.89</v>
      </c>
      <c r="Z187" s="113">
        <f ca="1">ROUND(IF(ISNUMBER(R187),R187,IF(LEFT(R187,3)="BDI",HLOOKUP(R187,DADOS!$T$37:$X$38,2,FALSE),0)),15-11*$X$5)</f>
        <v>0.2354</v>
      </c>
      <c r="AA187" s="1"/>
    </row>
    <row r="188" spans="1:27" x14ac:dyDescent="0.2">
      <c r="A188">
        <f t="shared" si="60"/>
        <v>3</v>
      </c>
      <c r="B188">
        <f t="shared" ca="1" si="61"/>
        <v>4</v>
      </c>
      <c r="C188">
        <f t="shared" ca="1" si="62"/>
        <v>1</v>
      </c>
      <c r="D188">
        <f t="shared" ca="1" si="63"/>
        <v>16</v>
      </c>
      <c r="E188">
        <f t="shared" ca="1" si="64"/>
        <v>2</v>
      </c>
      <c r="F188">
        <f t="shared" ca="1" si="65"/>
        <v>0</v>
      </c>
      <c r="G188">
        <f t="shared" ca="1" si="66"/>
        <v>0</v>
      </c>
      <c r="H188">
        <f ca="1">IF(OR($A188="S",$A188=0),0,MATCH(0,OFFSET($B188,1,$A188,ROW($A$202)-ROW($A188)),0))</f>
        <v>4</v>
      </c>
      <c r="I188" t="e">
        <f ca="1">IF(OR($A188="S",$A188=0),0,MATCH(OFFSET($B188,0,$A188)+1,OFFSET($B188,1,$A188,ROW($A$202)-ROW($A188)),0))</f>
        <v>#N/A</v>
      </c>
      <c r="J188" s="388" t="s">
        <v>101</v>
      </c>
      <c r="K188" s="138" t="str">
        <f t="shared" ca="1" si="67"/>
        <v>1.16.2.</v>
      </c>
      <c r="L188" s="370" t="s">
        <v>230</v>
      </c>
      <c r="M188" s="370"/>
      <c r="N188" s="373" t="s">
        <v>399</v>
      </c>
      <c r="O188" s="377" t="s">
        <v>106</v>
      </c>
      <c r="P188" s="363" t="s">
        <v>363</v>
      </c>
      <c r="Q188" s="195"/>
      <c r="R188" s="198" t="s">
        <v>7</v>
      </c>
      <c r="S188" s="103">
        <f t="shared" si="57"/>
        <v>0</v>
      </c>
      <c r="T188" s="83">
        <f t="shared" ca="1" si="58"/>
        <v>0</v>
      </c>
      <c r="U188" s="9" t="str">
        <f t="shared" ca="1" si="68"/>
        <v>SEM VALOR</v>
      </c>
      <c r="V188" s="1" t="str">
        <f ca="1">IF(OR($A188=0,$A188="S",$A188&gt;CFF!$A$9),"",MAX(V$12:OFFSET(V188,-1,0))+1)</f>
        <v/>
      </c>
      <c r="W188" s="4" t="b">
        <f t="shared" si="69"/>
        <v>0</v>
      </c>
      <c r="X188" s="1" t="str">
        <f t="shared" ca="1" si="59"/>
        <v>X</v>
      </c>
      <c r="Y188" s="103">
        <v>0</v>
      </c>
      <c r="Z188" s="113">
        <f ca="1">ROUND(IF(ISNUMBER(R188),R188,IF(LEFT(R188,3)="BDI",HLOOKUP(R188,DADOS!$T$37:$X$38,2,FALSE),0)),15-11*$X$5)</f>
        <v>0.2354</v>
      </c>
      <c r="AA188" s="1"/>
    </row>
    <row r="189" spans="1:27" x14ac:dyDescent="0.2">
      <c r="A189" t="str">
        <f t="shared" si="60"/>
        <v>S</v>
      </c>
      <c r="B189">
        <f t="shared" si="61"/>
        <v>0</v>
      </c>
      <c r="C189">
        <f t="shared" ca="1" si="62"/>
        <v>1</v>
      </c>
      <c r="D189">
        <f t="shared" ca="1" si="63"/>
        <v>16</v>
      </c>
      <c r="E189">
        <f t="shared" ca="1" si="64"/>
        <v>2</v>
      </c>
      <c r="F189">
        <f t="shared" ca="1" si="65"/>
        <v>0</v>
      </c>
      <c r="G189">
        <f t="shared" ca="1" si="66"/>
        <v>1</v>
      </c>
      <c r="H189">
        <f ca="1">IF(OR($A189="S",$A189=0),0,MATCH(0,OFFSET($B189,1,$A189,ROW($A$202)-ROW($A189)),0))</f>
        <v>0</v>
      </c>
      <c r="I189">
        <f ca="1">IF(OR($A189="S",$A189=0),0,MATCH(OFFSET($B189,0,$A189)+1,OFFSET($B189,1,$A189,ROW($A$202)-ROW($A189)),0))</f>
        <v>0</v>
      </c>
      <c r="J189" s="388" t="s">
        <v>103</v>
      </c>
      <c r="K189" s="138" t="str">
        <f t="shared" ca="1" si="67"/>
        <v>1.16.2.1.</v>
      </c>
      <c r="L189" s="370" t="s">
        <v>230</v>
      </c>
      <c r="M189" s="370" t="s">
        <v>242</v>
      </c>
      <c r="N189" s="368" t="s">
        <v>441</v>
      </c>
      <c r="O189" s="377" t="s">
        <v>521</v>
      </c>
      <c r="P189" s="363">
        <v>33.090000000000003</v>
      </c>
      <c r="Q189" s="195"/>
      <c r="R189" s="198" t="s">
        <v>7</v>
      </c>
      <c r="S189" s="103">
        <f t="shared" si="57"/>
        <v>0</v>
      </c>
      <c r="T189" s="83">
        <f t="shared" si="58"/>
        <v>0</v>
      </c>
      <c r="U189" s="9" t="str">
        <f t="shared" si="68"/>
        <v>SEM VALOR</v>
      </c>
      <c r="V189" s="1" t="str">
        <f ca="1">IF(OR($A189=0,$A189="S",$A189&gt;CFF!$A$9),"",MAX(V$12:OFFSET(V189,-1,0))+1)</f>
        <v/>
      </c>
      <c r="W189" s="4" t="str">
        <f t="shared" si="69"/>
        <v>SINAPI-100717</v>
      </c>
      <c r="X189" s="1">
        <f t="shared" ca="1" si="59"/>
        <v>13325</v>
      </c>
      <c r="Y189" s="103">
        <v>13.29</v>
      </c>
      <c r="Z189" s="113">
        <f ca="1">ROUND(IF(ISNUMBER(R189),R189,IF(LEFT(R189,3)="BDI",HLOOKUP(R189,DADOS!$T$37:$X$38,2,FALSE),0)),15-11*$X$5)</f>
        <v>0.2354</v>
      </c>
      <c r="AA189" s="1"/>
    </row>
    <row r="190" spans="1:27" ht="25.5" x14ac:dyDescent="0.2">
      <c r="A190" t="str">
        <f t="shared" si="60"/>
        <v>S</v>
      </c>
      <c r="B190">
        <f t="shared" si="61"/>
        <v>0</v>
      </c>
      <c r="C190">
        <f t="shared" ca="1" si="62"/>
        <v>1</v>
      </c>
      <c r="D190">
        <f t="shared" ca="1" si="63"/>
        <v>16</v>
      </c>
      <c r="E190">
        <f t="shared" ca="1" si="64"/>
        <v>2</v>
      </c>
      <c r="F190">
        <f t="shared" ca="1" si="65"/>
        <v>0</v>
      </c>
      <c r="G190">
        <f t="shared" ca="1" si="66"/>
        <v>2</v>
      </c>
      <c r="H190">
        <f ca="1">IF(OR($A190="S",$A190=0),0,MATCH(0,OFFSET($B190,1,$A190,ROW($A$202)-ROW($A190)),0))</f>
        <v>0</v>
      </c>
      <c r="I190">
        <f ca="1">IF(OR($A190="S",$A190=0),0,MATCH(OFFSET($B190,0,$A190)+1,OFFSET($B190,1,$A190,ROW($A$202)-ROW($A190)),0))</f>
        <v>0</v>
      </c>
      <c r="J190" s="388" t="s">
        <v>103</v>
      </c>
      <c r="K190" s="138" t="str">
        <f t="shared" ca="1" si="67"/>
        <v>1.16.2.2.</v>
      </c>
      <c r="L190" s="370" t="s">
        <v>230</v>
      </c>
      <c r="M190" s="370" t="s">
        <v>243</v>
      </c>
      <c r="N190" s="368" t="s">
        <v>469</v>
      </c>
      <c r="O190" s="377" t="s">
        <v>521</v>
      </c>
      <c r="P190" s="363">
        <v>66.180000000000007</v>
      </c>
      <c r="Q190" s="195"/>
      <c r="R190" s="198" t="s">
        <v>7</v>
      </c>
      <c r="S190" s="103">
        <f t="shared" si="57"/>
        <v>0</v>
      </c>
      <c r="T190" s="83">
        <f t="shared" si="58"/>
        <v>0</v>
      </c>
      <c r="U190" s="9" t="str">
        <f t="shared" si="68"/>
        <v>SEM VALOR</v>
      </c>
      <c r="V190" s="1" t="str">
        <f ca="1">IF(OR($A190=0,$A190="S",$A190&gt;CFF!$A$9),"",MAX(V$12:OFFSET(V190,-1,0))+1)</f>
        <v/>
      </c>
      <c r="W190" s="4" t="str">
        <f t="shared" si="69"/>
        <v>SINAPI-100720</v>
      </c>
      <c r="X190" s="1">
        <f t="shared" ca="1" si="59"/>
        <v>13350</v>
      </c>
      <c r="Y190" s="103">
        <v>14.68</v>
      </c>
      <c r="Z190" s="113">
        <f ca="1">ROUND(IF(ISNUMBER(R190),R190,IF(LEFT(R190,3)="BDI",HLOOKUP(R190,DADOS!$T$37:$X$38,2,FALSE),0)),15-11*$X$5)</f>
        <v>0.2354</v>
      </c>
      <c r="AA190" s="1"/>
    </row>
    <row r="191" spans="1:27" ht="25.5" x14ac:dyDescent="0.2">
      <c r="A191" t="str">
        <f t="shared" si="60"/>
        <v>S</v>
      </c>
      <c r="B191">
        <f t="shared" si="61"/>
        <v>0</v>
      </c>
      <c r="C191">
        <f t="shared" ca="1" si="62"/>
        <v>1</v>
      </c>
      <c r="D191">
        <f t="shared" ca="1" si="63"/>
        <v>16</v>
      </c>
      <c r="E191">
        <f t="shared" ca="1" si="64"/>
        <v>2</v>
      </c>
      <c r="F191">
        <f t="shared" ca="1" si="65"/>
        <v>0</v>
      </c>
      <c r="G191">
        <f t="shared" ca="1" si="66"/>
        <v>3</v>
      </c>
      <c r="H191">
        <f ca="1">IF(OR($A191="S",$A191=0),0,MATCH(0,OFFSET($B191,1,$A191,ROW($A$202)-ROW($A191)),0))</f>
        <v>0</v>
      </c>
      <c r="I191">
        <f ca="1">IF(OR($A191="S",$A191=0),0,MATCH(OFFSET($B191,0,$A191)+1,OFFSET($B191,1,$A191,ROW($A$202)-ROW($A191)),0))</f>
        <v>0</v>
      </c>
      <c r="J191" s="388" t="s">
        <v>103</v>
      </c>
      <c r="K191" s="138" t="str">
        <f t="shared" ca="1" si="67"/>
        <v>1.16.2.3.</v>
      </c>
      <c r="L191" s="370" t="s">
        <v>230</v>
      </c>
      <c r="M191" s="370" t="s">
        <v>244</v>
      </c>
      <c r="N191" s="368" t="s">
        <v>470</v>
      </c>
      <c r="O191" s="377" t="s">
        <v>521</v>
      </c>
      <c r="P191" s="363">
        <v>66.180000000000007</v>
      </c>
      <c r="Q191" s="195"/>
      <c r="R191" s="198" t="s">
        <v>7</v>
      </c>
      <c r="S191" s="103">
        <f t="shared" si="57"/>
        <v>0</v>
      </c>
      <c r="T191" s="83">
        <f t="shared" si="58"/>
        <v>0</v>
      </c>
      <c r="U191" s="9" t="str">
        <f t="shared" si="68"/>
        <v>SEM VALOR</v>
      </c>
      <c r="V191" s="1" t="str">
        <f ca="1">IF(OR($A191=0,$A191="S",$A191&gt;CFF!$A$9),"",MAX(V$12:OFFSET(V191,-1,0))+1)</f>
        <v/>
      </c>
      <c r="W191" s="4" t="str">
        <f t="shared" si="69"/>
        <v>SINAPI-100744</v>
      </c>
      <c r="X191" s="1">
        <f t="shared" ca="1" si="59"/>
        <v>13338</v>
      </c>
      <c r="Y191" s="103">
        <v>15.23</v>
      </c>
      <c r="Z191" s="113">
        <f ca="1">ROUND(IF(ISNUMBER(R191),R191,IF(LEFT(R191,3)="BDI",HLOOKUP(R191,DADOS!$T$37:$X$38,2,FALSE),0)),15-11*$X$5)</f>
        <v>0.2354</v>
      </c>
      <c r="AA191" s="1"/>
    </row>
    <row r="192" spans="1:27" x14ac:dyDescent="0.2">
      <c r="A192">
        <f t="shared" si="60"/>
        <v>2</v>
      </c>
      <c r="B192">
        <f t="shared" ca="1" si="61"/>
        <v>10</v>
      </c>
      <c r="C192">
        <f t="shared" ca="1" si="62"/>
        <v>1</v>
      </c>
      <c r="D192">
        <f t="shared" ca="1" si="63"/>
        <v>17</v>
      </c>
      <c r="E192">
        <f t="shared" ca="1" si="64"/>
        <v>0</v>
      </c>
      <c r="F192">
        <f t="shared" ca="1" si="65"/>
        <v>0</v>
      </c>
      <c r="G192">
        <f t="shared" ca="1" si="66"/>
        <v>0</v>
      </c>
      <c r="H192">
        <f ca="1">IF(OR($A192="S",$A192=0),0,MATCH(0,OFFSET($B192,1,$A192,ROW($A$202)-ROW($A192)),0))</f>
        <v>10</v>
      </c>
      <c r="I192" t="e">
        <f ca="1">IF(OR($A192="S",$A192=0),0,MATCH(OFFSET($B192,0,$A192)+1,OFFSET($B192,1,$A192,ROW($A$202)-ROW($A192)),0))</f>
        <v>#N/A</v>
      </c>
      <c r="J192" s="388" t="s">
        <v>100</v>
      </c>
      <c r="K192" s="138" t="str">
        <f t="shared" ca="1" si="67"/>
        <v>1.17.</v>
      </c>
      <c r="L192" s="370" t="s">
        <v>358</v>
      </c>
      <c r="M192" s="370"/>
      <c r="N192" s="372" t="s">
        <v>289</v>
      </c>
      <c r="O192" s="377" t="s">
        <v>106</v>
      </c>
      <c r="P192" s="363" t="s">
        <v>363</v>
      </c>
      <c r="Q192" s="195"/>
      <c r="R192" s="198" t="s">
        <v>7</v>
      </c>
      <c r="S192" s="103">
        <f t="shared" si="57"/>
        <v>0</v>
      </c>
      <c r="T192" s="83">
        <f t="shared" ca="1" si="58"/>
        <v>0</v>
      </c>
      <c r="U192" s="9" t="str">
        <f t="shared" ca="1" si="68"/>
        <v>SEM VALOR</v>
      </c>
      <c r="V192" s="1">
        <f ca="1">IF(OR($A192=0,$A192="S",$A192&gt;CFF!$A$9),"",MAX(V$12:OFFSET(V192,-1,0))+1)</f>
        <v>18</v>
      </c>
      <c r="W192" s="4" t="b">
        <f t="shared" si="69"/>
        <v>0</v>
      </c>
      <c r="X192" s="1" t="str">
        <f t="shared" ca="1" si="59"/>
        <v>X</v>
      </c>
      <c r="Y192" s="103">
        <v>0</v>
      </c>
      <c r="Z192" s="113">
        <f ca="1">ROUND(IF(ISNUMBER(R192),R192,IF(LEFT(R192,3)="BDI",HLOOKUP(R192,DADOS!$T$37:$X$38,2,FALSE),0)),15-11*$X$5)</f>
        <v>0.2354</v>
      </c>
      <c r="AA192" s="1"/>
    </row>
    <row r="193" spans="1:27" x14ac:dyDescent="0.2">
      <c r="A193">
        <f t="shared" si="60"/>
        <v>3</v>
      </c>
      <c r="B193">
        <f t="shared" ca="1" si="61"/>
        <v>3</v>
      </c>
      <c r="C193">
        <f t="shared" ca="1" si="62"/>
        <v>1</v>
      </c>
      <c r="D193">
        <f t="shared" ca="1" si="63"/>
        <v>17</v>
      </c>
      <c r="E193">
        <f t="shared" ca="1" si="64"/>
        <v>1</v>
      </c>
      <c r="F193">
        <f t="shared" ca="1" si="65"/>
        <v>0</v>
      </c>
      <c r="G193">
        <f t="shared" ca="1" si="66"/>
        <v>0</v>
      </c>
      <c r="H193">
        <f ca="1">IF(OR($A193="S",$A193=0),0,MATCH(0,OFFSET($B193,1,$A193,ROW($A$202)-ROW($A193)),0))</f>
        <v>9</v>
      </c>
      <c r="I193">
        <f ca="1">IF(OR($A193="S",$A193=0),0,MATCH(OFFSET($B193,0,$A193)+1,OFFSET($B193,1,$A193,ROW($A$202)-ROW($A193)),0))</f>
        <v>3</v>
      </c>
      <c r="J193" s="388" t="s">
        <v>101</v>
      </c>
      <c r="K193" s="138" t="str">
        <f t="shared" ca="1" si="67"/>
        <v>1.17.1.</v>
      </c>
      <c r="L193" s="370" t="s">
        <v>230</v>
      </c>
      <c r="M193" s="370"/>
      <c r="N193" s="372" t="s">
        <v>400</v>
      </c>
      <c r="O193" s="377" t="s">
        <v>106</v>
      </c>
      <c r="P193" s="363" t="s">
        <v>363</v>
      </c>
      <c r="Q193" s="195"/>
      <c r="R193" s="198" t="s">
        <v>7</v>
      </c>
      <c r="S193" s="103">
        <f t="shared" si="57"/>
        <v>0</v>
      </c>
      <c r="T193" s="83">
        <f t="shared" ca="1" si="58"/>
        <v>0</v>
      </c>
      <c r="U193" s="9" t="str">
        <f t="shared" ca="1" si="68"/>
        <v>SEM VALOR</v>
      </c>
      <c r="V193" s="1" t="str">
        <f ca="1">IF(OR($A193=0,$A193="S",$A193&gt;CFF!$A$9),"",MAX(V$12:OFFSET(V193,-1,0))+1)</f>
        <v/>
      </c>
      <c r="W193" s="4" t="b">
        <f t="shared" si="69"/>
        <v>0</v>
      </c>
      <c r="X193" s="1" t="str">
        <f t="shared" ca="1" si="59"/>
        <v>X</v>
      </c>
      <c r="Y193" s="103">
        <v>0</v>
      </c>
      <c r="Z193" s="113">
        <f ca="1">ROUND(IF(ISNUMBER(R193),R193,IF(LEFT(R193,3)="BDI",HLOOKUP(R193,DADOS!$T$37:$X$38,2,FALSE),0)),15-11*$X$5)</f>
        <v>0.2354</v>
      </c>
      <c r="AA193" s="1"/>
    </row>
    <row r="194" spans="1:27" ht="25.5" x14ac:dyDescent="0.2">
      <c r="A194" t="str">
        <f t="shared" si="60"/>
        <v>S</v>
      </c>
      <c r="B194">
        <f t="shared" si="61"/>
        <v>0</v>
      </c>
      <c r="C194">
        <f t="shared" ca="1" si="62"/>
        <v>1</v>
      </c>
      <c r="D194">
        <f t="shared" ca="1" si="63"/>
        <v>17</v>
      </c>
      <c r="E194">
        <f t="shared" ca="1" si="64"/>
        <v>1</v>
      </c>
      <c r="F194">
        <f t="shared" ca="1" si="65"/>
        <v>0</v>
      </c>
      <c r="G194">
        <f t="shared" ca="1" si="66"/>
        <v>1</v>
      </c>
      <c r="H194">
        <f ca="1">IF(OR($A194="S",$A194=0),0,MATCH(0,OFFSET($B194,1,$A194,ROW($A$202)-ROW($A194)),0))</f>
        <v>0</v>
      </c>
      <c r="I194">
        <f ca="1">IF(OR($A194="S",$A194=0),0,MATCH(OFFSET($B194,0,$A194)+1,OFFSET($B194,1,$A194,ROW($A$202)-ROW($A194)),0))</f>
        <v>0</v>
      </c>
      <c r="J194" s="388" t="s">
        <v>103</v>
      </c>
      <c r="K194" s="138" t="str">
        <f t="shared" ca="1" si="67"/>
        <v>1.17.1.1.</v>
      </c>
      <c r="L194" s="370" t="s">
        <v>230</v>
      </c>
      <c r="M194" s="370" t="s">
        <v>359</v>
      </c>
      <c r="N194" s="368" t="s">
        <v>514</v>
      </c>
      <c r="O194" s="377" t="s">
        <v>524</v>
      </c>
      <c r="P194" s="363">
        <v>14.85</v>
      </c>
      <c r="Q194" s="195"/>
      <c r="R194" s="198" t="s">
        <v>7</v>
      </c>
      <c r="S194" s="103">
        <f t="shared" si="57"/>
        <v>0</v>
      </c>
      <c r="T194" s="83">
        <f t="shared" si="58"/>
        <v>0</v>
      </c>
      <c r="U194" s="9" t="str">
        <f t="shared" si="68"/>
        <v>SEM VALOR</v>
      </c>
      <c r="V194" s="1" t="str">
        <f ca="1">IF(OR($A194=0,$A194="S",$A194&gt;CFF!$A$9),"",MAX(V$12:OFFSET(V194,-1,0))+1)</f>
        <v/>
      </c>
      <c r="W194" s="4" t="str">
        <f t="shared" si="69"/>
        <v>SINAPI-100981</v>
      </c>
      <c r="X194" s="1">
        <f t="shared" ca="1" si="59"/>
        <v>14785</v>
      </c>
      <c r="Y194" s="103">
        <v>12.51</v>
      </c>
      <c r="Z194" s="113">
        <f ca="1">ROUND(IF(ISNUMBER(R194),R194,IF(LEFT(R194,3)="BDI",HLOOKUP(R194,DADOS!$T$37:$X$38,2,FALSE),0)),15-11*$X$5)</f>
        <v>0.2354</v>
      </c>
      <c r="AA194" s="1"/>
    </row>
    <row r="195" spans="1:27" ht="25.5" x14ac:dyDescent="0.2">
      <c r="A195" t="str">
        <f t="shared" si="60"/>
        <v>S</v>
      </c>
      <c r="B195">
        <f t="shared" si="61"/>
        <v>0</v>
      </c>
      <c r="C195">
        <f t="shared" ca="1" si="62"/>
        <v>1</v>
      </c>
      <c r="D195">
        <f t="shared" ca="1" si="63"/>
        <v>17</v>
      </c>
      <c r="E195">
        <f t="shared" ca="1" si="64"/>
        <v>1</v>
      </c>
      <c r="F195">
        <f t="shared" ca="1" si="65"/>
        <v>0</v>
      </c>
      <c r="G195">
        <f t="shared" ca="1" si="66"/>
        <v>2</v>
      </c>
      <c r="H195">
        <f ca="1">IF(OR($A195="S",$A195=0),0,MATCH(0,OFFSET($B195,1,$A195,ROW($A$202)-ROW($A195)),0))</f>
        <v>0</v>
      </c>
      <c r="I195">
        <f ca="1">IF(OR($A195="S",$A195=0),0,MATCH(OFFSET($B195,0,$A195)+1,OFFSET($B195,1,$A195,ROW($A$202)-ROW($A195)),0))</f>
        <v>0</v>
      </c>
      <c r="J195" s="388" t="s">
        <v>103</v>
      </c>
      <c r="K195" s="138" t="str">
        <f t="shared" ca="1" si="67"/>
        <v>1.17.1.2.</v>
      </c>
      <c r="L195" s="370" t="s">
        <v>230</v>
      </c>
      <c r="M195" s="370" t="s">
        <v>360</v>
      </c>
      <c r="N195" s="368" t="s">
        <v>515</v>
      </c>
      <c r="O195" s="377" t="s">
        <v>526</v>
      </c>
      <c r="P195" s="363">
        <v>222.74</v>
      </c>
      <c r="Q195" s="195"/>
      <c r="R195" s="198" t="s">
        <v>7</v>
      </c>
      <c r="S195" s="103">
        <f t="shared" si="57"/>
        <v>0</v>
      </c>
      <c r="T195" s="83">
        <f t="shared" si="58"/>
        <v>0</v>
      </c>
      <c r="U195" s="9" t="str">
        <f t="shared" si="68"/>
        <v>SEM VALOR</v>
      </c>
      <c r="V195" s="1" t="str">
        <f ca="1">IF(OR($A195=0,$A195="S",$A195&gt;CFF!$A$9),"",MAX(V$12:OFFSET(V195,-1,0))+1)</f>
        <v/>
      </c>
      <c r="W195" s="4" t="str">
        <f t="shared" si="69"/>
        <v>SINAPI-97914</v>
      </c>
      <c r="X195" s="1">
        <f t="shared" ca="1" si="59"/>
        <v>14932</v>
      </c>
      <c r="Y195" s="103">
        <v>4.2300000000000004</v>
      </c>
      <c r="Z195" s="113">
        <f ca="1">ROUND(IF(ISNUMBER(R195),R195,IF(LEFT(R195,3)="BDI",HLOOKUP(R195,DADOS!$T$37:$X$38,2,FALSE),0)),15-11*$X$5)</f>
        <v>0.2354</v>
      </c>
      <c r="AA195" s="1"/>
    </row>
    <row r="196" spans="1:27" x14ac:dyDescent="0.2">
      <c r="A196">
        <f t="shared" si="60"/>
        <v>3</v>
      </c>
      <c r="B196">
        <f t="shared" ca="1" si="61"/>
        <v>6</v>
      </c>
      <c r="C196">
        <f t="shared" ca="1" si="62"/>
        <v>1</v>
      </c>
      <c r="D196">
        <f t="shared" ca="1" si="63"/>
        <v>17</v>
      </c>
      <c r="E196">
        <f t="shared" ca="1" si="64"/>
        <v>2</v>
      </c>
      <c r="F196">
        <f t="shared" ca="1" si="65"/>
        <v>0</v>
      </c>
      <c r="G196">
        <f t="shared" ca="1" si="66"/>
        <v>0</v>
      </c>
      <c r="H196">
        <f ca="1">IF(OR($A196="S",$A196=0),0,MATCH(0,OFFSET($B196,1,$A196,ROW($A$202)-ROW($A196)),0))</f>
        <v>6</v>
      </c>
      <c r="I196" t="e">
        <f ca="1">IF(OR($A196="S",$A196=0),0,MATCH(OFFSET($B196,0,$A196)+1,OFFSET($B196,1,$A196,ROW($A$202)-ROW($A196)),0))</f>
        <v>#N/A</v>
      </c>
      <c r="J196" s="388" t="s">
        <v>101</v>
      </c>
      <c r="K196" s="138" t="str">
        <f t="shared" ca="1" si="67"/>
        <v>1.17.2.</v>
      </c>
      <c r="L196" s="370" t="s">
        <v>230</v>
      </c>
      <c r="M196" s="370"/>
      <c r="N196" s="362" t="s">
        <v>401</v>
      </c>
      <c r="O196" s="377" t="s">
        <v>106</v>
      </c>
      <c r="P196" s="363" t="s">
        <v>363</v>
      </c>
      <c r="Q196" s="195"/>
      <c r="R196" s="198" t="s">
        <v>7</v>
      </c>
      <c r="S196" s="103">
        <f t="shared" si="57"/>
        <v>0</v>
      </c>
      <c r="T196" s="83">
        <f t="shared" ca="1" si="58"/>
        <v>0</v>
      </c>
      <c r="U196" s="9" t="str">
        <f t="shared" ca="1" si="68"/>
        <v>SEM VALOR</v>
      </c>
      <c r="V196" s="1" t="str">
        <f ca="1">IF(OR($A196=0,$A196="S",$A196&gt;CFF!$A$9),"",MAX(V$12:OFFSET(V196,-1,0))+1)</f>
        <v/>
      </c>
      <c r="W196" s="4" t="b">
        <f t="shared" si="69"/>
        <v>0</v>
      </c>
      <c r="X196" s="1" t="str">
        <f t="shared" ca="1" si="59"/>
        <v>X</v>
      </c>
      <c r="Y196" s="103">
        <v>0</v>
      </c>
      <c r="Z196" s="113">
        <f ca="1">ROUND(IF(ISNUMBER(R196),R196,IF(LEFT(R196,3)="BDI",HLOOKUP(R196,DADOS!$T$37:$X$38,2,FALSE),0)),15-11*$X$5)</f>
        <v>0.2354</v>
      </c>
      <c r="AA196" s="1"/>
    </row>
    <row r="197" spans="1:27" x14ac:dyDescent="0.2">
      <c r="A197" t="str">
        <f t="shared" si="60"/>
        <v>S</v>
      </c>
      <c r="B197">
        <f t="shared" si="61"/>
        <v>0</v>
      </c>
      <c r="C197">
        <f t="shared" ca="1" si="62"/>
        <v>1</v>
      </c>
      <c r="D197">
        <f t="shared" ca="1" si="63"/>
        <v>17</v>
      </c>
      <c r="E197">
        <f t="shared" ca="1" si="64"/>
        <v>2</v>
      </c>
      <c r="F197">
        <f t="shared" ca="1" si="65"/>
        <v>0</v>
      </c>
      <c r="G197">
        <f t="shared" ca="1" si="66"/>
        <v>1</v>
      </c>
      <c r="H197">
        <f ca="1">IF(OR($A197="S",$A197=0),0,MATCH(0,OFFSET($B197,1,$A197,ROW($A$202)-ROW($A197)),0))</f>
        <v>0</v>
      </c>
      <c r="I197">
        <f ca="1">IF(OR($A197="S",$A197=0),0,MATCH(OFFSET($B197,0,$A197)+1,OFFSET($B197,1,$A197,ROW($A$202)-ROW($A197)),0))</f>
        <v>0</v>
      </c>
      <c r="J197" s="388" t="s">
        <v>103</v>
      </c>
      <c r="K197" s="138" t="str">
        <f t="shared" ca="1" si="67"/>
        <v>1.17.2.1.</v>
      </c>
      <c r="L197" s="370" t="s">
        <v>230</v>
      </c>
      <c r="M197" s="370" t="s">
        <v>361</v>
      </c>
      <c r="N197" s="368" t="s">
        <v>516</v>
      </c>
      <c r="O197" s="377" t="s">
        <v>521</v>
      </c>
      <c r="P197" s="363">
        <v>178.78</v>
      </c>
      <c r="Q197" s="195"/>
      <c r="R197" s="198" t="s">
        <v>7</v>
      </c>
      <c r="S197" s="103">
        <f t="shared" si="57"/>
        <v>0</v>
      </c>
      <c r="T197" s="83">
        <f t="shared" si="58"/>
        <v>0</v>
      </c>
      <c r="U197" s="9" t="str">
        <f t="shared" si="68"/>
        <v>SEM VALOR</v>
      </c>
      <c r="V197" s="1" t="str">
        <f ca="1">IF(OR($A197=0,$A197="S",$A197&gt;CFF!$A$9),"",MAX(V$12:OFFSET(V197,-1,0))+1)</f>
        <v/>
      </c>
      <c r="W197" s="4" t="str">
        <f t="shared" si="69"/>
        <v>SINAPI-106166</v>
      </c>
      <c r="X197" s="1">
        <f t="shared" ca="1" si="59"/>
        <v>12065</v>
      </c>
      <c r="Y197" s="103">
        <v>1.8</v>
      </c>
      <c r="Z197" s="113">
        <f ca="1">ROUND(IF(ISNUMBER(R197),R197,IF(LEFT(R197,3)="BDI",HLOOKUP(R197,DADOS!$T$37:$X$38,2,FALSE),0)),15-11*$X$5)</f>
        <v>0.2354</v>
      </c>
      <c r="AA197" s="1"/>
    </row>
    <row r="198" spans="1:27" x14ac:dyDescent="0.2">
      <c r="A198" t="str">
        <f t="shared" si="60"/>
        <v>S</v>
      </c>
      <c r="B198">
        <f t="shared" si="61"/>
        <v>0</v>
      </c>
      <c r="C198">
        <f t="shared" ca="1" si="62"/>
        <v>1</v>
      </c>
      <c r="D198">
        <f t="shared" ca="1" si="63"/>
        <v>17</v>
      </c>
      <c r="E198">
        <f t="shared" ca="1" si="64"/>
        <v>2</v>
      </c>
      <c r="F198">
        <f t="shared" ca="1" si="65"/>
        <v>0</v>
      </c>
      <c r="G198">
        <f t="shared" ca="1" si="66"/>
        <v>2</v>
      </c>
      <c r="H198">
        <f ca="1">IF(OR($A198="S",$A198=0),0,MATCH(0,OFFSET($B198,1,$A198,ROW($A$202)-ROW($A198)),0))</f>
        <v>0</v>
      </c>
      <c r="I198">
        <f ca="1">IF(OR($A198="S",$A198=0),0,MATCH(OFFSET($B198,0,$A198)+1,OFFSET($B198,1,$A198,ROW($A$202)-ROW($A198)),0))</f>
        <v>0</v>
      </c>
      <c r="J198" s="388" t="s">
        <v>103</v>
      </c>
      <c r="K198" s="138" t="str">
        <f t="shared" ca="1" si="67"/>
        <v>1.17.2.2.</v>
      </c>
      <c r="L198" s="370" t="s">
        <v>230</v>
      </c>
      <c r="M198" s="370" t="s">
        <v>286</v>
      </c>
      <c r="N198" s="368" t="s">
        <v>517</v>
      </c>
      <c r="O198" s="377" t="s">
        <v>521</v>
      </c>
      <c r="P198" s="363">
        <v>9.1199999999999992</v>
      </c>
      <c r="Q198" s="195"/>
      <c r="R198" s="198" t="s">
        <v>7</v>
      </c>
      <c r="S198" s="103">
        <f t="shared" si="57"/>
        <v>0</v>
      </c>
      <c r="T198" s="83">
        <f t="shared" si="58"/>
        <v>0</v>
      </c>
      <c r="U198" s="9" t="str">
        <f t="shared" si="68"/>
        <v>SEM VALOR</v>
      </c>
      <c r="V198" s="1" t="str">
        <f ca="1">IF(OR($A198=0,$A198="S",$A198&gt;CFF!$A$9),"",MAX(V$12:OFFSET(V198,-1,0))+1)</f>
        <v/>
      </c>
      <c r="W198" s="4" t="str">
        <f t="shared" si="69"/>
        <v>SINAPI-99802</v>
      </c>
      <c r="X198" s="1">
        <f t="shared" ca="1" si="59"/>
        <v>12061</v>
      </c>
      <c r="Y198" s="103">
        <v>0.7</v>
      </c>
      <c r="Z198" s="113">
        <f ca="1">ROUND(IF(ISNUMBER(R198),R198,IF(LEFT(R198,3)="BDI",HLOOKUP(R198,DADOS!$T$37:$X$38,2,FALSE),0)),15-11*$X$5)</f>
        <v>0.2354</v>
      </c>
      <c r="AA198" s="1"/>
    </row>
    <row r="199" spans="1:27" x14ac:dyDescent="0.2">
      <c r="A199" t="str">
        <f t="shared" si="60"/>
        <v>S</v>
      </c>
      <c r="B199">
        <f t="shared" si="61"/>
        <v>0</v>
      </c>
      <c r="C199">
        <f t="shared" ca="1" si="62"/>
        <v>1</v>
      </c>
      <c r="D199">
        <f t="shared" ca="1" si="63"/>
        <v>17</v>
      </c>
      <c r="E199">
        <f t="shared" ca="1" si="64"/>
        <v>2</v>
      </c>
      <c r="F199">
        <f t="shared" ca="1" si="65"/>
        <v>0</v>
      </c>
      <c r="G199">
        <f t="shared" ca="1" si="66"/>
        <v>3</v>
      </c>
      <c r="H199">
        <f ca="1">IF(OR($A199="S",$A199=0),0,MATCH(0,OFFSET($B199,1,$A199,ROW($A$202)-ROW($A199)),0))</f>
        <v>0</v>
      </c>
      <c r="I199">
        <f ca="1">IF(OR($A199="S",$A199=0),0,MATCH(OFFSET($B199,0,$A199)+1,OFFSET($B199,1,$A199,ROW($A$202)-ROW($A199)),0))</f>
        <v>0</v>
      </c>
      <c r="J199" s="388" t="s">
        <v>103</v>
      </c>
      <c r="K199" s="138" t="str">
        <f t="shared" ca="1" si="67"/>
        <v>1.17.2.3.</v>
      </c>
      <c r="L199" s="370" t="s">
        <v>230</v>
      </c>
      <c r="M199" s="370" t="s">
        <v>287</v>
      </c>
      <c r="N199" s="368" t="s">
        <v>518</v>
      </c>
      <c r="O199" s="377" t="s">
        <v>521</v>
      </c>
      <c r="P199" s="363">
        <v>9.1199999999999992</v>
      </c>
      <c r="Q199" s="195"/>
      <c r="R199" s="198" t="s">
        <v>7</v>
      </c>
      <c r="S199" s="103">
        <f t="shared" si="57"/>
        <v>0</v>
      </c>
      <c r="T199" s="83">
        <f t="shared" si="58"/>
        <v>0</v>
      </c>
      <c r="U199" s="9" t="str">
        <f t="shared" si="68"/>
        <v>SEM VALOR</v>
      </c>
      <c r="V199" s="1" t="str">
        <f ca="1">IF(OR($A199=0,$A199="S",$A199&gt;CFF!$A$9),"",MAX(V$12:OFFSET(V199,-1,0))+1)</f>
        <v/>
      </c>
      <c r="W199" s="4" t="str">
        <f t="shared" si="69"/>
        <v>SINAPI-99803</v>
      </c>
      <c r="X199" s="1">
        <f t="shared" ca="1" si="59"/>
        <v>12060</v>
      </c>
      <c r="Y199" s="103">
        <v>5.31</v>
      </c>
      <c r="Z199" s="113">
        <f ca="1">ROUND(IF(ISNUMBER(R199),R199,IF(LEFT(R199,3)="BDI",HLOOKUP(R199,DADOS!$T$37:$X$38,2,FALSE),0)),15-11*$X$5)</f>
        <v>0.2354</v>
      </c>
      <c r="AA199" s="1"/>
    </row>
    <row r="200" spans="1:27" x14ac:dyDescent="0.2">
      <c r="A200" t="str">
        <f t="shared" si="60"/>
        <v>S</v>
      </c>
      <c r="B200">
        <f t="shared" si="61"/>
        <v>0</v>
      </c>
      <c r="C200">
        <f t="shared" ca="1" si="62"/>
        <v>1</v>
      </c>
      <c r="D200">
        <f t="shared" ca="1" si="63"/>
        <v>17</v>
      </c>
      <c r="E200">
        <f t="shared" ca="1" si="64"/>
        <v>2</v>
      </c>
      <c r="F200">
        <f t="shared" ca="1" si="65"/>
        <v>0</v>
      </c>
      <c r="G200">
        <f t="shared" ca="1" si="66"/>
        <v>4</v>
      </c>
      <c r="H200">
        <f ca="1">IF(OR($A200="S",$A200=0),0,MATCH(0,OFFSET($B200,1,$A200,ROW($A$202)-ROW($A200)),0))</f>
        <v>0</v>
      </c>
      <c r="I200">
        <f ca="1">IF(OR($A200="S",$A200=0),0,MATCH(OFFSET($B200,0,$A200)+1,OFFSET($B200,1,$A200,ROW($A$202)-ROW($A200)),0))</f>
        <v>0</v>
      </c>
      <c r="J200" s="388" t="s">
        <v>103</v>
      </c>
      <c r="K200" s="138" t="str">
        <f t="shared" ca="1" si="67"/>
        <v>1.17.2.4.</v>
      </c>
      <c r="L200" s="370" t="s">
        <v>230</v>
      </c>
      <c r="M200" s="370" t="s">
        <v>285</v>
      </c>
      <c r="N200" s="368" t="s">
        <v>519</v>
      </c>
      <c r="O200" s="377" t="s">
        <v>521</v>
      </c>
      <c r="P200" s="363">
        <v>54.81</v>
      </c>
      <c r="Q200" s="195"/>
      <c r="R200" s="198" t="s">
        <v>7</v>
      </c>
      <c r="S200" s="103">
        <f t="shared" si="57"/>
        <v>0</v>
      </c>
      <c r="T200" s="83">
        <f t="shared" si="58"/>
        <v>0</v>
      </c>
      <c r="U200" s="9" t="str">
        <f t="shared" si="68"/>
        <v>SEM VALOR</v>
      </c>
      <c r="V200" s="1" t="str">
        <f ca="1">IF(OR($A200=0,$A200="S",$A200&gt;CFF!$A$9),"",MAX(V$12:OFFSET(V200,-1,0))+1)</f>
        <v/>
      </c>
      <c r="W200" s="4" t="str">
        <f t="shared" si="69"/>
        <v>SINAPI-99806</v>
      </c>
      <c r="X200" s="1">
        <f t="shared" ca="1" si="59"/>
        <v>12070</v>
      </c>
      <c r="Y200" s="103">
        <v>3.83</v>
      </c>
      <c r="Z200" s="113">
        <f ca="1">ROUND(IF(ISNUMBER(R200),R200,IF(LEFT(R200,3)="BDI",HLOOKUP(R200,DADOS!$T$37:$X$38,2,FALSE),0)),15-11*$X$5)</f>
        <v>0.2354</v>
      </c>
      <c r="AA200" s="1"/>
    </row>
    <row r="201" spans="1:27" x14ac:dyDescent="0.2">
      <c r="A201" t="str">
        <f t="shared" si="60"/>
        <v>S</v>
      </c>
      <c r="B201">
        <f t="shared" si="61"/>
        <v>0</v>
      </c>
      <c r="C201">
        <f t="shared" ca="1" si="62"/>
        <v>1</v>
      </c>
      <c r="D201">
        <f t="shared" ca="1" si="63"/>
        <v>17</v>
      </c>
      <c r="E201">
        <f t="shared" ca="1" si="64"/>
        <v>2</v>
      </c>
      <c r="F201">
        <f t="shared" ca="1" si="65"/>
        <v>0</v>
      </c>
      <c r="G201">
        <f t="shared" ca="1" si="66"/>
        <v>5</v>
      </c>
      <c r="H201">
        <f ca="1">IF(OR($A201="S",$A201=0),0,MATCH(0,OFFSET($B201,1,$A201,ROW($A$202)-ROW($A201)),0))</f>
        <v>0</v>
      </c>
      <c r="I201">
        <f ca="1">IF(OR($A201="S",$A201=0),0,MATCH(OFFSET($B201,0,$A201)+1,OFFSET($B201,1,$A201,ROW($A$202)-ROW($A201)),0))</f>
        <v>0</v>
      </c>
      <c r="J201" s="388" t="s">
        <v>103</v>
      </c>
      <c r="K201" s="138" t="str">
        <f t="shared" ca="1" si="67"/>
        <v>1.17.2.5.</v>
      </c>
      <c r="L201" s="370" t="s">
        <v>230</v>
      </c>
      <c r="M201" s="370" t="s">
        <v>362</v>
      </c>
      <c r="N201" s="368" t="s">
        <v>520</v>
      </c>
      <c r="O201" s="377" t="s">
        <v>521</v>
      </c>
      <c r="P201" s="363">
        <v>290.20999999999998</v>
      </c>
      <c r="Q201" s="195"/>
      <c r="R201" s="198" t="s">
        <v>7</v>
      </c>
      <c r="S201" s="103">
        <f t="shared" si="57"/>
        <v>0</v>
      </c>
      <c r="T201" s="83">
        <f t="shared" si="58"/>
        <v>0</v>
      </c>
      <c r="U201" s="9" t="str">
        <f t="shared" si="68"/>
        <v>SEM VALOR</v>
      </c>
      <c r="V201" s="1" t="str">
        <f ca="1">IF(OR($A201=0,$A201="S",$A201&gt;CFF!$A$9),"",MAX(V$12:OFFSET(V201,-1,0))+1)</f>
        <v/>
      </c>
      <c r="W201" s="4" t="str">
        <f t="shared" si="69"/>
        <v>SINAPI-99811</v>
      </c>
      <c r="X201" s="1">
        <f t="shared" ca="1" si="59"/>
        <v>12054</v>
      </c>
      <c r="Y201" s="103">
        <v>0.88</v>
      </c>
      <c r="Z201" s="113">
        <f ca="1">ROUND(IF(ISNUMBER(R201),R201,IF(LEFT(R201,3)="BDI",HLOOKUP(R201,DADOS!$T$37:$X$38,2,FALSE),0)),15-11*$X$5)</f>
        <v>0.2354</v>
      </c>
      <c r="AA201" s="1"/>
    </row>
    <row r="202" spans="1:27" x14ac:dyDescent="0.2">
      <c r="A202">
        <v>-1</v>
      </c>
      <c r="C202">
        <v>0</v>
      </c>
      <c r="D202">
        <v>0</v>
      </c>
      <c r="E202">
        <v>0</v>
      </c>
      <c r="F202">
        <v>0</v>
      </c>
      <c r="G202">
        <v>0</v>
      </c>
      <c r="J202" s="69"/>
      <c r="K202" s="69"/>
      <c r="L202" s="69"/>
      <c r="M202" s="69"/>
      <c r="N202" s="69"/>
      <c r="O202" s="69"/>
      <c r="P202" s="69"/>
      <c r="Q202" s="69"/>
      <c r="R202" s="69"/>
      <c r="S202" s="69"/>
      <c r="T202" s="69"/>
      <c r="U202" s="1"/>
      <c r="V202" s="1"/>
      <c r="W202" s="1"/>
      <c r="X202" s="1"/>
      <c r="Y202" s="1"/>
      <c r="Z202" s="1"/>
      <c r="AA202" s="1"/>
    </row>
    <row r="203" spans="1:27" ht="14.25" customHeight="1" x14ac:dyDescent="0.2">
      <c r="A203" s="1"/>
      <c r="B203" s="1"/>
      <c r="C203" s="1"/>
      <c r="D203" s="1"/>
      <c r="E203" s="1"/>
      <c r="F203" s="1"/>
      <c r="G203" s="1"/>
      <c r="H203" s="1"/>
      <c r="I203" s="1"/>
      <c r="J203" s="1"/>
      <c r="K203" s="70" t="s">
        <v>62</v>
      </c>
      <c r="L203" s="1"/>
      <c r="M203" s="326" t="s">
        <v>141</v>
      </c>
      <c r="N203" s="327"/>
      <c r="O203" s="327"/>
      <c r="P203" s="327"/>
      <c r="Q203" s="327"/>
      <c r="R203" s="327"/>
      <c r="S203" s="327"/>
      <c r="T203" s="328"/>
      <c r="U203" s="1"/>
      <c r="V203" s="1"/>
      <c r="W203" s="1"/>
      <c r="X203" s="1"/>
      <c r="Y203" s="1"/>
      <c r="Z203" s="1"/>
      <c r="AA203" s="1"/>
    </row>
    <row r="204" spans="1:27"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4.25" x14ac:dyDescent="0.2">
      <c r="A205" s="1"/>
      <c r="B205" s="1"/>
      <c r="C205" s="1"/>
      <c r="D205" s="1"/>
      <c r="E205" s="1"/>
      <c r="F205" s="1"/>
      <c r="G205" s="1"/>
      <c r="H205" s="1"/>
      <c r="I205" s="1"/>
      <c r="J205" s="1"/>
      <c r="K205" s="76" t="s">
        <v>21</v>
      </c>
      <c r="L205" s="1"/>
      <c r="M205" s="1"/>
      <c r="N205" s="1"/>
      <c r="O205" s="1"/>
      <c r="P205" s="1"/>
      <c r="Q205" s="1"/>
      <c r="R205" s="1"/>
      <c r="S205" s="1"/>
      <c r="T205" s="75"/>
      <c r="U205" s="1"/>
      <c r="V205" s="1"/>
      <c r="W205" s="1"/>
      <c r="X205" s="1"/>
      <c r="Y205" s="1"/>
      <c r="Z205" s="1"/>
      <c r="AA205" s="1"/>
    </row>
    <row r="206" spans="1:27" ht="12.75" customHeight="1" x14ac:dyDescent="0.2">
      <c r="A206" s="1"/>
      <c r="B206" s="1"/>
      <c r="C206" s="1"/>
      <c r="D206" s="1"/>
      <c r="E206" s="1"/>
      <c r="F206" s="1"/>
      <c r="G206" s="1"/>
      <c r="H206" s="1"/>
      <c r="I206" s="1"/>
      <c r="J206" s="1"/>
      <c r="K206" s="320" t="s">
        <v>291</v>
      </c>
      <c r="L206" s="321"/>
      <c r="M206" s="321"/>
      <c r="N206" s="321"/>
      <c r="O206" s="321"/>
      <c r="P206" s="321"/>
      <c r="Q206" s="321"/>
      <c r="R206" s="321"/>
      <c r="S206" s="321"/>
      <c r="T206" s="322"/>
      <c r="U206" s="1"/>
      <c r="V206" s="1"/>
      <c r="W206" s="1"/>
      <c r="X206" s="1"/>
      <c r="Y206" s="1"/>
      <c r="Z206" s="1"/>
      <c r="AA206" s="1"/>
    </row>
    <row r="207" spans="1:27" x14ac:dyDescent="0.2">
      <c r="A207" s="1"/>
      <c r="B207" s="1"/>
      <c r="C207" s="1"/>
      <c r="D207" s="1"/>
      <c r="E207" s="1"/>
      <c r="F207" s="1"/>
      <c r="G207" s="1"/>
      <c r="H207" s="1"/>
      <c r="I207" s="1"/>
      <c r="J207" s="1"/>
      <c r="K207" s="320"/>
      <c r="L207" s="321"/>
      <c r="M207" s="321"/>
      <c r="N207" s="321"/>
      <c r="O207" s="321"/>
      <c r="P207" s="321"/>
      <c r="Q207" s="321"/>
      <c r="R207" s="321"/>
      <c r="S207" s="321"/>
      <c r="T207" s="322"/>
      <c r="U207" s="1"/>
      <c r="V207" s="1"/>
      <c r="W207" s="1"/>
      <c r="X207" s="1"/>
      <c r="Y207" s="1"/>
      <c r="Z207" s="1"/>
      <c r="AA207" s="1"/>
    </row>
    <row r="208" spans="1:27" x14ac:dyDescent="0.2">
      <c r="A208" s="1"/>
      <c r="B208" s="1"/>
      <c r="C208" s="1"/>
      <c r="D208" s="1"/>
      <c r="E208" s="1"/>
      <c r="F208" s="1"/>
      <c r="G208" s="1"/>
      <c r="H208" s="1"/>
      <c r="I208" s="1"/>
      <c r="J208" s="1"/>
      <c r="K208" s="323"/>
      <c r="L208" s="324"/>
      <c r="M208" s="324"/>
      <c r="N208" s="324"/>
      <c r="O208" s="324"/>
      <c r="P208" s="324"/>
      <c r="Q208" s="324"/>
      <c r="R208" s="324"/>
      <c r="S208" s="324"/>
      <c r="T208" s="325"/>
      <c r="U208" s="1"/>
      <c r="V208" s="1"/>
      <c r="W208" s="1"/>
      <c r="X208" s="1"/>
      <c r="Y208" s="1"/>
      <c r="Z208" s="1"/>
      <c r="AA208" s="1"/>
    </row>
    <row r="209" spans="1:27" ht="14.25" x14ac:dyDescent="0.2">
      <c r="A209" s="1"/>
      <c r="B209" s="1"/>
      <c r="C209" s="1"/>
      <c r="D209" s="1"/>
      <c r="E209" s="1"/>
      <c r="F209" s="1"/>
      <c r="G209" s="1"/>
      <c r="H209" s="1"/>
      <c r="I209" s="1"/>
      <c r="J209" s="1"/>
      <c r="K209" s="180"/>
      <c r="L209" s="180"/>
      <c r="M209" s="180"/>
      <c r="N209" s="180"/>
      <c r="O209" s="180"/>
      <c r="P209" s="180"/>
      <c r="Q209" s="180"/>
      <c r="R209" s="180"/>
      <c r="S209" s="180"/>
      <c r="T209" s="180"/>
      <c r="U209" s="1"/>
      <c r="V209" s="1"/>
      <c r="W209" s="1"/>
      <c r="X209" s="1"/>
      <c r="Y209" s="1"/>
      <c r="Z209" s="1"/>
      <c r="AA209" s="1"/>
    </row>
    <row r="210" spans="1:27" ht="15" x14ac:dyDescent="0.25">
      <c r="A210" s="1"/>
      <c r="B210" s="1"/>
      <c r="C210" s="1"/>
      <c r="D210" s="1"/>
      <c r="E210" s="1"/>
      <c r="F210" s="1"/>
      <c r="G210" s="1"/>
      <c r="H210" s="1"/>
      <c r="I210" s="1"/>
      <c r="J210" s="1"/>
      <c r="K210" s="31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210" s="318"/>
      <c r="M210" s="318"/>
      <c r="N210" s="318"/>
      <c r="O210" s="318"/>
      <c r="P210" s="318"/>
      <c r="Q210" s="318"/>
      <c r="R210" s="318"/>
      <c r="S210" s="318"/>
      <c r="T210" s="319"/>
      <c r="U210" s="1"/>
      <c r="V210" s="1"/>
      <c r="W210" s="1"/>
      <c r="X210" s="1"/>
      <c r="Y210" s="1"/>
      <c r="Z210" s="1"/>
      <c r="AA210" s="1"/>
    </row>
    <row r="211" spans="1:27"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21"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x14ac:dyDescent="0.2">
      <c r="A213" s="1"/>
      <c r="B213" s="1"/>
      <c r="C213" s="1"/>
      <c r="D213" s="1"/>
      <c r="E213" s="1"/>
      <c r="F213" s="1"/>
      <c r="G213" s="1"/>
      <c r="H213" s="1"/>
      <c r="I213" s="1"/>
      <c r="J213" s="1"/>
      <c r="K213" s="330" t="str">
        <f>Import.Município</f>
        <v>BENTO GONÇALVES/RS</v>
      </c>
      <c r="L213" s="330"/>
      <c r="M213" s="330"/>
      <c r="N213" s="1"/>
      <c r="O213" s="1"/>
      <c r="P213" s="1"/>
      <c r="Q213" s="1"/>
      <c r="R213" s="1"/>
      <c r="S213" s="1"/>
      <c r="T213" s="1"/>
      <c r="U213" s="1"/>
      <c r="V213" s="1"/>
      <c r="W213" s="1"/>
      <c r="X213" s="1"/>
      <c r="Y213" s="1"/>
      <c r="Z213" s="1"/>
      <c r="AA213" s="1"/>
    </row>
    <row r="214" spans="1:27" x14ac:dyDescent="0.2">
      <c r="A214" s="1"/>
      <c r="B214" s="1"/>
      <c r="C214" s="1"/>
      <c r="D214" s="1"/>
      <c r="E214" s="1"/>
      <c r="F214" s="1"/>
      <c r="G214" s="1"/>
      <c r="H214" s="1"/>
      <c r="I214" s="1"/>
      <c r="J214" s="1"/>
      <c r="K214" s="97" t="s">
        <v>120</v>
      </c>
      <c r="L214" s="1"/>
      <c r="M214" s="1"/>
      <c r="N214" s="1"/>
      <c r="O214" s="1"/>
      <c r="P214" s="1"/>
      <c r="Q214" s="1"/>
      <c r="R214" s="1"/>
      <c r="S214" s="1"/>
      <c r="T214" s="1"/>
      <c r="U214" s="1"/>
      <c r="V214" s="1"/>
      <c r="W214" s="1"/>
      <c r="X214" s="1"/>
      <c r="Y214" s="1"/>
      <c r="Z214" s="1"/>
      <c r="AA214" s="1"/>
    </row>
    <row r="215" spans="1:27"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x14ac:dyDescent="0.2">
      <c r="A216" s="1"/>
      <c r="B216" s="1"/>
      <c r="C216" s="1"/>
      <c r="D216" s="1"/>
      <c r="E216" s="1"/>
      <c r="F216" s="1"/>
      <c r="G216" s="1"/>
      <c r="H216" s="1"/>
      <c r="I216" s="1"/>
      <c r="J216" s="1"/>
      <c r="K216" s="329">
        <f ca="1">TODAY()</f>
        <v>46246</v>
      </c>
      <c r="L216" s="329"/>
      <c r="M216" s="329"/>
      <c r="N216" s="1"/>
      <c r="O216" s="1"/>
      <c r="P216" s="1"/>
      <c r="Q216" s="1"/>
      <c r="R216" s="1"/>
      <c r="S216" s="1"/>
      <c r="T216" s="1"/>
      <c r="U216" s="1"/>
      <c r="V216" s="1"/>
      <c r="W216" s="1"/>
      <c r="X216" s="1"/>
      <c r="Y216" s="1"/>
      <c r="Z216" s="1"/>
      <c r="AA216" s="1"/>
    </row>
    <row r="217" spans="1:27" x14ac:dyDescent="0.2">
      <c r="A217" s="1"/>
      <c r="B217" s="1"/>
      <c r="C217" s="1"/>
      <c r="D217" s="1"/>
      <c r="E217" s="1"/>
      <c r="F217" s="1"/>
      <c r="G217" s="1"/>
      <c r="H217" s="1"/>
      <c r="I217" s="1"/>
      <c r="J217" s="1"/>
      <c r="K217" s="119" t="s">
        <v>121</v>
      </c>
      <c r="L217" s="69"/>
      <c r="M217" s="69"/>
      <c r="N217" s="1"/>
      <c r="O217" s="1"/>
      <c r="P217" s="1"/>
      <c r="Q217" s="1"/>
      <c r="R217" s="1"/>
      <c r="S217" s="1"/>
      <c r="T217" s="1"/>
      <c r="U217" s="1"/>
      <c r="V217" s="1"/>
      <c r="W217" s="1"/>
      <c r="X217" s="1"/>
      <c r="Y217" s="1"/>
      <c r="Z217" s="1"/>
      <c r="AA217" s="1"/>
    </row>
  </sheetData>
  <sheetProtection password="C95B" sheet="1" objects="1" scenarios="1"/>
  <mergeCells count="6">
    <mergeCell ref="W2:X2"/>
    <mergeCell ref="K210:T210"/>
    <mergeCell ref="K206:T208"/>
    <mergeCell ref="M203:T203"/>
    <mergeCell ref="K216:M216"/>
    <mergeCell ref="K213:M213"/>
  </mergeCells>
  <phoneticPr fontId="27" type="noConversion"/>
  <conditionalFormatting sqref="O12:R12 L12:M12">
    <cfRule type="expression" dxfId="446" priority="5442" stopIfTrue="1">
      <formula>$J12=$C$2</formula>
    </cfRule>
    <cfRule type="expression" dxfId="445" priority="5443" stopIfTrue="1">
      <formula>UPPER(LEFT($J12,5))="NÍVEL"</formula>
    </cfRule>
    <cfRule type="expression" dxfId="444" priority="5444" stopIfTrue="1">
      <formula>$J12=$C$8</formula>
    </cfRule>
  </conditionalFormatting>
  <conditionalFormatting sqref="Y12:Z12 S12:T12 K12">
    <cfRule type="expression" dxfId="443" priority="5445" stopIfTrue="1">
      <formula>$J12=$C$2</formula>
    </cfRule>
    <cfRule type="expression" dxfId="442" priority="5446" stopIfTrue="1">
      <formula>UPPER(LEFT($J12,5))="NÍVEL"</formula>
    </cfRule>
  </conditionalFormatting>
  <conditionalFormatting sqref="K11 K13 K18:K29 K88:K117 K168:K201">
    <cfRule type="expression" dxfId="441" priority="5458" stopIfTrue="1">
      <formula>$J11=$C$2</formula>
    </cfRule>
    <cfRule type="expression" dxfId="440" priority="5459" stopIfTrue="1">
      <formula>AND($J11&lt;&gt;"",$J11&lt;&gt;"Serviço")</formula>
    </cfRule>
    <cfRule type="expression" dxfId="439" priority="5460" stopIfTrue="1">
      <formula>$J11=""</formula>
    </cfRule>
  </conditionalFormatting>
  <conditionalFormatting sqref="P11 P13 P93 P98 P105 P107 P111:P113 P21:P23 P168:P201">
    <cfRule type="expression" dxfId="438" priority="3785" stopIfTrue="1">
      <formula>$J11=$C$2</formula>
    </cfRule>
    <cfRule type="expression" dxfId="437" priority="5464" stopIfTrue="1">
      <formula>AND($J11&lt;&gt;"Serviço")</formula>
    </cfRule>
    <cfRule type="expression" dxfId="436" priority="5465" stopIfTrue="1">
      <formula>CELL("proteger",P11)</formula>
    </cfRule>
  </conditionalFormatting>
  <conditionalFormatting sqref="Q11:R11 Q13:R13 R18:R29 R168:R201 Q14:Q201 R88:R117">
    <cfRule type="expression" dxfId="2" priority="5466" stopIfTrue="1">
      <formula>$J11=$C$2</formula>
    </cfRule>
    <cfRule type="expression" dxfId="1" priority="5467" stopIfTrue="1">
      <formula>$J11&lt;&gt;"Serviço"</formula>
    </cfRule>
    <cfRule type="expression" dxfId="0" priority="5468" stopIfTrue="1">
      <formula>CELL("proteger",Q11)</formula>
    </cfRule>
  </conditionalFormatting>
  <conditionalFormatting sqref="S11:T11 Y11:Z11 Y13:Z13 S13:T13 S18:T29 Y18:Z29 S88:T117 Y88:Z117 S168:T201 Y168:Z201">
    <cfRule type="expression" dxfId="435" priority="5469" stopIfTrue="1">
      <formula>$J11=$C$2</formula>
    </cfRule>
    <cfRule type="expression" dxfId="434" priority="5470" stopIfTrue="1">
      <formula>$J11&lt;&gt;"Serviço"</formula>
    </cfRule>
  </conditionalFormatting>
  <conditionalFormatting sqref="L11:M11 L13:M13 L14 L21:M29 L98:M117 L168:M201">
    <cfRule type="expression" dxfId="433" priority="5490" stopIfTrue="1">
      <formula>$J11=$C$2</formula>
    </cfRule>
    <cfRule type="expression" dxfId="432" priority="5491" stopIfTrue="1">
      <formula>$J11&lt;&gt;"Serviço"</formula>
    </cfRule>
    <cfRule type="expression" dxfId="431" priority="5492" stopIfTrue="1">
      <formula>OR(CELL("proteger",L11),$J11="",TipoOrçamento="Licitado")</formula>
    </cfRule>
  </conditionalFormatting>
  <conditionalFormatting sqref="K203:T203">
    <cfRule type="expression" dxfId="430" priority="5471" stopIfTrue="1">
      <formula>OR(Tipo.Orçamento="LICITADO",Tipo.Orçamento="REPROGRAMADOAC")</formula>
    </cfRule>
    <cfRule type="expression" dxfId="429" priority="5472" stopIfTrue="1">
      <formula>$M$203=""</formula>
    </cfRule>
  </conditionalFormatting>
  <conditionalFormatting sqref="J11 J13 J18:J20 J24:J28">
    <cfRule type="expression" dxfId="428" priority="5499" stopIfTrue="1">
      <formula>TipoOrçamento="Licitado"</formula>
    </cfRule>
  </conditionalFormatting>
  <conditionalFormatting sqref="O11 O13 O18:O29 O88:O117 O168:O201">
    <cfRule type="expression" dxfId="427" priority="3805" stopIfTrue="1">
      <formula>$J11=$C$2</formula>
    </cfRule>
    <cfRule type="expression" dxfId="426" priority="3806" stopIfTrue="1">
      <formula>AND($J11&lt;&gt;"Serviço")</formula>
    </cfRule>
    <cfRule type="expression" dxfId="425" priority="3807" stopIfTrue="1">
      <formula>CELL("proteger",O11)</formula>
    </cfRule>
  </conditionalFormatting>
  <conditionalFormatting sqref="N11 N15:N201">
    <cfRule type="expression" dxfId="424" priority="3808" stopIfTrue="1">
      <formula>$J11=$C$2</formula>
    </cfRule>
    <cfRule type="expression" dxfId="423" priority="3809" stopIfTrue="1">
      <formula>$J11&lt;&gt;"Serviço"</formula>
    </cfRule>
    <cfRule type="expression" dxfId="422" priority="3810" stopIfTrue="1">
      <formula>CELL("proteger",N11)</formula>
    </cfRule>
  </conditionalFormatting>
  <conditionalFormatting sqref="N13">
    <cfRule type="expression" dxfId="421" priority="3674" stopIfTrue="1">
      <formula>$J13=$C$2</formula>
    </cfRule>
    <cfRule type="expression" dxfId="420" priority="3675" stopIfTrue="1">
      <formula>$J13&lt;&gt;"Serviço"</formula>
    </cfRule>
    <cfRule type="expression" dxfId="419" priority="3676" stopIfTrue="1">
      <formula>CELL("proteger",N13)</formula>
    </cfRule>
  </conditionalFormatting>
  <conditionalFormatting sqref="J22">
    <cfRule type="expression" dxfId="418" priority="1786" stopIfTrue="1">
      <formula>TipoOrçamento="Licitado"</formula>
    </cfRule>
  </conditionalFormatting>
  <conditionalFormatting sqref="K14">
    <cfRule type="expression" dxfId="417" priority="1584" stopIfTrue="1">
      <formula>$J14=$C$2</formula>
    </cfRule>
    <cfRule type="expression" dxfId="416" priority="1585" stopIfTrue="1">
      <formula>AND($J14&lt;&gt;"",$J14&lt;&gt;"Serviço")</formula>
    </cfRule>
    <cfRule type="expression" dxfId="415" priority="1586" stopIfTrue="1">
      <formula>$J14=""</formula>
    </cfRule>
  </conditionalFormatting>
  <conditionalFormatting sqref="P14">
    <cfRule type="expression" dxfId="414" priority="1577" stopIfTrue="1">
      <formula>$J14=$C$2</formula>
    </cfRule>
    <cfRule type="expression" dxfId="413" priority="1587" stopIfTrue="1">
      <formula>AND($J14&lt;&gt;"Serviço")</formula>
    </cfRule>
    <cfRule type="expression" dxfId="412" priority="1588" stopIfTrue="1">
      <formula>CELL("proteger",P14)</formula>
    </cfRule>
  </conditionalFormatting>
  <conditionalFormatting sqref="R14">
    <cfRule type="expression" dxfId="411" priority="1589" stopIfTrue="1">
      <formula>$J14=$C$2</formula>
    </cfRule>
    <cfRule type="expression" dxfId="410" priority="1590" stopIfTrue="1">
      <formula>$J14&lt;&gt;"Serviço"</formula>
    </cfRule>
    <cfRule type="expression" dxfId="409" priority="1591" stopIfTrue="1">
      <formula>CELL("proteger",R14)</formula>
    </cfRule>
  </conditionalFormatting>
  <conditionalFormatting sqref="S14:T14 Y14:Z14">
    <cfRule type="expression" dxfId="408" priority="1592" stopIfTrue="1">
      <formula>$J14=$C$2</formula>
    </cfRule>
    <cfRule type="expression" dxfId="407" priority="1593" stopIfTrue="1">
      <formula>$J14&lt;&gt;"Serviço"</formula>
    </cfRule>
  </conditionalFormatting>
  <conditionalFormatting sqref="M14">
    <cfRule type="expression" dxfId="406" priority="1594" stopIfTrue="1">
      <formula>$J14=$C$2</formula>
    </cfRule>
    <cfRule type="expression" dxfId="405" priority="1595" stopIfTrue="1">
      <formula>$J14&lt;&gt;"Serviço"</formula>
    </cfRule>
    <cfRule type="expression" dxfId="404" priority="1596" stopIfTrue="1">
      <formula>OR(CELL("proteger",M14),$J14="",TipoOrçamento="Licitado")</formula>
    </cfRule>
  </conditionalFormatting>
  <conditionalFormatting sqref="J14">
    <cfRule type="expression" dxfId="403" priority="1597" stopIfTrue="1">
      <formula>TipoOrçamento="Licitado"</formula>
    </cfRule>
  </conditionalFormatting>
  <conditionalFormatting sqref="O14">
    <cfRule type="expression" dxfId="402" priority="1578" stopIfTrue="1">
      <formula>$J14=$C$2</formula>
    </cfRule>
    <cfRule type="expression" dxfId="401" priority="1579" stopIfTrue="1">
      <formula>AND($J14&lt;&gt;"Serviço")</formula>
    </cfRule>
    <cfRule type="expression" dxfId="400" priority="1580" stopIfTrue="1">
      <formula>CELL("proteger",O14)</formula>
    </cfRule>
  </conditionalFormatting>
  <conditionalFormatting sqref="N14">
    <cfRule type="expression" dxfId="399" priority="1581" stopIfTrue="1">
      <formula>$J14=$C$2</formula>
    </cfRule>
    <cfRule type="expression" dxfId="398" priority="1582" stopIfTrue="1">
      <formula>$J14&lt;&gt;"Serviço"</formula>
    </cfRule>
    <cfRule type="expression" dxfId="397" priority="1583" stopIfTrue="1">
      <formula>CELL("proteger",N14)</formula>
    </cfRule>
  </conditionalFormatting>
  <conditionalFormatting sqref="K16">
    <cfRule type="expression" dxfId="396" priority="1374" stopIfTrue="1">
      <formula>$J16=$C$2</formula>
    </cfRule>
    <cfRule type="expression" dxfId="395" priority="1375" stopIfTrue="1">
      <formula>AND($J16&lt;&gt;"",$J16&lt;&gt;"Serviço")</formula>
    </cfRule>
    <cfRule type="expression" dxfId="394" priority="1376" stopIfTrue="1">
      <formula>$J16=""</formula>
    </cfRule>
  </conditionalFormatting>
  <conditionalFormatting sqref="R16">
    <cfRule type="expression" dxfId="393" priority="1379" stopIfTrue="1">
      <formula>$J16=$C$2</formula>
    </cfRule>
    <cfRule type="expression" dxfId="392" priority="1380" stopIfTrue="1">
      <formula>$J16&lt;&gt;"Serviço"</formula>
    </cfRule>
    <cfRule type="expression" dxfId="391" priority="1381" stopIfTrue="1">
      <formula>CELL("proteger",R16)</formula>
    </cfRule>
  </conditionalFormatting>
  <conditionalFormatting sqref="S16:T16 Y16:Z16">
    <cfRule type="expression" dxfId="390" priority="1382" stopIfTrue="1">
      <formula>$J16=$C$2</formula>
    </cfRule>
    <cfRule type="expression" dxfId="389" priority="1383" stopIfTrue="1">
      <formula>$J16&lt;&gt;"Serviço"</formula>
    </cfRule>
  </conditionalFormatting>
  <conditionalFormatting sqref="L16:M16">
    <cfRule type="expression" dxfId="388" priority="1384" stopIfTrue="1">
      <formula>$J16=$C$2</formula>
    </cfRule>
    <cfRule type="expression" dxfId="387" priority="1385" stopIfTrue="1">
      <formula>$J16&lt;&gt;"Serviço"</formula>
    </cfRule>
    <cfRule type="expression" dxfId="386" priority="1386" stopIfTrue="1">
      <formula>OR(CELL("proteger",L16),$J16="",TipoOrçamento="Licitado")</formula>
    </cfRule>
  </conditionalFormatting>
  <conditionalFormatting sqref="J16">
    <cfRule type="expression" dxfId="385" priority="1387" stopIfTrue="1">
      <formula>TipoOrçamento="Licitado"</formula>
    </cfRule>
  </conditionalFormatting>
  <conditionalFormatting sqref="O16">
    <cfRule type="expression" dxfId="384" priority="1368" stopIfTrue="1">
      <formula>$J16=$C$2</formula>
    </cfRule>
    <cfRule type="expression" dxfId="383" priority="1369" stopIfTrue="1">
      <formula>AND($J16&lt;&gt;"Serviço")</formula>
    </cfRule>
    <cfRule type="expression" dxfId="382" priority="1370" stopIfTrue="1">
      <formula>CELL("proteger",O16)</formula>
    </cfRule>
  </conditionalFormatting>
  <conditionalFormatting sqref="K17">
    <cfRule type="expression" dxfId="381" priority="1353" stopIfTrue="1">
      <formula>$J17=$C$2</formula>
    </cfRule>
    <cfRule type="expression" dxfId="380" priority="1354" stopIfTrue="1">
      <formula>AND($J17&lt;&gt;"",$J17&lt;&gt;"Serviço")</formula>
    </cfRule>
    <cfRule type="expression" dxfId="379" priority="1355" stopIfTrue="1">
      <formula>$J17=""</formula>
    </cfRule>
  </conditionalFormatting>
  <conditionalFormatting sqref="R17">
    <cfRule type="expression" dxfId="378" priority="1358" stopIfTrue="1">
      <formula>$J17=$C$2</formula>
    </cfRule>
    <cfRule type="expression" dxfId="377" priority="1359" stopIfTrue="1">
      <formula>$J17&lt;&gt;"Serviço"</formula>
    </cfRule>
    <cfRule type="expression" dxfId="376" priority="1360" stopIfTrue="1">
      <formula>CELL("proteger",R17)</formula>
    </cfRule>
  </conditionalFormatting>
  <conditionalFormatting sqref="S17:T17 Y17:Z17">
    <cfRule type="expression" dxfId="375" priority="1361" stopIfTrue="1">
      <formula>$J17=$C$2</formula>
    </cfRule>
    <cfRule type="expression" dxfId="374" priority="1362" stopIfTrue="1">
      <formula>$J17&lt;&gt;"Serviço"</formula>
    </cfRule>
  </conditionalFormatting>
  <conditionalFormatting sqref="L17:M17">
    <cfRule type="expression" dxfId="373" priority="1363" stopIfTrue="1">
      <formula>$J17=$C$2</formula>
    </cfRule>
    <cfRule type="expression" dxfId="372" priority="1364" stopIfTrue="1">
      <formula>$J17&lt;&gt;"Serviço"</formula>
    </cfRule>
    <cfRule type="expression" dxfId="371" priority="1365" stopIfTrue="1">
      <formula>OR(CELL("proteger",L17),$J17="",TipoOrçamento="Licitado")</formula>
    </cfRule>
  </conditionalFormatting>
  <conditionalFormatting sqref="J17">
    <cfRule type="expression" dxfId="370" priority="1366" stopIfTrue="1">
      <formula>TipoOrçamento="Licitado"</formula>
    </cfRule>
  </conditionalFormatting>
  <conditionalFormatting sqref="O17">
    <cfRule type="expression" dxfId="369" priority="1347" stopIfTrue="1">
      <formula>$J17=$C$2</formula>
    </cfRule>
    <cfRule type="expression" dxfId="368" priority="1348" stopIfTrue="1">
      <formula>AND($J17&lt;&gt;"Serviço")</formula>
    </cfRule>
    <cfRule type="expression" dxfId="367" priority="1349" stopIfTrue="1">
      <formula>CELL("proteger",O17)</formula>
    </cfRule>
  </conditionalFormatting>
  <conditionalFormatting sqref="J23">
    <cfRule type="expression" dxfId="366" priority="1219" stopIfTrue="1">
      <formula>TipoOrçamento="Licitado"</formula>
    </cfRule>
  </conditionalFormatting>
  <conditionalFormatting sqref="L18:M20">
    <cfRule type="expression" dxfId="365" priority="1161" stopIfTrue="1">
      <formula>$J18=$C$2</formula>
    </cfRule>
    <cfRule type="expression" dxfId="364" priority="1162" stopIfTrue="1">
      <formula>$J18&lt;&gt;"Serviço"</formula>
    </cfRule>
    <cfRule type="expression" dxfId="363" priority="1163" stopIfTrue="1">
      <formula>OR(CELL("proteger",L18),$J18="",TipoOrçamento="Licitado")</formula>
    </cfRule>
  </conditionalFormatting>
  <conditionalFormatting sqref="J21">
    <cfRule type="expression" dxfId="362" priority="732" stopIfTrue="1">
      <formula>TipoOrçamento="Licitado"</formula>
    </cfRule>
  </conditionalFormatting>
  <conditionalFormatting sqref="J29">
    <cfRule type="expression" dxfId="361" priority="711" stopIfTrue="1">
      <formula>TipoOrçamento="Licitado"</formula>
    </cfRule>
  </conditionalFormatting>
  <conditionalFormatting sqref="K15">
    <cfRule type="expression" dxfId="360" priority="332" stopIfTrue="1">
      <formula>$J15=$C$2</formula>
    </cfRule>
    <cfRule type="expression" dxfId="359" priority="333" stopIfTrue="1">
      <formula>AND($J15&lt;&gt;"",$J15&lt;&gt;"Serviço")</formula>
    </cfRule>
    <cfRule type="expression" dxfId="358" priority="334" stopIfTrue="1">
      <formula>$J15=""</formula>
    </cfRule>
  </conditionalFormatting>
  <conditionalFormatting sqref="R15">
    <cfRule type="expression" dxfId="357" priority="337" stopIfTrue="1">
      <formula>$J15=$C$2</formula>
    </cfRule>
    <cfRule type="expression" dxfId="356" priority="338" stopIfTrue="1">
      <formula>$J15&lt;&gt;"Serviço"</formula>
    </cfRule>
    <cfRule type="expression" dxfId="355" priority="339" stopIfTrue="1">
      <formula>CELL("proteger",R15)</formula>
    </cfRule>
  </conditionalFormatting>
  <conditionalFormatting sqref="S15:T15 Y15:Z15">
    <cfRule type="expression" dxfId="354" priority="340" stopIfTrue="1">
      <formula>$J15=$C$2</formula>
    </cfRule>
    <cfRule type="expression" dxfId="353" priority="341" stopIfTrue="1">
      <formula>$J15&lt;&gt;"Serviço"</formula>
    </cfRule>
  </conditionalFormatting>
  <conditionalFormatting sqref="J15">
    <cfRule type="expression" dxfId="352" priority="345" stopIfTrue="1">
      <formula>TipoOrçamento="Licitado"</formula>
    </cfRule>
  </conditionalFormatting>
  <conditionalFormatting sqref="O15">
    <cfRule type="expression" dxfId="351" priority="326" stopIfTrue="1">
      <formula>$J15=$C$2</formula>
    </cfRule>
    <cfRule type="expression" dxfId="350" priority="327" stopIfTrue="1">
      <formula>AND($J15&lt;&gt;"Serviço")</formula>
    </cfRule>
    <cfRule type="expression" dxfId="349" priority="328" stopIfTrue="1">
      <formula>CELL("proteger",O15)</formula>
    </cfRule>
  </conditionalFormatting>
  <conditionalFormatting sqref="L15">
    <cfRule type="expression" dxfId="348" priority="322" stopIfTrue="1">
      <formula>$J15=$C$2</formula>
    </cfRule>
    <cfRule type="expression" dxfId="347" priority="323" stopIfTrue="1">
      <formula>$J15&lt;&gt;"Serviço"</formula>
    </cfRule>
    <cfRule type="expression" dxfId="346" priority="324" stopIfTrue="1">
      <formula>OR(CELL("proteger",L15),$J15="",TipoOrçamento="Licitado")</formula>
    </cfRule>
  </conditionalFormatting>
  <conditionalFormatting sqref="M15">
    <cfRule type="expression" dxfId="345" priority="319" stopIfTrue="1">
      <formula>$J15=$C$2</formula>
    </cfRule>
    <cfRule type="expression" dxfId="344" priority="320" stopIfTrue="1">
      <formula>$J15&lt;&gt;"Serviço"</formula>
    </cfRule>
    <cfRule type="expression" dxfId="343" priority="321" stopIfTrue="1">
      <formula>OR(CELL("proteger",M15),$J15="",TipoOrçamento="Licitado")</formula>
    </cfRule>
  </conditionalFormatting>
  <conditionalFormatting sqref="K30:K46 K67:K87">
    <cfRule type="expression" dxfId="342" priority="305" stopIfTrue="1">
      <formula>$J30=$C$2</formula>
    </cfRule>
    <cfRule type="expression" dxfId="341" priority="306" stopIfTrue="1">
      <formula>AND($J30&lt;&gt;"",$J30&lt;&gt;"Serviço")</formula>
    </cfRule>
    <cfRule type="expression" dxfId="340" priority="307" stopIfTrue="1">
      <formula>$J30=""</formula>
    </cfRule>
  </conditionalFormatting>
  <conditionalFormatting sqref="P31 P83 P34">
    <cfRule type="expression" dxfId="339" priority="298" stopIfTrue="1">
      <formula>$J31=$C$2</formula>
    </cfRule>
    <cfRule type="expression" dxfId="338" priority="308" stopIfTrue="1">
      <formula>AND($J31&lt;&gt;"Serviço")</formula>
    </cfRule>
    <cfRule type="expression" dxfId="337" priority="309" stopIfTrue="1">
      <formula>CELL("proteger",P31)</formula>
    </cfRule>
  </conditionalFormatting>
  <conditionalFormatting sqref="R30:R46 R67:R87">
    <cfRule type="expression" dxfId="336" priority="310" stopIfTrue="1">
      <formula>$J30=$C$2</formula>
    </cfRule>
    <cfRule type="expression" dxfId="335" priority="311" stopIfTrue="1">
      <formula>$J30&lt;&gt;"Serviço"</formula>
    </cfRule>
    <cfRule type="expression" dxfId="334" priority="312" stopIfTrue="1">
      <formula>CELL("proteger",R30)</formula>
    </cfRule>
  </conditionalFormatting>
  <conditionalFormatting sqref="S30:T46 Y30:Z46 Y67:Z87 S67:T87">
    <cfRule type="expression" dxfId="333" priority="313" stopIfTrue="1">
      <formula>$J30=$C$2</formula>
    </cfRule>
    <cfRule type="expression" dxfId="332" priority="314" stopIfTrue="1">
      <formula>$J30&lt;&gt;"Serviço"</formula>
    </cfRule>
  </conditionalFormatting>
  <conditionalFormatting sqref="L30:M35 M67:M82 M36:M46 L36:L82 L83:M87">
    <cfRule type="expression" dxfId="331" priority="315" stopIfTrue="1">
      <formula>$J30=$C$2</formula>
    </cfRule>
    <cfRule type="expression" dxfId="330" priority="316" stopIfTrue="1">
      <formula>$J30&lt;&gt;"Serviço"</formula>
    </cfRule>
    <cfRule type="expression" dxfId="329" priority="317" stopIfTrue="1">
      <formula>OR(CELL("proteger",L30),$J30="",TipoOrçamento="Licitado")</formula>
    </cfRule>
  </conditionalFormatting>
  <conditionalFormatting sqref="J30:J46 J67:J87">
    <cfRule type="expression" dxfId="328" priority="318" stopIfTrue="1">
      <formula>TipoOrçamento="Licitado"</formula>
    </cfRule>
  </conditionalFormatting>
  <conditionalFormatting sqref="O30:O46 O67:O87">
    <cfRule type="expression" dxfId="327" priority="299" stopIfTrue="1">
      <formula>$J30=$C$2</formula>
    </cfRule>
    <cfRule type="expression" dxfId="326" priority="300" stopIfTrue="1">
      <formula>AND($J30&lt;&gt;"Serviço")</formula>
    </cfRule>
    <cfRule type="expression" dxfId="325" priority="301" stopIfTrue="1">
      <formula>CELL("proteger",O30)</formula>
    </cfRule>
  </conditionalFormatting>
  <conditionalFormatting sqref="K47:K66">
    <cfRule type="expression" dxfId="324" priority="284" stopIfTrue="1">
      <formula>$J47=$C$2</formula>
    </cfRule>
    <cfRule type="expression" dxfId="323" priority="285" stopIfTrue="1">
      <formula>AND($J47&lt;&gt;"",$J47&lt;&gt;"Serviço")</formula>
    </cfRule>
    <cfRule type="expression" dxfId="322" priority="286" stopIfTrue="1">
      <formula>$J47=""</formula>
    </cfRule>
  </conditionalFormatting>
  <conditionalFormatting sqref="R47:R66">
    <cfRule type="expression" dxfId="321" priority="289" stopIfTrue="1">
      <formula>$J47=$C$2</formula>
    </cfRule>
    <cfRule type="expression" dxfId="320" priority="290" stopIfTrue="1">
      <formula>$J47&lt;&gt;"Serviço"</formula>
    </cfRule>
    <cfRule type="expression" dxfId="319" priority="291" stopIfTrue="1">
      <formula>CELL("proteger",R47)</formula>
    </cfRule>
  </conditionalFormatting>
  <conditionalFormatting sqref="S47:T66 Y47:Z66">
    <cfRule type="expression" dxfId="318" priority="292" stopIfTrue="1">
      <formula>$J47=$C$2</formula>
    </cfRule>
    <cfRule type="expression" dxfId="317" priority="293" stopIfTrue="1">
      <formula>$J47&lt;&gt;"Serviço"</formula>
    </cfRule>
  </conditionalFormatting>
  <conditionalFormatting sqref="M47:M66">
    <cfRule type="expression" dxfId="316" priority="294" stopIfTrue="1">
      <formula>$J47=$C$2</formula>
    </cfRule>
    <cfRule type="expression" dxfId="315" priority="295" stopIfTrue="1">
      <formula>$J47&lt;&gt;"Serviço"</formula>
    </cfRule>
    <cfRule type="expression" dxfId="314" priority="296" stopIfTrue="1">
      <formula>OR(CELL("proteger",M47),$J47="",TipoOrçamento="Licitado")</formula>
    </cfRule>
  </conditionalFormatting>
  <conditionalFormatting sqref="J47:J66">
    <cfRule type="expression" dxfId="313" priority="297" stopIfTrue="1">
      <formula>TipoOrçamento="Licitado"</formula>
    </cfRule>
  </conditionalFormatting>
  <conditionalFormatting sqref="O47:O66">
    <cfRule type="expression" dxfId="312" priority="278" stopIfTrue="1">
      <formula>$J47=$C$2</formula>
    </cfRule>
    <cfRule type="expression" dxfId="311" priority="279" stopIfTrue="1">
      <formula>AND($J47&lt;&gt;"Serviço")</formula>
    </cfRule>
    <cfRule type="expression" dxfId="310" priority="280" stopIfTrue="1">
      <formula>CELL("proteger",O47)</formula>
    </cfRule>
  </conditionalFormatting>
  <conditionalFormatting sqref="L93:M93 M88:M92 M94:M97">
    <cfRule type="expression" dxfId="309" priority="273" stopIfTrue="1">
      <formula>$J88=$C$2</formula>
    </cfRule>
    <cfRule type="expression" dxfId="308" priority="274" stopIfTrue="1">
      <formula>$J88&lt;&gt;"Serviço"</formula>
    </cfRule>
    <cfRule type="expression" dxfId="307" priority="275" stopIfTrue="1">
      <formula>OR(CELL("proteger",L88),$J88="",TipoOrçamento="Licitado")</formula>
    </cfRule>
  </conditionalFormatting>
  <conditionalFormatting sqref="J88:J117">
    <cfRule type="expression" dxfId="306" priority="276" stopIfTrue="1">
      <formula>TipoOrçamento="Licitado"</formula>
    </cfRule>
  </conditionalFormatting>
  <conditionalFormatting sqref="L88">
    <cfRule type="expression" dxfId="305" priority="253" stopIfTrue="1">
      <formula>$J88=$C$2</formula>
    </cfRule>
    <cfRule type="expression" dxfId="304" priority="254" stopIfTrue="1">
      <formula>$J88&lt;&gt;"Serviço"</formula>
    </cfRule>
    <cfRule type="expression" dxfId="303" priority="255" stopIfTrue="1">
      <formula>OR(CELL("proteger",L88),$J88="",TipoOrçamento="Licitado")</formula>
    </cfRule>
  </conditionalFormatting>
  <conditionalFormatting sqref="L89">
    <cfRule type="expression" dxfId="302" priority="250" stopIfTrue="1">
      <formula>$J89=$C$2</formula>
    </cfRule>
    <cfRule type="expression" dxfId="301" priority="251" stopIfTrue="1">
      <formula>$J89&lt;&gt;"Serviço"</formula>
    </cfRule>
    <cfRule type="expression" dxfId="300" priority="252" stopIfTrue="1">
      <formula>OR(CELL("proteger",L89),$J89="",TipoOrçamento="Licitado")</formula>
    </cfRule>
  </conditionalFormatting>
  <conditionalFormatting sqref="L90">
    <cfRule type="expression" dxfId="299" priority="247" stopIfTrue="1">
      <formula>$J90=$C$2</formula>
    </cfRule>
    <cfRule type="expression" dxfId="298" priority="248" stopIfTrue="1">
      <formula>$J90&lt;&gt;"Serviço"</formula>
    </cfRule>
    <cfRule type="expression" dxfId="297" priority="249" stopIfTrue="1">
      <formula>OR(CELL("proteger",L90),$J90="",TipoOrçamento="Licitado")</formula>
    </cfRule>
  </conditionalFormatting>
  <conditionalFormatting sqref="L91">
    <cfRule type="expression" dxfId="296" priority="244" stopIfTrue="1">
      <formula>$J91=$C$2</formula>
    </cfRule>
    <cfRule type="expression" dxfId="295" priority="245" stopIfTrue="1">
      <formula>$J91&lt;&gt;"Serviço"</formula>
    </cfRule>
    <cfRule type="expression" dxfId="294" priority="246" stopIfTrue="1">
      <formula>OR(CELL("proteger",L91),$J91="",TipoOrçamento="Licitado")</formula>
    </cfRule>
  </conditionalFormatting>
  <conditionalFormatting sqref="L92">
    <cfRule type="expression" dxfId="293" priority="241" stopIfTrue="1">
      <formula>$J92=$C$2</formula>
    </cfRule>
    <cfRule type="expression" dxfId="292" priority="242" stopIfTrue="1">
      <formula>$J92&lt;&gt;"Serviço"</formula>
    </cfRule>
    <cfRule type="expression" dxfId="291" priority="243" stopIfTrue="1">
      <formula>OR(CELL("proteger",L92),$J92="",TipoOrçamento="Licitado")</formula>
    </cfRule>
  </conditionalFormatting>
  <conditionalFormatting sqref="L94">
    <cfRule type="expression" dxfId="290" priority="238" stopIfTrue="1">
      <formula>$J94=$C$2</formula>
    </cfRule>
    <cfRule type="expression" dxfId="289" priority="239" stopIfTrue="1">
      <formula>$J94&lt;&gt;"Serviço"</formula>
    </cfRule>
    <cfRule type="expression" dxfId="288" priority="240" stopIfTrue="1">
      <formula>OR(CELL("proteger",L94),$J94="",TipoOrçamento="Licitado")</formula>
    </cfRule>
  </conditionalFormatting>
  <conditionalFormatting sqref="L95">
    <cfRule type="expression" dxfId="287" priority="235" stopIfTrue="1">
      <formula>$J95=$C$2</formula>
    </cfRule>
    <cfRule type="expression" dxfId="286" priority="236" stopIfTrue="1">
      <formula>$J95&lt;&gt;"Serviço"</formula>
    </cfRule>
    <cfRule type="expression" dxfId="285" priority="237" stopIfTrue="1">
      <formula>OR(CELL("proteger",L95),$J95="",TipoOrçamento="Licitado")</formula>
    </cfRule>
  </conditionalFormatting>
  <conditionalFormatting sqref="L96">
    <cfRule type="expression" dxfId="284" priority="232" stopIfTrue="1">
      <formula>$J96=$C$2</formula>
    </cfRule>
    <cfRule type="expression" dxfId="283" priority="233" stopIfTrue="1">
      <formula>$J96&lt;&gt;"Serviço"</formula>
    </cfRule>
    <cfRule type="expression" dxfId="282" priority="234" stopIfTrue="1">
      <formula>OR(CELL("proteger",L96),$J96="",TipoOrçamento="Licitado")</formula>
    </cfRule>
  </conditionalFormatting>
  <conditionalFormatting sqref="L97">
    <cfRule type="expression" dxfId="281" priority="229" stopIfTrue="1">
      <formula>$J97=$C$2</formula>
    </cfRule>
    <cfRule type="expression" dxfId="280" priority="230" stopIfTrue="1">
      <formula>$J97&lt;&gt;"Serviço"</formula>
    </cfRule>
    <cfRule type="expression" dxfId="279" priority="231" stopIfTrue="1">
      <formula>OR(CELL("proteger",L97),$J97="",TipoOrçamento="Licitado")</formula>
    </cfRule>
  </conditionalFormatting>
  <conditionalFormatting sqref="P24:P30">
    <cfRule type="expression" dxfId="278" priority="214" stopIfTrue="1">
      <formula>$J24=$C$2</formula>
    </cfRule>
    <cfRule type="expression" dxfId="277" priority="215" stopIfTrue="1">
      <formula>AND($J24&lt;&gt;"Serviço")</formula>
    </cfRule>
    <cfRule type="expression" dxfId="276" priority="216" stopIfTrue="1">
      <formula>CELL("proteger",P24)</formula>
    </cfRule>
  </conditionalFormatting>
  <conditionalFormatting sqref="P114:P117">
    <cfRule type="expression" dxfId="275" priority="133" stopIfTrue="1">
      <formula>$J114=$C$2</formula>
    </cfRule>
    <cfRule type="expression" dxfId="274" priority="134" stopIfTrue="1">
      <formula>AND($J114&lt;&gt;"Serviço")</formula>
    </cfRule>
    <cfRule type="expression" dxfId="273" priority="135" stopIfTrue="1">
      <formula>CELL("proteger",P114)</formula>
    </cfRule>
  </conditionalFormatting>
  <conditionalFormatting sqref="P108:P110">
    <cfRule type="expression" dxfId="272" priority="130" stopIfTrue="1">
      <formula>$J108=$C$2</formula>
    </cfRule>
    <cfRule type="expression" dxfId="271" priority="131" stopIfTrue="1">
      <formula>AND($J108&lt;&gt;"Serviço")</formula>
    </cfRule>
    <cfRule type="expression" dxfId="270" priority="132" stopIfTrue="1">
      <formula>CELL("proteger",P108)</formula>
    </cfRule>
  </conditionalFormatting>
  <conditionalFormatting sqref="P106">
    <cfRule type="expression" dxfId="269" priority="127" stopIfTrue="1">
      <formula>$J106=$C$2</formula>
    </cfRule>
    <cfRule type="expression" dxfId="268" priority="128" stopIfTrue="1">
      <formula>AND($J106&lt;&gt;"Serviço")</formula>
    </cfRule>
    <cfRule type="expression" dxfId="267" priority="129" stopIfTrue="1">
      <formula>CELL("proteger",P106)</formula>
    </cfRule>
  </conditionalFormatting>
  <conditionalFormatting sqref="P99:P104">
    <cfRule type="expression" dxfId="266" priority="124" stopIfTrue="1">
      <formula>$J99=$C$2</formula>
    </cfRule>
    <cfRule type="expression" dxfId="265" priority="125" stopIfTrue="1">
      <formula>AND($J99&lt;&gt;"Serviço")</formula>
    </cfRule>
    <cfRule type="expression" dxfId="264" priority="126" stopIfTrue="1">
      <formula>CELL("proteger",P99)</formula>
    </cfRule>
  </conditionalFormatting>
  <conditionalFormatting sqref="P94:P97">
    <cfRule type="expression" dxfId="263" priority="121" stopIfTrue="1">
      <formula>$J94=$C$2</formula>
    </cfRule>
    <cfRule type="expression" dxfId="262" priority="122" stopIfTrue="1">
      <formula>AND($J94&lt;&gt;"Serviço")</formula>
    </cfRule>
    <cfRule type="expression" dxfId="261" priority="123" stopIfTrue="1">
      <formula>CELL("proteger",P94)</formula>
    </cfRule>
  </conditionalFormatting>
  <conditionalFormatting sqref="P84:P91">
    <cfRule type="expression" dxfId="260" priority="118" stopIfTrue="1">
      <formula>$J84=$C$2</formula>
    </cfRule>
    <cfRule type="expression" dxfId="259" priority="119" stopIfTrue="1">
      <formula>AND($J84&lt;&gt;"Serviço")</formula>
    </cfRule>
    <cfRule type="expression" dxfId="258" priority="120" stopIfTrue="1">
      <formula>CELL("proteger",P84)</formula>
    </cfRule>
  </conditionalFormatting>
  <conditionalFormatting sqref="P92">
    <cfRule type="expression" dxfId="257" priority="115" stopIfTrue="1">
      <formula>$J92=$C$2</formula>
    </cfRule>
    <cfRule type="expression" dxfId="256" priority="116" stopIfTrue="1">
      <formula>AND($J92&lt;&gt;"Serviço")</formula>
    </cfRule>
    <cfRule type="expression" dxfId="255" priority="117" stopIfTrue="1">
      <formula>CELL("proteger",P92)</formula>
    </cfRule>
  </conditionalFormatting>
  <conditionalFormatting sqref="P35:P82">
    <cfRule type="expression" dxfId="254" priority="112" stopIfTrue="1">
      <formula>$J35=$C$2</formula>
    </cfRule>
    <cfRule type="expression" dxfId="253" priority="113" stopIfTrue="1">
      <formula>AND($J35&lt;&gt;"Serviço")</formula>
    </cfRule>
    <cfRule type="expression" dxfId="252" priority="114" stopIfTrue="1">
      <formula>CELL("proteger",P35)</formula>
    </cfRule>
  </conditionalFormatting>
  <conditionalFormatting sqref="P32:P33">
    <cfRule type="expression" dxfId="251" priority="109" stopIfTrue="1">
      <formula>$J32=$C$2</formula>
    </cfRule>
    <cfRule type="expression" dxfId="250" priority="110" stopIfTrue="1">
      <formula>AND($J32&lt;&gt;"Serviço")</formula>
    </cfRule>
    <cfRule type="expression" dxfId="249" priority="111" stopIfTrue="1">
      <formula>CELL("proteger",P32)</formula>
    </cfRule>
  </conditionalFormatting>
  <conditionalFormatting sqref="K118:K167">
    <cfRule type="expression" dxfId="248" priority="95" stopIfTrue="1">
      <formula>$J118=$C$2</formula>
    </cfRule>
    <cfRule type="expression" dxfId="247" priority="96" stopIfTrue="1">
      <formula>AND($J118&lt;&gt;"",$J118&lt;&gt;"Serviço")</formula>
    </cfRule>
    <cfRule type="expression" dxfId="246" priority="97" stopIfTrue="1">
      <formula>$J118=""</formula>
    </cfRule>
  </conditionalFormatting>
  <conditionalFormatting sqref="P118:P167">
    <cfRule type="expression" dxfId="245" priority="88" stopIfTrue="1">
      <formula>$J118=$C$2</formula>
    </cfRule>
    <cfRule type="expression" dxfId="244" priority="98" stopIfTrue="1">
      <formula>AND($J118&lt;&gt;"Serviço")</formula>
    </cfRule>
    <cfRule type="expression" dxfId="243" priority="99" stopIfTrue="1">
      <formula>CELL("proteger",P118)</formula>
    </cfRule>
  </conditionalFormatting>
  <conditionalFormatting sqref="R118:R167">
    <cfRule type="expression" dxfId="242" priority="100" stopIfTrue="1">
      <formula>$J118=$C$2</formula>
    </cfRule>
    <cfRule type="expression" dxfId="241" priority="101" stopIfTrue="1">
      <formula>$J118&lt;&gt;"Serviço"</formula>
    </cfRule>
    <cfRule type="expression" dxfId="240" priority="102" stopIfTrue="1">
      <formula>CELL("proteger",R118)</formula>
    </cfRule>
  </conditionalFormatting>
  <conditionalFormatting sqref="S118:T167 Y118:Z167">
    <cfRule type="expression" dxfId="239" priority="103" stopIfTrue="1">
      <formula>$J118=$C$2</formula>
    </cfRule>
    <cfRule type="expression" dxfId="238" priority="104" stopIfTrue="1">
      <formula>$J118&lt;&gt;"Serviço"</formula>
    </cfRule>
  </conditionalFormatting>
  <conditionalFormatting sqref="L118:M167">
    <cfRule type="expression" dxfId="237" priority="105" stopIfTrue="1">
      <formula>$J118=$C$2</formula>
    </cfRule>
    <cfRule type="expression" dxfId="236" priority="106" stopIfTrue="1">
      <formula>$J118&lt;&gt;"Serviço"</formula>
    </cfRule>
    <cfRule type="expression" dxfId="235" priority="107" stopIfTrue="1">
      <formula>OR(CELL("proteger",L118),$J118="",TipoOrçamento="Licitado")</formula>
    </cfRule>
  </conditionalFormatting>
  <conditionalFormatting sqref="J118:J167">
    <cfRule type="expression" dxfId="234" priority="108" stopIfTrue="1">
      <formula>TipoOrçamento="Licitado"</formula>
    </cfRule>
  </conditionalFormatting>
  <conditionalFormatting sqref="O118:O167">
    <cfRule type="expression" dxfId="233" priority="89" stopIfTrue="1">
      <formula>$J118=$C$2</formula>
    </cfRule>
    <cfRule type="expression" dxfId="232" priority="90" stopIfTrue="1">
      <formula>AND($J118&lt;&gt;"Serviço")</formula>
    </cfRule>
    <cfRule type="expression" dxfId="231" priority="91" stopIfTrue="1">
      <formula>CELL("proteger",O118)</formula>
    </cfRule>
  </conditionalFormatting>
  <conditionalFormatting sqref="J168:J201">
    <cfRule type="expression" dxfId="230" priority="87" stopIfTrue="1">
      <formula>TipoOrçamento="Licitado"</formula>
    </cfRule>
  </conditionalFormatting>
  <conditionalFormatting sqref="P15:P20">
    <cfRule type="expression" dxfId="229" priority="1" stopIfTrue="1">
      <formula>$J15=$C$2</formula>
    </cfRule>
    <cfRule type="expression" dxfId="228" priority="2" stopIfTrue="1">
      <formula>AND($J15&lt;&gt;"Serviço")</formula>
    </cfRule>
    <cfRule type="expression" dxfId="227" priority="3" stopIfTrue="1">
      <formula>CELL("proteger",P15)</formula>
    </cfRule>
  </conditionalFormatting>
  <dataValidations count="3">
    <dataValidation type="decimal" operator="greaterThan" allowBlank="1" showInputMessage="1" showErrorMessage="1" error="Apenas números decimais maiores que zero." sqref="Q11 Q13:Q201">
      <formula1>0</formula1>
    </dataValidation>
    <dataValidation type="list" errorStyle="warning" allowBlank="1" showInputMessage="1" showErrorMessage="1" error="Selecione um dos 5 BDI da lista._x000a__x000a_Caso tenha mais de 5 BDI nesta Planilha Orçamentária digite apenas valor percentual." sqref="R11 R13:R201">
      <formula1>Dados.Lista.BDI</formula1>
    </dataValidation>
    <dataValidation type="list" showInputMessage="1" showErrorMessage="1" errorTitle="Erro de Entrada" error="Selecione somente os itens da lista." promptTitle="Nível:" prompt="Selecione na lista o nível de itemização da Planilha." sqref="J11 J14:J201">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Footer>Página &amp;P de &amp;N</oddFooter>
  </headerFooter>
  <ignoredErrors>
    <ignoredError sqref="K213 K216"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208"/>
  <sheetViews>
    <sheetView showGridLines="0" zoomScale="70" zoomScaleNormal="70" workbookViewId="0">
      <selection activeCell="K412" sqref="K412"/>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55" t="s">
        <v>232</v>
      </c>
      <c r="G9" s="355"/>
      <c r="H9" s="355"/>
      <c r="I9" s="355"/>
      <c r="J9" s="355"/>
      <c r="K9" s="355"/>
      <c r="L9" s="355"/>
      <c r="M9" s="355"/>
      <c r="N9" s="355"/>
      <c r="O9" s="355"/>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REFORMA DO CRAS I</v>
      </c>
      <c r="D13" s="111" t="str">
        <f ca="1">IF(OFFSET(PO!O$12,ROW(D13)-ROW(D$12),0)=0,"",OFFSET(PO!O$12,ROW(D13)-ROW(D$12),0))</f>
        <v/>
      </c>
      <c r="E13" s="140">
        <f ca="1">IF($A13&lt;&gt;"Serviço",0,ROUND(SUMIF($F$9:$P$9,"&lt;&gt;",$F13:$P13),15-13*PO!$X$3))</f>
        <v>0</v>
      </c>
      <c r="F13" s="378">
        <f ca="1">OFFSET(PO!$P$12,ROW($E13)-ROW(F$12),0)</f>
        <v>0</v>
      </c>
      <c r="G13" s="378"/>
      <c r="H13" s="378"/>
      <c r="I13" s="378"/>
      <c r="J13" s="378"/>
      <c r="K13" s="378"/>
      <c r="L13" s="378"/>
      <c r="M13" s="378"/>
      <c r="N13" s="378"/>
      <c r="O13" s="378"/>
      <c r="U13" s="182"/>
    </row>
    <row r="14" spans="1:21" s="1" customFormat="1" x14ac:dyDescent="0.2">
      <c r="A14" s="110" t="str">
        <f ca="1">OFFSET(PO!J$12,ROW(A14)-ROW($A$12),0)</f>
        <v>Nível 2</v>
      </c>
      <c r="B14" s="112" t="str">
        <f ca="1">IF($A14=0,"",OFFSET(PO!K$12,ROW(B14)-ROW(B$12),0))</f>
        <v>1.1.</v>
      </c>
      <c r="C14" s="109" t="str">
        <f ca="1">IF(OFFSET(PO!N$12,ROW(C14)-ROW(C$12),0)=0,"",OFFSET(PO!N$12,ROW(C14)-ROW(C$12),0))</f>
        <v>SERVIÇOS PRELIMINARES</v>
      </c>
      <c r="D14" s="111" t="str">
        <f ca="1">IF(OFFSET(PO!O$12,ROW(D14)-ROW(D$12),0)=0,"",OFFSET(PO!O$12,ROW(D14)-ROW(D$12),0))</f>
        <v/>
      </c>
      <c r="E14" s="140">
        <f ca="1">IF($A14&lt;&gt;"Serviço",0,ROUND(SUMIF($F$9:$P$9,"&lt;&gt;",$F14:$P14),15-13*PO!$X$3))</f>
        <v>0</v>
      </c>
      <c r="F14" s="378">
        <f ca="1">OFFSET(PO!$P$12,ROW($E14)-ROW(F$12),0)</f>
        <v>4.5</v>
      </c>
      <c r="G14" s="378"/>
      <c r="H14" s="378"/>
      <c r="I14" s="378"/>
      <c r="J14" s="378"/>
      <c r="K14" s="378"/>
      <c r="L14" s="378"/>
      <c r="M14" s="378"/>
      <c r="N14" s="378"/>
      <c r="O14" s="378"/>
      <c r="U14" s="182"/>
    </row>
    <row r="15" spans="1:21" s="1" customFormat="1" x14ac:dyDescent="0.2">
      <c r="A15" s="110" t="str">
        <f ca="1">OFFSET(PO!J$12,ROW(A15)-ROW($A$12),0)</f>
        <v>Serviço</v>
      </c>
      <c r="B15" s="112" t="str">
        <f ca="1">IF($A15=0,"",OFFSET(PO!K$12,ROW(B15)-ROW(B$12),0))</f>
        <v>1.1.0.1.</v>
      </c>
      <c r="C15" s="109" t="str">
        <f ca="1">IF(OFFSET(PO!N$12,ROW(C15)-ROW(C$12),0)=0,"",OFFSET(PO!N$12,ROW(C15)-ROW(C$12),0))</f>
        <v>FORNECIMENTO E INSTALAÇÃO DE PLACA DE OBRA COM CHAPA GALVANIZADA E ESTRUTURA DE MADEIRA. AF_03/2022_PS</v>
      </c>
      <c r="D15" s="111" t="str">
        <f ca="1">IF(OFFSET(PO!O$12,ROW(D15)-ROW(D$12),0)=0,"",OFFSET(PO!O$12,ROW(D15)-ROW(D$12),0))</f>
        <v>M2</v>
      </c>
      <c r="E15" s="140">
        <f ca="1">IF($A15&lt;&gt;"Serviço",0,ROUND(SUMIF($F$9:$P$9,"&lt;&gt;",$F15:$P15),15-13*PO!$X$3))</f>
        <v>4.5</v>
      </c>
      <c r="F15" s="378">
        <f ca="1">OFFSET(PO!$P$12,ROW($E15)-ROW(F$12),0)</f>
        <v>4.5</v>
      </c>
      <c r="G15" s="378"/>
      <c r="H15" s="378"/>
      <c r="I15" s="378"/>
      <c r="J15" s="378"/>
      <c r="K15" s="378"/>
      <c r="L15" s="378"/>
      <c r="M15" s="378"/>
      <c r="N15" s="378"/>
      <c r="O15" s="378"/>
      <c r="U15" s="182"/>
    </row>
    <row r="16" spans="1:21" s="1" customFormat="1" ht="25.5" x14ac:dyDescent="0.2">
      <c r="A16" s="110" t="str">
        <f ca="1">OFFSET(PO!J$12,ROW(A16)-ROW($A$12),0)</f>
        <v>Serviço</v>
      </c>
      <c r="B16" s="112" t="str">
        <f ca="1">IF($A16=0,"",OFFSET(PO!K$12,ROW(B16)-ROW(B$12),0))</f>
        <v>1.1.0.2.</v>
      </c>
      <c r="C16" s="109" t="str">
        <f ca="1">IF(OFFSET(PO!N$12,ROW(C16)-ROW(C$12),0)=0,"",OFFSET(PO!N$12,ROW(C16)-ROW(C$12),0))</f>
        <v>LOCACAO DE CONTAINER 2,30 X 6,00 M, ALT. 2,50 M, COM 1 SANITARIO, PARA ESCRITORIO, COMPLETO, SEM DIVISORIAS INTERNAS (NAO INCLUI MOBILIZACAO/DESMOBILIZACAO)</v>
      </c>
      <c r="D16" s="111" t="str">
        <f ca="1">IF(OFFSET(PO!O$12,ROW(D16)-ROW(D$12),0)=0,"",OFFSET(PO!O$12,ROW(D16)-ROW(D$12),0))</f>
        <v>MES</v>
      </c>
      <c r="E16" s="140">
        <f ca="1">IF($A16&lt;&gt;"Serviço",0,ROUND(SUMIF($F$9:$P$9,"&lt;&gt;",$F16:$P16),15-13*PO!$X$3))</f>
        <v>3</v>
      </c>
      <c r="F16" s="378">
        <f ca="1">OFFSET(PO!$P$12,ROW($E16)-ROW(F$12),0)</f>
        <v>3</v>
      </c>
      <c r="G16" s="378"/>
      <c r="H16" s="378"/>
      <c r="I16" s="378"/>
      <c r="J16" s="378"/>
      <c r="K16" s="378"/>
      <c r="L16" s="378"/>
      <c r="M16" s="378"/>
      <c r="N16" s="378"/>
      <c r="O16" s="378"/>
      <c r="U16" s="182"/>
    </row>
    <row r="17" spans="1:21" s="1" customFormat="1" ht="38.25" x14ac:dyDescent="0.2">
      <c r="A17" s="110" t="str">
        <f ca="1">OFFSET(PO!J$12,ROW(A17)-ROW($A$12),0)</f>
        <v>Serviço</v>
      </c>
      <c r="B17" s="112" t="str">
        <f ca="1">IF($A17=0,"",OFFSET(PO!K$12,ROW(B17)-ROW(B$12),0))</f>
        <v>1.1.0.3.</v>
      </c>
      <c r="C17" s="109" t="str">
        <f ca="1">IF(OFFSET(PO!N$12,ROW(C17)-ROW(C$12),0)=0,"",OFFSET(PO!N$12,ROW(C17)-ROW(C$12),0))</f>
        <v>LOCACAO DE CONTAINER 2,30 X 6,00 M, ALT. 2,50 M, PARA ESCRITORIO, SEM DIVISORIAS INTERNAS E SEM SANITARIO (NAO INCLUI MOBILIZACAO/DESMOBILIZACAO)</v>
      </c>
      <c r="D17" s="111" t="str">
        <f ca="1">IF(OFFSET(PO!O$12,ROW(D17)-ROW(D$12),0)=0,"",OFFSET(PO!O$12,ROW(D17)-ROW(D$12),0))</f>
        <v>MES</v>
      </c>
      <c r="E17" s="140">
        <f ca="1">IF($A17&lt;&gt;"Serviço",0,ROUND(SUMIF($F$9:$P$9,"&lt;&gt;",$F17:$P17),15-13*PO!$X$3))</f>
        <v>3</v>
      </c>
      <c r="F17" s="378">
        <f ca="1">OFFSET(PO!$P$12,ROW($E17)-ROW(F$12),0)</f>
        <v>3</v>
      </c>
      <c r="G17" s="378"/>
      <c r="H17" s="378"/>
      <c r="I17" s="378"/>
      <c r="J17" s="378"/>
      <c r="K17" s="378"/>
      <c r="L17" s="378"/>
      <c r="M17" s="378"/>
      <c r="N17" s="378"/>
      <c r="O17" s="378"/>
      <c r="U17" s="182"/>
    </row>
    <row r="18" spans="1:21" s="1" customFormat="1" ht="25.5" x14ac:dyDescent="0.2">
      <c r="A18" s="110" t="str">
        <f ca="1">OFFSET(PO!J$12,ROW(A18)-ROW($A$12),0)</f>
        <v>Serviço</v>
      </c>
      <c r="B18" s="112" t="str">
        <f ca="1">IF($A18=0,"",OFFSET(PO!K$12,ROW(B18)-ROW(B$12),0))</f>
        <v>1.1.0.4.</v>
      </c>
      <c r="C18" s="109" t="str">
        <f ca="1">IF(OFFSET(PO!N$12,ROW(C18)-ROW(C$12),0)=0,"",OFFSET(PO!N$12,ROW(C18)-ROW(C$12),0))</f>
        <v>INSTALAÇÃO E DESINSTALAÇÃO MECANIZADA DE CONTÊINER OU MÓDULO HABITÁVEL DE USOS DIVERSOS. AF_03/2024</v>
      </c>
      <c r="D18" s="111" t="str">
        <f ca="1">IF(OFFSET(PO!O$12,ROW(D18)-ROW(D$12),0)=0,"",OFFSET(PO!O$12,ROW(D18)-ROW(D$12),0))</f>
        <v>M</v>
      </c>
      <c r="E18" s="140">
        <f ca="1">IF($A18&lt;&gt;"Serviço",0,ROUND(SUMIF($F$9:$P$9,"&lt;&gt;",$F18:$P18),15-13*PO!$X$3))</f>
        <v>2</v>
      </c>
      <c r="F18" s="378">
        <f ca="1">OFFSET(PO!$P$12,ROW($E18)-ROW(F$12),0)</f>
        <v>2</v>
      </c>
      <c r="G18" s="378"/>
      <c r="H18" s="378"/>
      <c r="I18" s="378"/>
      <c r="J18" s="378"/>
      <c r="K18" s="378"/>
      <c r="L18" s="378"/>
      <c r="M18" s="378"/>
      <c r="N18" s="378"/>
      <c r="O18" s="378"/>
      <c r="U18" s="182"/>
    </row>
    <row r="19" spans="1:21" s="1" customFormat="1" x14ac:dyDescent="0.2">
      <c r="A19" s="110" t="str">
        <f ca="1">OFFSET(PO!J$12,ROW(A19)-ROW($A$12),0)</f>
        <v>Serviço</v>
      </c>
      <c r="B19" s="112" t="str">
        <f ca="1">IF($A19=0,"",OFFSET(PO!K$12,ROW(B19)-ROW(B$12),0))</f>
        <v>1.1.0.5.</v>
      </c>
      <c r="C19" s="109" t="str">
        <f ca="1">IF(OFFSET(PO!N$12,ROW(C19)-ROW(C$12),0)=0,"",OFFSET(PO!N$12,ROW(C19)-ROW(C$12),0))</f>
        <v>SINALIZAÇÃO COM FITA FIXADA EM CONE PLÁSTICO, INCLUINDO CONE. AF_03/2024</v>
      </c>
      <c r="D19" s="111" t="str">
        <f ca="1">IF(OFFSET(PO!O$12,ROW(D19)-ROW(D$12),0)=0,"",OFFSET(PO!O$12,ROW(D19)-ROW(D$12),0))</f>
        <v>M</v>
      </c>
      <c r="E19" s="140">
        <f ca="1">IF($A19&lt;&gt;"Serviço",0,ROUND(SUMIF($F$9:$P$9,"&lt;&gt;",$F19:$P19),15-13*PO!$X$3))</f>
        <v>39.5</v>
      </c>
      <c r="F19" s="378">
        <f ca="1">OFFSET(PO!$P$12,ROW($E19)-ROW(F$12),0)</f>
        <v>39.5</v>
      </c>
      <c r="G19" s="378"/>
      <c r="H19" s="378"/>
      <c r="I19" s="378"/>
      <c r="J19" s="378"/>
      <c r="K19" s="378"/>
      <c r="L19" s="378"/>
      <c r="M19" s="378"/>
      <c r="N19" s="378"/>
      <c r="O19" s="378"/>
      <c r="U19" s="182"/>
    </row>
    <row r="20" spans="1:21" s="1" customFormat="1" x14ac:dyDescent="0.2">
      <c r="A20" s="110" t="str">
        <f ca="1">OFFSET(PO!J$12,ROW(A20)-ROW($A$12),0)</f>
        <v>Serviço</v>
      </c>
      <c r="B20" s="112" t="str">
        <f ca="1">IF($A20=0,"",OFFSET(PO!K$12,ROW(B20)-ROW(B$12),0))</f>
        <v>1.1.0.6.</v>
      </c>
      <c r="C20" s="109" t="str">
        <f ca="1">IF(OFFSET(PO!N$12,ROW(C20)-ROW(C$12),0)=0,"",OFFSET(PO!N$12,ROW(C20)-ROW(C$12),0))</f>
        <v>PROJETO COMPLEMENTAR EXECUTIVO DE ESTRUTURAS DE CONCRETO ARMADO PARA ESCADA E RAMPA DE ACESSIBILIDADE E AS BUILT COM EMISSÃO DE DOCUMENTO DE RESPONSABILIDADE TÉCNICA</v>
      </c>
      <c r="D20" s="111" t="str">
        <f ca="1">IF(OFFSET(PO!O$12,ROW(D20)-ROW(D$12),0)=0,"",OFFSET(PO!O$12,ROW(D20)-ROW(D$12),0))</f>
        <v>UN</v>
      </c>
      <c r="E20" s="140">
        <f ca="1">IF($A20&lt;&gt;"Serviço",0,ROUND(SUMIF($F$9:$P$9,"&lt;&gt;",$F20:$P20),15-13*PO!$X$3))</f>
        <v>1</v>
      </c>
      <c r="F20" s="378">
        <f ca="1">OFFSET(PO!$P$12,ROW($E20)-ROW(F$12),0)</f>
        <v>1</v>
      </c>
      <c r="G20" s="378"/>
      <c r="H20" s="378"/>
      <c r="I20" s="378"/>
      <c r="J20" s="378"/>
      <c r="K20" s="378"/>
      <c r="L20" s="378"/>
      <c r="M20" s="378"/>
      <c r="N20" s="378"/>
      <c r="O20" s="378"/>
      <c r="U20" s="182"/>
    </row>
    <row r="21" spans="1:21" s="1" customFormat="1" x14ac:dyDescent="0.2">
      <c r="A21" s="110" t="str">
        <f ca="1">OFFSET(PO!J$12,ROW(A21)-ROW($A$12),0)</f>
        <v>Nível 2</v>
      </c>
      <c r="B21" s="112" t="str">
        <f ca="1">IF($A21=0,"",OFFSET(PO!K$12,ROW(B21)-ROW(B$12),0))</f>
        <v>1.2.</v>
      </c>
      <c r="C21" s="109" t="str">
        <f ca="1">IF(OFFSET(PO!N$12,ROW(C21)-ROW(C$12),0)=0,"",OFFSET(PO!N$12,ROW(C21)-ROW(C$12),0))</f>
        <v xml:space="preserve">ADMINISTRAÇÃO LOCAL  </v>
      </c>
      <c r="D21" s="111" t="str">
        <f ca="1">IF(OFFSET(PO!O$12,ROW(D21)-ROW(D$12),0)=0,"",OFFSET(PO!O$12,ROW(D21)-ROW(D$12),0))</f>
        <v/>
      </c>
      <c r="E21" s="140">
        <f ca="1">IF($A21&lt;&gt;"Serviço",0,ROUND(SUMIF($F$9:$P$9,"&lt;&gt;",$F21:$P21),15-13*PO!$X$3))</f>
        <v>0</v>
      </c>
      <c r="F21" s="378" t="str">
        <f ca="1">OFFSET(PO!$P$12,ROW($E21)-ROW(F$12),0)</f>
        <v xml:space="preserve"> -  </v>
      </c>
      <c r="G21" s="378"/>
      <c r="H21" s="378"/>
      <c r="I21" s="378"/>
      <c r="J21" s="378"/>
      <c r="K21" s="378"/>
      <c r="L21" s="378"/>
      <c r="M21" s="378"/>
      <c r="N21" s="378"/>
      <c r="O21" s="378"/>
      <c r="U21" s="182"/>
    </row>
    <row r="22" spans="1:21" s="1" customFormat="1" ht="38.25" x14ac:dyDescent="0.2">
      <c r="A22" s="110" t="str">
        <f ca="1">OFFSET(PO!J$12,ROW(A22)-ROW($A$12),0)</f>
        <v>Serviço</v>
      </c>
      <c r="B22" s="112" t="str">
        <f ca="1">IF($A22=0,"",OFFSET(PO!K$12,ROW(B22)-ROW(B$12),0))</f>
        <v>1.2.0.1.</v>
      </c>
      <c r="C22" s="109" t="str">
        <f ca="1">IF(OFFSET(PO!N$12,ROW(C22)-ROW(C$12),0)=0,"",OFFSET(PO!N$12,ROW(C22)-ROW(C$12),0))</f>
        <v>ADMINISTRAÇÃO LOCAL DE OBRA</v>
      </c>
      <c r="D22" s="111" t="str">
        <f ca="1">IF(OFFSET(PO!O$12,ROW(D22)-ROW(D$12),0)=0,"",OFFSET(PO!O$12,ROW(D22)-ROW(D$12),0))</f>
        <v>UN</v>
      </c>
      <c r="E22" s="140">
        <f ca="1">IF($A22&lt;&gt;"Serviço",0,ROUND(SUMIF($F$9:$P$9,"&lt;&gt;",$F22:$P22),15-13*PO!$X$3))</f>
        <v>1</v>
      </c>
      <c r="F22" s="378">
        <f ca="1">OFFSET(PO!$P$12,ROW($E22)-ROW(F$12),0)</f>
        <v>1</v>
      </c>
      <c r="G22" s="378"/>
      <c r="H22" s="378"/>
      <c r="I22" s="378"/>
      <c r="J22" s="378"/>
      <c r="K22" s="378"/>
      <c r="L22" s="378"/>
      <c r="M22" s="378"/>
      <c r="N22" s="378"/>
      <c r="O22" s="378"/>
      <c r="U22" s="182"/>
    </row>
    <row r="23" spans="1:21" s="1" customFormat="1" x14ac:dyDescent="0.2">
      <c r="A23" s="110" t="str">
        <f ca="1">OFFSET(PO!J$12,ROW(A23)-ROW($A$12),0)</f>
        <v>Nível 2</v>
      </c>
      <c r="B23" s="112" t="str">
        <f ca="1">IF($A23=0,"",OFFSET(PO!K$12,ROW(B23)-ROW(B$12),0))</f>
        <v>1.3.</v>
      </c>
      <c r="C23" s="109" t="str">
        <f ca="1">IF(OFFSET(PO!N$12,ROW(C23)-ROW(C$12),0)=0,"",OFFSET(PO!N$12,ROW(C23)-ROW(C$12),0))</f>
        <v>DEMOLIÇÕES, RETIRADAS. ADEQUAÇÕES</v>
      </c>
      <c r="D23" s="111" t="str">
        <f ca="1">IF(OFFSET(PO!O$12,ROW(D23)-ROW(D$12),0)=0,"",OFFSET(PO!O$12,ROW(D23)-ROW(D$12),0))</f>
        <v/>
      </c>
      <c r="E23" s="140">
        <f ca="1">IF($A23&lt;&gt;"Serviço",0,ROUND(SUMIF($F$9:$P$9,"&lt;&gt;",$F23:$P23),15-13*PO!$X$3))</f>
        <v>0</v>
      </c>
      <c r="F23" s="378" t="str">
        <f ca="1">OFFSET(PO!$P$12,ROW($E23)-ROW(F$12),0)</f>
        <v xml:space="preserve"> -  </v>
      </c>
      <c r="G23" s="378"/>
      <c r="H23" s="378"/>
      <c r="I23" s="378"/>
      <c r="J23" s="378"/>
      <c r="K23" s="378"/>
      <c r="L23" s="378"/>
      <c r="M23" s="378"/>
      <c r="N23" s="378"/>
      <c r="O23" s="378"/>
      <c r="U23" s="182"/>
    </row>
    <row r="24" spans="1:21" s="1" customFormat="1" ht="38.25" x14ac:dyDescent="0.2">
      <c r="A24" s="110" t="str">
        <f ca="1">OFFSET(PO!J$12,ROW(A24)-ROW($A$12),0)</f>
        <v>Serviço</v>
      </c>
      <c r="B24" s="112" t="str">
        <f ca="1">IF($A24=0,"",OFFSET(PO!K$12,ROW(B24)-ROW(B$12),0))</f>
        <v>1.3.0.1.</v>
      </c>
      <c r="C24" s="109" t="str">
        <f ca="1">IF(OFFSET(PO!N$12,ROW(C24)-ROW(C$12),0)=0,"",OFFSET(PO!N$12,ROW(C24)-ROW(C$12),0))</f>
        <v>DEMOLIÇÃO DE REVESTIMENTO CERÂMICO, DE FORMA MANUAL, SEM REAPROVEITAMENTO. AF_09/2023</v>
      </c>
      <c r="D24" s="111" t="str">
        <f ca="1">IF(OFFSET(PO!O$12,ROW(D24)-ROW(D$12),0)=0,"",OFFSET(PO!O$12,ROW(D24)-ROW(D$12),0))</f>
        <v>M2</v>
      </c>
      <c r="E24" s="140">
        <f ca="1">IF($A24&lt;&gt;"Serviço",0,ROUND(SUMIF($F$9:$P$9,"&lt;&gt;",$F24:$P24),15-13*PO!$X$3))</f>
        <v>47.83</v>
      </c>
      <c r="F24" s="378">
        <f ca="1">OFFSET(PO!$P$12,ROW($E24)-ROW(F$12),0)</f>
        <v>47.83</v>
      </c>
      <c r="G24" s="378"/>
      <c r="H24" s="378"/>
      <c r="I24" s="378"/>
      <c r="J24" s="378"/>
      <c r="K24" s="378"/>
      <c r="L24" s="378"/>
      <c r="M24" s="378"/>
      <c r="N24" s="378"/>
      <c r="O24" s="378"/>
      <c r="U24" s="182"/>
    </row>
    <row r="25" spans="1:21" s="1" customFormat="1" ht="38.25" x14ac:dyDescent="0.2">
      <c r="A25" s="110" t="str">
        <f ca="1">OFFSET(PO!J$12,ROW(A25)-ROW($A$12),0)</f>
        <v>Serviço</v>
      </c>
      <c r="B25" s="112" t="str">
        <f ca="1">IF($A25=0,"",OFFSET(PO!K$12,ROW(B25)-ROW(B$12),0))</f>
        <v>1.3.0.2.</v>
      </c>
      <c r="C25" s="109" t="str">
        <f ca="1">IF(OFFSET(PO!N$12,ROW(C25)-ROW(C$12),0)=0,"",OFFSET(PO!N$12,ROW(C25)-ROW(C$12),0))</f>
        <v>DEMOLIÇÃO DE ALVENARIA DE BLOCO FURADO, DE FORMA MANUAL, SEM REAPROVEITAMENTO. AF_09/2023</v>
      </c>
      <c r="D25" s="111" t="str">
        <f ca="1">IF(OFFSET(PO!O$12,ROW(D25)-ROW(D$12),0)=0,"",OFFSET(PO!O$12,ROW(D25)-ROW(D$12),0))</f>
        <v>M3</v>
      </c>
      <c r="E25" s="140">
        <f ca="1">IF($A25&lt;&gt;"Serviço",0,ROUND(SUMIF($F$9:$P$9,"&lt;&gt;",$F25:$P25),15-13*PO!$X$3))</f>
        <v>1.18</v>
      </c>
      <c r="F25" s="378">
        <f ca="1">OFFSET(PO!$P$12,ROW($E25)-ROW(F$12),0)</f>
        <v>1.18</v>
      </c>
      <c r="G25" s="378"/>
      <c r="H25" s="378"/>
      <c r="I25" s="378"/>
      <c r="J25" s="378"/>
      <c r="K25" s="378"/>
      <c r="L25" s="378"/>
      <c r="M25" s="378"/>
      <c r="N25" s="378"/>
      <c r="O25" s="378"/>
      <c r="U25" s="182"/>
    </row>
    <row r="26" spans="1:21" s="1" customFormat="1" ht="25.5" x14ac:dyDescent="0.2">
      <c r="A26" s="110" t="str">
        <f ca="1">OFFSET(PO!J$12,ROW(A26)-ROW($A$12),0)</f>
        <v>Serviço</v>
      </c>
      <c r="B26" s="112" t="str">
        <f ca="1">IF($A26=0,"",OFFSET(PO!K$12,ROW(B26)-ROW(B$12),0))</f>
        <v>1.3.0.3.</v>
      </c>
      <c r="C26" s="109" t="str">
        <f ca="1">IF(OFFSET(PO!N$12,ROW(C26)-ROW(C$12),0)=0,"",OFFSET(PO!N$12,ROW(C26)-ROW(C$12),0))</f>
        <v>REMOÇÃO DE PERSIANA INSTALADA EM JANELA, INCLUINDO DESMONTAGEM DOS SUPORTES, RETIRADA DE PARAFUSOS E REMOÇÃO DO LOCAL, SEM REAPROVEITAMENTO (BASE SINAPI 97638 ADAPT.)</v>
      </c>
      <c r="D26" s="111" t="str">
        <f ca="1">IF(OFFSET(PO!O$12,ROW(D26)-ROW(D$12),0)=0,"",OFFSET(PO!O$12,ROW(D26)-ROW(D$12),0))</f>
        <v>M2</v>
      </c>
      <c r="E26" s="140">
        <f ca="1">IF($A26&lt;&gt;"Serviço",0,ROUND(SUMIF($F$9:$P$9,"&lt;&gt;",$F26:$P26),15-13*PO!$X$3))</f>
        <v>71.94</v>
      </c>
      <c r="F26" s="378">
        <f ca="1">OFFSET(PO!$P$12,ROW($E26)-ROW(F$12),0)</f>
        <v>71.94</v>
      </c>
      <c r="G26" s="378"/>
      <c r="H26" s="378"/>
      <c r="I26" s="378"/>
      <c r="J26" s="378"/>
      <c r="K26" s="378"/>
      <c r="L26" s="378"/>
      <c r="M26" s="378"/>
      <c r="N26" s="378"/>
      <c r="O26" s="378"/>
      <c r="U26" s="182"/>
    </row>
    <row r="27" spans="1:21" s="1" customFormat="1" ht="25.5" x14ac:dyDescent="0.2">
      <c r="A27" s="110" t="str">
        <f ca="1">OFFSET(PO!J$12,ROW(A27)-ROW($A$12),0)</f>
        <v>Serviço</v>
      </c>
      <c r="B27" s="112" t="str">
        <f ca="1">IF($A27=0,"",OFFSET(PO!K$12,ROW(B27)-ROW(B$12),0))</f>
        <v>1.3.0.4.</v>
      </c>
      <c r="C27" s="109" t="str">
        <f ca="1">IF(OFFSET(PO!N$12,ROW(C27)-ROW(C$12),0)=0,"",OFFSET(PO!N$12,ROW(C27)-ROW(C$12),0))</f>
        <v>REMOÇÃO DE CHAPAS E PERFIS DE DIVISÓRIAS LEVES, DE FORMA MANUAL, SEM REAPROVEITAMENTO (BASE SINAPI 97638 ADAPT.)</v>
      </c>
      <c r="D27" s="111" t="str">
        <f ca="1">IF(OFFSET(PO!O$12,ROW(D27)-ROW(D$12),0)=0,"",OFFSET(PO!O$12,ROW(D27)-ROW(D$12),0))</f>
        <v>M2</v>
      </c>
      <c r="E27" s="140">
        <f ca="1">IF($A27&lt;&gt;"Serviço",0,ROUND(SUMIF($F$9:$P$9,"&lt;&gt;",$F27:$P27),15-13*PO!$X$3))</f>
        <v>42.75</v>
      </c>
      <c r="F27" s="378">
        <f ca="1">OFFSET(PO!$P$12,ROW($E27)-ROW(F$12),0)</f>
        <v>42.75</v>
      </c>
      <c r="G27" s="378"/>
      <c r="H27" s="378"/>
      <c r="I27" s="378"/>
      <c r="J27" s="378"/>
      <c r="K27" s="378"/>
      <c r="L27" s="378"/>
      <c r="M27" s="378"/>
      <c r="N27" s="378"/>
      <c r="O27" s="378"/>
      <c r="U27" s="182"/>
    </row>
    <row r="28" spans="1:21" s="1" customFormat="1" ht="63.75" x14ac:dyDescent="0.2">
      <c r="A28" s="110" t="str">
        <f ca="1">OFFSET(PO!J$12,ROW(A28)-ROW($A$12),0)</f>
        <v>Serviço</v>
      </c>
      <c r="B28" s="112" t="str">
        <f ca="1">IF($A28=0,"",OFFSET(PO!K$12,ROW(B28)-ROW(B$12),0))</f>
        <v>1.3.0.5.</v>
      </c>
      <c r="C28" s="109" t="str">
        <f ca="1">IF(OFFSET(PO!N$12,ROW(C28)-ROW(C$12),0)=0,"",OFFSET(PO!N$12,ROW(C28)-ROW(C$12),0))</f>
        <v>REMOÇÃO DE PORTAS, DE FORMA MANUAL, SEM REAPROVEITAMENTO. AF_09/2023</v>
      </c>
      <c r="D28" s="111" t="str">
        <f ca="1">IF(OFFSET(PO!O$12,ROW(D28)-ROW(D$12),0)=0,"",OFFSET(PO!O$12,ROW(D28)-ROW(D$12),0))</f>
        <v>M2</v>
      </c>
      <c r="E28" s="140">
        <f ca="1">IF($A28&lt;&gt;"Serviço",0,ROUND(SUMIF($F$9:$P$9,"&lt;&gt;",$F28:$P28),15-13*PO!$X$3))</f>
        <v>8.65</v>
      </c>
      <c r="F28" s="378">
        <f ca="1">OFFSET(PO!$P$12,ROW($E28)-ROW(F$12),0)</f>
        <v>8.65</v>
      </c>
      <c r="G28" s="378"/>
      <c r="H28" s="378"/>
      <c r="I28" s="378"/>
      <c r="J28" s="378"/>
      <c r="K28" s="378"/>
      <c r="L28" s="378"/>
      <c r="M28" s="378"/>
      <c r="N28" s="378"/>
      <c r="O28" s="378"/>
      <c r="U28" s="182"/>
    </row>
    <row r="29" spans="1:21" s="1" customFormat="1" ht="38.25" x14ac:dyDescent="0.2">
      <c r="A29" s="110" t="str">
        <f ca="1">OFFSET(PO!J$12,ROW(A29)-ROW($A$12),0)</f>
        <v>Serviço</v>
      </c>
      <c r="B29" s="112" t="str">
        <f ca="1">IF($A29=0,"",OFFSET(PO!K$12,ROW(B29)-ROW(B$12),0))</f>
        <v>1.3.0.6.</v>
      </c>
      <c r="C29" s="109" t="str">
        <f ca="1">IF(OFFSET(PO!N$12,ROW(C29)-ROW(C$12),0)=0,"",OFFSET(PO!N$12,ROW(C29)-ROW(C$12),0))</f>
        <v>REMOÇÃO DE JANELAS, DE FORMA MANUAL, SEM REAPROVEITAMENTO. AF_09/2023</v>
      </c>
      <c r="D29" s="111" t="str">
        <f ca="1">IF(OFFSET(PO!O$12,ROW(D29)-ROW(D$12),0)=0,"",OFFSET(PO!O$12,ROW(D29)-ROW(D$12),0))</f>
        <v>M2</v>
      </c>
      <c r="E29" s="140">
        <f ca="1">IF($A29&lt;&gt;"Serviço",0,ROUND(SUMIF($F$9:$P$9,"&lt;&gt;",$F29:$P29),15-13*PO!$X$3))</f>
        <v>1.64</v>
      </c>
      <c r="F29" s="378">
        <f ca="1">OFFSET(PO!$P$12,ROW($E29)-ROW(F$12),0)</f>
        <v>1.64</v>
      </c>
      <c r="G29" s="378"/>
      <c r="H29" s="378"/>
      <c r="I29" s="378"/>
      <c r="J29" s="378"/>
      <c r="K29" s="378"/>
      <c r="L29" s="378"/>
      <c r="M29" s="378"/>
      <c r="N29" s="378"/>
      <c r="O29" s="378"/>
      <c r="U29" s="182"/>
    </row>
    <row r="30" spans="1:21" s="1" customFormat="1" ht="38.25" x14ac:dyDescent="0.2">
      <c r="A30" s="110" t="str">
        <f ca="1">OFFSET(PO!J$12,ROW(A30)-ROW($A$12),0)</f>
        <v>Serviço</v>
      </c>
      <c r="B30" s="112" t="str">
        <f ca="1">IF($A30=0,"",OFFSET(PO!K$12,ROW(B30)-ROW(B$12),0))</f>
        <v>1.3.0.7.</v>
      </c>
      <c r="C30" s="109" t="str">
        <f ca="1">IF(OFFSET(PO!N$12,ROW(C30)-ROW(C$12),0)=0,"",OFFSET(PO!N$12,ROW(C30)-ROW(C$12),0))</f>
        <v>REMOÇÃO PARCIAL DE GRADE, PARA ABERTURA DE VÃO, E AJUSTES DE ACABAMENTO COM REQUADRO NA REMANESCENTE (BASE SINAPI 97655 ADAPT.)</v>
      </c>
      <c r="D30" s="111" t="str">
        <f ca="1">IF(OFFSET(PO!O$12,ROW(D30)-ROW(D$12),0)=0,"",OFFSET(PO!O$12,ROW(D30)-ROW(D$12),0))</f>
        <v>M2</v>
      </c>
      <c r="E30" s="140">
        <f ca="1">IF($A30&lt;&gt;"Serviço",0,ROUND(SUMIF($F$9:$P$9,"&lt;&gt;",$F30:$P30),15-13*PO!$X$3))</f>
        <v>4.32</v>
      </c>
      <c r="F30" s="378">
        <f ca="1">OFFSET(PO!$P$12,ROW($E30)-ROW(F$12),0)</f>
        <v>4.32</v>
      </c>
      <c r="G30" s="378"/>
      <c r="H30" s="378"/>
      <c r="I30" s="378"/>
      <c r="J30" s="378"/>
      <c r="K30" s="378"/>
      <c r="L30" s="378"/>
      <c r="M30" s="378"/>
      <c r="N30" s="378"/>
      <c r="O30" s="378"/>
      <c r="U30" s="182"/>
    </row>
    <row r="31" spans="1:21" s="1" customFormat="1" ht="38.25" x14ac:dyDescent="0.2">
      <c r="A31" s="110" t="str">
        <f ca="1">OFFSET(PO!J$12,ROW(A31)-ROW($A$12),0)</f>
        <v>Serviço</v>
      </c>
      <c r="B31" s="112" t="str">
        <f ca="1">IF($A31=0,"",OFFSET(PO!K$12,ROW(B31)-ROW(B$12),0))</f>
        <v>1.3.0.8.</v>
      </c>
      <c r="C31" s="109" t="str">
        <f ca="1">IF(OFFSET(PO!N$12,ROW(C31)-ROW(C$12),0)=0,"",OFFSET(PO!N$12,ROW(C31)-ROW(C$12),0))</f>
        <v>REMOÇÃO DE SOLEIRAS, PINGADEIRAS/PEITORIS EM GRANITO, DE FORMA MANUAL, COM REAPROVEITAMENTO, INCLUINDO DESLOCAMENTO CUIDADOSO, LIMPEZA DA ARGAMASSA ADERIDA E ACONDICIONAMENTO PARA REUTILIZAÇÃO (BASE SINAPI 97633 ADAPT.)</v>
      </c>
      <c r="D31" s="111" t="str">
        <f ca="1">IF(OFFSET(PO!O$12,ROW(D31)-ROW(D$12),0)=0,"",OFFSET(PO!O$12,ROW(D31)-ROW(D$12),0))</f>
        <v>M</v>
      </c>
      <c r="E31" s="140">
        <f ca="1">IF($A31&lt;&gt;"Serviço",0,ROUND(SUMIF($F$9:$P$9,"&lt;&gt;",$F31:$P31),15-13*PO!$X$3))</f>
        <v>4.08</v>
      </c>
      <c r="F31" s="378">
        <f ca="1">OFFSET(PO!$P$12,ROW($E31)-ROW(F$12),0)</f>
        <v>4.08</v>
      </c>
      <c r="G31" s="378"/>
      <c r="H31" s="378"/>
      <c r="I31" s="378"/>
      <c r="J31" s="378"/>
      <c r="K31" s="378"/>
      <c r="L31" s="378"/>
      <c r="M31" s="378"/>
      <c r="N31" s="378"/>
      <c r="O31" s="378"/>
      <c r="U31" s="182"/>
    </row>
    <row r="32" spans="1:21" s="1" customFormat="1" x14ac:dyDescent="0.2">
      <c r="A32" s="110" t="str">
        <f ca="1">OFFSET(PO!J$12,ROW(A32)-ROW($A$12),0)</f>
        <v>Serviço</v>
      </c>
      <c r="B32" s="112" t="str">
        <f ca="1">IF($A32=0,"",OFFSET(PO!K$12,ROW(B32)-ROW(B$12),0))</f>
        <v>1.3.0.9.</v>
      </c>
      <c r="C32" s="109" t="str">
        <f ca="1">IF(OFFSET(PO!N$12,ROW(C32)-ROW(C$12),0)=0,"",OFFSET(PO!N$12,ROW(C32)-ROW(C$12),0))</f>
        <v>REMOÇÃO DE LOUÇA/SANITÁRIO, DE FORMA MANUAL, COM POSSÍVEL REAPROVEITAMENTO POSTERIOR (BASE SINAPI 97663 ADAPT.)</v>
      </c>
      <c r="D32" s="111" t="str">
        <f ca="1">IF(OFFSET(PO!O$12,ROW(D32)-ROW(D$12),0)=0,"",OFFSET(PO!O$12,ROW(D32)-ROW(D$12),0))</f>
        <v>UN</v>
      </c>
      <c r="E32" s="140">
        <f ca="1">IF($A32&lt;&gt;"Serviço",0,ROUND(SUMIF($F$9:$P$9,"&lt;&gt;",$F32:$P32),15-13*PO!$X$3))</f>
        <v>2</v>
      </c>
      <c r="F32" s="378">
        <f ca="1">OFFSET(PO!$P$12,ROW($E32)-ROW(F$12),0)</f>
        <v>2</v>
      </c>
      <c r="G32" s="378"/>
      <c r="H32" s="378"/>
      <c r="I32" s="378"/>
      <c r="J32" s="378"/>
      <c r="K32" s="378"/>
      <c r="L32" s="378"/>
      <c r="M32" s="378"/>
      <c r="N32" s="378"/>
      <c r="O32" s="378"/>
      <c r="U32" s="182"/>
    </row>
    <row r="33" spans="1:21" s="1" customFormat="1" ht="63.75" x14ac:dyDescent="0.2">
      <c r="A33" s="110" t="str">
        <f ca="1">OFFSET(PO!J$12,ROW(A33)-ROW($A$12),0)</f>
        <v>Nível 2</v>
      </c>
      <c r="B33" s="112" t="str">
        <f ca="1">IF($A33=0,"",OFFSET(PO!K$12,ROW(B33)-ROW(B$12),0))</f>
        <v>1.4.</v>
      </c>
      <c r="C33" s="109" t="str">
        <f ca="1">IF(OFFSET(PO!N$12,ROW(C33)-ROW(C$12),0)=0,"",OFFSET(PO!N$12,ROW(C33)-ROW(C$12),0))</f>
        <v>PAREDES</v>
      </c>
      <c r="D33" s="111" t="str">
        <f ca="1">IF(OFFSET(PO!O$12,ROW(D33)-ROW(D$12),0)=0,"",OFFSET(PO!O$12,ROW(D33)-ROW(D$12),0))</f>
        <v/>
      </c>
      <c r="E33" s="140">
        <f ca="1">IF($A33&lt;&gt;"Serviço",0,ROUND(SUMIF($F$9:$P$9,"&lt;&gt;",$F33:$P33),15-13*PO!$X$3))</f>
        <v>0</v>
      </c>
      <c r="F33" s="378" t="str">
        <f ca="1">OFFSET(PO!$P$12,ROW($E33)-ROW(F$12),0)</f>
        <v xml:space="preserve"> -  </v>
      </c>
      <c r="G33" s="378"/>
      <c r="H33" s="378"/>
      <c r="I33" s="378"/>
      <c r="J33" s="378"/>
      <c r="K33" s="378"/>
      <c r="L33" s="378"/>
      <c r="M33" s="378"/>
      <c r="N33" s="378"/>
      <c r="O33" s="378"/>
      <c r="U33" s="182"/>
    </row>
    <row r="34" spans="1:21" s="1" customFormat="1" ht="63.75" x14ac:dyDescent="0.2">
      <c r="A34" s="110" t="str">
        <f ca="1">OFFSET(PO!J$12,ROW(A34)-ROW($A$12),0)</f>
        <v>Serviço</v>
      </c>
      <c r="B34" s="112" t="str">
        <f ca="1">IF($A34=0,"",OFFSET(PO!K$12,ROW(B34)-ROW(B$12),0))</f>
        <v>1.4.0.1.</v>
      </c>
      <c r="C34" s="109" t="str">
        <f ca="1">IF(OFFSET(PO!N$12,ROW(C34)-ROW(C$12),0)=0,"",OFFSET(PO!N$12,ROW(C34)-ROW(C$12),0))</f>
        <v>ALVENARIA DE VEDAÇÃO DE BLOCOS CERÂMICOS FURADOS NA HORIZONTAL DE 11,5X19X29 CM (ESPESSURA 11,5 CM) E ARGAMASSA DE ASSENTAMENTO COM PREPARO EM BETONEIRA. AF_12/2021</v>
      </c>
      <c r="D34" s="111" t="str">
        <f ca="1">IF(OFFSET(PO!O$12,ROW(D34)-ROW(D$12),0)=0,"",OFFSET(PO!O$12,ROW(D34)-ROW(D$12),0))</f>
        <v>M2</v>
      </c>
      <c r="E34" s="140">
        <f ca="1">IF($A34&lt;&gt;"Serviço",0,ROUND(SUMIF($F$9:$P$9,"&lt;&gt;",$F34:$P34),15-13*PO!$X$3))</f>
        <v>6.04</v>
      </c>
      <c r="F34" s="378">
        <f ca="1">OFFSET(PO!$P$12,ROW($E34)-ROW(F$12),0)</f>
        <v>6.04</v>
      </c>
      <c r="G34" s="378"/>
      <c r="H34" s="378"/>
      <c r="I34" s="378"/>
      <c r="J34" s="378"/>
      <c r="K34" s="378"/>
      <c r="L34" s="378"/>
      <c r="M34" s="378"/>
      <c r="N34" s="378"/>
      <c r="O34" s="378"/>
      <c r="U34" s="182"/>
    </row>
    <row r="35" spans="1:21" s="1" customFormat="1" ht="51" x14ac:dyDescent="0.2">
      <c r="A35" s="110" t="str">
        <f ca="1">OFFSET(PO!J$12,ROW(A35)-ROW($A$12),0)</f>
        <v>Serviço</v>
      </c>
      <c r="B35" s="112" t="str">
        <f ca="1">IF($A35=0,"",OFFSET(PO!K$12,ROW(B35)-ROW(B$12),0))</f>
        <v>1.4.0.2.</v>
      </c>
      <c r="C35" s="109" t="str">
        <f ca="1">IF(OFFSET(PO!N$12,ROW(C35)-ROW(C$12),0)=0,"",OFFSET(PO!N$12,ROW(C35)-ROW(C$12),0))</f>
        <v>CHAPISCO APLICADO EM ALVENARIAS E ESTRUTURAS DE CONCRETO INTERNAS, COM COLHER DE PEDREIRO. ARGAMASSA TRAÇO 1:3 COM PREPARO EM BETONEIRA 400L. AF_10/2022</v>
      </c>
      <c r="D35" s="111" t="str">
        <f ca="1">IF(OFFSET(PO!O$12,ROW(D35)-ROW(D$12),0)=0,"",OFFSET(PO!O$12,ROW(D35)-ROW(D$12),0))</f>
        <v>M2</v>
      </c>
      <c r="E35" s="140">
        <f ca="1">IF($A35&lt;&gt;"Serviço",0,ROUND(SUMIF($F$9:$P$9,"&lt;&gt;",$F35:$P35),15-13*PO!$X$3))</f>
        <v>11.57</v>
      </c>
      <c r="F35" s="378">
        <f ca="1">OFFSET(PO!$P$12,ROW($E35)-ROW(F$12),0)</f>
        <v>11.57</v>
      </c>
      <c r="G35" s="378"/>
      <c r="H35" s="378"/>
      <c r="I35" s="378"/>
      <c r="J35" s="378"/>
      <c r="K35" s="378"/>
      <c r="L35" s="378"/>
      <c r="M35" s="378"/>
      <c r="N35" s="378"/>
      <c r="O35" s="378"/>
      <c r="U35" s="182"/>
    </row>
    <row r="36" spans="1:21" s="1" customFormat="1" ht="38.25" x14ac:dyDescent="0.2">
      <c r="A36" s="110" t="str">
        <f ca="1">OFFSET(PO!J$12,ROW(A36)-ROW($A$12),0)</f>
        <v>Serviço</v>
      </c>
      <c r="B36" s="112" t="str">
        <f ca="1">IF($A36=0,"",OFFSET(PO!K$12,ROW(B36)-ROW(B$12),0))</f>
        <v>1.4.0.3.</v>
      </c>
      <c r="C36" s="109" t="str">
        <f ca="1">IF(OFFSET(PO!N$12,ROW(C36)-ROW(C$12),0)=0,"",OFFSET(PO!N$12,ROW(C36)-ROW(C$12),0))</f>
        <v>EMBOÇO, EM ARGAMASSA TRAÇO 1:2:8, PREPARO MECÂNICO, APLICADO MANUALMENTE EM PAREDES INTERNAS DE AMBIENTES COM ÁREA MENOR QUE 5M², E =17,5MM, COM TALISCAS. AF_03/2024</v>
      </c>
      <c r="D36" s="111" t="str">
        <f ca="1">IF(OFFSET(PO!O$12,ROW(D36)-ROW(D$12),0)=0,"",OFFSET(PO!O$12,ROW(D36)-ROW(D$12),0))</f>
        <v>M2</v>
      </c>
      <c r="E36" s="140">
        <f ca="1">IF($A36&lt;&gt;"Serviço",0,ROUND(SUMIF($F$9:$P$9,"&lt;&gt;",$F36:$P36),15-13*PO!$X$3))</f>
        <v>11.57</v>
      </c>
      <c r="F36" s="378">
        <f ca="1">OFFSET(PO!$P$12,ROW($E36)-ROW(F$12),0)</f>
        <v>11.57</v>
      </c>
      <c r="G36" s="378"/>
      <c r="H36" s="378"/>
      <c r="I36" s="378"/>
      <c r="J36" s="378"/>
      <c r="K36" s="378"/>
      <c r="L36" s="378"/>
      <c r="M36" s="378"/>
      <c r="N36" s="378"/>
      <c r="O36" s="378"/>
      <c r="U36" s="182"/>
    </row>
    <row r="37" spans="1:21" s="1" customFormat="1" ht="51" x14ac:dyDescent="0.2">
      <c r="A37" s="110" t="str">
        <f ca="1">OFFSET(PO!J$12,ROW(A37)-ROW($A$12),0)</f>
        <v>Nível 2</v>
      </c>
      <c r="B37" s="112" t="str">
        <f ca="1">IF($A37=0,"",OFFSET(PO!K$12,ROW(B37)-ROW(B$12),0))</f>
        <v>1.5.</v>
      </c>
      <c r="C37" s="109" t="str">
        <f ca="1">IF(OFFSET(PO!N$12,ROW(C37)-ROW(C$12),0)=0,"",OFFSET(PO!N$12,ROW(C37)-ROW(C$12),0))</f>
        <v>REVESTIMENTO E PINTURA INTERNA</v>
      </c>
      <c r="D37" s="111" t="str">
        <f ca="1">IF(OFFSET(PO!O$12,ROW(D37)-ROW(D$12),0)=0,"",OFFSET(PO!O$12,ROW(D37)-ROW(D$12),0))</f>
        <v/>
      </c>
      <c r="E37" s="140">
        <f ca="1">IF($A37&lt;&gt;"Serviço",0,ROUND(SUMIF($F$9:$P$9,"&lt;&gt;",$F37:$P37),15-13*PO!$X$3))</f>
        <v>0</v>
      </c>
      <c r="F37" s="378" t="str">
        <f ca="1">OFFSET(PO!$P$12,ROW($E37)-ROW(F$12),0)</f>
        <v xml:space="preserve"> -  </v>
      </c>
      <c r="G37" s="378"/>
      <c r="H37" s="378"/>
      <c r="I37" s="378"/>
      <c r="J37" s="378"/>
      <c r="K37" s="378"/>
      <c r="L37" s="378"/>
      <c r="M37" s="378"/>
      <c r="N37" s="378"/>
      <c r="O37" s="378"/>
      <c r="U37" s="182"/>
    </row>
    <row r="38" spans="1:21" s="1" customFormat="1" ht="38.25" x14ac:dyDescent="0.2">
      <c r="A38" s="110" t="str">
        <f ca="1">OFFSET(PO!J$12,ROW(A38)-ROW($A$12),0)</f>
        <v>Nível 3</v>
      </c>
      <c r="B38" s="112" t="str">
        <f ca="1">IF($A38=0,"",OFFSET(PO!K$12,ROW(B38)-ROW(B$12),0))</f>
        <v>1.5.1.</v>
      </c>
      <c r="C38" s="109" t="str">
        <f ca="1">IF(OFFSET(PO!N$12,ROW(C38)-ROW(C$12),0)=0,"",OFFSET(PO!N$12,ROW(C38)-ROW(C$12),0))</f>
        <v>Revestimento cerâmico e porcelanato</v>
      </c>
      <c r="D38" s="111" t="str">
        <f ca="1">IF(OFFSET(PO!O$12,ROW(D38)-ROW(D$12),0)=0,"",OFFSET(PO!O$12,ROW(D38)-ROW(D$12),0))</f>
        <v/>
      </c>
      <c r="E38" s="140">
        <f ca="1">IF($A38&lt;&gt;"Serviço",0,ROUND(SUMIF($F$9:$P$9,"&lt;&gt;",$F38:$P38),15-13*PO!$X$3))</f>
        <v>0</v>
      </c>
      <c r="F38" s="378" t="str">
        <f ca="1">OFFSET(PO!$P$12,ROW($E38)-ROW(F$12),0)</f>
        <v xml:space="preserve"> -  </v>
      </c>
      <c r="G38" s="378"/>
      <c r="H38" s="378"/>
      <c r="I38" s="378"/>
      <c r="J38" s="378"/>
      <c r="K38" s="378"/>
      <c r="L38" s="378"/>
      <c r="M38" s="378"/>
      <c r="N38" s="378"/>
      <c r="O38" s="378"/>
      <c r="U38" s="182"/>
    </row>
    <row r="39" spans="1:21" s="1" customFormat="1" ht="25.5" x14ac:dyDescent="0.2">
      <c r="A39" s="110" t="str">
        <f ca="1">OFFSET(PO!J$12,ROW(A39)-ROW($A$12),0)</f>
        <v>Serviço</v>
      </c>
      <c r="B39" s="112" t="str">
        <f ca="1">IF($A39=0,"",OFFSET(PO!K$12,ROW(B39)-ROW(B$12),0))</f>
        <v>1.5.1.1.</v>
      </c>
      <c r="C39" s="109" t="str">
        <f ca="1">IF(OFFSET(PO!N$12,ROW(C39)-ROW(C$12),0)=0,"",OFFSET(PO!N$12,ROW(C39)-ROW(C$12),0))</f>
        <v>REVESTIMENTO CERÂMICO PARA PAREDES INTERNAS COM PLACAS TIPO ESMALTADA DE DIMENSÕES 33X45 CM APLICADAS NA ALTURA INTEIRA DAS PAREDES. AF_02/2023_PE</v>
      </c>
      <c r="D39" s="111" t="str">
        <f ca="1">IF(OFFSET(PO!O$12,ROW(D39)-ROW(D$12),0)=0,"",OFFSET(PO!O$12,ROW(D39)-ROW(D$12),0))</f>
        <v>M2</v>
      </c>
      <c r="E39" s="140">
        <f ca="1">IF($A39&lt;&gt;"Serviço",0,ROUND(SUMIF($F$9:$P$9,"&lt;&gt;",$F39:$P39),15-13*PO!$X$3))</f>
        <v>54.81</v>
      </c>
      <c r="F39" s="378">
        <f ca="1">OFFSET(PO!$P$12,ROW($E39)-ROW(F$12),0)</f>
        <v>54.81</v>
      </c>
      <c r="G39" s="378"/>
      <c r="H39" s="378"/>
      <c r="I39" s="378"/>
      <c r="J39" s="378"/>
      <c r="K39" s="378"/>
      <c r="L39" s="378"/>
      <c r="M39" s="378"/>
      <c r="N39" s="378"/>
      <c r="O39" s="378"/>
      <c r="U39" s="182"/>
    </row>
    <row r="40" spans="1:21" s="1" customFormat="1" x14ac:dyDescent="0.2">
      <c r="A40" s="110" t="str">
        <f ca="1">OFFSET(PO!J$12,ROW(A40)-ROW($A$12),0)</f>
        <v>Serviço</v>
      </c>
      <c r="B40" s="112" t="str">
        <f ca="1">IF($A40=0,"",OFFSET(PO!K$12,ROW(B40)-ROW(B$12),0))</f>
        <v>1.5.1.2.</v>
      </c>
      <c r="C40" s="109" t="str">
        <f ca="1">IF(OFFSET(PO!N$12,ROW(C40)-ROW(C$12),0)=0,"",OFFSET(PO!N$12,ROW(C40)-ROW(C$12),0))</f>
        <v>REVESTIMENTO CERÂMICO PARA PAREDES INTERNAS COM PLACAS TIPO ESMALTADA DE DIMENSÕES 33X45 CM APLICADAS A MEIA ALTURA DAS PAREDES. AF_02/2023_PE</v>
      </c>
      <c r="D40" s="111" t="str">
        <f ca="1">IF(OFFSET(PO!O$12,ROW(D40)-ROW(D$12),0)=0,"",OFFSET(PO!O$12,ROW(D40)-ROW(D$12),0))</f>
        <v>M2</v>
      </c>
      <c r="E40" s="140">
        <f ca="1">IF($A40&lt;&gt;"Serviço",0,ROUND(SUMIF($F$9:$P$9,"&lt;&gt;",$F40:$P40),15-13*PO!$X$3))</f>
        <v>13.09</v>
      </c>
      <c r="F40" s="378">
        <f ca="1">OFFSET(PO!$P$12,ROW($E40)-ROW(F$12),0)</f>
        <v>13.09</v>
      </c>
      <c r="G40" s="378"/>
      <c r="H40" s="378"/>
      <c r="I40" s="378"/>
      <c r="J40" s="378"/>
      <c r="K40" s="378"/>
      <c r="L40" s="378"/>
      <c r="M40" s="378"/>
      <c r="N40" s="378"/>
      <c r="O40" s="378"/>
      <c r="U40" s="182"/>
    </row>
    <row r="41" spans="1:21" s="1" customFormat="1" x14ac:dyDescent="0.2">
      <c r="A41" s="110" t="str">
        <f ca="1">OFFSET(PO!J$12,ROW(A41)-ROW($A$12),0)</f>
        <v>Serviço</v>
      </c>
      <c r="B41" s="112" t="str">
        <f ca="1">IF($A41=0,"",OFFSET(PO!K$12,ROW(B41)-ROW(B$12),0))</f>
        <v>1.5.1.3.</v>
      </c>
      <c r="C41" s="109" t="str">
        <f ca="1">IF(OFFSET(PO!N$12,ROW(C41)-ROW(C$12),0)=0,"",OFFSET(PO!N$12,ROW(C41)-ROW(C$12),0))</f>
        <v>REVESTIMENTO CERÂMICO PARA PISO COM PLACAS TIPO PORCELANATO DE DIMENSÕES 60X60 CM APLICADA EM AMBIENTES DE ÁREA MENOR QUE 5 M². AF_02/2023_PE</v>
      </c>
      <c r="D41" s="111" t="str">
        <f ca="1">IF(OFFSET(PO!O$12,ROW(D41)-ROW(D$12),0)=0,"",OFFSET(PO!O$12,ROW(D41)-ROW(D$12),0))</f>
        <v>M2</v>
      </c>
      <c r="E41" s="140">
        <f ca="1">IF($A41&lt;&gt;"Serviço",0,ROUND(SUMIF($F$9:$P$9,"&lt;&gt;",$F41:$P41),15-13*PO!$X$3))</f>
        <v>9.1199999999999992</v>
      </c>
      <c r="F41" s="378">
        <f ca="1">OFFSET(PO!$P$12,ROW($E41)-ROW(F$12),0)</f>
        <v>9.1199999999999992</v>
      </c>
      <c r="G41" s="378"/>
      <c r="H41" s="378"/>
      <c r="I41" s="378"/>
      <c r="J41" s="378"/>
      <c r="K41" s="378"/>
      <c r="L41" s="378"/>
      <c r="M41" s="378"/>
      <c r="N41" s="378"/>
      <c r="O41" s="378"/>
      <c r="U41" s="182"/>
    </row>
    <row r="42" spans="1:21" s="1" customFormat="1" ht="38.25" x14ac:dyDescent="0.2">
      <c r="A42" s="110" t="str">
        <f ca="1">OFFSET(PO!J$12,ROW(A42)-ROW($A$12),0)</f>
        <v>Nível 3</v>
      </c>
      <c r="B42" s="112" t="str">
        <f ca="1">IF($A42=0,"",OFFSET(PO!K$12,ROW(B42)-ROW(B$12),0))</f>
        <v>1.5.2.</v>
      </c>
      <c r="C42" s="109" t="str">
        <f ca="1">IF(OFFSET(PO!N$12,ROW(C42)-ROW(C$12),0)=0,"",OFFSET(PO!N$12,ROW(C42)-ROW(C$12),0))</f>
        <v>Pintura interna</v>
      </c>
      <c r="D42" s="111" t="str">
        <f ca="1">IF(OFFSET(PO!O$12,ROW(D42)-ROW(D$12),0)=0,"",OFFSET(PO!O$12,ROW(D42)-ROW(D$12),0))</f>
        <v/>
      </c>
      <c r="E42" s="140">
        <f ca="1">IF($A42&lt;&gt;"Serviço",0,ROUND(SUMIF($F$9:$P$9,"&lt;&gt;",$F42:$P42),15-13*PO!$X$3))</f>
        <v>0</v>
      </c>
      <c r="F42" s="378" t="str">
        <f ca="1">OFFSET(PO!$P$12,ROW($E42)-ROW(F$12),0)</f>
        <v xml:space="preserve"> -  </v>
      </c>
      <c r="G42" s="378"/>
      <c r="H42" s="378"/>
      <c r="I42" s="378"/>
      <c r="J42" s="378"/>
      <c r="K42" s="378"/>
      <c r="L42" s="378"/>
      <c r="M42" s="378"/>
      <c r="N42" s="378"/>
      <c r="O42" s="378"/>
      <c r="U42" s="182"/>
    </row>
    <row r="43" spans="1:21" s="1" customFormat="1" ht="38.25" x14ac:dyDescent="0.2">
      <c r="A43" s="110" t="str">
        <f ca="1">OFFSET(PO!J$12,ROW(A43)-ROW($A$12),0)</f>
        <v>Serviço</v>
      </c>
      <c r="B43" s="112" t="str">
        <f ca="1">IF($A43=0,"",OFFSET(PO!K$12,ROW(B43)-ROW(B$12),0))</f>
        <v>1.5.2.1.</v>
      </c>
      <c r="C43" s="109" t="str">
        <f ca="1">IF(OFFSET(PO!N$12,ROW(C43)-ROW(C$12),0)=0,"",OFFSET(PO!N$12,ROW(C43)-ROW(C$12),0))</f>
        <v>LIXAMENTO E PREPARAÇÃO DE PAREDES PARA APLICAÇÃO DE FUNDO OU PINTURA (BASE SINAPI 88495 ADAPT.)</v>
      </c>
      <c r="D43" s="111" t="str">
        <f ca="1">IF(OFFSET(PO!O$12,ROW(D43)-ROW(D$12),0)=0,"",OFFSET(PO!O$12,ROW(D43)-ROW(D$12),0))</f>
        <v>M2</v>
      </c>
      <c r="E43" s="140">
        <f ca="1">IF($A43&lt;&gt;"Serviço",0,ROUND(SUMIF($F$9:$P$9,"&lt;&gt;",$F43:$P43),15-13*PO!$X$3))</f>
        <v>353.25</v>
      </c>
      <c r="F43" s="378">
        <f ca="1">OFFSET(PO!$P$12,ROW($E43)-ROW(F$12),0)</f>
        <v>353.25</v>
      </c>
      <c r="G43" s="378"/>
      <c r="H43" s="378"/>
      <c r="I43" s="378"/>
      <c r="J43" s="378"/>
      <c r="K43" s="378"/>
      <c r="L43" s="378"/>
      <c r="M43" s="378"/>
      <c r="N43" s="378"/>
      <c r="O43" s="378"/>
      <c r="U43" s="182"/>
    </row>
    <row r="44" spans="1:21" s="1" customFormat="1" ht="38.25" x14ac:dyDescent="0.2">
      <c r="A44" s="110" t="str">
        <f ca="1">OFFSET(PO!J$12,ROW(A44)-ROW($A$12),0)</f>
        <v>Serviço</v>
      </c>
      <c r="B44" s="112" t="str">
        <f ca="1">IF($A44=0,"",OFFSET(PO!K$12,ROW(B44)-ROW(B$12),0))</f>
        <v>1.5.2.2.</v>
      </c>
      <c r="C44" s="109" t="str">
        <f ca="1">IF(OFFSET(PO!N$12,ROW(C44)-ROW(C$12),0)=0,"",OFFSET(PO!N$12,ROW(C44)-ROW(C$12),0))</f>
        <v>FUNDO SELADOR ACRÍLICO, APLICAÇÃO MANUAL EM PAREDE, UMA DEMÃO. AF_04/2023</v>
      </c>
      <c r="D44" s="111" t="str">
        <f ca="1">IF(OFFSET(PO!O$12,ROW(D44)-ROW(D$12),0)=0,"",OFFSET(PO!O$12,ROW(D44)-ROW(D$12),0))</f>
        <v>M2</v>
      </c>
      <c r="E44" s="140">
        <f ca="1">IF($A44&lt;&gt;"Serviço",0,ROUND(SUMIF($F$9:$P$9,"&lt;&gt;",$F44:$P44),15-13*PO!$X$3))</f>
        <v>353.25</v>
      </c>
      <c r="F44" s="378">
        <f ca="1">OFFSET(PO!$P$12,ROW($E44)-ROW(F$12),0)</f>
        <v>353.25</v>
      </c>
      <c r="G44" s="378"/>
      <c r="H44" s="378"/>
      <c r="I44" s="378"/>
      <c r="J44" s="378"/>
      <c r="K44" s="378"/>
      <c r="L44" s="378"/>
      <c r="M44" s="378"/>
      <c r="N44" s="378"/>
      <c r="O44" s="378"/>
      <c r="U44" s="182"/>
    </row>
    <row r="45" spans="1:21" s="1" customFormat="1" ht="38.25" x14ac:dyDescent="0.2">
      <c r="A45" s="110" t="str">
        <f ca="1">OFFSET(PO!J$12,ROW(A45)-ROW($A$12),0)</f>
        <v>Serviço</v>
      </c>
      <c r="B45" s="112" t="str">
        <f ca="1">IF($A45=0,"",OFFSET(PO!K$12,ROW(B45)-ROW(B$12),0))</f>
        <v>1.5.2.3.</v>
      </c>
      <c r="C45" s="109" t="str">
        <f ca="1">IF(OFFSET(PO!N$12,ROW(C45)-ROW(C$12),0)=0,"",OFFSET(PO!N$12,ROW(C45)-ROW(C$12),0))</f>
        <v>PINTURA LÁTEX ACRÍLICA PREMIUM, APLICAÇÃO MANUAL EM PAREDES, DUAS DEMÃOS. AF_04/2023</v>
      </c>
      <c r="D45" s="111" t="str">
        <f ca="1">IF(OFFSET(PO!O$12,ROW(D45)-ROW(D$12),0)=0,"",OFFSET(PO!O$12,ROW(D45)-ROW(D$12),0))</f>
        <v>M2</v>
      </c>
      <c r="E45" s="140">
        <f ca="1">IF($A45&lt;&gt;"Serviço",0,ROUND(SUMIF($F$9:$P$9,"&lt;&gt;",$F45:$P45),15-13*PO!$X$3))</f>
        <v>353.25</v>
      </c>
      <c r="F45" s="378">
        <f ca="1">OFFSET(PO!$P$12,ROW($E45)-ROW(F$12),0)</f>
        <v>353.25</v>
      </c>
      <c r="G45" s="378"/>
      <c r="H45" s="378"/>
      <c r="I45" s="378"/>
      <c r="J45" s="378"/>
      <c r="K45" s="378"/>
      <c r="L45" s="378"/>
      <c r="M45" s="378"/>
      <c r="N45" s="378"/>
      <c r="O45" s="378"/>
      <c r="U45" s="182"/>
    </row>
    <row r="46" spans="1:21" s="1" customFormat="1" ht="38.25" x14ac:dyDescent="0.2">
      <c r="A46" s="110" t="str">
        <f ca="1">OFFSET(PO!J$12,ROW(A46)-ROW($A$12),0)</f>
        <v>Nível 2</v>
      </c>
      <c r="B46" s="112" t="str">
        <f ca="1">IF($A46=0,"",OFFSET(PO!K$12,ROW(B46)-ROW(B$12),0))</f>
        <v>1.6.</v>
      </c>
      <c r="C46" s="109" t="str">
        <f ca="1">IF(OFFSET(PO!N$12,ROW(C46)-ROW(C$12),0)=0,"",OFFSET(PO!N$12,ROW(C46)-ROW(C$12),0))</f>
        <v>DRYWALL</v>
      </c>
      <c r="D46" s="111" t="str">
        <f ca="1">IF(OFFSET(PO!O$12,ROW(D46)-ROW(D$12),0)=0,"",OFFSET(PO!O$12,ROW(D46)-ROW(D$12),0))</f>
        <v/>
      </c>
      <c r="E46" s="140">
        <f ca="1">IF($A46&lt;&gt;"Serviço",0,ROUND(SUMIF($F$9:$P$9,"&lt;&gt;",$F46:$P46),15-13*PO!$X$3))</f>
        <v>0</v>
      </c>
      <c r="F46" s="378" t="str">
        <f ca="1">OFFSET(PO!$P$12,ROW($E46)-ROW(F$12),0)</f>
        <v xml:space="preserve"> -  </v>
      </c>
      <c r="G46" s="378"/>
      <c r="H46" s="378"/>
      <c r="I46" s="378"/>
      <c r="J46" s="378"/>
      <c r="K46" s="378"/>
      <c r="L46" s="378"/>
      <c r="M46" s="378"/>
      <c r="N46" s="378"/>
      <c r="O46" s="378"/>
      <c r="U46" s="182"/>
    </row>
    <row r="47" spans="1:21" s="1" customFormat="1" ht="25.5" x14ac:dyDescent="0.2">
      <c r="A47" s="110" t="str">
        <f ca="1">OFFSET(PO!J$12,ROW(A47)-ROW($A$12),0)</f>
        <v>Serviço</v>
      </c>
      <c r="B47" s="112" t="str">
        <f ca="1">IF($A47=0,"",OFFSET(PO!K$12,ROW(B47)-ROW(B$12),0))</f>
        <v>1.6.0.1.</v>
      </c>
      <c r="C47" s="109" t="str">
        <f ca="1">IF(OFFSET(PO!N$12,ROW(C47)-ROW(C$12),0)=0,"",OFFSET(PO!N$12,ROW(C47)-ROW(C$12),0))</f>
        <v>PAREDE COM SISTEMA EM CHAPAS DE GESSO PARA DRYWALL, USO INTERNO, COM DUAS FACES SIMPLES E ESTRUTURA METÁLICA COM GUIAS SIMPLES PARA PAREDES COM ÁREA LÍQUIDA MAIOR OU IGUAL A 6 M2, COM VÃOS. AF_07/2023_PS</v>
      </c>
      <c r="D47" s="111" t="str">
        <f ca="1">IF(OFFSET(PO!O$12,ROW(D47)-ROW(D$12),0)=0,"",OFFSET(PO!O$12,ROW(D47)-ROW(D$12),0))</f>
        <v>M2</v>
      </c>
      <c r="E47" s="140">
        <f ca="1">IF($A47&lt;&gt;"Serviço",0,ROUND(SUMIF($F$9:$P$9,"&lt;&gt;",$F47:$P47),15-13*PO!$X$3))</f>
        <v>44.63</v>
      </c>
      <c r="F47" s="378">
        <f ca="1">OFFSET(PO!$P$12,ROW($E47)-ROW(F$12),0)</f>
        <v>44.63</v>
      </c>
      <c r="G47" s="378"/>
      <c r="H47" s="378"/>
      <c r="I47" s="378"/>
      <c r="J47" s="378"/>
      <c r="K47" s="378"/>
      <c r="L47" s="378"/>
      <c r="M47" s="378"/>
      <c r="N47" s="378"/>
      <c r="O47" s="378"/>
      <c r="U47" s="182"/>
    </row>
    <row r="48" spans="1:21" s="1" customFormat="1" ht="38.25" x14ac:dyDescent="0.2">
      <c r="A48" s="110" t="str">
        <f ca="1">OFFSET(PO!J$12,ROW(A48)-ROW($A$12),0)</f>
        <v>Serviço</v>
      </c>
      <c r="B48" s="112" t="str">
        <f ca="1">IF($A48=0,"",OFFSET(PO!K$12,ROW(B48)-ROW(B$12),0))</f>
        <v>1.6.0.2.</v>
      </c>
      <c r="C48" s="109" t="str">
        <f ca="1">IF(OFFSET(PO!N$12,ROW(C48)-ROW(C$12),0)=0,"",OFFSET(PO!N$12,ROW(C48)-ROW(C$12),0))</f>
        <v>CAIXILHO FIXO DE ALUMÍNIO PARA VIDRO (VIDRO INCLUSO), BATENTE/ REQUADRO DE 4 A 14 CM, SEM GUARNIÇÃO/ ALIZAR, FIXAÇÃO COM PARAFUSOS, VEDAÇÃO COM SILICONE, EXCLUSIVE CONTRAMARCO - FORNECIMENTO E INSTALAÇÃO. AF_11/2024</v>
      </c>
      <c r="D48" s="111" t="str">
        <f ca="1">IF(OFFSET(PO!O$12,ROW(D48)-ROW(D$12),0)=0,"",OFFSET(PO!O$12,ROW(D48)-ROW(D$12),0))</f>
        <v>M2</v>
      </c>
      <c r="E48" s="140">
        <f ca="1">IF($A48&lt;&gt;"Serviço",0,ROUND(SUMIF($F$9:$P$9,"&lt;&gt;",$F48:$P48),15-13*PO!$X$3))</f>
        <v>2.64</v>
      </c>
      <c r="F48" s="378">
        <f ca="1">OFFSET(PO!$P$12,ROW($E48)-ROW(F$12),0)</f>
        <v>2.64</v>
      </c>
      <c r="G48" s="378"/>
      <c r="H48" s="378"/>
      <c r="I48" s="378"/>
      <c r="J48" s="378"/>
      <c r="K48" s="378"/>
      <c r="L48" s="378"/>
      <c r="M48" s="378"/>
      <c r="N48" s="378"/>
      <c r="O48" s="378"/>
      <c r="U48" s="182"/>
    </row>
    <row r="49" spans="1:21" s="1" customFormat="1" ht="38.25" x14ac:dyDescent="0.2">
      <c r="A49" s="110" t="str">
        <f ca="1">OFFSET(PO!J$12,ROW(A49)-ROW($A$12),0)</f>
        <v>Serviço</v>
      </c>
      <c r="B49" s="112" t="str">
        <f ca="1">IF($A49=0,"",OFFSET(PO!K$12,ROW(B49)-ROW(B$12),0))</f>
        <v>1.6.0.3.</v>
      </c>
      <c r="C49" s="109" t="str">
        <f ca="1">IF(OFFSET(PO!N$12,ROW(C49)-ROW(C$12),0)=0,"",OFFSET(PO!N$12,ROW(C49)-ROW(C$12),0))</f>
        <v>EMASSAMENTO COM MASSA LÁTEX, APLICAÇÃO EM PAREDE, DUAS DEMÃOS, LIXAMENTO MANUAL. AF_04/2023</v>
      </c>
      <c r="D49" s="111" t="str">
        <f ca="1">IF(OFFSET(PO!O$12,ROW(D49)-ROW(D$12),0)=0,"",OFFSET(PO!O$12,ROW(D49)-ROW(D$12),0))</f>
        <v>M2</v>
      </c>
      <c r="E49" s="140">
        <f ca="1">IF($A49&lt;&gt;"Serviço",0,ROUND(SUMIF($F$9:$P$9,"&lt;&gt;",$F49:$P49),15-13*PO!$X$3))</f>
        <v>89.25</v>
      </c>
      <c r="F49" s="378">
        <f ca="1">OFFSET(PO!$P$12,ROW($E49)-ROW(F$12),0)</f>
        <v>89.25</v>
      </c>
      <c r="G49" s="378"/>
      <c r="H49" s="378"/>
      <c r="I49" s="378"/>
      <c r="J49" s="378"/>
      <c r="K49" s="378"/>
      <c r="L49" s="378"/>
      <c r="M49" s="378"/>
      <c r="N49" s="378"/>
      <c r="O49" s="378"/>
      <c r="U49" s="182"/>
    </row>
    <row r="50" spans="1:21" s="1" customFormat="1" ht="38.25" x14ac:dyDescent="0.2">
      <c r="A50" s="110" t="str">
        <f ca="1">OFFSET(PO!J$12,ROW(A50)-ROW($A$12),0)</f>
        <v>Serviço</v>
      </c>
      <c r="B50" s="112" t="str">
        <f ca="1">IF($A50=0,"",OFFSET(PO!K$12,ROW(B50)-ROW(B$12),0))</f>
        <v>1.6.0.4.</v>
      </c>
      <c r="C50" s="109" t="str">
        <f ca="1">IF(OFFSET(PO!N$12,ROW(C50)-ROW(C$12),0)=0,"",OFFSET(PO!N$12,ROW(C50)-ROW(C$12),0))</f>
        <v>FUNDO SELADOR ACRÍLICO, APLICAÇÃO MANUAL EM PAREDE, UMA DEMÃO. AF_04/2023</v>
      </c>
      <c r="D50" s="111" t="str">
        <f ca="1">IF(OFFSET(PO!O$12,ROW(D50)-ROW(D$12),0)=0,"",OFFSET(PO!O$12,ROW(D50)-ROW(D$12),0))</f>
        <v>M2</v>
      </c>
      <c r="E50" s="140">
        <f ca="1">IF($A50&lt;&gt;"Serviço",0,ROUND(SUMIF($F$9:$P$9,"&lt;&gt;",$F50:$P50),15-13*PO!$X$3))</f>
        <v>178.5</v>
      </c>
      <c r="F50" s="378">
        <f ca="1">OFFSET(PO!$P$12,ROW($E50)-ROW(F$12),0)</f>
        <v>178.5</v>
      </c>
      <c r="G50" s="378"/>
      <c r="H50" s="378"/>
      <c r="I50" s="378"/>
      <c r="J50" s="378"/>
      <c r="K50" s="378"/>
      <c r="L50" s="378"/>
      <c r="M50" s="378"/>
      <c r="N50" s="378"/>
      <c r="O50" s="378"/>
      <c r="U50" s="182"/>
    </row>
    <row r="51" spans="1:21" s="1" customFormat="1" x14ac:dyDescent="0.2">
      <c r="A51" s="110" t="str">
        <f ca="1">OFFSET(PO!J$12,ROW(A51)-ROW($A$12),0)</f>
        <v>Serviço</v>
      </c>
      <c r="B51" s="112" t="str">
        <f ca="1">IF($A51=0,"",OFFSET(PO!K$12,ROW(B51)-ROW(B$12),0))</f>
        <v>1.6.0.5.</v>
      </c>
      <c r="C51" s="109" t="str">
        <f ca="1">IF(OFFSET(PO!N$12,ROW(C51)-ROW(C$12),0)=0,"",OFFSET(PO!N$12,ROW(C51)-ROW(C$12),0))</f>
        <v>PINTURA LÁTEX ACRÍLICA PREMIUM, APLICAÇÃO MANUAL EM PAREDES, DUAS DEMÃOS. AF_04/2023</v>
      </c>
      <c r="D51" s="111" t="str">
        <f ca="1">IF(OFFSET(PO!O$12,ROW(D51)-ROW(D$12),0)=0,"",OFFSET(PO!O$12,ROW(D51)-ROW(D$12),0))</f>
        <v>M2</v>
      </c>
      <c r="E51" s="140">
        <f ca="1">IF($A51&lt;&gt;"Serviço",0,ROUND(SUMIF($F$9:$P$9,"&lt;&gt;",$F51:$P51),15-13*PO!$X$3))</f>
        <v>89.25</v>
      </c>
      <c r="F51" s="378">
        <f ca="1">OFFSET(PO!$P$12,ROW($E51)-ROW(F$12),0)</f>
        <v>89.25</v>
      </c>
      <c r="G51" s="378"/>
      <c r="H51" s="378"/>
      <c r="I51" s="378"/>
      <c r="J51" s="378"/>
      <c r="K51" s="378"/>
      <c r="L51" s="378"/>
      <c r="M51" s="378"/>
      <c r="N51" s="378"/>
      <c r="O51" s="378"/>
      <c r="U51" s="182"/>
    </row>
    <row r="52" spans="1:21" s="1" customFormat="1" ht="51" x14ac:dyDescent="0.2">
      <c r="A52" s="110" t="str">
        <f ca="1">OFFSET(PO!J$12,ROW(A52)-ROW($A$12),0)</f>
        <v>Serviço</v>
      </c>
      <c r="B52" s="112" t="str">
        <f ca="1">IF($A52=0,"",OFFSET(PO!K$12,ROW(B52)-ROW(B$12),0))</f>
        <v>1.6.0.6.</v>
      </c>
      <c r="C52" s="109" t="str">
        <f ca="1">IF(OFFSET(PO!N$12,ROW(C52)-ROW(C$12),0)=0,"",OFFSET(PO!N$12,ROW(C52)-ROW(C$12),0))</f>
        <v>KIT DE PORTA DE MADEIRA PARA PINTURA, SEMI-OCA (LEVE OU MÉDIA), PADRÃO MÉDIO, 80X210CM, ESPESSURA DE 3,5CM, ITENS INCLUSOS: DOBRADIÇAS, MONTAGEM E INSTALAÇÃO DO BATENTE, FECHADURA COM EXECUÇÃO DO FURO - FORNECIMENTO E INSTALAÇÃO. AF_10/2025</v>
      </c>
      <c r="D52" s="111" t="str">
        <f ca="1">IF(OFFSET(PO!O$12,ROW(D52)-ROW(D$12),0)=0,"",OFFSET(PO!O$12,ROW(D52)-ROW(D$12),0))</f>
        <v>UN</v>
      </c>
      <c r="E52" s="140">
        <f ca="1">IF($A52&lt;&gt;"Serviço",0,ROUND(SUMIF($F$9:$P$9,"&lt;&gt;",$F52:$P52),15-13*PO!$X$3))</f>
        <v>3</v>
      </c>
      <c r="F52" s="378">
        <f ca="1">OFFSET(PO!$P$12,ROW($E52)-ROW(F$12),0)</f>
        <v>3</v>
      </c>
      <c r="G52" s="378"/>
      <c r="H52" s="378"/>
      <c r="I52" s="378"/>
      <c r="J52" s="378"/>
      <c r="K52" s="378"/>
      <c r="L52" s="378"/>
      <c r="M52" s="378"/>
      <c r="N52" s="378"/>
      <c r="O52" s="378"/>
      <c r="U52" s="182"/>
    </row>
    <row r="53" spans="1:21" s="1" customFormat="1" ht="51" x14ac:dyDescent="0.2">
      <c r="A53" s="110" t="str">
        <f ca="1">OFFSET(PO!J$12,ROW(A53)-ROW($A$12),0)</f>
        <v>Serviço</v>
      </c>
      <c r="B53" s="112" t="str">
        <f ca="1">IF($A53=0,"",OFFSET(PO!K$12,ROW(B53)-ROW(B$12),0))</f>
        <v>1.6.0.7.</v>
      </c>
      <c r="C53" s="109" t="str">
        <f ca="1">IF(OFFSET(PO!N$12,ROW(C53)-ROW(C$12),0)=0,"",OFFSET(PO!N$12,ROW(C53)-ROW(C$12),0))</f>
        <v>LIXAMENTO DE MADEIRA PARA APLICAÇÃO DE FUNDO OU PINTURA. AF_01/2021</v>
      </c>
      <c r="D53" s="111" t="str">
        <f ca="1">IF(OFFSET(PO!O$12,ROW(D53)-ROW(D$12),0)=0,"",OFFSET(PO!O$12,ROW(D53)-ROW(D$12),0))</f>
        <v>M2</v>
      </c>
      <c r="E53" s="140">
        <f ca="1">IF($A53&lt;&gt;"Serviço",0,ROUND(SUMIF($F$9:$P$9,"&lt;&gt;",$F53:$P53),15-13*PO!$X$3))</f>
        <v>10.08</v>
      </c>
      <c r="F53" s="378">
        <f ca="1">OFFSET(PO!$P$12,ROW($E53)-ROW(F$12),0)</f>
        <v>10.08</v>
      </c>
      <c r="G53" s="378"/>
      <c r="H53" s="378"/>
      <c r="I53" s="378"/>
      <c r="J53" s="378"/>
      <c r="K53" s="378"/>
      <c r="L53" s="378"/>
      <c r="M53" s="378"/>
      <c r="N53" s="378"/>
      <c r="O53" s="378"/>
      <c r="U53" s="182"/>
    </row>
    <row r="54" spans="1:21" s="1" customFormat="1" ht="25.5" x14ac:dyDescent="0.2">
      <c r="A54" s="110" t="str">
        <f ca="1">OFFSET(PO!J$12,ROW(A54)-ROW($A$12),0)</f>
        <v>Serviço</v>
      </c>
      <c r="B54" s="112" t="str">
        <f ca="1">IF($A54=0,"",OFFSET(PO!K$12,ROW(B54)-ROW(B$12),0))</f>
        <v>1.6.0.8.</v>
      </c>
      <c r="C54" s="109" t="str">
        <f ca="1">IF(OFFSET(PO!N$12,ROW(C54)-ROW(C$12),0)=0,"",OFFSET(PO!N$12,ROW(C54)-ROW(C$12),0))</f>
        <v>PINTURA FUNDO NIVELADOR ALQUÍDICO BRANCO EM MADEIRA. AF_01/2021</v>
      </c>
      <c r="D54" s="111" t="str">
        <f ca="1">IF(OFFSET(PO!O$12,ROW(D54)-ROW(D$12),0)=0,"",OFFSET(PO!O$12,ROW(D54)-ROW(D$12),0))</f>
        <v>M2</v>
      </c>
      <c r="E54" s="140">
        <f ca="1">IF($A54&lt;&gt;"Serviço",0,ROUND(SUMIF($F$9:$P$9,"&lt;&gt;",$F54:$P54),15-13*PO!$X$3))</f>
        <v>10.08</v>
      </c>
      <c r="F54" s="378">
        <f ca="1">OFFSET(PO!$P$12,ROW($E54)-ROW(F$12),0)</f>
        <v>10.08</v>
      </c>
      <c r="G54" s="378"/>
      <c r="H54" s="378"/>
      <c r="I54" s="378"/>
      <c r="J54" s="378"/>
      <c r="K54" s="378"/>
      <c r="L54" s="378"/>
      <c r="M54" s="378"/>
      <c r="N54" s="378"/>
      <c r="O54" s="378"/>
      <c r="U54" s="182"/>
    </row>
    <row r="55" spans="1:21" s="1" customFormat="1" ht="25.5" x14ac:dyDescent="0.2">
      <c r="A55" s="110" t="str">
        <f ca="1">OFFSET(PO!J$12,ROW(A55)-ROW($A$12),0)</f>
        <v>Serviço</v>
      </c>
      <c r="B55" s="112" t="str">
        <f ca="1">IF($A55=0,"",OFFSET(PO!K$12,ROW(B55)-ROW(B$12),0))</f>
        <v>1.6.0.9.</v>
      </c>
      <c r="C55" s="109" t="str">
        <f ca="1">IF(OFFSET(PO!N$12,ROW(C55)-ROW(C$12),0)=0,"",OFFSET(PO!N$12,ROW(C55)-ROW(C$12),0))</f>
        <v>PINTURA TINTA DE ACABAMENTO (PIGMENTADA) ESMALTE SINTÉTICO ACETINADO EM MADEIRA, 2 DEMÃOS. AF_01/2021</v>
      </c>
      <c r="D55" s="111" t="str">
        <f ca="1">IF(OFFSET(PO!O$12,ROW(D55)-ROW(D$12),0)=0,"",OFFSET(PO!O$12,ROW(D55)-ROW(D$12),0))</f>
        <v>M2</v>
      </c>
      <c r="E55" s="140">
        <f ca="1">IF($A55&lt;&gt;"Serviço",0,ROUND(SUMIF($F$9:$P$9,"&lt;&gt;",$F55:$P55),15-13*PO!$X$3))</f>
        <v>10.08</v>
      </c>
      <c r="F55" s="378">
        <f ca="1">OFFSET(PO!$P$12,ROW($E55)-ROW(F$12),0)</f>
        <v>10.08</v>
      </c>
      <c r="G55" s="378"/>
      <c r="H55" s="378"/>
      <c r="I55" s="378"/>
      <c r="J55" s="378"/>
      <c r="K55" s="378"/>
      <c r="L55" s="378"/>
      <c r="M55" s="378"/>
      <c r="N55" s="378"/>
      <c r="O55" s="378"/>
      <c r="U55" s="182"/>
    </row>
    <row r="56" spans="1:21" s="1" customFormat="1" ht="25.5" x14ac:dyDescent="0.2">
      <c r="A56" s="110" t="str">
        <f ca="1">OFFSET(PO!J$12,ROW(A56)-ROW($A$12),0)</f>
        <v>Nível 2</v>
      </c>
      <c r="B56" s="112" t="str">
        <f ca="1">IF($A56=0,"",OFFSET(PO!K$12,ROW(B56)-ROW(B$12),0))</f>
        <v>1.7.</v>
      </c>
      <c r="C56" s="109" t="str">
        <f ca="1">IF(OFFSET(PO!N$12,ROW(C56)-ROW(C$12),0)=0,"",OFFSET(PO!N$12,ROW(C56)-ROW(C$12),0))</f>
        <v>ESQUADRIAS</v>
      </c>
      <c r="D56" s="111" t="str">
        <f ca="1">IF(OFFSET(PO!O$12,ROW(D56)-ROW(D$12),0)=0,"",OFFSET(PO!O$12,ROW(D56)-ROW(D$12),0))</f>
        <v>M2</v>
      </c>
      <c r="E56" s="140">
        <f ca="1">IF($A56&lt;&gt;"Serviço",0,ROUND(SUMIF($F$9:$P$9,"&lt;&gt;",$F56:$P56),15-13*PO!$X$3))</f>
        <v>0</v>
      </c>
      <c r="F56" s="378" t="str">
        <f ca="1">OFFSET(PO!$P$12,ROW($E56)-ROW(F$12),0)</f>
        <v xml:space="preserve"> -  </v>
      </c>
      <c r="G56" s="378"/>
      <c r="H56" s="378"/>
      <c r="I56" s="378"/>
      <c r="J56" s="378"/>
      <c r="K56" s="378"/>
      <c r="L56" s="378"/>
      <c r="M56" s="378"/>
      <c r="N56" s="378"/>
      <c r="O56" s="378"/>
      <c r="U56" s="182"/>
    </row>
    <row r="57" spans="1:21" s="1" customFormat="1" ht="38.25" x14ac:dyDescent="0.2">
      <c r="A57" s="110" t="str">
        <f ca="1">OFFSET(PO!J$12,ROW(A57)-ROW($A$12),0)</f>
        <v>Nível 3</v>
      </c>
      <c r="B57" s="112" t="str">
        <f ca="1">IF($A57=0,"",OFFSET(PO!K$12,ROW(B57)-ROW(B$12),0))</f>
        <v>1.7.1.</v>
      </c>
      <c r="C57" s="109" t="str">
        <f ca="1">IF(OFFSET(PO!N$12,ROW(C57)-ROW(C$12),0)=0,"",OFFSET(PO!N$12,ROW(C57)-ROW(C$12),0))</f>
        <v>Instalações e reinstalações de esquadrias</v>
      </c>
      <c r="D57" s="111" t="str">
        <f ca="1">IF(OFFSET(PO!O$12,ROW(D57)-ROW(D$12),0)=0,"",OFFSET(PO!O$12,ROW(D57)-ROW(D$12),0))</f>
        <v/>
      </c>
      <c r="E57" s="140">
        <f ca="1">IF($A57&lt;&gt;"Serviço",0,ROUND(SUMIF($F$9:$P$9,"&lt;&gt;",$F57:$P57),15-13*PO!$X$3))</f>
        <v>0</v>
      </c>
      <c r="F57" s="378" t="str">
        <f ca="1">OFFSET(PO!$P$12,ROW($E57)-ROW(F$12),0)</f>
        <v xml:space="preserve"> -  </v>
      </c>
      <c r="G57" s="378"/>
      <c r="H57" s="378"/>
      <c r="I57" s="378"/>
      <c r="J57" s="378"/>
      <c r="K57" s="378"/>
      <c r="L57" s="378"/>
      <c r="M57" s="378"/>
      <c r="N57" s="378"/>
      <c r="O57" s="378"/>
      <c r="U57" s="182"/>
    </row>
    <row r="58" spans="1:21" s="1" customFormat="1" x14ac:dyDescent="0.2">
      <c r="A58" s="110" t="str">
        <f ca="1">OFFSET(PO!J$12,ROW(A58)-ROW($A$12),0)</f>
        <v>Serviço</v>
      </c>
      <c r="B58" s="112" t="str">
        <f ca="1">IF($A58=0,"",OFFSET(PO!K$12,ROW(B58)-ROW(B$12),0))</f>
        <v>1.7.1.1.</v>
      </c>
      <c r="C58" s="109" t="str">
        <f ca="1">IF(OFFSET(PO!N$12,ROW(C58)-ROW(C$12),0)=0,"",OFFSET(PO!N$12,ROW(C58)-ROW(C$12),0))</f>
        <v>REINSTALAÇÃO DE PEITORIL/PINGADEIRA EM GRANITO OU MÁRMORE, COM REAPROVEITAMENTO DE PEÇA EXISTENTE, ASSENTADO COM ARGAMASSA 1:6 COM ADITIVO OU ARGAMASSA COLANTE TIPO ACIII (BASE SINAPI 101965)</v>
      </c>
      <c r="D58" s="111" t="str">
        <f ca="1">IF(OFFSET(PO!O$12,ROW(D58)-ROW(D$12),0)=0,"",OFFSET(PO!O$12,ROW(D58)-ROW(D$12),0))</f>
        <v>M</v>
      </c>
      <c r="E58" s="140">
        <f ca="1">IF($A58&lt;&gt;"Serviço",0,ROUND(SUMIF($F$9:$P$9,"&lt;&gt;",$F58:$P58),15-13*PO!$X$3))</f>
        <v>4.08</v>
      </c>
      <c r="F58" s="378">
        <f ca="1">OFFSET(PO!$P$12,ROW($E58)-ROW(F$12),0)</f>
        <v>4.08</v>
      </c>
      <c r="G58" s="378"/>
      <c r="H58" s="378"/>
      <c r="I58" s="378"/>
      <c r="J58" s="378"/>
      <c r="K58" s="378"/>
      <c r="L58" s="378"/>
      <c r="M58" s="378"/>
      <c r="N58" s="378"/>
      <c r="O58" s="378"/>
      <c r="U58" s="182"/>
    </row>
    <row r="59" spans="1:21" s="1" customFormat="1" ht="51" x14ac:dyDescent="0.2">
      <c r="A59" s="110" t="str">
        <f ca="1">OFFSET(PO!J$12,ROW(A59)-ROW($A$12),0)</f>
        <v>Serviço</v>
      </c>
      <c r="B59" s="112" t="str">
        <f ca="1">IF($A59=0,"",OFFSET(PO!K$12,ROW(B59)-ROW(B$12),0))</f>
        <v>1.7.1.2.</v>
      </c>
      <c r="C59" s="109" t="str">
        <f ca="1">IF(OFFSET(PO!N$12,ROW(C59)-ROW(C$12),0)=0,"",OFFSET(PO!N$12,ROW(C59)-ROW(C$12),0))</f>
        <v>REINSTALAÇÃO DE JANELA DE ALUMÍNIO DE CORRER COM VIDROS, INCLUSO AJUSTES E REQUADRO DO VÃO (BASE SINAPI 94570 ADAPT.)</v>
      </c>
      <c r="D59" s="111" t="str">
        <f ca="1">IF(OFFSET(PO!O$12,ROW(D59)-ROW(D$12),0)=0,"",OFFSET(PO!O$12,ROW(D59)-ROW(D$12),0))</f>
        <v>M2</v>
      </c>
      <c r="E59" s="140">
        <f ca="1">IF($A59&lt;&gt;"Serviço",0,ROUND(SUMIF($F$9:$P$9,"&lt;&gt;",$F59:$P59),15-13*PO!$X$3))</f>
        <v>1.57</v>
      </c>
      <c r="F59" s="378">
        <f ca="1">OFFSET(PO!$P$12,ROW($E59)-ROW(F$12),0)</f>
        <v>1.57</v>
      </c>
      <c r="G59" s="378"/>
      <c r="H59" s="378"/>
      <c r="I59" s="378"/>
      <c r="J59" s="378"/>
      <c r="K59" s="378"/>
      <c r="L59" s="378"/>
      <c r="M59" s="378"/>
      <c r="N59" s="378"/>
      <c r="O59" s="378"/>
      <c r="U59" s="182"/>
    </row>
    <row r="60" spans="1:21" s="1" customFormat="1" ht="38.25" x14ac:dyDescent="0.2">
      <c r="A60" s="110" t="str">
        <f ca="1">OFFSET(PO!J$12,ROW(A60)-ROW($A$12),0)</f>
        <v>Serviço</v>
      </c>
      <c r="B60" s="112" t="str">
        <f ca="1">IF($A60=0,"",OFFSET(PO!K$12,ROW(B60)-ROW(B$12),0))</f>
        <v>1.7.1.3.</v>
      </c>
      <c r="C60" s="109" t="str">
        <f ca="1">IF(OFFSET(PO!N$12,ROW(C60)-ROW(C$12),0)=0,"",OFFSET(PO!N$12,ROW(C60)-ROW(C$12),0))</f>
        <v>REINSTALAÇÃO DE PORTA DE MADEIRA COMPLETA, COM DOBRADIÇAS, BATENTE, GUARNIÇÕES E FECHADURA (BASE SINAPI 90843 ADAPT.)</v>
      </c>
      <c r="D60" s="111" t="str">
        <f ca="1">IF(OFFSET(PO!O$12,ROW(D60)-ROW(D$12),0)=0,"",OFFSET(PO!O$12,ROW(D60)-ROW(D$12),0))</f>
        <v>M2</v>
      </c>
      <c r="E60" s="140">
        <f ca="1">IF($A60&lt;&gt;"Serviço",0,ROUND(SUMIF($F$9:$P$9,"&lt;&gt;",$F60:$P60),15-13*PO!$X$3))</f>
        <v>3.61</v>
      </c>
      <c r="F60" s="378">
        <f ca="1">OFFSET(PO!$P$12,ROW($E60)-ROW(F$12),0)</f>
        <v>3.61</v>
      </c>
      <c r="G60" s="378"/>
      <c r="H60" s="378"/>
      <c r="I60" s="378"/>
      <c r="J60" s="378"/>
      <c r="K60" s="378"/>
      <c r="L60" s="378"/>
      <c r="M60" s="378"/>
      <c r="N60" s="378"/>
      <c r="O60" s="378"/>
      <c r="U60" s="182"/>
    </row>
    <row r="61" spans="1:21" s="1" customFormat="1" ht="25.5" x14ac:dyDescent="0.2">
      <c r="A61" s="110" t="str">
        <f ca="1">OFFSET(PO!J$12,ROW(A61)-ROW($A$12),0)</f>
        <v>Serviço</v>
      </c>
      <c r="B61" s="112" t="str">
        <f ca="1">IF($A61=0,"",OFFSET(PO!K$12,ROW(B61)-ROW(B$12),0))</f>
        <v>1.7.1.4.</v>
      </c>
      <c r="C61" s="109" t="str">
        <f ca="1">IF(OFFSET(PO!N$12,ROW(C61)-ROW(C$12),0)=0,"",OFFSET(PO!N$12,ROW(C61)-ROW(C$12),0))</f>
        <v>PORTA DE CORRER DE MADEIRA, FECHADURA E PUXADOR, COM ALIZAR, 80 X 210 CM, FORNECIMENTO E INSTALAÇÃO (BASE SINAPI 106148)</v>
      </c>
      <c r="D61" s="111" t="str">
        <f ca="1">IF(OFFSET(PO!O$12,ROW(D61)-ROW(D$12),0)=0,"",OFFSET(PO!O$12,ROW(D61)-ROW(D$12),0))</f>
        <v>UN</v>
      </c>
      <c r="E61" s="140">
        <f ca="1">IF($A61&lt;&gt;"Serviço",0,ROUND(SUMIF($F$9:$P$9,"&lt;&gt;",$F61:$P61),15-13*PO!$X$3))</f>
        <v>1</v>
      </c>
      <c r="F61" s="378">
        <f ca="1">OFFSET(PO!$P$12,ROW($E61)-ROW(F$12),0)</f>
        <v>1</v>
      </c>
      <c r="G61" s="378"/>
      <c r="H61" s="378"/>
      <c r="I61" s="378"/>
      <c r="J61" s="378"/>
      <c r="K61" s="378"/>
      <c r="L61" s="378"/>
      <c r="M61" s="378"/>
      <c r="N61" s="378"/>
      <c r="O61" s="378"/>
      <c r="U61" s="182"/>
    </row>
    <row r="62" spans="1:21" s="1" customFormat="1" ht="51" x14ac:dyDescent="0.2">
      <c r="A62" s="110" t="str">
        <f ca="1">OFFSET(PO!J$12,ROW(A62)-ROW($A$12),0)</f>
        <v>Serviço</v>
      </c>
      <c r="B62" s="112" t="str">
        <f ca="1">IF($A62=0,"",OFFSET(PO!K$12,ROW(B62)-ROW(B$12),0))</f>
        <v>1.7.1.5.</v>
      </c>
      <c r="C62" s="109" t="str">
        <f ca="1">IF(OFFSET(PO!N$12,ROW(C62)-ROW(C$12),0)=0,"",OFFSET(PO!N$12,ROW(C62)-ROW(C$12),0))</f>
        <v>PORTA DE FERRO, DE ABRIR, TIPO GRADE COM CHAPA, COM GUARNIÇÕES. AF_10/2025</v>
      </c>
      <c r="D62" s="111" t="str">
        <f ca="1">IF(OFFSET(PO!O$12,ROW(D62)-ROW(D$12),0)=0,"",OFFSET(PO!O$12,ROW(D62)-ROW(D$12),0))</f>
        <v>M2</v>
      </c>
      <c r="E62" s="140">
        <f ca="1">IF($A62&lt;&gt;"Serviço",0,ROUND(SUMIF($F$9:$P$9,"&lt;&gt;",$F62:$P62),15-13*PO!$X$3))</f>
        <v>7.92</v>
      </c>
      <c r="F62" s="378">
        <f ca="1">OFFSET(PO!$P$12,ROW($E62)-ROW(F$12),0)</f>
        <v>7.92</v>
      </c>
      <c r="G62" s="378"/>
      <c r="H62" s="378"/>
      <c r="I62" s="378"/>
      <c r="J62" s="378"/>
      <c r="K62" s="378"/>
      <c r="L62" s="378"/>
      <c r="M62" s="378"/>
      <c r="N62" s="378"/>
      <c r="O62" s="378"/>
      <c r="U62" s="182"/>
    </row>
    <row r="63" spans="1:21" s="1" customFormat="1" ht="38.25" x14ac:dyDescent="0.2">
      <c r="A63" s="110" t="str">
        <f ca="1">OFFSET(PO!J$12,ROW(A63)-ROW($A$12),0)</f>
        <v>Serviço</v>
      </c>
      <c r="B63" s="112" t="str">
        <f ca="1">IF($A63=0,"",OFFSET(PO!K$12,ROW(B63)-ROW(B$12),0))</f>
        <v>1.7.1.6.</v>
      </c>
      <c r="C63" s="109" t="str">
        <f ca="1">IF(OFFSET(PO!N$12,ROW(C63)-ROW(C$12),0)=0,"",OFFSET(PO!N$12,ROW(C63)-ROW(C$12),0))</f>
        <v>GRADIL EM AÇO FIXADO EM VÃOS DE JANELAS, FORMADO POR BARRAS CHATAS DE 25X4,8 MM. AF_10/2025</v>
      </c>
      <c r="D63" s="111" t="str">
        <f ca="1">IF(OFFSET(PO!O$12,ROW(D63)-ROW(D$12),0)=0,"",OFFSET(PO!O$12,ROW(D63)-ROW(D$12),0))</f>
        <v>M2</v>
      </c>
      <c r="E63" s="140">
        <f ca="1">IF($A63&lt;&gt;"Serviço",0,ROUND(SUMIF($F$9:$P$9,"&lt;&gt;",$F63:$P63),15-13*PO!$X$3))</f>
        <v>1.57</v>
      </c>
      <c r="F63" s="378">
        <f ca="1">OFFSET(PO!$P$12,ROW($E63)-ROW(F$12),0)</f>
        <v>1.57</v>
      </c>
      <c r="G63" s="378"/>
      <c r="H63" s="378"/>
      <c r="I63" s="378"/>
      <c r="J63" s="378"/>
      <c r="K63" s="378"/>
      <c r="L63" s="378"/>
      <c r="M63" s="378"/>
      <c r="N63" s="378"/>
      <c r="O63" s="378"/>
      <c r="U63" s="182"/>
    </row>
    <row r="64" spans="1:21" s="1" customFormat="1" ht="25.5" x14ac:dyDescent="0.2">
      <c r="A64" s="110" t="str">
        <f ca="1">OFFSET(PO!J$12,ROW(A64)-ROW($A$12),0)</f>
        <v>Serviço</v>
      </c>
      <c r="B64" s="112" t="str">
        <f ca="1">IF($A64=0,"",OFFSET(PO!K$12,ROW(B64)-ROW(B$12),0))</f>
        <v>1.7.1.7.</v>
      </c>
      <c r="C64" s="109" t="str">
        <f ca="1">IF(OFFSET(PO!N$12,ROW(C64)-ROW(C$12),0)=0,"",OFFSET(PO!N$12,ROW(C64)-ROW(C$12),0))</f>
        <v>PORTA DE ALUMÍNIO DE ABRIR, PARA VIDRO COM VIDROS INCLUSOS, COM GUARNIÇÃO, 90X220CM, FIXAÇÃO COM ARGAMASSA (BASE SINAPI 106145 ADAPT.)</v>
      </c>
      <c r="D64" s="111" t="str">
        <f ca="1">IF(OFFSET(PO!O$12,ROW(D64)-ROW(D$12),0)=0,"",OFFSET(PO!O$12,ROW(D64)-ROW(D$12),0))</f>
        <v>UN</v>
      </c>
      <c r="E64" s="140">
        <f ca="1">IF($A64&lt;&gt;"Serviço",0,ROUND(SUMIF($F$9:$P$9,"&lt;&gt;",$F64:$P64),15-13*PO!$X$3))</f>
        <v>4</v>
      </c>
      <c r="F64" s="378">
        <f ca="1">OFFSET(PO!$P$12,ROW($E64)-ROW(F$12),0)</f>
        <v>4</v>
      </c>
      <c r="G64" s="378"/>
      <c r="H64" s="378"/>
      <c r="I64" s="378"/>
      <c r="J64" s="378"/>
      <c r="K64" s="378"/>
      <c r="L64" s="378"/>
      <c r="M64" s="378"/>
      <c r="N64" s="378"/>
      <c r="O64" s="378"/>
      <c r="U64" s="182"/>
    </row>
    <row r="65" spans="1:21" s="1" customFormat="1" x14ac:dyDescent="0.2">
      <c r="A65" s="110" t="str">
        <f ca="1">OFFSET(PO!J$12,ROW(A65)-ROW($A$12),0)</f>
        <v>Nível 3</v>
      </c>
      <c r="B65" s="112" t="str">
        <f ca="1">IF($A65=0,"",OFFSET(PO!K$12,ROW(B65)-ROW(B$12),0))</f>
        <v>1.7.2.</v>
      </c>
      <c r="C65" s="109" t="str">
        <f ca="1">IF(OFFSET(PO!N$12,ROW(C65)-ROW(C$12),0)=0,"",OFFSET(PO!N$12,ROW(C65)-ROW(C$12),0))</f>
        <v>Acabamentos de esquadrias</v>
      </c>
      <c r="D65" s="111" t="str">
        <f ca="1">IF(OFFSET(PO!O$12,ROW(D65)-ROW(D$12),0)=0,"",OFFSET(PO!O$12,ROW(D65)-ROW(D$12),0))</f>
        <v/>
      </c>
      <c r="E65" s="140">
        <f ca="1">IF($A65&lt;&gt;"Serviço",0,ROUND(SUMIF($F$9:$P$9,"&lt;&gt;",$F65:$P65),15-13*PO!$X$3))</f>
        <v>0</v>
      </c>
      <c r="F65" s="378" t="str">
        <f ca="1">OFFSET(PO!$P$12,ROW($E65)-ROW(F$12),0)</f>
        <v xml:space="preserve"> -  </v>
      </c>
      <c r="G65" s="378"/>
      <c r="H65" s="378"/>
      <c r="I65" s="378"/>
      <c r="J65" s="378"/>
      <c r="K65" s="378"/>
      <c r="L65" s="378"/>
      <c r="M65" s="378"/>
      <c r="N65" s="378"/>
      <c r="O65" s="378"/>
      <c r="U65" s="182"/>
    </row>
    <row r="66" spans="1:21" s="1" customFormat="1" ht="38.25" x14ac:dyDescent="0.2">
      <c r="A66" s="110" t="str">
        <f ca="1">OFFSET(PO!J$12,ROW(A66)-ROW($A$12),0)</f>
        <v>Serviço</v>
      </c>
      <c r="B66" s="112" t="str">
        <f ca="1">IF($A66=0,"",OFFSET(PO!K$12,ROW(B66)-ROW(B$12),0))</f>
        <v>1.7.2.1.</v>
      </c>
      <c r="C66" s="109" t="str">
        <f ca="1">IF(OFFSET(PO!N$12,ROW(C66)-ROW(C$12),0)=0,"",OFFSET(PO!N$12,ROW(C66)-ROW(C$12),0))</f>
        <v>LIXAMENTO DE MADEIRA PARA APLICAÇÃO DE FUNDO OU PINTURA. AF_01/2021</v>
      </c>
      <c r="D66" s="111" t="str">
        <f ca="1">IF(OFFSET(PO!O$12,ROW(D66)-ROW(D$12),0)=0,"",OFFSET(PO!O$12,ROW(D66)-ROW(D$12),0))</f>
        <v>M2</v>
      </c>
      <c r="E66" s="140">
        <f ca="1">IF($A66&lt;&gt;"Serviço",0,ROUND(SUMIF($F$9:$P$9,"&lt;&gt;",$F66:$P66),15-13*PO!$X$3))</f>
        <v>3.44</v>
      </c>
      <c r="F66" s="378">
        <f ca="1">OFFSET(PO!$P$12,ROW($E66)-ROW(F$12),0)</f>
        <v>3.44</v>
      </c>
      <c r="G66" s="378"/>
      <c r="H66" s="378"/>
      <c r="I66" s="378"/>
      <c r="J66" s="378"/>
      <c r="K66" s="378"/>
      <c r="L66" s="378"/>
      <c r="M66" s="378"/>
      <c r="N66" s="378"/>
      <c r="O66" s="378"/>
      <c r="U66" s="182"/>
    </row>
    <row r="67" spans="1:21" s="1" customFormat="1" ht="38.25" x14ac:dyDescent="0.2">
      <c r="A67" s="110" t="str">
        <f ca="1">OFFSET(PO!J$12,ROW(A67)-ROW($A$12),0)</f>
        <v>Serviço</v>
      </c>
      <c r="B67" s="112" t="str">
        <f ca="1">IF($A67=0,"",OFFSET(PO!K$12,ROW(B67)-ROW(B$12),0))</f>
        <v>1.7.2.2.</v>
      </c>
      <c r="C67" s="109" t="str">
        <f ca="1">IF(OFFSET(PO!N$12,ROW(C67)-ROW(C$12),0)=0,"",OFFSET(PO!N$12,ROW(C67)-ROW(C$12),0))</f>
        <v>PINTURA FUNDO NIVELADOR ALQUÍDICO BRANCO EM MADEIRA. AF_01/2021</v>
      </c>
      <c r="D67" s="111" t="str">
        <f ca="1">IF(OFFSET(PO!O$12,ROW(D67)-ROW(D$12),0)=0,"",OFFSET(PO!O$12,ROW(D67)-ROW(D$12),0))</f>
        <v>M2</v>
      </c>
      <c r="E67" s="140">
        <f ca="1">IF($A67&lt;&gt;"Serviço",0,ROUND(SUMIF($F$9:$P$9,"&lt;&gt;",$F67:$P67),15-13*PO!$X$3))</f>
        <v>3.44</v>
      </c>
      <c r="F67" s="378">
        <f ca="1">OFFSET(PO!$P$12,ROW($E67)-ROW(F$12),0)</f>
        <v>3.44</v>
      </c>
      <c r="G67" s="378"/>
      <c r="H67" s="378"/>
      <c r="I67" s="378"/>
      <c r="J67" s="378"/>
      <c r="K67" s="378"/>
      <c r="L67" s="378"/>
      <c r="M67" s="378"/>
      <c r="N67" s="378"/>
      <c r="O67" s="378"/>
      <c r="U67" s="182"/>
    </row>
    <row r="68" spans="1:21" s="1" customFormat="1" ht="38.25" x14ac:dyDescent="0.2">
      <c r="A68" s="110" t="str">
        <f ca="1">OFFSET(PO!J$12,ROW(A68)-ROW($A$12),0)</f>
        <v>Serviço</v>
      </c>
      <c r="B68" s="112" t="str">
        <f ca="1">IF($A68=0,"",OFFSET(PO!K$12,ROW(B68)-ROW(B$12),0))</f>
        <v>1.7.2.3.</v>
      </c>
      <c r="C68" s="109" t="str">
        <f ca="1">IF(OFFSET(PO!N$12,ROW(C68)-ROW(C$12),0)=0,"",OFFSET(PO!N$12,ROW(C68)-ROW(C$12),0))</f>
        <v>PINTURA TINTA DE ACABAMENTO (PIGMENTADA) ESMALTE SINTÉTICO ACETINADO EM MADEIRA, 2 DEMÃOS. AF_01/2021</v>
      </c>
      <c r="D68" s="111" t="str">
        <f ca="1">IF(OFFSET(PO!O$12,ROW(D68)-ROW(D$12),0)=0,"",OFFSET(PO!O$12,ROW(D68)-ROW(D$12),0))</f>
        <v>M2</v>
      </c>
      <c r="E68" s="140">
        <f ca="1">IF($A68&lt;&gt;"Serviço",0,ROUND(SUMIF($F$9:$P$9,"&lt;&gt;",$F68:$P68),15-13*PO!$X$3))</f>
        <v>3.44</v>
      </c>
      <c r="F68" s="378">
        <f ca="1">OFFSET(PO!$P$12,ROW($E68)-ROW(F$12),0)</f>
        <v>3.44</v>
      </c>
      <c r="G68" s="378"/>
      <c r="H68" s="378"/>
      <c r="I68" s="378"/>
      <c r="J68" s="378"/>
      <c r="K68" s="378"/>
      <c r="L68" s="378"/>
      <c r="M68" s="378"/>
      <c r="N68" s="378"/>
      <c r="O68" s="378"/>
      <c r="U68" s="182"/>
    </row>
    <row r="69" spans="1:21" s="1" customFormat="1" ht="38.25" x14ac:dyDescent="0.2">
      <c r="A69" s="110" t="str">
        <f ca="1">OFFSET(PO!J$12,ROW(A69)-ROW($A$12),0)</f>
        <v>Serviço</v>
      </c>
      <c r="B69" s="112" t="str">
        <f ca="1">IF($A69=0,"",OFFSET(PO!K$12,ROW(B69)-ROW(B$12),0))</f>
        <v>1.7.2.4.</v>
      </c>
      <c r="C69" s="109" t="str">
        <f ca="1">IF(OFFSET(PO!N$12,ROW(C69)-ROW(C$12),0)=0,"",OFFSET(PO!N$12,ROW(C69)-ROW(C$12),0))</f>
        <v>LIXAMENTO MANUAL EM SUPERFÍCIES METÁLICAS EM OBRA. AF_01/2020</v>
      </c>
      <c r="D69" s="111" t="str">
        <f ca="1">IF(OFFSET(PO!O$12,ROW(D69)-ROW(D$12),0)=0,"",OFFSET(PO!O$12,ROW(D69)-ROW(D$12),0))</f>
        <v>M2</v>
      </c>
      <c r="E69" s="140">
        <f ca="1">IF($A69&lt;&gt;"Serviço",0,ROUND(SUMIF($F$9:$P$9,"&lt;&gt;",$F69:$P69),15-13*PO!$X$3))</f>
        <v>112.15</v>
      </c>
      <c r="F69" s="378">
        <f ca="1">OFFSET(PO!$P$12,ROW($E69)-ROW(F$12),0)</f>
        <v>112.15</v>
      </c>
      <c r="G69" s="378"/>
      <c r="H69" s="378"/>
      <c r="I69" s="378"/>
      <c r="J69" s="378"/>
      <c r="K69" s="378"/>
      <c r="L69" s="378"/>
      <c r="M69" s="378"/>
      <c r="N69" s="378"/>
      <c r="O69" s="378"/>
      <c r="U69" s="182"/>
    </row>
    <row r="70" spans="1:21" s="1" customFormat="1" ht="38.25" x14ac:dyDescent="0.2">
      <c r="A70" s="110" t="str">
        <f ca="1">OFFSET(PO!J$12,ROW(A70)-ROW($A$12),0)</f>
        <v>Serviço</v>
      </c>
      <c r="B70" s="112" t="str">
        <f ca="1">IF($A70=0,"",OFFSET(PO!K$12,ROW(B70)-ROW(B$12),0))</f>
        <v>1.7.2.5.</v>
      </c>
      <c r="C70" s="109" t="str">
        <f ca="1">IF(OFFSET(PO!N$12,ROW(C70)-ROW(C$12),0)=0,"",OFFSET(PO!N$12,ROW(C70)-ROW(C$12),0))</f>
        <v>PINTURA COM TINTA ALQUÍDICA DE FUNDO (TIPO ZARCÃO) APLICADA A ROLO OU PINCEL SOBRE SUPERFÍCIES METÁLICAS (EXCETO PERFIL) EXECUTADO EM OBRA (POR DEMÃO). AF_01/2020</v>
      </c>
      <c r="D70" s="111" t="str">
        <f ca="1">IF(OFFSET(PO!O$12,ROW(D70)-ROW(D$12),0)=0,"",OFFSET(PO!O$12,ROW(D70)-ROW(D$12),0))</f>
        <v>M2</v>
      </c>
      <c r="E70" s="140">
        <f ca="1">IF($A70&lt;&gt;"Serviço",0,ROUND(SUMIF($F$9:$P$9,"&lt;&gt;",$F70:$P70),15-13*PO!$X$3))</f>
        <v>112.15</v>
      </c>
      <c r="F70" s="378">
        <f ca="1">OFFSET(PO!$P$12,ROW($E70)-ROW(F$12),0)</f>
        <v>112.15</v>
      </c>
      <c r="G70" s="378"/>
      <c r="H70" s="378"/>
      <c r="I70" s="378"/>
      <c r="J70" s="378"/>
      <c r="K70" s="378"/>
      <c r="L70" s="378"/>
      <c r="M70" s="378"/>
      <c r="N70" s="378"/>
      <c r="O70" s="378"/>
      <c r="U70" s="182"/>
    </row>
    <row r="71" spans="1:21" s="1" customFormat="1" ht="38.25" x14ac:dyDescent="0.2">
      <c r="A71" s="110" t="str">
        <f ca="1">OFFSET(PO!J$12,ROW(A71)-ROW($A$12),0)</f>
        <v>Serviço</v>
      </c>
      <c r="B71" s="112" t="str">
        <f ca="1">IF($A71=0,"",OFFSET(PO!K$12,ROW(B71)-ROW(B$12),0))</f>
        <v>1.7.2.6.</v>
      </c>
      <c r="C71" s="109" t="str">
        <f ca="1">IF(OFFSET(PO!N$12,ROW(C71)-ROW(C$12),0)=0,"",OFFSET(PO!N$12,ROW(C71)-ROW(C$12),0))</f>
        <v>PINTURA COM TINTA ALQUÍDICA DE ACABAMENTO (ESMALTE SINTÉTICO ACETINADO) APLICADA A ROLO OU PINCEL SOBRE SUPERFÍCIES METÁLICAS (EXCETO PERFIL) EXECUTADO EM OBRA (POR DEMÃO). AF_01/2020</v>
      </c>
      <c r="D71" s="111" t="str">
        <f ca="1">IF(OFFSET(PO!O$12,ROW(D71)-ROW(D$12),0)=0,"",OFFSET(PO!O$12,ROW(D71)-ROW(D$12),0))</f>
        <v>M2</v>
      </c>
      <c r="E71" s="140">
        <f ca="1">IF($A71&lt;&gt;"Serviço",0,ROUND(SUMIF($F$9:$P$9,"&lt;&gt;",$F71:$P71),15-13*PO!$X$3))</f>
        <v>112.15</v>
      </c>
      <c r="F71" s="378">
        <f ca="1">OFFSET(PO!$P$12,ROW($E71)-ROW(F$12),0)</f>
        <v>112.15</v>
      </c>
      <c r="G71" s="378"/>
      <c r="H71" s="378"/>
      <c r="I71" s="378"/>
      <c r="J71" s="378"/>
      <c r="K71" s="378"/>
      <c r="L71" s="378"/>
      <c r="M71" s="378"/>
      <c r="N71" s="378"/>
      <c r="O71" s="378"/>
      <c r="U71" s="182"/>
    </row>
    <row r="72" spans="1:21" s="1" customFormat="1" ht="38.25" x14ac:dyDescent="0.2">
      <c r="A72" s="110" t="str">
        <f ca="1">OFFSET(PO!J$12,ROW(A72)-ROW($A$12),0)</f>
        <v>Serviço</v>
      </c>
      <c r="B72" s="112" t="str">
        <f ca="1">IF($A72=0,"",OFFSET(PO!K$12,ROW(B72)-ROW(B$12),0))</f>
        <v>1.7.2.7.</v>
      </c>
      <c r="C72" s="109" t="str">
        <f ca="1">IF(OFFSET(PO!N$12,ROW(C72)-ROW(C$12),0)=0,"",OFFSET(PO!N$12,ROW(C72)-ROW(C$12),0))</f>
        <v>AJUSTES EM PORTA COM REFORÇO DE FIXAÇÃO DA ESQUADRIA, NOVA FECHADURA PRINCIPAL E INSTALAÇÃO DE FECHADURA AUXILIAR PARA MAIOR SEGURANÇA (BASE SINAPI 90830 ADAPT.)</v>
      </c>
      <c r="D72" s="111" t="str">
        <f ca="1">IF(OFFSET(PO!O$12,ROW(D72)-ROW(D$12),0)=0,"",OFFSET(PO!O$12,ROW(D72)-ROW(D$12),0))</f>
        <v>UN</v>
      </c>
      <c r="E72" s="140">
        <f ca="1">IF($A72&lt;&gt;"Serviço",0,ROUND(SUMIF($F$9:$P$9,"&lt;&gt;",$F72:$P72),15-13*PO!$X$3))</f>
        <v>1</v>
      </c>
      <c r="F72" s="378">
        <f ca="1">OFFSET(PO!$P$12,ROW($E72)-ROW(F$12),0)</f>
        <v>1</v>
      </c>
      <c r="G72" s="378"/>
      <c r="H72" s="378"/>
      <c r="I72" s="378"/>
      <c r="J72" s="378"/>
      <c r="K72" s="378"/>
      <c r="L72" s="378"/>
      <c r="M72" s="378"/>
      <c r="N72" s="378"/>
      <c r="O72" s="378"/>
      <c r="U72" s="182"/>
    </row>
    <row r="73" spans="1:21" s="1" customFormat="1" ht="25.5" x14ac:dyDescent="0.2">
      <c r="A73" s="110" t="str">
        <f ca="1">OFFSET(PO!J$12,ROW(A73)-ROW($A$12),0)</f>
        <v>Nível 2</v>
      </c>
      <c r="B73" s="112" t="str">
        <f ca="1">IF($A73=0,"",OFFSET(PO!K$12,ROW(B73)-ROW(B$12),0))</f>
        <v>1.8.</v>
      </c>
      <c r="C73" s="109" t="str">
        <f ca="1">IF(OFFSET(PO!N$12,ROW(C73)-ROW(C$12),0)=0,"",OFFSET(PO!N$12,ROW(C73)-ROW(C$12),0))</f>
        <v>PISO VINÍLICO</v>
      </c>
      <c r="D73" s="111" t="str">
        <f ca="1">IF(OFFSET(PO!O$12,ROW(D73)-ROW(D$12),0)=0,"",OFFSET(PO!O$12,ROW(D73)-ROW(D$12),0))</f>
        <v/>
      </c>
      <c r="E73" s="140">
        <f ca="1">IF($A73&lt;&gt;"Serviço",0,ROUND(SUMIF($F$9:$P$9,"&lt;&gt;",$F73:$P73),15-13*PO!$X$3))</f>
        <v>0</v>
      </c>
      <c r="F73" s="378" t="str">
        <f ca="1">OFFSET(PO!$P$12,ROW($E73)-ROW(F$12),0)</f>
        <v xml:space="preserve"> -  </v>
      </c>
      <c r="G73" s="378"/>
      <c r="H73" s="378"/>
      <c r="I73" s="378"/>
      <c r="J73" s="378"/>
      <c r="K73" s="378"/>
      <c r="L73" s="378"/>
      <c r="M73" s="378"/>
      <c r="N73" s="378"/>
      <c r="O73" s="378"/>
      <c r="U73" s="182"/>
    </row>
    <row r="74" spans="1:21" s="1" customFormat="1" ht="25.5" x14ac:dyDescent="0.2">
      <c r="A74" s="110" t="str">
        <f ca="1">OFFSET(PO!J$12,ROW(A74)-ROW($A$12),0)</f>
        <v>Serviço</v>
      </c>
      <c r="B74" s="112" t="str">
        <f ca="1">IF($A74=0,"",OFFSET(PO!K$12,ROW(B74)-ROW(B$12),0))</f>
        <v>1.8.0.1.</v>
      </c>
      <c r="C74" s="109" t="str">
        <f ca="1">IF(OFFSET(PO!N$12,ROW(C74)-ROW(C$12),0)=0,"",OFFSET(PO!N$12,ROW(C74)-ROW(C$12),0))</f>
        <v>DEMOLIÇÃO DE RODAPÉ CERÂMICO, DE FORMA MANUAL, SEM REAPROVEITAMENTO. AF_09/2023</v>
      </c>
      <c r="D74" s="111" t="str">
        <f ca="1">IF(OFFSET(PO!O$12,ROW(D74)-ROW(D$12),0)=0,"",OFFSET(PO!O$12,ROW(D74)-ROW(D$12),0))</f>
        <v>M</v>
      </c>
      <c r="E74" s="140">
        <f ca="1">IF($A74&lt;&gt;"Serviço",0,ROUND(SUMIF($F$9:$P$9,"&lt;&gt;",$F74:$P74),15-13*PO!$X$3))</f>
        <v>113.38</v>
      </c>
      <c r="F74" s="378">
        <f ca="1">OFFSET(PO!$P$12,ROW($E74)-ROW(F$12),0)</f>
        <v>113.38</v>
      </c>
      <c r="G74" s="378"/>
      <c r="H74" s="378"/>
      <c r="I74" s="378"/>
      <c r="J74" s="378"/>
      <c r="K74" s="378"/>
      <c r="L74" s="378"/>
      <c r="M74" s="378"/>
      <c r="N74" s="378"/>
      <c r="O74" s="378"/>
      <c r="U74" s="182"/>
    </row>
    <row r="75" spans="1:21" s="1" customFormat="1" ht="38.25" x14ac:dyDescent="0.2">
      <c r="A75" s="110" t="str">
        <f ca="1">OFFSET(PO!J$12,ROW(A75)-ROW($A$12),0)</f>
        <v>Serviço</v>
      </c>
      <c r="B75" s="112" t="str">
        <f ca="1">IF($A75=0,"",OFFSET(PO!K$12,ROW(B75)-ROW(B$12),0))</f>
        <v>1.8.0.2.</v>
      </c>
      <c r="C75" s="109" t="str">
        <f ca="1">IF(OFFSET(PO!N$12,ROW(C75)-ROW(C$12),0)=0,"",OFFSET(PO!N$12,ROW(C75)-ROW(C$12),0))</f>
        <v>PISO VINÍLICO SEMI-FLEXÍVEL EM PLACAS, PADRÃO LISO, ESPESSURA 3,2 MM, FIXADO COM COLA. AF_02/2026</v>
      </c>
      <c r="D75" s="111" t="str">
        <f ca="1">IF(OFFSET(PO!O$12,ROW(D75)-ROW(D$12),0)=0,"",OFFSET(PO!O$12,ROW(D75)-ROW(D$12),0))</f>
        <v>M2</v>
      </c>
      <c r="E75" s="140">
        <f ca="1">IF($A75&lt;&gt;"Serviço",0,ROUND(SUMIF($F$9:$P$9,"&lt;&gt;",$F75:$P75),15-13*PO!$X$3))</f>
        <v>178.78</v>
      </c>
      <c r="F75" s="378">
        <f ca="1">OFFSET(PO!$P$12,ROW($E75)-ROW(F$12),0)</f>
        <v>178.78</v>
      </c>
      <c r="G75" s="378"/>
      <c r="H75" s="378"/>
      <c r="I75" s="378"/>
      <c r="J75" s="378"/>
      <c r="K75" s="378"/>
      <c r="L75" s="378"/>
      <c r="M75" s="378"/>
      <c r="N75" s="378"/>
      <c r="O75" s="378"/>
      <c r="U75" s="182"/>
    </row>
    <row r="76" spans="1:21" s="1" customFormat="1" ht="38.25" x14ac:dyDescent="0.2">
      <c r="A76" s="110" t="str">
        <f ca="1">OFFSET(PO!J$12,ROW(A76)-ROW($A$12),0)</f>
        <v>Serviço</v>
      </c>
      <c r="B76" s="112" t="str">
        <f ca="1">IF($A76=0,"",OFFSET(PO!K$12,ROW(B76)-ROW(B$12),0))</f>
        <v>1.8.0.3.</v>
      </c>
      <c r="C76" s="109" t="str">
        <f ca="1">IF(OFFSET(PO!N$12,ROW(C76)-ROW(C$12),0)=0,"",OFFSET(PO!N$12,ROW(C76)-ROW(C$12),0))</f>
        <v>RODAPÉ EM POLIESTIRENO, ALTURA 5 CM. AF_02/2026</v>
      </c>
      <c r="D76" s="111" t="str">
        <f ca="1">IF(OFFSET(PO!O$12,ROW(D76)-ROW(D$12),0)=0,"",OFFSET(PO!O$12,ROW(D76)-ROW(D$12),0))</f>
        <v>M</v>
      </c>
      <c r="E76" s="140">
        <f ca="1">IF($A76&lt;&gt;"Serviço",0,ROUND(SUMIF($F$9:$P$9,"&lt;&gt;",$F76:$P76),15-13*PO!$X$3))</f>
        <v>113.38</v>
      </c>
      <c r="F76" s="378">
        <f ca="1">OFFSET(PO!$P$12,ROW($E76)-ROW(F$12),0)</f>
        <v>113.38</v>
      </c>
      <c r="G76" s="378"/>
      <c r="H76" s="378"/>
      <c r="I76" s="378"/>
      <c r="J76" s="378"/>
      <c r="K76" s="378"/>
      <c r="L76" s="378"/>
      <c r="M76" s="378"/>
      <c r="N76" s="378"/>
      <c r="O76" s="378"/>
      <c r="U76" s="182"/>
    </row>
    <row r="77" spans="1:21" s="1" customFormat="1" ht="38.25" x14ac:dyDescent="0.2">
      <c r="A77" s="110" t="str">
        <f ca="1">OFFSET(PO!J$12,ROW(A77)-ROW($A$12),0)</f>
        <v>Nível 2</v>
      </c>
      <c r="B77" s="112" t="str">
        <f ca="1">IF($A77=0,"",OFFSET(PO!K$12,ROW(B77)-ROW(B$12),0))</f>
        <v>1.9.</v>
      </c>
      <c r="C77" s="109" t="str">
        <f ca="1">IF(OFFSET(PO!N$12,ROW(C77)-ROW(C$12),0)=0,"",OFFSET(PO!N$12,ROW(C77)-ROW(C$12),0))</f>
        <v>PISO EXTERNO - ÁREAS DE INTERTRAVADOS</v>
      </c>
      <c r="D77" s="111" t="str">
        <f ca="1">IF(OFFSET(PO!O$12,ROW(D77)-ROW(D$12),0)=0,"",OFFSET(PO!O$12,ROW(D77)-ROW(D$12),0))</f>
        <v/>
      </c>
      <c r="E77" s="140">
        <f ca="1">IF($A77&lt;&gt;"Serviço",0,ROUND(SUMIF($F$9:$P$9,"&lt;&gt;",$F77:$P77),15-13*PO!$X$3))</f>
        <v>0</v>
      </c>
      <c r="F77" s="378" t="str">
        <f ca="1">OFFSET(PO!$P$12,ROW($E77)-ROW(F$12),0)</f>
        <v xml:space="preserve"> -  </v>
      </c>
      <c r="G77" s="378"/>
      <c r="H77" s="378"/>
      <c r="I77" s="378"/>
      <c r="J77" s="378"/>
      <c r="K77" s="378"/>
      <c r="L77" s="378"/>
      <c r="M77" s="378"/>
      <c r="N77" s="378"/>
      <c r="O77" s="378"/>
      <c r="U77" s="182"/>
    </row>
    <row r="78" spans="1:21" s="1" customFormat="1" x14ac:dyDescent="0.2">
      <c r="A78" s="110" t="str">
        <f ca="1">OFFSET(PO!J$12,ROW(A78)-ROW($A$12),0)</f>
        <v>Serviço</v>
      </c>
      <c r="B78" s="112" t="str">
        <f ca="1">IF($A78=0,"",OFFSET(PO!K$12,ROW(B78)-ROW(B$12),0))</f>
        <v>1.9.0.1.</v>
      </c>
      <c r="C78" s="109" t="str">
        <f ca="1">IF(OFFSET(PO!N$12,ROW(C78)-ROW(C$12),0)=0,"",OFFSET(PO!N$12,ROW(C78)-ROW(C$12),0))</f>
        <v>REASSENTAMENTO DE BLOCOS RETANGULAR PARA PISO INTERTRAVADO, ESPESSURA DE 6 CM, EM CALÇADA, COM REAPROVEITAMENTO DOS BLOCOS RETANGULAR - INCLUSO RETIRADA E COLOCAÇÃO DO MATERIAL. AF_12/2020</v>
      </c>
      <c r="D78" s="111" t="str">
        <f ca="1">IF(OFFSET(PO!O$12,ROW(D78)-ROW(D$12),0)=0,"",OFFSET(PO!O$12,ROW(D78)-ROW(D$12),0))</f>
        <v>M2</v>
      </c>
      <c r="E78" s="140">
        <f ca="1">IF($A78&lt;&gt;"Serviço",0,ROUND(SUMIF($F$9:$P$9,"&lt;&gt;",$F78:$P78),15-13*PO!$X$3))</f>
        <v>198.75</v>
      </c>
      <c r="F78" s="378">
        <f ca="1">OFFSET(PO!$P$12,ROW($E78)-ROW(F$12),0)</f>
        <v>198.75</v>
      </c>
      <c r="G78" s="378"/>
      <c r="H78" s="378"/>
      <c r="I78" s="378"/>
      <c r="J78" s="378"/>
      <c r="K78" s="378"/>
      <c r="L78" s="378"/>
      <c r="M78" s="378"/>
      <c r="N78" s="378"/>
      <c r="O78" s="378"/>
      <c r="U78" s="182"/>
    </row>
    <row r="79" spans="1:21" s="1" customFormat="1" ht="25.5" x14ac:dyDescent="0.2">
      <c r="A79" s="110" t="str">
        <f ca="1">OFFSET(PO!J$12,ROW(A79)-ROW($A$12),0)</f>
        <v>Serviço</v>
      </c>
      <c r="B79" s="112" t="str">
        <f ca="1">IF($A79=0,"",OFFSET(PO!K$12,ROW(B79)-ROW(B$12),0))</f>
        <v>1.9.0.2.</v>
      </c>
      <c r="C79" s="109" t="str">
        <f ca="1">IF(OFFSET(PO!N$12,ROW(C79)-ROW(C$12),0)=0,"",OFFSET(PO!N$12,ROW(C79)-ROW(C$12),0))</f>
        <v>RECONSTRUÇÃO DE BASE E SUB-BASE PARA PAVIMENTAÇÃO DE BRITA GRADUADA SIMPLES, COM ESPESSURA DE 10 CM - EXCLUSIVE CARGA E TRANSPORTE. AF_09/2024</v>
      </c>
      <c r="D79" s="111" t="str">
        <f ca="1">IF(OFFSET(PO!O$12,ROW(D79)-ROW(D$12),0)=0,"",OFFSET(PO!O$12,ROW(D79)-ROW(D$12),0))</f>
        <v>M3</v>
      </c>
      <c r="E79" s="140">
        <f ca="1">IF($A79&lt;&gt;"Serviço",0,ROUND(SUMIF($F$9:$P$9,"&lt;&gt;",$F79:$P79),15-13*PO!$X$3))</f>
        <v>10.24</v>
      </c>
      <c r="F79" s="378">
        <f ca="1">OFFSET(PO!$P$12,ROW($E79)-ROW(F$12),0)</f>
        <v>10.24</v>
      </c>
      <c r="G79" s="378"/>
      <c r="H79" s="378"/>
      <c r="I79" s="378"/>
      <c r="J79" s="378"/>
      <c r="K79" s="378"/>
      <c r="L79" s="378"/>
      <c r="M79" s="378"/>
      <c r="N79" s="378"/>
      <c r="O79" s="378"/>
      <c r="U79" s="182"/>
    </row>
    <row r="80" spans="1:21" s="1" customFormat="1" ht="38.25" x14ac:dyDescent="0.2">
      <c r="A80" s="110" t="str">
        <f ca="1">OFFSET(PO!J$12,ROW(A80)-ROW($A$12),0)</f>
        <v>Serviço</v>
      </c>
      <c r="B80" s="112" t="str">
        <f ca="1">IF($A80=0,"",OFFSET(PO!K$12,ROW(B80)-ROW(B$12),0))</f>
        <v>1.9.0.3.</v>
      </c>
      <c r="C80" s="109" t="str">
        <f ca="1">IF(OFFSET(PO!N$12,ROW(C80)-ROW(C$12),0)=0,"",OFFSET(PO!N$12,ROW(C80)-ROW(C$12),0))</f>
        <v>REMOÇAO DE GUIAS PRÉ-FABRICADAS DE CONCRETO, DE FORMA MECANIZADA, COM REAPROVEITAMENTO. AF_09/2023</v>
      </c>
      <c r="D80" s="111" t="str">
        <f ca="1">IF(OFFSET(PO!O$12,ROW(D80)-ROW(D$12),0)=0,"",OFFSET(PO!O$12,ROW(D80)-ROW(D$12),0))</f>
        <v>M</v>
      </c>
      <c r="E80" s="140">
        <f ca="1">IF($A80&lt;&gt;"Serviço",0,ROUND(SUMIF($F$9:$P$9,"&lt;&gt;",$F80:$P80),15-13*PO!$X$3))</f>
        <v>8.6</v>
      </c>
      <c r="F80" s="378">
        <f ca="1">OFFSET(PO!$P$12,ROW($E80)-ROW(F$12),0)</f>
        <v>8.6</v>
      </c>
      <c r="G80" s="378"/>
      <c r="H80" s="378"/>
      <c r="I80" s="378"/>
      <c r="J80" s="378"/>
      <c r="K80" s="378"/>
      <c r="L80" s="378"/>
      <c r="M80" s="378"/>
      <c r="N80" s="378"/>
      <c r="O80" s="378"/>
      <c r="U80" s="182"/>
    </row>
    <row r="81" spans="1:21" s="1" customFormat="1" ht="38.25" x14ac:dyDescent="0.2">
      <c r="A81" s="110" t="str">
        <f ca="1">OFFSET(PO!J$12,ROW(A81)-ROW($A$12),0)</f>
        <v>Serviço</v>
      </c>
      <c r="B81" s="112" t="str">
        <f ca="1">IF($A81=0,"",OFFSET(PO!K$12,ROW(B81)-ROW(B$12),0))</f>
        <v>1.9.0.4.</v>
      </c>
      <c r="C81" s="109" t="str">
        <f ca="1">IF(OFFSET(PO!N$12,ROW(C81)-ROW(C$12),0)=0,"",OFFSET(PO!N$12,ROW(C81)-ROW(C$12),0))</f>
        <v>ASSENTAMENTO DE GUIA (MEIO-FIO) EM TRECHO RETO, CONFECCIONADA EM CONCRETO PRÉ-FABRICADO, DIMENSÕES 100X15X13X30 CM (COMPRIMENTO X BASE INFERIOR X BASE SUPERIOR X ALTURA). AF_01/2024</v>
      </c>
      <c r="D81" s="111" t="str">
        <f ca="1">IF(OFFSET(PO!O$12,ROW(D81)-ROW(D$12),0)=0,"",OFFSET(PO!O$12,ROW(D81)-ROW(D$12),0))</f>
        <v>M</v>
      </c>
      <c r="E81" s="140">
        <f ca="1">IF($A81&lt;&gt;"Serviço",0,ROUND(SUMIF($F$9:$P$9,"&lt;&gt;",$F81:$P81),15-13*PO!$X$3))</f>
        <v>8.6</v>
      </c>
      <c r="F81" s="378">
        <f ca="1">OFFSET(PO!$P$12,ROW($E81)-ROW(F$12),0)</f>
        <v>8.6</v>
      </c>
      <c r="G81" s="378"/>
      <c r="H81" s="378"/>
      <c r="I81" s="378"/>
      <c r="J81" s="378"/>
      <c r="K81" s="378"/>
      <c r="L81" s="378"/>
      <c r="M81" s="378"/>
      <c r="N81" s="378"/>
      <c r="O81" s="378"/>
      <c r="U81" s="182"/>
    </row>
    <row r="82" spans="1:21" s="1" customFormat="1" ht="38.25" x14ac:dyDescent="0.2">
      <c r="A82" s="110" t="str">
        <f ca="1">OFFSET(PO!J$12,ROW(A82)-ROW($A$12),0)</f>
        <v>Serviço</v>
      </c>
      <c r="B82" s="112" t="str">
        <f ca="1">IF($A82=0,"",OFFSET(PO!K$12,ROW(B82)-ROW(B$12),0))</f>
        <v>1.9.0.5.</v>
      </c>
      <c r="C82" s="109" t="str">
        <f ca="1">IF(OFFSET(PO!N$12,ROW(C82)-ROW(C$12),0)=0,"",OFFSET(PO!N$12,ROW(C82)-ROW(C$12),0))</f>
        <v>PISO PODOTÁTIL DE ALERTA OU DIRECIONAL, DE CONCRETO, ASSENTADO SOBRE ARGAMASSA. AF_03/2024</v>
      </c>
      <c r="D82" s="111" t="str">
        <f ca="1">IF(OFFSET(PO!O$12,ROW(D82)-ROW(D$12),0)=0,"",OFFSET(PO!O$12,ROW(D82)-ROW(D$12),0))</f>
        <v>M2</v>
      </c>
      <c r="E82" s="140">
        <f ca="1">IF($A82&lt;&gt;"Serviço",0,ROUND(SUMIF($F$9:$P$9,"&lt;&gt;",$F82:$P82),15-13*PO!$X$3))</f>
        <v>22.25</v>
      </c>
      <c r="F82" s="378">
        <f ca="1">OFFSET(PO!$P$12,ROW($E82)-ROW(F$12),0)</f>
        <v>22.25</v>
      </c>
      <c r="G82" s="378"/>
      <c r="H82" s="378"/>
      <c r="I82" s="378"/>
      <c r="J82" s="378"/>
      <c r="K82" s="378"/>
      <c r="L82" s="378"/>
      <c r="M82" s="378"/>
      <c r="N82" s="378"/>
      <c r="O82" s="378"/>
      <c r="U82" s="182"/>
    </row>
    <row r="83" spans="1:21" s="1" customFormat="1" ht="38.25" x14ac:dyDescent="0.2">
      <c r="A83" s="110" t="str">
        <f ca="1">OFFSET(PO!J$12,ROW(A83)-ROW($A$12),0)</f>
        <v>Serviço</v>
      </c>
      <c r="B83" s="112" t="str">
        <f ca="1">IF($A83=0,"",OFFSET(PO!K$12,ROW(B83)-ROW(B$12),0))</f>
        <v>1.9.0.6.</v>
      </c>
      <c r="C83" s="109" t="str">
        <f ca="1">IF(OFFSET(PO!N$12,ROW(C83)-ROW(C$12),0)=0,"",OFFSET(PO!N$12,ROW(C83)-ROW(C$12),0))</f>
        <v>REMOÇÃO DE TAMPA DE GRADE (BASE SINAPI 97645)</v>
      </c>
      <c r="D83" s="111" t="str">
        <f ca="1">IF(OFFSET(PO!O$12,ROW(D83)-ROW(D$12),0)=0,"",OFFSET(PO!O$12,ROW(D83)-ROW(D$12),0))</f>
        <v>M2</v>
      </c>
      <c r="E83" s="140">
        <f ca="1">IF($A83&lt;&gt;"Serviço",0,ROUND(SUMIF($F$9:$P$9,"&lt;&gt;",$F83:$P83),15-13*PO!$X$3))</f>
        <v>3.2</v>
      </c>
      <c r="F83" s="378">
        <f ca="1">OFFSET(PO!$P$12,ROW($E83)-ROW(F$12),0)</f>
        <v>3.2</v>
      </c>
      <c r="G83" s="378"/>
      <c r="H83" s="378"/>
      <c r="I83" s="378"/>
      <c r="J83" s="378"/>
      <c r="K83" s="378"/>
      <c r="L83" s="378"/>
      <c r="M83" s="378"/>
      <c r="N83" s="378"/>
      <c r="O83" s="378"/>
      <c r="U83" s="182"/>
    </row>
    <row r="84" spans="1:21" s="1" customFormat="1" ht="38.25" x14ac:dyDescent="0.2">
      <c r="A84" s="110" t="str">
        <f ca="1">OFFSET(PO!J$12,ROW(A84)-ROW($A$12),0)</f>
        <v>Serviço</v>
      </c>
      <c r="B84" s="112" t="str">
        <f ca="1">IF($A84=0,"",OFFSET(PO!K$12,ROW(B84)-ROW(B$12),0))</f>
        <v>1.9.0.7.</v>
      </c>
      <c r="C84" s="109" t="str">
        <f ca="1">IF(OFFSET(PO!N$12,ROW(C84)-ROW(C$12),0)=0,"",OFFSET(PO!N$12,ROW(C84)-ROW(C$12),0))</f>
        <v>TAMPA PARA CAIXA, EM FERRO FUNDIDO, DIMENSÕES INTERNAS: 0,8 X 0,8 M - FORNECIMENTO E INSTALAÇÃO. (BASE SINAPI 101799)</v>
      </c>
      <c r="D84" s="111" t="str">
        <f ca="1">IF(OFFSET(PO!O$12,ROW(D84)-ROW(D$12),0)=0,"",OFFSET(PO!O$12,ROW(D84)-ROW(D$12),0))</f>
        <v>UN</v>
      </c>
      <c r="E84" s="140">
        <f ca="1">IF($A84&lt;&gt;"Serviço",0,ROUND(SUMIF($F$9:$P$9,"&lt;&gt;",$F84:$P84),15-13*PO!$X$3))</f>
        <v>5</v>
      </c>
      <c r="F84" s="378">
        <f ca="1">OFFSET(PO!$P$12,ROW($E84)-ROW(F$12),0)</f>
        <v>5</v>
      </c>
      <c r="G84" s="378"/>
      <c r="H84" s="378"/>
      <c r="I84" s="378"/>
      <c r="J84" s="378"/>
      <c r="K84" s="378"/>
      <c r="L84" s="378"/>
      <c r="M84" s="378"/>
      <c r="N84" s="378"/>
      <c r="O84" s="378"/>
      <c r="U84" s="182"/>
    </row>
    <row r="85" spans="1:21" s="1" customFormat="1" ht="38.25" x14ac:dyDescent="0.2">
      <c r="A85" s="110" t="str">
        <f ca="1">OFFSET(PO!J$12,ROW(A85)-ROW($A$12),0)</f>
        <v>Serviço</v>
      </c>
      <c r="B85" s="112" t="str">
        <f ca="1">IF($A85=0,"",OFFSET(PO!K$12,ROW(B85)-ROW(B$12),0))</f>
        <v>1.9.0.8.</v>
      </c>
      <c r="C85" s="109" t="str">
        <f ca="1">IF(OFFSET(PO!N$12,ROW(C85)-ROW(C$12),0)=0,"",OFFSET(PO!N$12,ROW(C85)-ROW(C$12),0))</f>
        <v>REMOÇÃO DE TAMPA DE CONCRETO QUEBRADA E INSTALAÇÃO DE NOVA TAMPA DE CONCRETO (BASE SINAPI 97898)</v>
      </c>
      <c r="D85" s="111" t="str">
        <f ca="1">IF(OFFSET(PO!O$12,ROW(D85)-ROW(D$12),0)=0,"",OFFSET(PO!O$12,ROW(D85)-ROW(D$12),0))</f>
        <v>UN</v>
      </c>
      <c r="E85" s="140">
        <f ca="1">IF($A85&lt;&gt;"Serviço",0,ROUND(SUMIF($F$9:$P$9,"&lt;&gt;",$F85:$P85),15-13*PO!$X$3))</f>
        <v>1</v>
      </c>
      <c r="F85" s="378">
        <f ca="1">OFFSET(PO!$P$12,ROW($E85)-ROW(F$12),0)</f>
        <v>1</v>
      </c>
      <c r="G85" s="378"/>
      <c r="H85" s="378"/>
      <c r="I85" s="378"/>
      <c r="J85" s="378"/>
      <c r="K85" s="378"/>
      <c r="L85" s="378"/>
      <c r="M85" s="378"/>
      <c r="N85" s="378"/>
      <c r="O85" s="378"/>
      <c r="U85" s="182"/>
    </row>
    <row r="86" spans="1:21" s="1" customFormat="1" ht="25.5" x14ac:dyDescent="0.2">
      <c r="A86" s="110" t="str">
        <f ca="1">OFFSET(PO!J$12,ROW(A86)-ROW($A$12),0)</f>
        <v>Nível 2</v>
      </c>
      <c r="B86" s="112" t="str">
        <f ca="1">IF($A86=0,"",OFFSET(PO!K$12,ROW(B86)-ROW(B$12),0))</f>
        <v>1.10.</v>
      </c>
      <c r="C86" s="109" t="str">
        <f ca="1">IF(OFFSET(PO!N$12,ROW(C86)-ROW(C$12),0)=0,"",OFFSET(PO!N$12,ROW(C86)-ROW(C$12),0))</f>
        <v>PISO EXTERNO - ACESSO NORTE</v>
      </c>
      <c r="D86" s="111" t="str">
        <f ca="1">IF(OFFSET(PO!O$12,ROW(D86)-ROW(D$12),0)=0,"",OFFSET(PO!O$12,ROW(D86)-ROW(D$12),0))</f>
        <v/>
      </c>
      <c r="E86" s="140">
        <f ca="1">IF($A86&lt;&gt;"Serviço",0,ROUND(SUMIF($F$9:$P$9,"&lt;&gt;",$F86:$P86),15-13*PO!$X$3))</f>
        <v>0</v>
      </c>
      <c r="F86" s="378" t="str">
        <f ca="1">OFFSET(PO!$P$12,ROW($E86)-ROW(F$12),0)</f>
        <v xml:space="preserve"> -  </v>
      </c>
      <c r="G86" s="378"/>
      <c r="H86" s="378"/>
      <c r="I86" s="378"/>
      <c r="J86" s="378"/>
      <c r="K86" s="378"/>
      <c r="L86" s="378"/>
      <c r="M86" s="378"/>
      <c r="N86" s="378"/>
      <c r="O86" s="378"/>
      <c r="U86" s="182"/>
    </row>
    <row r="87" spans="1:21" s="1" customFormat="1" ht="51" x14ac:dyDescent="0.2">
      <c r="A87" s="110" t="str">
        <f ca="1">OFFSET(PO!J$12,ROW(A87)-ROW($A$12),0)</f>
        <v>Serviço</v>
      </c>
      <c r="B87" s="112" t="str">
        <f ca="1">IF($A87=0,"",OFFSET(PO!K$12,ROW(B87)-ROW(B$12),0))</f>
        <v>1.10.0.1.</v>
      </c>
      <c r="C87" s="109" t="str">
        <f ca="1">IF(OFFSET(PO!N$12,ROW(C87)-ROW(C$12),0)=0,"",OFFSET(PO!N$12,ROW(C87)-ROW(C$12),0))</f>
        <v>FABRICAÇÃO, MONTAGEM E DESMONTAGEM DE FÔRMA PARA VIGA BALDRAME, EM MADEIRA SERRADA, E=25 MM, 4 UTILIZAÇÕES. AF_01/2024</v>
      </c>
      <c r="D87" s="111" t="str">
        <f ca="1">IF(OFFSET(PO!O$12,ROW(D87)-ROW(D$12),0)=0,"",OFFSET(PO!O$12,ROW(D87)-ROW(D$12),0))</f>
        <v>M2</v>
      </c>
      <c r="E87" s="140">
        <f ca="1">IF($A87&lt;&gt;"Serviço",0,ROUND(SUMIF($F$9:$P$9,"&lt;&gt;",$F87:$P87),15-13*PO!$X$3))</f>
        <v>11.28</v>
      </c>
      <c r="F87" s="378">
        <f ca="1">OFFSET(PO!$P$12,ROW($E87)-ROW(F$12),0)</f>
        <v>11.28</v>
      </c>
      <c r="G87" s="378"/>
      <c r="H87" s="378"/>
      <c r="I87" s="378"/>
      <c r="J87" s="378"/>
      <c r="K87" s="378"/>
      <c r="L87" s="378"/>
      <c r="M87" s="378"/>
      <c r="N87" s="378"/>
      <c r="O87" s="378"/>
      <c r="U87" s="182"/>
    </row>
    <row r="88" spans="1:21" s="1" customFormat="1" ht="25.5" x14ac:dyDescent="0.2">
      <c r="A88" s="110" t="str">
        <f ca="1">OFFSET(PO!J$12,ROW(A88)-ROW($A$12),0)</f>
        <v>Serviço</v>
      </c>
      <c r="B88" s="112" t="str">
        <f ca="1">IF($A88=0,"",OFFSET(PO!K$12,ROW(B88)-ROW(B$12),0))</f>
        <v>1.10.0.2.</v>
      </c>
      <c r="C88" s="109" t="str">
        <f ca="1">IF(OFFSET(PO!N$12,ROW(C88)-ROW(C$12),0)=0,"",OFFSET(PO!N$12,ROW(C88)-ROW(C$12),0))</f>
        <v>ARMAÇÃO DE SAPATA ISOLADA, VIGA BALDRAME E SAPATA CORRIDA UTILIZANDO AÇO CA-60 DE 5 MM - MONTAGEM. AF_01/2024</v>
      </c>
      <c r="D88" s="111" t="str">
        <f ca="1">IF(OFFSET(PO!O$12,ROW(D88)-ROW(D$12),0)=0,"",OFFSET(PO!O$12,ROW(D88)-ROW(D$12),0))</f>
        <v>KG</v>
      </c>
      <c r="E88" s="140">
        <f ca="1">IF($A88&lt;&gt;"Serviço",0,ROUND(SUMIF($F$9:$P$9,"&lt;&gt;",$F88:$P88),15-13*PO!$X$3))</f>
        <v>17.309999999999999</v>
      </c>
      <c r="F88" s="378">
        <f ca="1">OFFSET(PO!$P$12,ROW($E88)-ROW(F$12),0)</f>
        <v>17.309999999999999</v>
      </c>
      <c r="G88" s="378"/>
      <c r="H88" s="378"/>
      <c r="I88" s="378"/>
      <c r="J88" s="378"/>
      <c r="K88" s="378"/>
      <c r="L88" s="378"/>
      <c r="M88" s="378"/>
      <c r="N88" s="378"/>
      <c r="O88" s="378"/>
      <c r="U88" s="182"/>
    </row>
    <row r="89" spans="1:21" s="1" customFormat="1" ht="38.25" x14ac:dyDescent="0.2">
      <c r="A89" s="110" t="str">
        <f ca="1">OFFSET(PO!J$12,ROW(A89)-ROW($A$12),0)</f>
        <v>Serviço</v>
      </c>
      <c r="B89" s="112" t="str">
        <f ca="1">IF($A89=0,"",OFFSET(PO!K$12,ROW(B89)-ROW(B$12),0))</f>
        <v>1.10.0.3.</v>
      </c>
      <c r="C89" s="109" t="str">
        <f ca="1">IF(OFFSET(PO!N$12,ROW(C89)-ROW(C$12),0)=0,"",OFFSET(PO!N$12,ROW(C89)-ROW(C$12),0))</f>
        <v>ARMAÇÃO DE SAPATA ISOLADA, VIGA BALDRAME E SAPATA CORRIDA UTILIZANDO AÇO CA-50 DE 8 MM - MONTAGEM. AF_01/2024</v>
      </c>
      <c r="D89" s="111" t="str">
        <f ca="1">IF(OFFSET(PO!O$12,ROW(D89)-ROW(D$12),0)=0,"",OFFSET(PO!O$12,ROW(D89)-ROW(D$12),0))</f>
        <v>KG</v>
      </c>
      <c r="E89" s="140">
        <f ca="1">IF($A89&lt;&gt;"Serviço",0,ROUND(SUMIF($F$9:$P$9,"&lt;&gt;",$F89:$P89),15-13*PO!$X$3))</f>
        <v>34.590000000000003</v>
      </c>
      <c r="F89" s="378">
        <f ca="1">OFFSET(PO!$P$12,ROW($E89)-ROW(F$12),0)</f>
        <v>34.590000000000003</v>
      </c>
      <c r="G89" s="378"/>
      <c r="H89" s="378"/>
      <c r="I89" s="378"/>
      <c r="J89" s="378"/>
      <c r="K89" s="378"/>
      <c r="L89" s="378"/>
      <c r="M89" s="378"/>
      <c r="N89" s="378"/>
      <c r="O89" s="378"/>
      <c r="U89" s="182"/>
    </row>
    <row r="90" spans="1:21" s="1" customFormat="1" ht="38.25" x14ac:dyDescent="0.2">
      <c r="A90" s="110" t="str">
        <f ca="1">OFFSET(PO!J$12,ROW(A90)-ROW($A$12),0)</f>
        <v>Serviço</v>
      </c>
      <c r="B90" s="112" t="str">
        <f ca="1">IF($A90=0,"",OFFSET(PO!K$12,ROW(B90)-ROW(B$12),0))</f>
        <v>1.10.0.4.</v>
      </c>
      <c r="C90" s="109" t="str">
        <f ca="1">IF(OFFSET(PO!N$12,ROW(C90)-ROW(C$12),0)=0,"",OFFSET(PO!N$12,ROW(C90)-ROW(C$12),0))</f>
        <v>CONCRETAGEM DE BLOCO DE COROAMENTO OU VIGA BALDRAME, FCK 30 MPA, COM USO DE BOMBA - LANÇAMENTO, ADENSAMENTO E ACABAMENTO. AF_01/2024</v>
      </c>
      <c r="D90" s="111" t="str">
        <f ca="1">IF(OFFSET(PO!O$12,ROW(D90)-ROW(D$12),0)=0,"",OFFSET(PO!O$12,ROW(D90)-ROW(D$12),0))</f>
        <v>M3</v>
      </c>
      <c r="E90" s="140">
        <f ca="1">IF($A90&lt;&gt;"Serviço",0,ROUND(SUMIF($F$9:$P$9,"&lt;&gt;",$F90:$P90),15-13*PO!$X$3))</f>
        <v>0.85</v>
      </c>
      <c r="F90" s="378">
        <f ca="1">OFFSET(PO!$P$12,ROW($E90)-ROW(F$12),0)</f>
        <v>0.85</v>
      </c>
      <c r="G90" s="378"/>
      <c r="H90" s="378"/>
      <c r="I90" s="378"/>
      <c r="J90" s="378"/>
      <c r="K90" s="378"/>
      <c r="L90" s="378"/>
      <c r="M90" s="378"/>
      <c r="N90" s="378"/>
      <c r="O90" s="378"/>
      <c r="U90" s="182"/>
    </row>
    <row r="91" spans="1:21" s="1" customFormat="1" ht="38.25" x14ac:dyDescent="0.2">
      <c r="A91" s="110" t="str">
        <f ca="1">OFFSET(PO!J$12,ROW(A91)-ROW($A$12),0)</f>
        <v>Serviço</v>
      </c>
      <c r="B91" s="112" t="str">
        <f ca="1">IF($A91=0,"",OFFSET(PO!K$12,ROW(B91)-ROW(B$12),0))</f>
        <v>1.10.0.5.</v>
      </c>
      <c r="C91" s="109" t="str">
        <f ca="1">IF(OFFSET(PO!N$12,ROW(C91)-ROW(C$12),0)=0,"",OFFSET(PO!N$12,ROW(C91)-ROW(C$12),0))</f>
        <v>LASTRO COM MATERIAL GRANULAR (PEDRA BRITADA N.2), APLICADO EM PISOS OU LAJES SOBRE SOLO, ESPESSURA DE *10 CM*. AF_01/2024</v>
      </c>
      <c r="D91" s="111" t="str">
        <f ca="1">IF(OFFSET(PO!O$12,ROW(D91)-ROW(D$12),0)=0,"",OFFSET(PO!O$12,ROW(D91)-ROW(D$12),0))</f>
        <v>M3</v>
      </c>
      <c r="E91" s="140">
        <f ca="1">IF($A91&lt;&gt;"Serviço",0,ROUND(SUMIF($F$9:$P$9,"&lt;&gt;",$F91:$P91),15-13*PO!$X$3))</f>
        <v>4.3899999999999997</v>
      </c>
      <c r="F91" s="378">
        <f ca="1">OFFSET(PO!$P$12,ROW($E91)-ROW(F$12),0)</f>
        <v>4.3899999999999997</v>
      </c>
      <c r="G91" s="378"/>
      <c r="H91" s="378"/>
      <c r="I91" s="378"/>
      <c r="J91" s="378"/>
      <c r="K91" s="378"/>
      <c r="L91" s="378"/>
      <c r="M91" s="378"/>
      <c r="N91" s="378"/>
      <c r="O91" s="378"/>
      <c r="U91" s="182"/>
    </row>
    <row r="92" spans="1:21" s="1" customFormat="1" x14ac:dyDescent="0.2">
      <c r="A92" s="110" t="str">
        <f ca="1">OFFSET(PO!J$12,ROW(A92)-ROW($A$12),0)</f>
        <v>Serviço</v>
      </c>
      <c r="B92" s="112" t="str">
        <f ca="1">IF($A92=0,"",OFFSET(PO!K$12,ROW(B92)-ROW(B$12),0))</f>
        <v>1.10.0.6.</v>
      </c>
      <c r="C92" s="109" t="str">
        <f ca="1">IF(OFFSET(PO!N$12,ROW(C92)-ROW(C$12),0)=0,"",OFFSET(PO!N$12,ROW(C92)-ROW(C$12),0))</f>
        <v>EXECUÇÃO DE PASSEIO (CALÇADA) OU PISO DE CONCRETO COM CONCRETO MOLDADO IN LOCO, USINADO, ACABAMENTO CONVENCIONAL, ESPESSURA 8 CM, ARMADO. AF_08/2022</v>
      </c>
      <c r="D92" s="111" t="str">
        <f ca="1">IF(OFFSET(PO!O$12,ROW(D92)-ROW(D$12),0)=0,"",OFFSET(PO!O$12,ROW(D92)-ROW(D$12),0))</f>
        <v>M2</v>
      </c>
      <c r="E92" s="140">
        <f ca="1">IF($A92&lt;&gt;"Serviço",0,ROUND(SUMIF($F$9:$P$9,"&lt;&gt;",$F92:$P92),15-13*PO!$X$3))</f>
        <v>25</v>
      </c>
      <c r="F92" s="378">
        <f ca="1">OFFSET(PO!$P$12,ROW($E92)-ROW(F$12),0)</f>
        <v>25</v>
      </c>
      <c r="G92" s="378"/>
      <c r="H92" s="378"/>
      <c r="I92" s="378"/>
      <c r="J92" s="378"/>
      <c r="K92" s="378"/>
      <c r="L92" s="378"/>
      <c r="M92" s="378"/>
      <c r="N92" s="378"/>
      <c r="O92" s="378"/>
      <c r="U92" s="182"/>
    </row>
    <row r="93" spans="1:21" s="1" customFormat="1" ht="25.5" x14ac:dyDescent="0.2">
      <c r="A93" s="110" t="str">
        <f ca="1">OFFSET(PO!J$12,ROW(A93)-ROW($A$12),0)</f>
        <v>Nível 2</v>
      </c>
      <c r="B93" s="112" t="str">
        <f ca="1">IF($A93=0,"",OFFSET(PO!K$12,ROW(B93)-ROW(B$12),0))</f>
        <v>1.11.</v>
      </c>
      <c r="C93" s="109" t="str">
        <f ca="1">IF(OFFSET(PO!N$12,ROW(C93)-ROW(C$12),0)=0,"",OFFSET(PO!N$12,ROW(C93)-ROW(C$12),0))</f>
        <v>ESCADA EXTERNA</v>
      </c>
      <c r="D93" s="111" t="str">
        <f ca="1">IF(OFFSET(PO!O$12,ROW(D93)-ROW(D$12),0)=0,"",OFFSET(PO!O$12,ROW(D93)-ROW(D$12),0))</f>
        <v/>
      </c>
      <c r="E93" s="140">
        <f ca="1">IF($A93&lt;&gt;"Serviço",0,ROUND(SUMIF($F$9:$P$9,"&lt;&gt;",$F93:$P93),15-13*PO!$X$3))</f>
        <v>0</v>
      </c>
      <c r="F93" s="378" t="str">
        <f ca="1">OFFSET(PO!$P$12,ROW($E93)-ROW(F$12),0)</f>
        <v xml:space="preserve"> -  </v>
      </c>
      <c r="G93" s="378"/>
      <c r="H93" s="378"/>
      <c r="I93" s="378"/>
      <c r="J93" s="378"/>
      <c r="K93" s="378"/>
      <c r="L93" s="378"/>
      <c r="M93" s="378"/>
      <c r="N93" s="378"/>
      <c r="O93" s="378"/>
      <c r="U93" s="182"/>
    </row>
    <row r="94" spans="1:21" s="1" customFormat="1" ht="38.25" x14ac:dyDescent="0.2">
      <c r="A94" s="110" t="str">
        <f ca="1">OFFSET(PO!J$12,ROW(A94)-ROW($A$12),0)</f>
        <v>Nível 3</v>
      </c>
      <c r="B94" s="112" t="str">
        <f ca="1">IF($A94=0,"",OFFSET(PO!K$12,ROW(B94)-ROW(B$12),0))</f>
        <v>1.11.1.</v>
      </c>
      <c r="C94" s="109" t="str">
        <f ca="1">IF(OFFSET(PO!N$12,ROW(C94)-ROW(C$12),0)=0,"",OFFSET(PO!N$12,ROW(C94)-ROW(C$12),0))</f>
        <v>Escada - Demolições e remoções</v>
      </c>
      <c r="D94" s="111" t="str">
        <f ca="1">IF(OFFSET(PO!O$12,ROW(D94)-ROW(D$12),0)=0,"",OFFSET(PO!O$12,ROW(D94)-ROW(D$12),0))</f>
        <v/>
      </c>
      <c r="E94" s="140">
        <f ca="1">IF($A94&lt;&gt;"Serviço",0,ROUND(SUMIF($F$9:$P$9,"&lt;&gt;",$F94:$P94),15-13*PO!$X$3))</f>
        <v>0</v>
      </c>
      <c r="F94" s="378" t="str">
        <f ca="1">OFFSET(PO!$P$12,ROW($E94)-ROW(F$12),0)</f>
        <v xml:space="preserve"> -  </v>
      </c>
      <c r="G94" s="378"/>
      <c r="H94" s="378"/>
      <c r="I94" s="378"/>
      <c r="J94" s="378"/>
      <c r="K94" s="378"/>
      <c r="L94" s="378"/>
      <c r="M94" s="378"/>
      <c r="N94" s="378"/>
      <c r="O94" s="378"/>
      <c r="U94" s="182"/>
    </row>
    <row r="95" spans="1:21" s="1" customFormat="1" ht="38.25" x14ac:dyDescent="0.2">
      <c r="A95" s="110" t="str">
        <f ca="1">OFFSET(PO!J$12,ROW(A95)-ROW($A$12),0)</f>
        <v>Serviço</v>
      </c>
      <c r="B95" s="112" t="str">
        <f ca="1">IF($A95=0,"",OFFSET(PO!K$12,ROW(B95)-ROW(B$12),0))</f>
        <v>1.11.1.1.</v>
      </c>
      <c r="C95" s="109" t="str">
        <f ca="1">IF(OFFSET(PO!N$12,ROW(C95)-ROW(C$12),0)=0,"",OFFSET(PO!N$12,ROW(C95)-ROW(C$12),0))</f>
        <v>REMOÇÃO DE GUARDA-CORPOS E CORRIMÕES, DE FORMA MANUAL, SEM REAPROVEITAMENTO. (BASE SINAPI 104800)</v>
      </c>
      <c r="D95" s="111" t="str">
        <f ca="1">IF(OFFSET(PO!O$12,ROW(D95)-ROW(D$12),0)=0,"",OFFSET(PO!O$12,ROW(D95)-ROW(D$12),0))</f>
        <v>M</v>
      </c>
      <c r="E95" s="140">
        <f ca="1">IF($A95&lt;&gt;"Serviço",0,ROUND(SUMIF($F$9:$P$9,"&lt;&gt;",$F95:$P95),15-13*PO!$X$3))</f>
        <v>11.2</v>
      </c>
      <c r="F95" s="378">
        <f ca="1">OFFSET(PO!$P$12,ROW($E95)-ROW(F$12),0)</f>
        <v>11.2</v>
      </c>
      <c r="G95" s="378"/>
      <c r="H95" s="378"/>
      <c r="I95" s="378"/>
      <c r="J95" s="378"/>
      <c r="K95" s="378"/>
      <c r="L95" s="378"/>
      <c r="M95" s="378"/>
      <c r="N95" s="378"/>
      <c r="O95" s="378"/>
      <c r="U95" s="182"/>
    </row>
    <row r="96" spans="1:21" s="1" customFormat="1" ht="38.25" x14ac:dyDescent="0.2">
      <c r="A96" s="110" t="str">
        <f ca="1">OFFSET(PO!J$12,ROW(A96)-ROW($A$12),0)</f>
        <v>Serviço</v>
      </c>
      <c r="B96" s="112" t="str">
        <f ca="1">IF($A96=0,"",OFFSET(PO!K$12,ROW(B96)-ROW(B$12),0))</f>
        <v>1.11.1.2.</v>
      </c>
      <c r="C96" s="109" t="str">
        <f ca="1">IF(OFFSET(PO!N$12,ROW(C96)-ROW(C$12),0)=0,"",OFFSET(PO!N$12,ROW(C96)-ROW(C$12),0))</f>
        <v>DEMOLIÇÃO DE PISO DE CONCRETO SIMPLES, DE FORMA MECANIZADA COM MARTELETE, SEM REAPROVEITAMENTO. AF_09/2023</v>
      </c>
      <c r="D96" s="111" t="str">
        <f ca="1">IF(OFFSET(PO!O$12,ROW(D96)-ROW(D$12),0)=0,"",OFFSET(PO!O$12,ROW(D96)-ROW(D$12),0))</f>
        <v>M3</v>
      </c>
      <c r="E96" s="140">
        <f ca="1">IF($A96&lt;&gt;"Serviço",0,ROUND(SUMIF($F$9:$P$9,"&lt;&gt;",$F96:$P96),15-13*PO!$X$3))</f>
        <v>2.82</v>
      </c>
      <c r="F96" s="378">
        <f ca="1">OFFSET(PO!$P$12,ROW($E96)-ROW(F$12),0)</f>
        <v>2.82</v>
      </c>
      <c r="G96" s="378"/>
      <c r="H96" s="378"/>
      <c r="I96" s="378"/>
      <c r="J96" s="378"/>
      <c r="K96" s="378"/>
      <c r="L96" s="378"/>
      <c r="M96" s="378"/>
      <c r="N96" s="378"/>
      <c r="O96" s="378"/>
      <c r="U96" s="182"/>
    </row>
    <row r="97" spans="1:21" s="1" customFormat="1" ht="38.25" x14ac:dyDescent="0.2">
      <c r="A97" s="110" t="str">
        <f ca="1">OFFSET(PO!J$12,ROW(A97)-ROW($A$12),0)</f>
        <v>Nível 3</v>
      </c>
      <c r="B97" s="112" t="str">
        <f ca="1">IF($A97=0,"",OFFSET(PO!K$12,ROW(B97)-ROW(B$12),0))</f>
        <v>1.11.2.</v>
      </c>
      <c r="C97" s="109" t="str">
        <f ca="1">IF(OFFSET(PO!N$12,ROW(C97)-ROW(C$12),0)=0,"",OFFSET(PO!N$12,ROW(C97)-ROW(C$12),0))</f>
        <v>Escada - Movimento de terra p/ ajustar base</v>
      </c>
      <c r="D97" s="111" t="str">
        <f ca="1">IF(OFFSET(PO!O$12,ROW(D97)-ROW(D$12),0)=0,"",OFFSET(PO!O$12,ROW(D97)-ROW(D$12),0))</f>
        <v/>
      </c>
      <c r="E97" s="140">
        <f ca="1">IF($A97&lt;&gt;"Serviço",0,ROUND(SUMIF($F$9:$P$9,"&lt;&gt;",$F97:$P97),15-13*PO!$X$3))</f>
        <v>0</v>
      </c>
      <c r="F97" s="378" t="str">
        <f ca="1">OFFSET(PO!$P$12,ROW($E97)-ROW(F$12),0)</f>
        <v xml:space="preserve"> -  </v>
      </c>
      <c r="G97" s="378"/>
      <c r="H97" s="378"/>
      <c r="I97" s="378"/>
      <c r="J97" s="378"/>
      <c r="K97" s="378"/>
      <c r="L97" s="378"/>
      <c r="M97" s="378"/>
      <c r="N97" s="378"/>
      <c r="O97" s="378"/>
      <c r="U97" s="182"/>
    </row>
    <row r="98" spans="1:21" s="1" customFormat="1" ht="51" x14ac:dyDescent="0.2">
      <c r="A98" s="110" t="str">
        <f ca="1">OFFSET(PO!J$12,ROW(A98)-ROW($A$12),0)</f>
        <v>Serviço</v>
      </c>
      <c r="B98" s="112" t="str">
        <f ca="1">IF($A98=0,"",OFFSET(PO!K$12,ROW(B98)-ROW(B$12),0))</f>
        <v>1.11.2.1.</v>
      </c>
      <c r="C98" s="109" t="str">
        <f ca="1">IF(OFFSET(PO!N$12,ROW(C98)-ROW(C$12),0)=0,"",OFFSET(PO!N$12,ROW(C98)-ROW(C$12),0))</f>
        <v>ESCAVAÇÃO MANUAL DE VALA. AF_09/2024</v>
      </c>
      <c r="D98" s="111" t="str">
        <f ca="1">IF(OFFSET(PO!O$12,ROW(D98)-ROW(D$12),0)=0,"",OFFSET(PO!O$12,ROW(D98)-ROW(D$12),0))</f>
        <v>M3</v>
      </c>
      <c r="E98" s="140">
        <f ca="1">IF($A98&lt;&gt;"Serviço",0,ROUND(SUMIF($F$9:$P$9,"&lt;&gt;",$F98:$P98),15-13*PO!$X$3))</f>
        <v>7</v>
      </c>
      <c r="F98" s="378">
        <f ca="1">OFFSET(PO!$P$12,ROW($E98)-ROW(F$12),0)</f>
        <v>7</v>
      </c>
      <c r="G98" s="378"/>
      <c r="H98" s="378"/>
      <c r="I98" s="378"/>
      <c r="J98" s="378"/>
      <c r="K98" s="378"/>
      <c r="L98" s="378"/>
      <c r="M98" s="378"/>
      <c r="N98" s="378"/>
      <c r="O98" s="378"/>
      <c r="U98" s="182"/>
    </row>
    <row r="99" spans="1:21" s="1" customFormat="1" x14ac:dyDescent="0.2">
      <c r="A99" s="110" t="str">
        <f ca="1">OFFSET(PO!J$12,ROW(A99)-ROW($A$12),0)</f>
        <v>Serviço</v>
      </c>
      <c r="B99" s="112" t="str">
        <f ca="1">IF($A99=0,"",OFFSET(PO!K$12,ROW(B99)-ROW(B$12),0))</f>
        <v>1.11.2.2.</v>
      </c>
      <c r="C99" s="109" t="str">
        <f ca="1">IF(OFFSET(PO!N$12,ROW(C99)-ROW(C$12),0)=0,"",OFFSET(PO!N$12,ROW(C99)-ROW(C$12),0))</f>
        <v>REATERRO MANUAL DE VALAS, COM COMPACTADOR DE SOLOS DE PERCUSSÃO. AF_08/2023</v>
      </c>
      <c r="D99" s="111" t="str">
        <f ca="1">IF(OFFSET(PO!O$12,ROW(D99)-ROW(D$12),0)=0,"",OFFSET(PO!O$12,ROW(D99)-ROW(D$12),0))</f>
        <v>M3</v>
      </c>
      <c r="E99" s="140">
        <f ca="1">IF($A99&lt;&gt;"Serviço",0,ROUND(SUMIF($F$9:$P$9,"&lt;&gt;",$F99:$P99),15-13*PO!$X$3))</f>
        <v>7</v>
      </c>
      <c r="F99" s="378">
        <f ca="1">OFFSET(PO!$P$12,ROW($E99)-ROW(F$12),0)</f>
        <v>7</v>
      </c>
      <c r="G99" s="378"/>
      <c r="H99" s="378"/>
      <c r="I99" s="378"/>
      <c r="J99" s="378"/>
      <c r="K99" s="378"/>
      <c r="L99" s="378"/>
      <c r="M99" s="378"/>
      <c r="N99" s="378"/>
      <c r="O99" s="378"/>
      <c r="U99" s="182"/>
    </row>
    <row r="100" spans="1:21" s="1" customFormat="1" ht="25.5" x14ac:dyDescent="0.2">
      <c r="A100" s="110" t="str">
        <f ca="1">OFFSET(PO!J$12,ROW(A100)-ROW($A$12),0)</f>
        <v>Nível 3</v>
      </c>
      <c r="B100" s="112" t="str">
        <f ca="1">IF($A100=0,"",OFFSET(PO!K$12,ROW(B100)-ROW(B$12),0))</f>
        <v>1.11.3.</v>
      </c>
      <c r="C100" s="109" t="str">
        <f ca="1">IF(OFFSET(PO!N$12,ROW(C100)-ROW(C$12),0)=0,"",OFFSET(PO!N$12,ROW(C100)-ROW(C$12),0))</f>
        <v>Execução da escada em concreto armado</v>
      </c>
      <c r="D100" s="111" t="str">
        <f ca="1">IF(OFFSET(PO!O$12,ROW(D100)-ROW(D$12),0)=0,"",OFFSET(PO!O$12,ROW(D100)-ROW(D$12),0))</f>
        <v/>
      </c>
      <c r="E100" s="140">
        <f ca="1">IF($A100&lt;&gt;"Serviço",0,ROUND(SUMIF($F$9:$P$9,"&lt;&gt;",$F100:$P100),15-13*PO!$X$3))</f>
        <v>0</v>
      </c>
      <c r="F100" s="378" t="str">
        <f ca="1">OFFSET(PO!$P$12,ROW($E100)-ROW(F$12),0)</f>
        <v xml:space="preserve"> -  </v>
      </c>
      <c r="G100" s="378"/>
      <c r="H100" s="378"/>
      <c r="I100" s="378"/>
      <c r="J100" s="378"/>
      <c r="K100" s="378"/>
      <c r="L100" s="378"/>
      <c r="M100" s="378"/>
      <c r="N100" s="378"/>
      <c r="O100" s="378"/>
      <c r="U100" s="182"/>
    </row>
    <row r="101" spans="1:21" s="1" customFormat="1" ht="38.25" x14ac:dyDescent="0.2">
      <c r="A101" s="110" t="str">
        <f ca="1">OFFSET(PO!J$12,ROW(A101)-ROW($A$12),0)</f>
        <v>Serviço</v>
      </c>
      <c r="B101" s="112" t="str">
        <f ca="1">IF($A101=0,"",OFFSET(PO!K$12,ROW(B101)-ROW(B$12),0))</f>
        <v>1.11.3.1.</v>
      </c>
      <c r="C101" s="109" t="str">
        <f ca="1">IF(OFFSET(PO!N$12,ROW(C101)-ROW(C$12),0)=0,"",OFFSET(PO!N$12,ROW(C101)-ROW(C$12),0))</f>
        <v>ESCADA EM CONCRETO ARMADO MOLDADO IN LOCO, FCK 25 MPA, COM 1 LANCE E LAJE PLANA, FÔRMA EM CHAPA DE MADEIRA COMPENSADA RESINADA. AF_11/2020</v>
      </c>
      <c r="D101" s="111" t="str">
        <f ca="1">IF(OFFSET(PO!O$12,ROW(D101)-ROW(D$12),0)=0,"",OFFSET(PO!O$12,ROW(D101)-ROW(D$12),0))</f>
        <v>M3</v>
      </c>
      <c r="E101" s="140">
        <f ca="1">IF($A101&lt;&gt;"Serviço",0,ROUND(SUMIF($F$9:$P$9,"&lt;&gt;",$F101:$P101),15-13*PO!$X$3))</f>
        <v>2.82</v>
      </c>
      <c r="F101" s="378">
        <f ca="1">OFFSET(PO!$P$12,ROW($E101)-ROW(F$12),0)</f>
        <v>2.82</v>
      </c>
      <c r="G101" s="378"/>
      <c r="H101" s="378"/>
      <c r="I101" s="378"/>
      <c r="J101" s="378"/>
      <c r="K101" s="378"/>
      <c r="L101" s="378"/>
      <c r="M101" s="378"/>
      <c r="N101" s="378"/>
      <c r="O101" s="378"/>
      <c r="U101" s="182"/>
    </row>
    <row r="102" spans="1:21" s="1" customFormat="1" ht="38.25" x14ac:dyDescent="0.2">
      <c r="A102" s="110" t="str">
        <f ca="1">OFFSET(PO!J$12,ROW(A102)-ROW($A$12),0)</f>
        <v>Nível 3</v>
      </c>
      <c r="B102" s="112" t="str">
        <f ca="1">IF($A102=0,"",OFFSET(PO!K$12,ROW(B102)-ROW(B$12),0))</f>
        <v>1.11.4.</v>
      </c>
      <c r="C102" s="109" t="str">
        <f ca="1">IF(OFFSET(PO!N$12,ROW(C102)-ROW(C$12),0)=0,"",OFFSET(PO!N$12,ROW(C102)-ROW(C$12),0))</f>
        <v>Escada - Guarda-corpos e corrimões</v>
      </c>
      <c r="D102" s="111" t="str">
        <f ca="1">IF(OFFSET(PO!O$12,ROW(D102)-ROW(D$12),0)=0,"",OFFSET(PO!O$12,ROW(D102)-ROW(D$12),0))</f>
        <v/>
      </c>
      <c r="E102" s="140">
        <f ca="1">IF($A102&lt;&gt;"Serviço",0,ROUND(SUMIF($F$9:$P$9,"&lt;&gt;",$F102:$P102),15-13*PO!$X$3))</f>
        <v>0</v>
      </c>
      <c r="F102" s="378" t="str">
        <f ca="1">OFFSET(PO!$P$12,ROW($E102)-ROW(F$12),0)</f>
        <v xml:space="preserve"> -  </v>
      </c>
      <c r="G102" s="378"/>
      <c r="H102" s="378"/>
      <c r="I102" s="378"/>
      <c r="J102" s="378"/>
      <c r="K102" s="378"/>
      <c r="L102" s="378"/>
      <c r="M102" s="378"/>
      <c r="N102" s="378"/>
      <c r="O102" s="378"/>
      <c r="U102" s="182"/>
    </row>
    <row r="103" spans="1:21" s="1" customFormat="1" ht="38.25" x14ac:dyDescent="0.2">
      <c r="A103" s="110" t="str">
        <f ca="1">OFFSET(PO!J$12,ROW(A103)-ROW($A$12),0)</f>
        <v>Serviço</v>
      </c>
      <c r="B103" s="112" t="str">
        <f ca="1">IF($A103=0,"",OFFSET(PO!K$12,ROW(B103)-ROW(B$12),0))</f>
        <v>1.11.4.1.</v>
      </c>
      <c r="C103" s="109" t="str">
        <f ca="1">IF(OFFSET(PO!N$12,ROW(C103)-ROW(C$12),0)=0,"",OFFSET(PO!N$12,ROW(C103)-ROW(C$12),0))</f>
        <v>GUARDA-CORPO DE AÇO GALVANIZADO DE 1,10M, DUPLO 
CORRIMÃO, MONTANTES TUBULARES DE 1.1/4" ESPAÇADOS DE 
1,20M, TRAVESSA SUPERIOR DE 1.1/2", GRADIL EM TUBOS 
HORIZONTAIS DE 1" E VERTICAIS DE 3/4", FIXADO COM ADESIVO 
ESTRUTURAL EPOXI OU CHUMBADOR MECÂNICO (BASE SINAPI 99851 E 99842)</v>
      </c>
      <c r="D103" s="111" t="str">
        <f ca="1">IF(OFFSET(PO!O$12,ROW(D103)-ROW(D$12),0)=0,"",OFFSET(PO!O$12,ROW(D103)-ROW(D$12),0))</f>
        <v>M</v>
      </c>
      <c r="E103" s="140">
        <f ca="1">IF($A103&lt;&gt;"Serviço",0,ROUND(SUMIF($F$9:$P$9,"&lt;&gt;",$F103:$P103),15-13*PO!$X$3))</f>
        <v>8</v>
      </c>
      <c r="F103" s="378">
        <f ca="1">OFFSET(PO!$P$12,ROW($E103)-ROW(F$12),0)</f>
        <v>8</v>
      </c>
      <c r="G103" s="378"/>
      <c r="H103" s="378"/>
      <c r="I103" s="378"/>
      <c r="J103" s="378"/>
      <c r="K103" s="378"/>
      <c r="L103" s="378"/>
      <c r="M103" s="378"/>
      <c r="N103" s="378"/>
      <c r="O103" s="378"/>
      <c r="U103" s="182"/>
    </row>
    <row r="104" spans="1:21" s="1" customFormat="1" ht="38.25" x14ac:dyDescent="0.2">
      <c r="A104" s="110" t="str">
        <f ca="1">OFFSET(PO!J$12,ROW(A104)-ROW($A$12),0)</f>
        <v>Serviço</v>
      </c>
      <c r="B104" s="112" t="str">
        <f ca="1">IF($A104=0,"",OFFSET(PO!K$12,ROW(B104)-ROW(B$12),0))</f>
        <v>1.11.4.2.</v>
      </c>
      <c r="C104" s="109" t="str">
        <f ca="1">IF(OFFSET(PO!N$12,ROW(C104)-ROW(C$12),0)=0,"",OFFSET(PO!N$12,ROW(C104)-ROW(C$12),0))</f>
        <v>CORRIMÃO DUPLO CENTRAL FIXADO NO PISO EM AÇO 
GALVANIZADO DE 1.1/2", MONTANTES TUBULARES 1.1/2" 
ESPAÇADOS DE 1,00M, FIXADO COM CHUMBADOR MECÂNICO. (BASE SINAPI 106212)</v>
      </c>
      <c r="D104" s="111" t="str">
        <f ca="1">IF(OFFSET(PO!O$12,ROW(D104)-ROW(D$12),0)=0,"",OFFSET(PO!O$12,ROW(D104)-ROW(D$12),0))</f>
        <v>M</v>
      </c>
      <c r="E104" s="140">
        <f ca="1">IF($A104&lt;&gt;"Serviço",0,ROUND(SUMIF($F$9:$P$9,"&lt;&gt;",$F104:$P104),15-13*PO!$X$3))</f>
        <v>4</v>
      </c>
      <c r="F104" s="378">
        <f ca="1">OFFSET(PO!$P$12,ROW($E104)-ROW(F$12),0)</f>
        <v>4</v>
      </c>
      <c r="G104" s="378"/>
      <c r="H104" s="378"/>
      <c r="I104" s="378"/>
      <c r="J104" s="378"/>
      <c r="K104" s="378"/>
      <c r="L104" s="378"/>
      <c r="M104" s="378"/>
      <c r="N104" s="378"/>
      <c r="O104" s="378"/>
      <c r="U104" s="182"/>
    </row>
    <row r="105" spans="1:21" s="1" customFormat="1" ht="38.25" x14ac:dyDescent="0.2">
      <c r="A105" s="110" t="str">
        <f ca="1">OFFSET(PO!J$12,ROW(A105)-ROW($A$12),0)</f>
        <v>Nível 3</v>
      </c>
      <c r="B105" s="112" t="str">
        <f ca="1">IF($A105=0,"",OFFSET(PO!K$12,ROW(B105)-ROW(B$12),0))</f>
        <v>1.11.5.</v>
      </c>
      <c r="C105" s="109" t="str">
        <f ca="1">IF(OFFSET(PO!N$12,ROW(C105)-ROW(C$12),0)=0,"",OFFSET(PO!N$12,ROW(C105)-ROW(C$12),0))</f>
        <v>Escada - Pintura Guarda-corpos e corrimões</v>
      </c>
      <c r="D105" s="111" t="str">
        <f ca="1">IF(OFFSET(PO!O$12,ROW(D105)-ROW(D$12),0)=0,"",OFFSET(PO!O$12,ROW(D105)-ROW(D$12),0))</f>
        <v/>
      </c>
      <c r="E105" s="140">
        <f ca="1">IF($A105&lt;&gt;"Serviço",0,ROUND(SUMIF($F$9:$P$9,"&lt;&gt;",$F105:$P105),15-13*PO!$X$3))</f>
        <v>0</v>
      </c>
      <c r="F105" s="378" t="str">
        <f ca="1">OFFSET(PO!$P$12,ROW($E105)-ROW(F$12),0)</f>
        <v xml:space="preserve"> -  </v>
      </c>
      <c r="G105" s="378"/>
      <c r="H105" s="378"/>
      <c r="I105" s="378"/>
      <c r="J105" s="378"/>
      <c r="K105" s="378"/>
      <c r="L105" s="378"/>
      <c r="M105" s="378"/>
      <c r="N105" s="378"/>
      <c r="O105" s="378"/>
      <c r="U105" s="182"/>
    </row>
    <row r="106" spans="1:21" s="1" customFormat="1" ht="38.25" x14ac:dyDescent="0.2">
      <c r="A106" s="110" t="str">
        <f ca="1">OFFSET(PO!J$12,ROW(A106)-ROW($A$12),0)</f>
        <v>Serviço</v>
      </c>
      <c r="B106" s="112" t="str">
        <f ca="1">IF($A106=0,"",OFFSET(PO!K$12,ROW(B106)-ROW(B$12),0))</f>
        <v>1.11.5.1.</v>
      </c>
      <c r="C106" s="109" t="str">
        <f ca="1">IF(OFFSET(PO!N$12,ROW(C106)-ROW(C$12),0)=0,"",OFFSET(PO!N$12,ROW(C106)-ROW(C$12),0))</f>
        <v>LIXAMENTO MANUAL EM SUPERFÍCIES METÁLICAS EM OBRA. AF_01/2020</v>
      </c>
      <c r="D106" s="111" t="str">
        <f ca="1">IF(OFFSET(PO!O$12,ROW(D106)-ROW(D$12),0)=0,"",OFFSET(PO!O$12,ROW(D106)-ROW(D$12),0))</f>
        <v>M2</v>
      </c>
      <c r="E106" s="140">
        <f ca="1">IF($A106&lt;&gt;"Serviço",0,ROUND(SUMIF($F$9:$P$9,"&lt;&gt;",$F106:$P106),15-13*PO!$X$3))</f>
        <v>13.08</v>
      </c>
      <c r="F106" s="378">
        <f ca="1">OFFSET(PO!$P$12,ROW($E106)-ROW(F$12),0)</f>
        <v>13.08</v>
      </c>
      <c r="G106" s="378"/>
      <c r="H106" s="378"/>
      <c r="I106" s="378"/>
      <c r="J106" s="378"/>
      <c r="K106" s="378"/>
      <c r="L106" s="378"/>
      <c r="M106" s="378"/>
      <c r="N106" s="378"/>
      <c r="O106" s="378"/>
      <c r="U106" s="182"/>
    </row>
    <row r="107" spans="1:21" s="1" customFormat="1" ht="51" x14ac:dyDescent="0.2">
      <c r="A107" s="110" t="str">
        <f ca="1">OFFSET(PO!J$12,ROW(A107)-ROW($A$12),0)</f>
        <v>Serviço</v>
      </c>
      <c r="B107" s="112" t="str">
        <f ca="1">IF($A107=0,"",OFFSET(PO!K$12,ROW(B107)-ROW(B$12),0))</f>
        <v>1.11.5.2.</v>
      </c>
      <c r="C107" s="109" t="str">
        <f ca="1">IF(OFFSET(PO!N$12,ROW(C107)-ROW(C$12),0)=0,"",OFFSET(PO!N$12,ROW(C107)-ROW(C$12),0))</f>
        <v>PINTURA COM TINTA ALQUÍDICA DE FUNDO (TIPO ZARCÃO) APLICADA A ROLO OU PINCEL SOBRE PERFIL METÁLICO EXECUTADO EM FÁBRICA (POR DEMÃO). AF_01/2020</v>
      </c>
      <c r="D107" s="111" t="str">
        <f ca="1">IF(OFFSET(PO!O$12,ROW(D107)-ROW(D$12),0)=0,"",OFFSET(PO!O$12,ROW(D107)-ROW(D$12),0))</f>
        <v>M2</v>
      </c>
      <c r="E107" s="140">
        <f ca="1">IF($A107&lt;&gt;"Serviço",0,ROUND(SUMIF($F$9:$P$9,"&lt;&gt;",$F107:$P107),15-13*PO!$X$3))</f>
        <v>26.16</v>
      </c>
      <c r="F107" s="378">
        <f ca="1">OFFSET(PO!$P$12,ROW($E107)-ROW(F$12),0)</f>
        <v>26.16</v>
      </c>
      <c r="G107" s="378"/>
      <c r="H107" s="378"/>
      <c r="I107" s="378"/>
      <c r="J107" s="378"/>
      <c r="K107" s="378"/>
      <c r="L107" s="378"/>
      <c r="M107" s="378"/>
      <c r="N107" s="378"/>
      <c r="O107" s="378"/>
      <c r="U107" s="182"/>
    </row>
    <row r="108" spans="1:21" s="1" customFormat="1" ht="25.5" x14ac:dyDescent="0.2">
      <c r="A108" s="110" t="str">
        <f ca="1">OFFSET(PO!J$12,ROW(A108)-ROW($A$12),0)</f>
        <v>Serviço</v>
      </c>
      <c r="B108" s="112" t="str">
        <f ca="1">IF($A108=0,"",OFFSET(PO!K$12,ROW(B108)-ROW(B$12),0))</f>
        <v>1.11.5.3.</v>
      </c>
      <c r="C108" s="109" t="str">
        <f ca="1">IF(OFFSET(PO!N$12,ROW(C108)-ROW(C$12),0)=0,"",OFFSET(PO!N$12,ROW(C108)-ROW(C$12),0))</f>
        <v>PINTURA COM TINTA ALQUÍDICA DE ACABAMENTO (ESMALTE SINTÉTICO BRILHANTE) APLICADA A ROLO OU PINCEL SOBRE PERFIL METÁLICO EXECUTADO EM FÁBRICA (POR DEMÃO). AF_01/2020</v>
      </c>
      <c r="D108" s="111" t="str">
        <f ca="1">IF(OFFSET(PO!O$12,ROW(D108)-ROW(D$12),0)=0,"",OFFSET(PO!O$12,ROW(D108)-ROW(D$12),0))</f>
        <v>M2</v>
      </c>
      <c r="E108" s="140">
        <f ca="1">IF($A108&lt;&gt;"Serviço",0,ROUND(SUMIF($F$9:$P$9,"&lt;&gt;",$F108:$P108),15-13*PO!$X$3))</f>
        <v>26.16</v>
      </c>
      <c r="F108" s="378">
        <f ca="1">OFFSET(PO!$P$12,ROW($E108)-ROW(F$12),0)</f>
        <v>26.16</v>
      </c>
      <c r="G108" s="378"/>
      <c r="H108" s="378"/>
      <c r="I108" s="378"/>
      <c r="J108" s="378"/>
      <c r="K108" s="378"/>
      <c r="L108" s="378"/>
      <c r="M108" s="378"/>
      <c r="N108" s="378"/>
      <c r="O108" s="378"/>
      <c r="U108" s="182"/>
    </row>
    <row r="109" spans="1:21" s="1" customFormat="1" ht="38.25" x14ac:dyDescent="0.2">
      <c r="A109" s="110" t="str">
        <f ca="1">OFFSET(PO!J$12,ROW(A109)-ROW($A$12),0)</f>
        <v>Nível 2</v>
      </c>
      <c r="B109" s="112" t="str">
        <f ca="1">IF($A109=0,"",OFFSET(PO!K$12,ROW(B109)-ROW(B$12),0))</f>
        <v>1.12.</v>
      </c>
      <c r="C109" s="109" t="str">
        <f ca="1">IF(OFFSET(PO!N$12,ROW(C109)-ROW(C$12),0)=0,"",OFFSET(PO!N$12,ROW(C109)-ROW(C$12),0))</f>
        <v>ACESSIBILIDADE 1</v>
      </c>
      <c r="D109" s="111" t="str">
        <f ca="1">IF(OFFSET(PO!O$12,ROW(D109)-ROW(D$12),0)=0,"",OFFSET(PO!O$12,ROW(D109)-ROW(D$12),0))</f>
        <v/>
      </c>
      <c r="E109" s="140">
        <f ca="1">IF($A109&lt;&gt;"Serviço",0,ROUND(SUMIF($F$9:$P$9,"&lt;&gt;",$F109:$P109),15-13*PO!$X$3))</f>
        <v>0</v>
      </c>
      <c r="F109" s="378" t="str">
        <f ca="1">OFFSET(PO!$P$12,ROW($E109)-ROW(F$12),0)</f>
        <v xml:space="preserve"> -  </v>
      </c>
      <c r="G109" s="378"/>
      <c r="H109" s="378"/>
      <c r="I109" s="378"/>
      <c r="J109" s="378"/>
      <c r="K109" s="378"/>
      <c r="L109" s="378"/>
      <c r="M109" s="378"/>
      <c r="N109" s="378"/>
      <c r="O109" s="378"/>
      <c r="U109" s="182"/>
    </row>
    <row r="110" spans="1:21" s="1" customFormat="1" ht="38.25" x14ac:dyDescent="0.2">
      <c r="A110" s="110" t="str">
        <f ca="1">OFFSET(PO!J$12,ROW(A110)-ROW($A$12),0)</f>
        <v>Nível 3</v>
      </c>
      <c r="B110" s="112" t="str">
        <f ca="1">IF($A110=0,"",OFFSET(PO!K$12,ROW(B110)-ROW(B$12),0))</f>
        <v>1.12.1.</v>
      </c>
      <c r="C110" s="109" t="str">
        <f ca="1">IF(OFFSET(PO!N$12,ROW(C110)-ROW(C$12),0)=0,"",OFFSET(PO!N$12,ROW(C110)-ROW(C$12),0))</f>
        <v>Rampa - Movimento de terra p/ ajustar base</v>
      </c>
      <c r="D110" s="111" t="str">
        <f ca="1">IF(OFFSET(PO!O$12,ROW(D110)-ROW(D$12),0)=0,"",OFFSET(PO!O$12,ROW(D110)-ROW(D$12),0))</f>
        <v/>
      </c>
      <c r="E110" s="140">
        <f ca="1">IF($A110&lt;&gt;"Serviço",0,ROUND(SUMIF($F$9:$P$9,"&lt;&gt;",$F110:$P110),15-13*PO!$X$3))</f>
        <v>0</v>
      </c>
      <c r="F110" s="378" t="str">
        <f ca="1">OFFSET(PO!$P$12,ROW($E110)-ROW(F$12),0)</f>
        <v xml:space="preserve"> -  </v>
      </c>
      <c r="G110" s="378"/>
      <c r="H110" s="378"/>
      <c r="I110" s="378"/>
      <c r="J110" s="378"/>
      <c r="K110" s="378"/>
      <c r="L110" s="378"/>
      <c r="M110" s="378"/>
      <c r="N110" s="378"/>
      <c r="O110" s="378"/>
      <c r="U110" s="182"/>
    </row>
    <row r="111" spans="1:21" s="1" customFormat="1" ht="38.25" x14ac:dyDescent="0.2">
      <c r="A111" s="110" t="str">
        <f ca="1">OFFSET(PO!J$12,ROW(A111)-ROW($A$12),0)</f>
        <v>Serviço</v>
      </c>
      <c r="B111" s="112" t="str">
        <f ca="1">IF($A111=0,"",OFFSET(PO!K$12,ROW(B111)-ROW(B$12),0))</f>
        <v>1.12.1.1.</v>
      </c>
      <c r="C111" s="109" t="str">
        <f ca="1">IF(OFFSET(PO!N$12,ROW(C111)-ROW(C$12),0)=0,"",OFFSET(PO!N$12,ROW(C111)-ROW(C$12),0))</f>
        <v>ESCAVAÇÃO MANUAL DE VALA. AF_09/2024</v>
      </c>
      <c r="D111" s="111" t="str">
        <f ca="1">IF(OFFSET(PO!O$12,ROW(D111)-ROW(D$12),0)=0,"",OFFSET(PO!O$12,ROW(D111)-ROW(D$12),0))</f>
        <v>M3</v>
      </c>
      <c r="E111" s="140">
        <f ca="1">IF($A111&lt;&gt;"Serviço",0,ROUND(SUMIF($F$9:$P$9,"&lt;&gt;",$F111:$P111),15-13*PO!$X$3))</f>
        <v>25.99</v>
      </c>
      <c r="F111" s="378">
        <f ca="1">OFFSET(PO!$P$12,ROW($E111)-ROW(F$12),0)</f>
        <v>25.99</v>
      </c>
      <c r="G111" s="378"/>
      <c r="H111" s="378"/>
      <c r="I111" s="378"/>
      <c r="J111" s="378"/>
      <c r="K111" s="378"/>
      <c r="L111" s="378"/>
      <c r="M111" s="378"/>
      <c r="N111" s="378"/>
      <c r="O111" s="378"/>
      <c r="U111" s="182"/>
    </row>
    <row r="112" spans="1:21" s="1" customFormat="1" x14ac:dyDescent="0.2">
      <c r="A112" s="110" t="str">
        <f ca="1">OFFSET(PO!J$12,ROW(A112)-ROW($A$12),0)</f>
        <v>Serviço</v>
      </c>
      <c r="B112" s="112" t="str">
        <f ca="1">IF($A112=0,"",OFFSET(PO!K$12,ROW(B112)-ROW(B$12),0))</f>
        <v>1.12.1.2.</v>
      </c>
      <c r="C112" s="109" t="str">
        <f ca="1">IF(OFFSET(PO!N$12,ROW(C112)-ROW(C$12),0)=0,"",OFFSET(PO!N$12,ROW(C112)-ROW(C$12),0))</f>
        <v>REATERRO MANUAL DE VALAS, COM COMPACTADOR DE SOLOS DE PERCUSSÃO. AF_08/2023</v>
      </c>
      <c r="D112" s="111" t="str">
        <f ca="1">IF(OFFSET(PO!O$12,ROW(D112)-ROW(D$12),0)=0,"",OFFSET(PO!O$12,ROW(D112)-ROW(D$12),0))</f>
        <v>M3</v>
      </c>
      <c r="E112" s="140">
        <f ca="1">IF($A112&lt;&gt;"Serviço",0,ROUND(SUMIF($F$9:$P$9,"&lt;&gt;",$F112:$P112),15-13*PO!$X$3))</f>
        <v>25.99</v>
      </c>
      <c r="F112" s="378">
        <f ca="1">OFFSET(PO!$P$12,ROW($E112)-ROW(F$12),0)</f>
        <v>25.99</v>
      </c>
      <c r="G112" s="378"/>
      <c r="H112" s="378"/>
      <c r="I112" s="378"/>
      <c r="J112" s="378"/>
      <c r="K112" s="378"/>
      <c r="L112" s="378"/>
      <c r="M112" s="378"/>
      <c r="N112" s="378"/>
      <c r="O112" s="378"/>
      <c r="U112" s="182"/>
    </row>
    <row r="113" spans="1:21" s="1" customFormat="1" x14ac:dyDescent="0.2">
      <c r="A113" s="110" t="str">
        <f ca="1">OFFSET(PO!J$12,ROW(A113)-ROW($A$12),0)</f>
        <v>Nível 3</v>
      </c>
      <c r="B113" s="112" t="str">
        <f ca="1">IF($A113=0,"",OFFSET(PO!K$12,ROW(B113)-ROW(B$12),0))</f>
        <v>1.12.2.</v>
      </c>
      <c r="C113" s="109" t="str">
        <f ca="1">IF(OFFSET(PO!N$12,ROW(C113)-ROW(C$12),0)=0,"",OFFSET(PO!N$12,ROW(C113)-ROW(C$12),0))</f>
        <v>Rampa - Estruturas de concr. arm. e muros</v>
      </c>
      <c r="D113" s="111" t="str">
        <f ca="1">IF(OFFSET(PO!O$12,ROW(D113)-ROW(D$12),0)=0,"",OFFSET(PO!O$12,ROW(D113)-ROW(D$12),0))</f>
        <v/>
      </c>
      <c r="E113" s="140">
        <f ca="1">IF($A113&lt;&gt;"Serviço",0,ROUND(SUMIF($F$9:$P$9,"&lt;&gt;",$F113:$P113),15-13*PO!$X$3))</f>
        <v>0</v>
      </c>
      <c r="F113" s="378" t="str">
        <f ca="1">OFFSET(PO!$P$12,ROW($E113)-ROW(F$12),0)</f>
        <v xml:space="preserve"> -  </v>
      </c>
      <c r="G113" s="378"/>
      <c r="H113" s="378"/>
      <c r="I113" s="378"/>
      <c r="J113" s="378"/>
      <c r="K113" s="378"/>
      <c r="L113" s="378"/>
      <c r="M113" s="378"/>
      <c r="N113" s="378"/>
      <c r="O113" s="378"/>
      <c r="U113" s="182"/>
    </row>
    <row r="114" spans="1:21" s="1" customFormat="1" ht="51" x14ac:dyDescent="0.2">
      <c r="A114" s="110" t="str">
        <f ca="1">OFFSET(PO!J$12,ROW(A114)-ROW($A$12),0)</f>
        <v>Serviço</v>
      </c>
      <c r="B114" s="112" t="str">
        <f ca="1">IF($A114=0,"",OFFSET(PO!K$12,ROW(B114)-ROW(B$12),0))</f>
        <v>1.12.2.1.</v>
      </c>
      <c r="C114" s="109" t="str">
        <f ca="1">IF(OFFSET(PO!N$12,ROW(C114)-ROW(C$12),0)=0,"",OFFSET(PO!N$12,ROW(C114)-ROW(C$12),0))</f>
        <v>PREPARO DE FUNDO DE VALA COM LARGURA MENOR QUE 1,5 M (ACERTO DO SOLO NATURAL), EM LOCAL COM NÍVEL BAIXO DE INTERFERÊNCIA. AF_01/2026</v>
      </c>
      <c r="D114" s="111" t="str">
        <f ca="1">IF(OFFSET(PO!O$12,ROW(D114)-ROW(D$12),0)=0,"",OFFSET(PO!O$12,ROW(D114)-ROW(D$12),0))</f>
        <v>M2</v>
      </c>
      <c r="E114" s="140">
        <f ca="1">IF($A114&lt;&gt;"Serviço",0,ROUND(SUMIF($F$9:$P$9,"&lt;&gt;",$F114:$P114),15-13*PO!$X$3))</f>
        <v>51.98</v>
      </c>
      <c r="F114" s="378">
        <f ca="1">OFFSET(PO!$P$12,ROW($E114)-ROW(F$12),0)</f>
        <v>51.98</v>
      </c>
      <c r="G114" s="378"/>
      <c r="H114" s="378"/>
      <c r="I114" s="378"/>
      <c r="J114" s="378"/>
      <c r="K114" s="378"/>
      <c r="L114" s="378"/>
      <c r="M114" s="378"/>
      <c r="N114" s="378"/>
      <c r="O114" s="378"/>
      <c r="U114" s="182"/>
    </row>
    <row r="115" spans="1:21" s="1" customFormat="1" ht="51" x14ac:dyDescent="0.2">
      <c r="A115" s="110" t="str">
        <f ca="1">OFFSET(PO!J$12,ROW(A115)-ROW($A$12),0)</f>
        <v>Serviço</v>
      </c>
      <c r="B115" s="112" t="str">
        <f ca="1">IF($A115=0,"",OFFSET(PO!K$12,ROW(B115)-ROW(B$12),0))</f>
        <v>1.12.2.2.</v>
      </c>
      <c r="C115" s="109" t="str">
        <f ca="1">IF(OFFSET(PO!N$12,ROW(C115)-ROW(C$12),0)=0,"",OFFSET(PO!N$12,ROW(C115)-ROW(C$12),0))</f>
        <v>LOCAÇÃO CONVENCIONAL DE OBRA, UTILIZANDO GABARITO DE TÁBUAS CORRIDAS PONTALETADAS A CADA 2,00M - 2 UTILIZAÇÕES. AF_03/2024</v>
      </c>
      <c r="D115" s="111" t="str">
        <f ca="1">IF(OFFSET(PO!O$12,ROW(D115)-ROW(D$12),0)=0,"",OFFSET(PO!O$12,ROW(D115)-ROW(D$12),0))</f>
        <v>M</v>
      </c>
      <c r="E115" s="140">
        <f ca="1">IF($A115&lt;&gt;"Serviço",0,ROUND(SUMIF($F$9:$P$9,"&lt;&gt;",$F115:$P115),15-13*PO!$X$3))</f>
        <v>35.200000000000003</v>
      </c>
      <c r="F115" s="378">
        <f ca="1">OFFSET(PO!$P$12,ROW($E115)-ROW(F$12),0)</f>
        <v>35.200000000000003</v>
      </c>
      <c r="G115" s="378"/>
      <c r="H115" s="378"/>
      <c r="I115" s="378"/>
      <c r="J115" s="378"/>
      <c r="K115" s="378"/>
      <c r="L115" s="378"/>
      <c r="M115" s="378"/>
      <c r="N115" s="378"/>
      <c r="O115" s="378"/>
      <c r="U115" s="182"/>
    </row>
    <row r="116" spans="1:21" s="1" customFormat="1" x14ac:dyDescent="0.2">
      <c r="A116" s="110" t="str">
        <f ca="1">OFFSET(PO!J$12,ROW(A116)-ROW($A$12),0)</f>
        <v>Serviço</v>
      </c>
      <c r="B116" s="112" t="str">
        <f ca="1">IF($A116=0,"",OFFSET(PO!K$12,ROW(B116)-ROW(B$12),0))</f>
        <v>1.12.2.3.</v>
      </c>
      <c r="C116" s="109" t="str">
        <f ca="1">IF(OFFSET(PO!N$12,ROW(C116)-ROW(C$12),0)=0,"",OFFSET(PO!N$12,ROW(C116)-ROW(C$12),0))</f>
        <v>FABRICAÇÃO, MONTAGEM E DESMONTAGEM DE FÔRMA PARA SAPATA, EM MADEIRA SERRADA, E=25 MM, 4 UTILIZAÇÕES. AF_01/2024</v>
      </c>
      <c r="D116" s="111" t="str">
        <f ca="1">IF(OFFSET(PO!O$12,ROW(D116)-ROW(D$12),0)=0,"",OFFSET(PO!O$12,ROW(D116)-ROW(D$12),0))</f>
        <v>M2</v>
      </c>
      <c r="E116" s="140">
        <f ca="1">IF($A116&lt;&gt;"Serviço",0,ROUND(SUMIF($F$9:$P$9,"&lt;&gt;",$F116:$P116),15-13*PO!$X$3))</f>
        <v>10.8</v>
      </c>
      <c r="F116" s="378">
        <f ca="1">OFFSET(PO!$P$12,ROW($E116)-ROW(F$12),0)</f>
        <v>10.8</v>
      </c>
      <c r="G116" s="378"/>
      <c r="H116" s="378"/>
      <c r="I116" s="378"/>
      <c r="J116" s="378"/>
      <c r="K116" s="378"/>
      <c r="L116" s="378"/>
      <c r="M116" s="378"/>
      <c r="N116" s="378"/>
      <c r="O116" s="378"/>
      <c r="U116" s="182"/>
    </row>
    <row r="117" spans="1:21" s="1" customFormat="1" ht="51" x14ac:dyDescent="0.2">
      <c r="A117" s="110" t="str">
        <f ca="1">OFFSET(PO!J$12,ROW(A117)-ROW($A$12),0)</f>
        <v>Serviço</v>
      </c>
      <c r="B117" s="112" t="str">
        <f ca="1">IF($A117=0,"",OFFSET(PO!K$12,ROW(B117)-ROW(B$12),0))</f>
        <v>1.12.2.4.</v>
      </c>
      <c r="C117" s="109" t="str">
        <f ca="1">IF(OFFSET(PO!N$12,ROW(C117)-ROW(C$12),0)=0,"",OFFSET(PO!N$12,ROW(C117)-ROW(C$12),0))</f>
        <v>ARMAÇÃO DE SAPATA ISOLADA, VIGA BALDRAME E SAPATA CORRIDA UTILIZANDO AÇO CA-50 DE 8 MM - MONTAGEM. AF_01/2024</v>
      </c>
      <c r="D117" s="111" t="str">
        <f ca="1">IF(OFFSET(PO!O$12,ROW(D117)-ROW(D$12),0)=0,"",OFFSET(PO!O$12,ROW(D117)-ROW(D$12),0))</f>
        <v>KG</v>
      </c>
      <c r="E117" s="140">
        <f ca="1">IF($A117&lt;&gt;"Serviço",0,ROUND(SUMIF($F$9:$P$9,"&lt;&gt;",$F117:$P117),15-13*PO!$X$3))</f>
        <v>78.84</v>
      </c>
      <c r="F117" s="378">
        <f ca="1">OFFSET(PO!$P$12,ROW($E117)-ROW(F$12),0)</f>
        <v>78.84</v>
      </c>
      <c r="G117" s="378"/>
      <c r="H117" s="378"/>
      <c r="I117" s="378"/>
      <c r="J117" s="378"/>
      <c r="K117" s="378"/>
      <c r="L117" s="378"/>
      <c r="M117" s="378"/>
      <c r="N117" s="378"/>
      <c r="O117" s="378"/>
      <c r="U117" s="182"/>
    </row>
    <row r="118" spans="1:21" s="1" customFormat="1" x14ac:dyDescent="0.2">
      <c r="A118" s="110" t="str">
        <f ca="1">OFFSET(PO!J$12,ROW(A118)-ROW($A$12),0)</f>
        <v>Serviço</v>
      </c>
      <c r="B118" s="112" t="str">
        <f ca="1">IF($A118=0,"",OFFSET(PO!K$12,ROW(B118)-ROW(B$12),0))</f>
        <v>1.12.2.5.</v>
      </c>
      <c r="C118" s="109" t="str">
        <f ca="1">IF(OFFSET(PO!N$12,ROW(C118)-ROW(C$12),0)=0,"",OFFSET(PO!N$12,ROW(C118)-ROW(C$12),0))</f>
        <v>CONCRETAGEM DE SAPATA, FCK 30 MPA, COM USO DE BOMBA - LANÇAMENTO, ADENSAMENTO E ACABAMENTO. AF_01/2024</v>
      </c>
      <c r="D118" s="111" t="str">
        <f ca="1">IF(OFFSET(PO!O$12,ROW(D118)-ROW(D$12),0)=0,"",OFFSET(PO!O$12,ROW(D118)-ROW(D$12),0))</f>
        <v>M3</v>
      </c>
      <c r="E118" s="140">
        <f ca="1">IF($A118&lt;&gt;"Serviço",0,ROUND(SUMIF($F$9:$P$9,"&lt;&gt;",$F118:$P118),15-13*PO!$X$3))</f>
        <v>1.62</v>
      </c>
      <c r="F118" s="378">
        <f ca="1">OFFSET(PO!$P$12,ROW($E118)-ROW(F$12),0)</f>
        <v>1.62</v>
      </c>
      <c r="G118" s="378"/>
      <c r="H118" s="378"/>
      <c r="I118" s="378"/>
      <c r="J118" s="378"/>
      <c r="K118" s="378"/>
      <c r="L118" s="378"/>
      <c r="M118" s="378"/>
      <c r="N118" s="378"/>
      <c r="O118" s="378"/>
      <c r="U118" s="182"/>
    </row>
    <row r="119" spans="1:21" s="1" customFormat="1" x14ac:dyDescent="0.2">
      <c r="A119" s="110" t="str">
        <f ca="1">OFFSET(PO!J$12,ROW(A119)-ROW($A$12),0)</f>
        <v>Serviço</v>
      </c>
      <c r="B119" s="112" t="str">
        <f ca="1">IF($A119=0,"",OFFSET(PO!K$12,ROW(B119)-ROW(B$12),0))</f>
        <v>1.12.2.6.</v>
      </c>
      <c r="C119" s="109" t="str">
        <f ca="1">IF(OFFSET(PO!N$12,ROW(C119)-ROW(C$12),0)=0,"",OFFSET(PO!N$12,ROW(C119)-ROW(C$12),0))</f>
        <v>FABRICAÇÃO DE FÔRMA PARA PILARES E ESTRUTURAS SIMILARES, EM MADEIRA SERRADA, E=25 MM. AF_09/2020</v>
      </c>
      <c r="D119" s="111" t="str">
        <f ca="1">IF(OFFSET(PO!O$12,ROW(D119)-ROW(D$12),0)=0,"",OFFSET(PO!O$12,ROW(D119)-ROW(D$12),0))</f>
        <v>M2</v>
      </c>
      <c r="E119" s="140">
        <f ca="1">IF($A119&lt;&gt;"Serviço",0,ROUND(SUMIF($F$9:$P$9,"&lt;&gt;",$F119:$P119),15-13*PO!$X$3))</f>
        <v>4.03</v>
      </c>
      <c r="F119" s="378">
        <f ca="1">OFFSET(PO!$P$12,ROW($E119)-ROW(F$12),0)</f>
        <v>4.03</v>
      </c>
      <c r="G119" s="378"/>
      <c r="H119" s="378"/>
      <c r="I119" s="378"/>
      <c r="J119" s="378"/>
      <c r="K119" s="378"/>
      <c r="L119" s="378"/>
      <c r="M119" s="378"/>
      <c r="N119" s="378"/>
      <c r="O119" s="378"/>
      <c r="U119" s="182"/>
    </row>
    <row r="120" spans="1:21" s="1" customFormat="1" ht="51" x14ac:dyDescent="0.2">
      <c r="A120" s="110" t="str">
        <f ca="1">OFFSET(PO!J$12,ROW(A120)-ROW($A$12),0)</f>
        <v>Serviço</v>
      </c>
      <c r="B120" s="112" t="str">
        <f ca="1">IF($A120=0,"",OFFSET(PO!K$12,ROW(B120)-ROW(B$12),0))</f>
        <v>1.12.2.7.</v>
      </c>
      <c r="C120" s="109" t="str">
        <f ca="1">IF(OFFSET(PO!N$12,ROW(C120)-ROW(C$12),0)=0,"",OFFSET(PO!N$12,ROW(C120)-ROW(C$12),0))</f>
        <v>ARMAÇÃO DE PILAR OU VIGA DE ESTRUTURA CONVENCIONAL DE CONCRETO ARMADO UTILIZANDO AÇO CA-50 DE 10,0 MM - MONTAGEM. AF_06/2022</v>
      </c>
      <c r="D120" s="111" t="str">
        <f ca="1">IF(OFFSET(PO!O$12,ROW(D120)-ROW(D$12),0)=0,"",OFFSET(PO!O$12,ROW(D120)-ROW(D$12),0))</f>
        <v>KG</v>
      </c>
      <c r="E120" s="140">
        <f ca="1">IF($A120&lt;&gt;"Serviço",0,ROUND(SUMIF($F$9:$P$9,"&lt;&gt;",$F120:$P120),15-13*PO!$X$3))</f>
        <v>21.01</v>
      </c>
      <c r="F120" s="378">
        <f ca="1">OFFSET(PO!$P$12,ROW($E120)-ROW(F$12),0)</f>
        <v>21.01</v>
      </c>
      <c r="G120" s="378"/>
      <c r="H120" s="378"/>
      <c r="I120" s="378"/>
      <c r="J120" s="378"/>
      <c r="K120" s="378"/>
      <c r="L120" s="378"/>
      <c r="M120" s="378"/>
      <c r="N120" s="378"/>
      <c r="O120" s="378"/>
      <c r="U120" s="182"/>
    </row>
    <row r="121" spans="1:21" s="1" customFormat="1" ht="51" x14ac:dyDescent="0.2">
      <c r="A121" s="110" t="str">
        <f ca="1">OFFSET(PO!J$12,ROW(A121)-ROW($A$12),0)</f>
        <v>Serviço</v>
      </c>
      <c r="B121" s="112" t="str">
        <f ca="1">IF($A121=0,"",OFFSET(PO!K$12,ROW(B121)-ROW(B$12),0))</f>
        <v>1.12.2.8.</v>
      </c>
      <c r="C121" s="109" t="str">
        <f ca="1">IF(OFFSET(PO!N$12,ROW(C121)-ROW(C$12),0)=0,"",OFFSET(PO!N$12,ROW(C121)-ROW(C$12),0))</f>
        <v>ARMAÇÃO DE PILAR OU VIGA DE ESTRUTURA CONVENCIONAL DE CONCRETO ARMADO UTILIZANDO AÇO CA-60 DE 5,0 MM - MONTAGEM. AF_06/2022</v>
      </c>
      <c r="D121" s="111" t="str">
        <f ca="1">IF(OFFSET(PO!O$12,ROW(D121)-ROW(D$12),0)=0,"",OFFSET(PO!O$12,ROW(D121)-ROW(D$12),0))</f>
        <v>KG</v>
      </c>
      <c r="E121" s="140">
        <f ca="1">IF($A121&lt;&gt;"Serviço",0,ROUND(SUMIF($F$9:$P$9,"&lt;&gt;",$F121:$P121),15-13*PO!$X$3))</f>
        <v>3.92</v>
      </c>
      <c r="F121" s="378">
        <f ca="1">OFFSET(PO!$P$12,ROW($E121)-ROW(F$12),0)</f>
        <v>3.92</v>
      </c>
      <c r="G121" s="378"/>
      <c r="H121" s="378"/>
      <c r="I121" s="378"/>
      <c r="J121" s="378"/>
      <c r="K121" s="378"/>
      <c r="L121" s="378"/>
      <c r="M121" s="378"/>
      <c r="N121" s="378"/>
      <c r="O121" s="378"/>
      <c r="U121" s="182"/>
    </row>
    <row r="122" spans="1:21" s="1" customFormat="1" x14ac:dyDescent="0.2">
      <c r="A122" s="110" t="str">
        <f ca="1">OFFSET(PO!J$12,ROW(A122)-ROW($A$12),0)</f>
        <v>Serviço</v>
      </c>
      <c r="B122" s="112" t="str">
        <f ca="1">IF($A122=0,"",OFFSET(PO!K$12,ROW(B122)-ROW(B$12),0))</f>
        <v>1.12.2.9.</v>
      </c>
      <c r="C122" s="109" t="str">
        <f ca="1">IF(OFFSET(PO!N$12,ROW(C122)-ROW(C$12),0)=0,"",OFFSET(PO!N$12,ROW(C122)-ROW(C$12),0))</f>
        <v>CONCRETAGEM DE PILARES, FCK = 25 MPA, COM USO DE BOMBA - LANÇAMENTO, ADENSAMENTO E ACABAMENTO. AF_02/2022_PS</v>
      </c>
      <c r="D122" s="111" t="str">
        <f ca="1">IF(OFFSET(PO!O$12,ROW(D122)-ROW(D$12),0)=0,"",OFFSET(PO!O$12,ROW(D122)-ROW(D$12),0))</f>
        <v>M3</v>
      </c>
      <c r="E122" s="140">
        <f ca="1">IF($A122&lt;&gt;"Serviço",0,ROUND(SUMIF($F$9:$P$9,"&lt;&gt;",$F122:$P122),15-13*PO!$X$3))</f>
        <v>0.2</v>
      </c>
      <c r="F122" s="378">
        <f ca="1">OFFSET(PO!$P$12,ROW($E122)-ROW(F$12),0)</f>
        <v>0.2</v>
      </c>
      <c r="G122" s="378"/>
      <c r="H122" s="378"/>
      <c r="I122" s="378"/>
      <c r="J122" s="378"/>
      <c r="K122" s="378"/>
      <c r="L122" s="378"/>
      <c r="M122" s="378"/>
      <c r="N122" s="378"/>
      <c r="O122" s="378"/>
      <c r="U122" s="182"/>
    </row>
    <row r="123" spans="1:21" s="1" customFormat="1" ht="51" x14ac:dyDescent="0.2">
      <c r="A123" s="110" t="str">
        <f ca="1">OFFSET(PO!J$12,ROW(A123)-ROW($A$12),0)</f>
        <v>Serviço</v>
      </c>
      <c r="B123" s="112" t="str">
        <f ca="1">IF($A123=0,"",OFFSET(PO!K$12,ROW(B123)-ROW(B$12),0))</f>
        <v>1.12.2.10.</v>
      </c>
      <c r="C123" s="109" t="str">
        <f ca="1">IF(OFFSET(PO!N$12,ROW(C123)-ROW(C$12),0)=0,"",OFFSET(PO!N$12,ROW(C123)-ROW(C$12),0))</f>
        <v>FABRICAÇÃO, MONTAGEM E DESMONTAGEM DE FÔRMA PARA VIGA BALDRAME, EM MADEIRA SERRADA, E=25 MM, 4 UTILIZAÇÕES. AF_01/2024</v>
      </c>
      <c r="D123" s="111" t="str">
        <f ca="1">IF(OFFSET(PO!O$12,ROW(D123)-ROW(D$12),0)=0,"",OFFSET(PO!O$12,ROW(D123)-ROW(D$12),0))</f>
        <v>M2</v>
      </c>
      <c r="E123" s="140">
        <f ca="1">IF($A123&lt;&gt;"Serviço",0,ROUND(SUMIF($F$9:$P$9,"&lt;&gt;",$F123:$P123),15-13*PO!$X$3))</f>
        <v>26.61</v>
      </c>
      <c r="F123" s="378">
        <f ca="1">OFFSET(PO!$P$12,ROW($E123)-ROW(F$12),0)</f>
        <v>26.61</v>
      </c>
      <c r="G123" s="378"/>
      <c r="H123" s="378"/>
      <c r="I123" s="378"/>
      <c r="J123" s="378"/>
      <c r="K123" s="378"/>
      <c r="L123" s="378"/>
      <c r="M123" s="378"/>
      <c r="N123" s="378"/>
      <c r="O123" s="378"/>
      <c r="U123" s="182"/>
    </row>
    <row r="124" spans="1:21" s="1" customFormat="1" ht="51" x14ac:dyDescent="0.2">
      <c r="A124" s="110" t="str">
        <f ca="1">OFFSET(PO!J$12,ROW(A124)-ROW($A$12),0)</f>
        <v>Serviço</v>
      </c>
      <c r="B124" s="112" t="str">
        <f ca="1">IF($A124=0,"",OFFSET(PO!K$12,ROW(B124)-ROW(B$12),0))</f>
        <v>1.12.2.11.</v>
      </c>
      <c r="C124" s="109" t="str">
        <f ca="1">IF(OFFSET(PO!N$12,ROW(C124)-ROW(C$12),0)=0,"",OFFSET(PO!N$12,ROW(C124)-ROW(C$12),0))</f>
        <v>ARMAÇÃO DE SAPATA ISOLADA, VIGA BALDRAME E SAPATA CORRIDA UTILIZANDO AÇO CA-60 DE 5 MM - MONTAGEM. AF_01/2024</v>
      </c>
      <c r="D124" s="111" t="str">
        <f ca="1">IF(OFFSET(PO!O$12,ROW(D124)-ROW(D$12),0)=0,"",OFFSET(PO!O$12,ROW(D124)-ROW(D$12),0))</f>
        <v>KG</v>
      </c>
      <c r="E124" s="140">
        <f ca="1">IF($A124&lt;&gt;"Serviço",0,ROUND(SUMIF($F$9:$P$9,"&lt;&gt;",$F124:$P124),15-13*PO!$X$3))</f>
        <v>44.13</v>
      </c>
      <c r="F124" s="378">
        <f ca="1">OFFSET(PO!$P$12,ROW($E124)-ROW(F$12),0)</f>
        <v>44.13</v>
      </c>
      <c r="G124" s="378"/>
      <c r="H124" s="378"/>
      <c r="I124" s="378"/>
      <c r="J124" s="378"/>
      <c r="K124" s="378"/>
      <c r="L124" s="378"/>
      <c r="M124" s="378"/>
      <c r="N124" s="378"/>
      <c r="O124" s="378"/>
      <c r="U124" s="182"/>
    </row>
    <row r="125" spans="1:21" s="1" customFormat="1" ht="51" x14ac:dyDescent="0.2">
      <c r="A125" s="110" t="str">
        <f ca="1">OFFSET(PO!J$12,ROW(A125)-ROW($A$12),0)</f>
        <v>Serviço</v>
      </c>
      <c r="B125" s="112" t="str">
        <f ca="1">IF($A125=0,"",OFFSET(PO!K$12,ROW(B125)-ROW(B$12),0))</f>
        <v>1.12.2.12.</v>
      </c>
      <c r="C125" s="109" t="str">
        <f ca="1">IF(OFFSET(PO!N$12,ROW(C125)-ROW(C$12),0)=0,"",OFFSET(PO!N$12,ROW(C125)-ROW(C$12),0))</f>
        <v>ARMAÇÃO DE SAPATA ISOLADA, VIGA BALDRAME E SAPATA CORRIDA UTILIZANDO AÇO CA-50 DE 8 MM - MONTAGEM. AF_01/2024</v>
      </c>
      <c r="D125" s="111" t="str">
        <f ca="1">IF(OFFSET(PO!O$12,ROW(D125)-ROW(D$12),0)=0,"",OFFSET(PO!O$12,ROW(D125)-ROW(D$12),0))</f>
        <v>KG</v>
      </c>
      <c r="E125" s="140">
        <f ca="1">IF($A125&lt;&gt;"Serviço",0,ROUND(SUMIF($F$9:$P$9,"&lt;&gt;",$F125:$P125),15-13*PO!$X$3))</f>
        <v>77.08</v>
      </c>
      <c r="F125" s="378">
        <f ca="1">OFFSET(PO!$P$12,ROW($E125)-ROW(F$12),0)</f>
        <v>77.08</v>
      </c>
      <c r="G125" s="378"/>
      <c r="H125" s="378"/>
      <c r="I125" s="378"/>
      <c r="J125" s="378"/>
      <c r="K125" s="378"/>
      <c r="L125" s="378"/>
      <c r="M125" s="378"/>
      <c r="N125" s="378"/>
      <c r="O125" s="378"/>
      <c r="U125" s="182"/>
    </row>
    <row r="126" spans="1:21" s="1" customFormat="1" ht="51" x14ac:dyDescent="0.2">
      <c r="A126" s="110" t="str">
        <f ca="1">OFFSET(PO!J$12,ROW(A126)-ROW($A$12),0)</f>
        <v>Serviço</v>
      </c>
      <c r="B126" s="112" t="str">
        <f ca="1">IF($A126=0,"",OFFSET(PO!K$12,ROW(B126)-ROW(B$12),0))</f>
        <v>1.12.2.13.</v>
      </c>
      <c r="C126" s="109" t="str">
        <f ca="1">IF(OFFSET(PO!N$12,ROW(C126)-ROW(C$12),0)=0,"",OFFSET(PO!N$12,ROW(C126)-ROW(C$12),0))</f>
        <v>CONCRETAGEM DE BLOCO DE COROAMENTO OU VIGA BALDRAME, FCK 30 MPA, COM USO DE BOMBA - LANÇAMENTO, ADENSAMENTO E ACABAMENTO. AF_01/2024</v>
      </c>
      <c r="D126" s="111" t="str">
        <f ca="1">IF(OFFSET(PO!O$12,ROW(D126)-ROW(D$12),0)=0,"",OFFSET(PO!O$12,ROW(D126)-ROW(D$12),0))</f>
        <v>M3</v>
      </c>
      <c r="E126" s="140">
        <f ca="1">IF($A126&lt;&gt;"Serviço",0,ROUND(SUMIF($F$9:$P$9,"&lt;&gt;",$F126:$P126),15-13*PO!$X$3))</f>
        <v>2.66</v>
      </c>
      <c r="F126" s="378">
        <f ca="1">OFFSET(PO!$P$12,ROW($E126)-ROW(F$12),0)</f>
        <v>2.66</v>
      </c>
      <c r="G126" s="378"/>
      <c r="H126" s="378"/>
      <c r="I126" s="378"/>
      <c r="J126" s="378"/>
      <c r="K126" s="378"/>
      <c r="L126" s="378"/>
      <c r="M126" s="378"/>
      <c r="N126" s="378"/>
      <c r="O126" s="378"/>
      <c r="U126" s="182"/>
    </row>
    <row r="127" spans="1:21" s="1" customFormat="1" ht="51" x14ac:dyDescent="0.2">
      <c r="A127" s="110" t="str">
        <f ca="1">OFFSET(PO!J$12,ROW(A127)-ROW($A$12),0)</f>
        <v>Serviço</v>
      </c>
      <c r="B127" s="112" t="str">
        <f ca="1">IF($A127=0,"",OFFSET(PO!K$12,ROW(B127)-ROW(B$12),0))</f>
        <v>1.12.2.14.</v>
      </c>
      <c r="C127" s="109" t="str">
        <f ca="1">IF(OFFSET(PO!N$12,ROW(C127)-ROW(C$12),0)=0,"",OFFSET(PO!N$12,ROW(C127)-ROW(C$12),0))</f>
        <v>MURO DE ARRIMO COM BLOCOS DE CONCRETO ESTRUTURAL, ATÉ 1,6 M DE ALTURA (EXCETO FUNDAÇÃO), INCLUINDO CINTAS DE AMARRAÇÃO, REATERRO DE VALAS, GRAUTEAMENTOS VERTICAIS E DRENAGEM DO MURO. (BASE SINAPI 100350)</v>
      </c>
      <c r="D127" s="111" t="str">
        <f ca="1">IF(OFFSET(PO!O$12,ROW(D127)-ROW(D$12),0)=0,"",OFFSET(PO!O$12,ROW(D127)-ROW(D$12),0))</f>
        <v>M2</v>
      </c>
      <c r="E127" s="140">
        <f ca="1">IF($A127&lt;&gt;"Serviço",0,ROUND(SUMIF($F$9:$P$9,"&lt;&gt;",$F127:$P127),15-13*PO!$X$3))</f>
        <v>15.85</v>
      </c>
      <c r="F127" s="378">
        <f ca="1">OFFSET(PO!$P$12,ROW($E127)-ROW(F$12),0)</f>
        <v>15.85</v>
      </c>
      <c r="G127" s="378"/>
      <c r="H127" s="378"/>
      <c r="I127" s="378"/>
      <c r="J127" s="378"/>
      <c r="K127" s="378"/>
      <c r="L127" s="378"/>
      <c r="M127" s="378"/>
      <c r="N127" s="378"/>
      <c r="O127" s="378"/>
      <c r="U127" s="182"/>
    </row>
    <row r="128" spans="1:21" s="1" customFormat="1" ht="38.25" x14ac:dyDescent="0.2">
      <c r="A128" s="110" t="str">
        <f ca="1">OFFSET(PO!J$12,ROW(A128)-ROW($A$12),0)</f>
        <v>Nível 3</v>
      </c>
      <c r="B128" s="112" t="str">
        <f ca="1">IF($A128=0,"",OFFSET(PO!K$12,ROW(B128)-ROW(B$12),0))</f>
        <v>1.12.3.</v>
      </c>
      <c r="C128" s="109" t="str">
        <f ca="1">IF(OFFSET(PO!N$12,ROW(C128)-ROW(C$12),0)=0,"",OFFSET(PO!N$12,ROW(C128)-ROW(C$12),0))</f>
        <v>Rampa - Impermeabilização e revestimentos</v>
      </c>
      <c r="D128" s="111" t="str">
        <f ca="1">IF(OFFSET(PO!O$12,ROW(D128)-ROW(D$12),0)=0,"",OFFSET(PO!O$12,ROW(D128)-ROW(D$12),0))</f>
        <v/>
      </c>
      <c r="E128" s="140">
        <f ca="1">IF($A128&lt;&gt;"Serviço",0,ROUND(SUMIF($F$9:$P$9,"&lt;&gt;",$F128:$P128),15-13*PO!$X$3))</f>
        <v>0</v>
      </c>
      <c r="F128" s="378" t="str">
        <f ca="1">OFFSET(PO!$P$12,ROW($E128)-ROW(F$12),0)</f>
        <v xml:space="preserve"> -  </v>
      </c>
      <c r="G128" s="378"/>
      <c r="H128" s="378"/>
      <c r="I128" s="378"/>
      <c r="J128" s="378"/>
      <c r="K128" s="378"/>
      <c r="L128" s="378"/>
      <c r="M128" s="378"/>
      <c r="N128" s="378"/>
      <c r="O128" s="378"/>
      <c r="U128" s="182"/>
    </row>
    <row r="129" spans="1:21" s="1" customFormat="1" x14ac:dyDescent="0.2">
      <c r="A129" s="110" t="str">
        <f ca="1">OFFSET(PO!J$12,ROW(A129)-ROW($A$12),0)</f>
        <v>Serviço</v>
      </c>
      <c r="B129" s="112" t="str">
        <f ca="1">IF($A129=0,"",OFFSET(PO!K$12,ROW(B129)-ROW(B$12),0))</f>
        <v>1.12.3.1.</v>
      </c>
      <c r="C129" s="109" t="str">
        <f ca="1">IF(OFFSET(PO!N$12,ROW(C129)-ROW(C$12),0)=0,"",OFFSET(PO!N$12,ROW(C129)-ROW(C$12),0))</f>
        <v>IMPERMEABILIZAÇÃO DE SUPERFÍCIE COM EMULSÃO ASFÁLTICA, 2 DEMÃOS. AF_09/2023</v>
      </c>
      <c r="D129" s="111" t="str">
        <f ca="1">IF(OFFSET(PO!O$12,ROW(D129)-ROW(D$12),0)=0,"",OFFSET(PO!O$12,ROW(D129)-ROW(D$12),0))</f>
        <v>M2</v>
      </c>
      <c r="E129" s="140">
        <f ca="1">IF($A129&lt;&gt;"Serviço",0,ROUND(SUMIF($F$9:$P$9,"&lt;&gt;",$F129:$P129),15-13*PO!$X$3))</f>
        <v>35.479999999999997</v>
      </c>
      <c r="F129" s="378">
        <f ca="1">OFFSET(PO!$P$12,ROW($E129)-ROW(F$12),0)</f>
        <v>35.479999999999997</v>
      </c>
      <c r="G129" s="378"/>
      <c r="H129" s="378"/>
      <c r="I129" s="378"/>
      <c r="J129" s="378"/>
      <c r="K129" s="378"/>
      <c r="L129" s="378"/>
      <c r="M129" s="378"/>
      <c r="N129" s="378"/>
      <c r="O129" s="378"/>
      <c r="U129" s="182"/>
    </row>
    <row r="130" spans="1:21" s="1" customFormat="1" ht="38.25" x14ac:dyDescent="0.2">
      <c r="A130" s="110" t="str">
        <f ca="1">OFFSET(PO!J$12,ROW(A130)-ROW($A$12),0)</f>
        <v>Serviço</v>
      </c>
      <c r="B130" s="112" t="str">
        <f ca="1">IF($A130=0,"",OFFSET(PO!K$12,ROW(B130)-ROW(B$12),0))</f>
        <v>1.12.3.2.</v>
      </c>
      <c r="C130" s="109" t="str">
        <f ca="1">IF(OFFSET(PO!N$12,ROW(C130)-ROW(C$12),0)=0,"",OFFSET(PO!N$12,ROW(C130)-ROW(C$12),0))</f>
        <v>IMPERMEABILIZAÇÃO DE SUPERFÍCIE COM EMULSÃO ASFÁLTICA, 2 DEMÃOS. AF_09/2023</v>
      </c>
      <c r="D130" s="111" t="str">
        <f ca="1">IF(OFFSET(PO!O$12,ROW(D130)-ROW(D$12),0)=0,"",OFFSET(PO!O$12,ROW(D130)-ROW(D$12),0))</f>
        <v>M2</v>
      </c>
      <c r="E130" s="140">
        <f ca="1">IF($A130&lt;&gt;"Serviço",0,ROUND(SUMIF($F$9:$P$9,"&lt;&gt;",$F130:$P130),15-13*PO!$X$3))</f>
        <v>31.7</v>
      </c>
      <c r="F130" s="378">
        <f ca="1">OFFSET(PO!$P$12,ROW($E130)-ROW(F$12),0)</f>
        <v>31.7</v>
      </c>
      <c r="G130" s="378"/>
      <c r="H130" s="378"/>
      <c r="I130" s="378"/>
      <c r="J130" s="378"/>
      <c r="K130" s="378"/>
      <c r="L130" s="378"/>
      <c r="M130" s="378"/>
      <c r="N130" s="378"/>
      <c r="O130" s="378"/>
      <c r="U130" s="182"/>
    </row>
    <row r="131" spans="1:21" s="1" customFormat="1" x14ac:dyDescent="0.2">
      <c r="A131" s="110" t="str">
        <f ca="1">OFFSET(PO!J$12,ROW(A131)-ROW($A$12),0)</f>
        <v>Serviço</v>
      </c>
      <c r="B131" s="112" t="str">
        <f ca="1">IF($A131=0,"",OFFSET(PO!K$12,ROW(B131)-ROW(B$12),0))</f>
        <v>1.12.3.3.</v>
      </c>
      <c r="C131" s="109" t="str">
        <f ca="1">IF(OFFSET(PO!N$12,ROW(C131)-ROW(C$12),0)=0,"",OFFSET(PO!N$12,ROW(C131)-ROW(C$12),0))</f>
        <v>CHAPISCO APLICADO EM ALVENARIA (SEM PRESENÇA DE VÃOS) E ESTRUTURAS DE CONCRETO DE FACHADA, COM COLHER DE PEDREIRO. ARGAMASSA TRAÇO 1:3 COM PREPARO EM BETONEIRA 400L. AF_10/2022</v>
      </c>
      <c r="D131" s="111" t="str">
        <f ca="1">IF(OFFSET(PO!O$12,ROW(D131)-ROW(D$12),0)=0,"",OFFSET(PO!O$12,ROW(D131)-ROW(D$12),0))</f>
        <v>M2</v>
      </c>
      <c r="E131" s="140">
        <f ca="1">IF($A131&lt;&gt;"Serviço",0,ROUND(SUMIF($F$9:$P$9,"&lt;&gt;",$F131:$P131),15-13*PO!$X$3))</f>
        <v>40.479999999999997</v>
      </c>
      <c r="F131" s="378">
        <f ca="1">OFFSET(PO!$P$12,ROW($E131)-ROW(F$12),0)</f>
        <v>40.479999999999997</v>
      </c>
      <c r="G131" s="378"/>
      <c r="H131" s="378"/>
      <c r="I131" s="378"/>
      <c r="J131" s="378"/>
      <c r="K131" s="378"/>
      <c r="L131" s="378"/>
      <c r="M131" s="378"/>
      <c r="N131" s="378"/>
      <c r="O131" s="378"/>
      <c r="U131" s="182"/>
    </row>
    <row r="132" spans="1:21" s="1" customFormat="1" x14ac:dyDescent="0.2">
      <c r="A132" s="110" t="str">
        <f ca="1">OFFSET(PO!J$12,ROW(A132)-ROW($A$12),0)</f>
        <v>Serviço</v>
      </c>
      <c r="B132" s="112" t="str">
        <f ca="1">IF($A132=0,"",OFFSET(PO!K$12,ROW(B132)-ROW(B$12),0))</f>
        <v>1.12.3.4.</v>
      </c>
      <c r="C132" s="109" t="str">
        <f ca="1">IF(OFFSET(PO!N$12,ROW(C132)-ROW(C$12),0)=0,"",OFFSET(PO!N$12,ROW(C132)-ROW(C$12),0))</f>
        <v>IMPERMEABILIZAÇÃO DE SUPERFÍCIE COM ARGAMASSA DE CIMENTO E AREIA, COM ADITIVO IMPERMEABILIZANTE, E = 1,5CM. AF_09/2023</v>
      </c>
      <c r="D132" s="111" t="str">
        <f ca="1">IF(OFFSET(PO!O$12,ROW(D132)-ROW(D$12),0)=0,"",OFFSET(PO!O$12,ROW(D132)-ROW(D$12),0))</f>
        <v>M2</v>
      </c>
      <c r="E132" s="140">
        <f ca="1">IF($A132&lt;&gt;"Serviço",0,ROUND(SUMIF($F$9:$P$9,"&lt;&gt;",$F132:$P132),15-13*PO!$X$3))</f>
        <v>15.85</v>
      </c>
      <c r="F132" s="378">
        <f ca="1">OFFSET(PO!$P$12,ROW($E132)-ROW(F$12),0)</f>
        <v>15.85</v>
      </c>
      <c r="G132" s="378"/>
      <c r="H132" s="378"/>
      <c r="I132" s="378"/>
      <c r="J132" s="378"/>
      <c r="K132" s="378"/>
      <c r="L132" s="378"/>
      <c r="M132" s="378"/>
      <c r="N132" s="378"/>
      <c r="O132" s="378"/>
      <c r="U132" s="182"/>
    </row>
    <row r="133" spans="1:21" s="1" customFormat="1" ht="25.5" x14ac:dyDescent="0.2">
      <c r="A133" s="110" t="str">
        <f ca="1">OFFSET(PO!J$12,ROW(A133)-ROW($A$12),0)</f>
        <v>Serviço</v>
      </c>
      <c r="B133" s="112" t="str">
        <f ca="1">IF($A133=0,"",OFFSET(PO!K$12,ROW(B133)-ROW(B$12),0))</f>
        <v>1.12.3.5.</v>
      </c>
      <c r="C133" s="109" t="str">
        <f ca="1">IF(OFFSET(PO!N$12,ROW(C133)-ROW(C$12),0)=0,"",OFFSET(PO!N$12,ROW(C133)-ROW(C$12),0))</f>
        <v>PROTEÇÃO MECÂNICA DE SUPERFÍCIE VERTICAL COM ARGAMASSA DE CIMENTO E AREIA, TRAÇO 1:3, E=2CM. AF_09/2023</v>
      </c>
      <c r="D133" s="111" t="str">
        <f ca="1">IF(OFFSET(PO!O$12,ROW(D133)-ROW(D$12),0)=0,"",OFFSET(PO!O$12,ROW(D133)-ROW(D$12),0))</f>
        <v>M2</v>
      </c>
      <c r="E133" s="140">
        <f ca="1">IF($A133&lt;&gt;"Serviço",0,ROUND(SUMIF($F$9:$P$9,"&lt;&gt;",$F133:$P133),15-13*PO!$X$3))</f>
        <v>15.85</v>
      </c>
      <c r="F133" s="378">
        <f ca="1">OFFSET(PO!$P$12,ROW($E133)-ROW(F$12),0)</f>
        <v>15.85</v>
      </c>
      <c r="G133" s="378"/>
      <c r="H133" s="378"/>
      <c r="I133" s="378"/>
      <c r="J133" s="378"/>
      <c r="K133" s="378"/>
      <c r="L133" s="378"/>
      <c r="M133" s="378"/>
      <c r="N133" s="378"/>
      <c r="O133" s="378"/>
      <c r="U133" s="182"/>
    </row>
    <row r="134" spans="1:21" s="1" customFormat="1" ht="25.5" x14ac:dyDescent="0.2">
      <c r="A134" s="110" t="str">
        <f ca="1">OFFSET(PO!J$12,ROW(A134)-ROW($A$12),0)</f>
        <v>Serviço</v>
      </c>
      <c r="B134" s="112" t="str">
        <f ca="1">IF($A134=0,"",OFFSET(PO!K$12,ROW(B134)-ROW(B$12),0))</f>
        <v>1.12.3.6.</v>
      </c>
      <c r="C134" s="109" t="str">
        <f ca="1">IF(OFFSET(PO!N$12,ROW(C134)-ROW(C$12),0)=0,"",OFFSET(PO!N$12,ROW(C134)-ROW(C$12),0))</f>
        <v>EMBOÇO OU MASSA ÚNICA EM ARGAMASSA TRAÇO 1:2:8, PREPARO MANUAL, APLICADA MANUALMENTE EM PANOS CEGOS DE FACHADA (SEM PRESENÇA DE VÃOS), ESPESSURA DE 25 MM. AF_09/2022</v>
      </c>
      <c r="D134" s="111" t="str">
        <f ca="1">IF(OFFSET(PO!O$12,ROW(D134)-ROW(D$12),0)=0,"",OFFSET(PO!O$12,ROW(D134)-ROW(D$12),0))</f>
        <v>M2</v>
      </c>
      <c r="E134" s="140">
        <f ca="1">IF($A134&lt;&gt;"Serviço",0,ROUND(SUMIF($F$9:$P$9,"&lt;&gt;",$F134:$P134),15-13*PO!$X$3))</f>
        <v>24.63</v>
      </c>
      <c r="F134" s="378">
        <f ca="1">OFFSET(PO!$P$12,ROW($E134)-ROW(F$12),0)</f>
        <v>24.63</v>
      </c>
      <c r="G134" s="378"/>
      <c r="H134" s="378"/>
      <c r="I134" s="378"/>
      <c r="J134" s="378"/>
      <c r="K134" s="378"/>
      <c r="L134" s="378"/>
      <c r="M134" s="378"/>
      <c r="N134" s="378"/>
      <c r="O134" s="378"/>
      <c r="U134" s="182"/>
    </row>
    <row r="135" spans="1:21" s="1" customFormat="1" x14ac:dyDescent="0.2">
      <c r="A135" s="110" t="str">
        <f ca="1">OFFSET(PO!J$12,ROW(A135)-ROW($A$12),0)</f>
        <v>Nível 3</v>
      </c>
      <c r="B135" s="112" t="str">
        <f ca="1">IF($A135=0,"",OFFSET(PO!K$12,ROW(B135)-ROW(B$12),0))</f>
        <v>1.12.4.</v>
      </c>
      <c r="C135" s="109" t="str">
        <f ca="1">IF(OFFSET(PO!N$12,ROW(C135)-ROW(C$12),0)=0,"",OFFSET(PO!N$12,ROW(C135)-ROW(C$12),0))</f>
        <v xml:space="preserve">Rampa - Pintura  </v>
      </c>
      <c r="D135" s="111" t="str">
        <f ca="1">IF(OFFSET(PO!O$12,ROW(D135)-ROW(D$12),0)=0,"",OFFSET(PO!O$12,ROW(D135)-ROW(D$12),0))</f>
        <v/>
      </c>
      <c r="E135" s="140">
        <f ca="1">IF($A135&lt;&gt;"Serviço",0,ROUND(SUMIF($F$9:$P$9,"&lt;&gt;",$F135:$P135),15-13*PO!$X$3))</f>
        <v>0</v>
      </c>
      <c r="F135" s="378" t="str">
        <f ca="1">OFFSET(PO!$P$12,ROW($E135)-ROW(F$12),0)</f>
        <v xml:space="preserve"> -  </v>
      </c>
      <c r="G135" s="378"/>
      <c r="H135" s="378"/>
      <c r="I135" s="378"/>
      <c r="J135" s="378"/>
      <c r="K135" s="378"/>
      <c r="L135" s="378"/>
      <c r="M135" s="378"/>
      <c r="N135" s="378"/>
      <c r="O135" s="378"/>
      <c r="U135" s="182"/>
    </row>
    <row r="136" spans="1:21" s="1" customFormat="1" ht="25.5" x14ac:dyDescent="0.2">
      <c r="A136" s="110" t="str">
        <f ca="1">OFFSET(PO!J$12,ROW(A136)-ROW($A$12),0)</f>
        <v>Serviço</v>
      </c>
      <c r="B136" s="112" t="str">
        <f ca="1">IF($A136=0,"",OFFSET(PO!K$12,ROW(B136)-ROW(B$12),0))</f>
        <v>1.12.4.1.</v>
      </c>
      <c r="C136" s="109" t="str">
        <f ca="1">IF(OFFSET(PO!N$12,ROW(C136)-ROW(C$12),0)=0,"",OFFSET(PO!N$12,ROW(C136)-ROW(C$12),0))</f>
        <v>LIXAMENTO E PREPARAÇÃO DE PAREDES PARA APLICAÇÃO DE FUNDO OU PINTURA (BASE SINAPI 88495 ADAPT.)</v>
      </c>
      <c r="D136" s="111" t="str">
        <f ca="1">IF(OFFSET(PO!O$12,ROW(D136)-ROW(D$12),0)=0,"",OFFSET(PO!O$12,ROW(D136)-ROW(D$12),0))</f>
        <v>M2</v>
      </c>
      <c r="E136" s="140">
        <f ca="1">IF($A136&lt;&gt;"Serviço",0,ROUND(SUMIF($F$9:$P$9,"&lt;&gt;",$F136:$P136),15-13*PO!$X$3))</f>
        <v>24.63</v>
      </c>
      <c r="F136" s="378">
        <f ca="1">OFFSET(PO!$P$12,ROW($E136)-ROW(F$12),0)</f>
        <v>24.63</v>
      </c>
      <c r="G136" s="378"/>
      <c r="H136" s="378"/>
      <c r="I136" s="378"/>
      <c r="J136" s="378"/>
      <c r="K136" s="378"/>
      <c r="L136" s="378"/>
      <c r="M136" s="378"/>
      <c r="N136" s="378"/>
      <c r="O136" s="378"/>
      <c r="U136" s="182"/>
    </row>
    <row r="137" spans="1:21" s="1" customFormat="1" ht="25.5" x14ac:dyDescent="0.2">
      <c r="A137" s="110" t="str">
        <f ca="1">OFFSET(PO!J$12,ROW(A137)-ROW($A$12),0)</f>
        <v>Serviço</v>
      </c>
      <c r="B137" s="112" t="str">
        <f ca="1">IF($A137=0,"",OFFSET(PO!K$12,ROW(B137)-ROW(B$12),0))</f>
        <v>1.12.4.2.</v>
      </c>
      <c r="C137" s="109" t="str">
        <f ca="1">IF(OFFSET(PO!N$12,ROW(C137)-ROW(C$12),0)=0,"",OFFSET(PO!N$12,ROW(C137)-ROW(C$12),0))</f>
        <v>APLICAÇÃO MANUAL DE FUNDO SELADOR ACRÍLICO EM PAREDES EXTERNAS DE CASAS. AF_03/2024</v>
      </c>
      <c r="D137" s="111" t="str">
        <f ca="1">IF(OFFSET(PO!O$12,ROW(D137)-ROW(D$12),0)=0,"",OFFSET(PO!O$12,ROW(D137)-ROW(D$12),0))</f>
        <v>M2</v>
      </c>
      <c r="E137" s="140">
        <f ca="1">IF($A137&lt;&gt;"Serviço",0,ROUND(SUMIF($F$9:$P$9,"&lt;&gt;",$F137:$P137),15-13*PO!$X$3))</f>
        <v>24.63</v>
      </c>
      <c r="F137" s="378">
        <f ca="1">OFFSET(PO!$P$12,ROW($E137)-ROW(F$12),0)</f>
        <v>24.63</v>
      </c>
      <c r="G137" s="378"/>
      <c r="H137" s="378"/>
      <c r="I137" s="378"/>
      <c r="J137" s="378"/>
      <c r="K137" s="378"/>
      <c r="L137" s="378"/>
      <c r="M137" s="378"/>
      <c r="N137" s="378"/>
      <c r="O137" s="378"/>
      <c r="U137" s="182"/>
    </row>
    <row r="138" spans="1:21" s="1" customFormat="1" ht="25.5" x14ac:dyDescent="0.2">
      <c r="A138" s="110" t="str">
        <f ca="1">OFFSET(PO!J$12,ROW(A138)-ROW($A$12),0)</f>
        <v>Serviço</v>
      </c>
      <c r="B138" s="112" t="str">
        <f ca="1">IF($A138=0,"",OFFSET(PO!K$12,ROW(B138)-ROW(B$12),0))</f>
        <v>1.12.4.3.</v>
      </c>
      <c r="C138" s="109" t="str">
        <f ca="1">IF(OFFSET(PO!N$12,ROW(C138)-ROW(C$12),0)=0,"",OFFSET(PO!N$12,ROW(C138)-ROW(C$12),0))</f>
        <v>APLICAÇÃO MANUAL DE TINTA LÁTEX ACRÍLICA EM PAREDE EXTERNAS DE CASAS, DUAS DEMÃOS. AF_03/2024</v>
      </c>
      <c r="D138" s="111" t="str">
        <f ca="1">IF(OFFSET(PO!O$12,ROW(D138)-ROW(D$12),0)=0,"",OFFSET(PO!O$12,ROW(D138)-ROW(D$12),0))</f>
        <v>M2</v>
      </c>
      <c r="E138" s="140">
        <f ca="1">IF($A138&lt;&gt;"Serviço",0,ROUND(SUMIF($F$9:$P$9,"&lt;&gt;",$F138:$P138),15-13*PO!$X$3))</f>
        <v>24.63</v>
      </c>
      <c r="F138" s="378">
        <f ca="1">OFFSET(PO!$P$12,ROW($E138)-ROW(F$12),0)</f>
        <v>24.63</v>
      </c>
      <c r="G138" s="378"/>
      <c r="H138" s="378"/>
      <c r="I138" s="378"/>
      <c r="J138" s="378"/>
      <c r="K138" s="378"/>
      <c r="L138" s="378"/>
      <c r="M138" s="378"/>
      <c r="N138" s="378"/>
      <c r="O138" s="378"/>
      <c r="U138" s="182"/>
    </row>
    <row r="139" spans="1:21" s="1" customFormat="1" x14ac:dyDescent="0.2">
      <c r="A139" s="110" t="str">
        <f ca="1">OFFSET(PO!J$12,ROW(A139)-ROW($A$12),0)</f>
        <v>Nível 3</v>
      </c>
      <c r="B139" s="112" t="str">
        <f ca="1">IF($A139=0,"",OFFSET(PO!K$12,ROW(B139)-ROW(B$12),0))</f>
        <v>1.12.5.</v>
      </c>
      <c r="C139" s="109" t="str">
        <f ca="1">IF(OFFSET(PO!N$12,ROW(C139)-ROW(C$12),0)=0,"",OFFSET(PO!N$12,ROW(C139)-ROW(C$12),0))</f>
        <v>Piso da rampa, c/ lastro, compactação, lona, formas, armação, concretagem, acabamento e juntas</v>
      </c>
      <c r="D139" s="111" t="str">
        <f ca="1">IF(OFFSET(PO!O$12,ROW(D139)-ROW(D$12),0)=0,"",OFFSET(PO!O$12,ROW(D139)-ROW(D$12),0))</f>
        <v/>
      </c>
      <c r="E139" s="140">
        <f ca="1">IF($A139&lt;&gt;"Serviço",0,ROUND(SUMIF($F$9:$P$9,"&lt;&gt;",$F139:$P139),15-13*PO!$X$3))</f>
        <v>0</v>
      </c>
      <c r="F139" s="378" t="str">
        <f ca="1">OFFSET(PO!$P$12,ROW($E139)-ROW(F$12),0)</f>
        <v xml:space="preserve"> -  </v>
      </c>
      <c r="G139" s="378"/>
      <c r="H139" s="378"/>
      <c r="I139" s="378"/>
      <c r="J139" s="378"/>
      <c r="K139" s="378"/>
      <c r="L139" s="378"/>
      <c r="M139" s="378"/>
      <c r="N139" s="378"/>
      <c r="O139" s="378"/>
      <c r="U139" s="182"/>
    </row>
    <row r="140" spans="1:21" s="1" customFormat="1" x14ac:dyDescent="0.2">
      <c r="A140" s="110" t="str">
        <f ca="1">OFFSET(PO!J$12,ROW(A140)-ROW($A$12),0)</f>
        <v>Serviço</v>
      </c>
      <c r="B140" s="112" t="str">
        <f ca="1">IF($A140=0,"",OFFSET(PO!K$12,ROW(B140)-ROW(B$12),0))</f>
        <v>1.12.5.1.</v>
      </c>
      <c r="C140" s="109" t="str">
        <f ca="1">IF(OFFSET(PO!N$12,ROW(C140)-ROW(C$12),0)=0,"",OFFSET(PO!N$12,ROW(C140)-ROW(C$12),0))</f>
        <v>EXECUÇÃO DE LAJE SOBRE SOLO, ESPESSURA DE 10 CM, FCK = 30 MPA, COM USO DE FORMAS EM MADEIRA SERRADA. AF_09/2021</v>
      </c>
      <c r="D140" s="111" t="str">
        <f ca="1">IF(OFFSET(PO!O$12,ROW(D140)-ROW(D$12),0)=0,"",OFFSET(PO!O$12,ROW(D140)-ROW(D$12),0))</f>
        <v>M2</v>
      </c>
      <c r="E140" s="140">
        <f ca="1">IF($A140&lt;&gt;"Serviço",0,ROUND(SUMIF($F$9:$P$9,"&lt;&gt;",$F140:$P140),15-13*PO!$X$3))</f>
        <v>41.28</v>
      </c>
      <c r="F140" s="378">
        <f ca="1">OFFSET(PO!$P$12,ROW($E140)-ROW(F$12),0)</f>
        <v>41.28</v>
      </c>
      <c r="G140" s="378"/>
      <c r="H140" s="378"/>
      <c r="I140" s="378"/>
      <c r="J140" s="378"/>
      <c r="K140" s="378"/>
      <c r="L140" s="378"/>
      <c r="M140" s="378"/>
      <c r="N140" s="378"/>
      <c r="O140" s="378"/>
      <c r="U140" s="182"/>
    </row>
    <row r="141" spans="1:21" s="1" customFormat="1" ht="51" x14ac:dyDescent="0.2">
      <c r="A141" s="110" t="str">
        <f ca="1">OFFSET(PO!J$12,ROW(A141)-ROW($A$12),0)</f>
        <v>Nível 3</v>
      </c>
      <c r="B141" s="112" t="str">
        <f ca="1">IF($A141=0,"",OFFSET(PO!K$12,ROW(B141)-ROW(B$12),0))</f>
        <v>1.12.6.</v>
      </c>
      <c r="C141" s="109" t="str">
        <f ca="1">IF(OFFSET(PO!N$12,ROW(C141)-ROW(C$12),0)=0,"",OFFSET(PO!N$12,ROW(C141)-ROW(C$12),0))</f>
        <v>Rampa - Guarda-corpos e corrimões</v>
      </c>
      <c r="D141" s="111" t="str">
        <f ca="1">IF(OFFSET(PO!O$12,ROW(D141)-ROW(D$12),0)=0,"",OFFSET(PO!O$12,ROW(D141)-ROW(D$12),0))</f>
        <v/>
      </c>
      <c r="E141" s="140">
        <f ca="1">IF($A141&lt;&gt;"Serviço",0,ROUND(SUMIF($F$9:$P$9,"&lt;&gt;",$F141:$P141),15-13*PO!$X$3))</f>
        <v>0</v>
      </c>
      <c r="F141" s="378" t="str">
        <f ca="1">OFFSET(PO!$P$12,ROW($E141)-ROW(F$12),0)</f>
        <v xml:space="preserve"> -  </v>
      </c>
      <c r="G141" s="378"/>
      <c r="H141" s="378"/>
      <c r="I141" s="378"/>
      <c r="J141" s="378"/>
      <c r="K141" s="378"/>
      <c r="L141" s="378"/>
      <c r="M141" s="378"/>
      <c r="N141" s="378"/>
      <c r="O141" s="378"/>
      <c r="U141" s="182"/>
    </row>
    <row r="142" spans="1:21" s="1" customFormat="1" ht="63.75" x14ac:dyDescent="0.2">
      <c r="A142" s="110" t="str">
        <f ca="1">OFFSET(PO!J$12,ROW(A142)-ROW($A$12),0)</f>
        <v>Serviço</v>
      </c>
      <c r="B142" s="112" t="str">
        <f ca="1">IF($A142=0,"",OFFSET(PO!K$12,ROW(B142)-ROW(B$12),0))</f>
        <v>1.12.6.1.</v>
      </c>
      <c r="C142" s="109" t="str">
        <f ca="1">IF(OFFSET(PO!N$12,ROW(C142)-ROW(C$12),0)=0,"",OFFSET(PO!N$12,ROW(C142)-ROW(C$12),0))</f>
        <v>GUARDA-CORPO DE AÇO GALVANIZADO DE 1,10M, DUPLO 
CORRIMÃO, MONTANTES TUBULARES DE 1.1/4" ESPAÇADOS DE 
1,20M, TRAVESSA SUPERIOR DE 1.1/2", GRADIL EM TUBOS 
HORIZONTAIS DE 1" E VERTICAIS DE 3/4", FIXADO COM ADESIVO 
ESTRUTURAL EPOXI OU CHUMBADOR MECÂNICO (BASE SINAPI 99851 E 99842)</v>
      </c>
      <c r="D142" s="111" t="str">
        <f ca="1">IF(OFFSET(PO!O$12,ROW(D142)-ROW(D$12),0)=0,"",OFFSET(PO!O$12,ROW(D142)-ROW(D$12),0))</f>
        <v>M</v>
      </c>
      <c r="E142" s="140">
        <f ca="1">IF($A142&lt;&gt;"Serviço",0,ROUND(SUMIF($F$9:$P$9,"&lt;&gt;",$F142:$P142),15-13*PO!$X$3))</f>
        <v>33.6</v>
      </c>
      <c r="F142" s="378">
        <f ca="1">OFFSET(PO!$P$12,ROW($E142)-ROW(F$12),0)</f>
        <v>33.6</v>
      </c>
      <c r="G142" s="378"/>
      <c r="H142" s="378"/>
      <c r="I142" s="378"/>
      <c r="J142" s="378"/>
      <c r="K142" s="378"/>
      <c r="L142" s="378"/>
      <c r="M142" s="378"/>
      <c r="N142" s="378"/>
      <c r="O142" s="378"/>
      <c r="U142" s="182"/>
    </row>
    <row r="143" spans="1:21" s="1" customFormat="1" ht="38.25" x14ac:dyDescent="0.2">
      <c r="A143" s="110" t="str">
        <f ca="1">OFFSET(PO!J$12,ROW(A143)-ROW($A$12),0)</f>
        <v>Serviço</v>
      </c>
      <c r="B143" s="112" t="str">
        <f ca="1">IF($A143=0,"",OFFSET(PO!K$12,ROW(B143)-ROW(B$12),0))</f>
        <v>1.12.6.2.</v>
      </c>
      <c r="C143" s="109" t="str">
        <f ca="1">IF(OFFSET(PO!N$12,ROW(C143)-ROW(C$12),0)=0,"",OFFSET(PO!N$12,ROW(C143)-ROW(C$12),0))</f>
        <v>CORRIMÃO DUPLO FIXADO NO PISO EM AÇO GALVANIZADO DE 
1.1/2", MONTANTES TUBULARES 1.1/2" ESPAÇADOS DE 1,00M, 
FIXADO COM CHUMBADOR MECÂNICO. (BASE SINAPI 106211)</v>
      </c>
      <c r="D143" s="111" t="str">
        <f ca="1">IF(OFFSET(PO!O$12,ROW(D143)-ROW(D$12),0)=0,"",OFFSET(PO!O$12,ROW(D143)-ROW(D$12),0))</f>
        <v>M</v>
      </c>
      <c r="E143" s="140">
        <f ca="1">IF($A143&lt;&gt;"Serviço",0,ROUND(SUMIF($F$9:$P$9,"&lt;&gt;",$F143:$P143),15-13*PO!$X$3))</f>
        <v>8.4</v>
      </c>
      <c r="F143" s="378">
        <f ca="1">OFFSET(PO!$P$12,ROW($E143)-ROW(F$12),0)</f>
        <v>8.4</v>
      </c>
      <c r="G143" s="378"/>
      <c r="H143" s="378"/>
      <c r="I143" s="378"/>
      <c r="J143" s="378"/>
      <c r="K143" s="378"/>
      <c r="L143" s="378"/>
      <c r="M143" s="378"/>
      <c r="N143" s="378"/>
      <c r="O143" s="378"/>
      <c r="U143" s="182"/>
    </row>
    <row r="144" spans="1:21" s="1" customFormat="1" ht="38.25" x14ac:dyDescent="0.2">
      <c r="A144" s="110" t="str">
        <f ca="1">OFFSET(PO!J$12,ROW(A144)-ROW($A$12),0)</f>
        <v>Nível 3</v>
      </c>
      <c r="B144" s="112" t="str">
        <f ca="1">IF($A144=0,"",OFFSET(PO!K$12,ROW(B144)-ROW(B$12),0))</f>
        <v>1.12.7.</v>
      </c>
      <c r="C144" s="109" t="str">
        <f ca="1">IF(OFFSET(PO!N$12,ROW(C144)-ROW(C$12),0)=0,"",OFFSET(PO!N$12,ROW(C144)-ROW(C$12),0))</f>
        <v>Rampa - Pintura guarda-corpos e corrimões</v>
      </c>
      <c r="D144" s="111" t="str">
        <f ca="1">IF(OFFSET(PO!O$12,ROW(D144)-ROW(D$12),0)=0,"",OFFSET(PO!O$12,ROW(D144)-ROW(D$12),0))</f>
        <v/>
      </c>
      <c r="E144" s="140">
        <f ca="1">IF($A144&lt;&gt;"Serviço",0,ROUND(SUMIF($F$9:$P$9,"&lt;&gt;",$F144:$P144),15-13*PO!$X$3))</f>
        <v>0</v>
      </c>
      <c r="F144" s="378" t="str">
        <f ca="1">OFFSET(PO!$P$12,ROW($E144)-ROW(F$12),0)</f>
        <v xml:space="preserve"> -  </v>
      </c>
      <c r="G144" s="378"/>
      <c r="H144" s="378"/>
      <c r="I144" s="378"/>
      <c r="J144" s="378"/>
      <c r="K144" s="378"/>
      <c r="L144" s="378"/>
      <c r="M144" s="378"/>
      <c r="N144" s="378"/>
      <c r="O144" s="378"/>
      <c r="U144" s="182"/>
    </row>
    <row r="145" spans="1:21" s="1" customFormat="1" ht="38.25" x14ac:dyDescent="0.2">
      <c r="A145" s="110" t="str">
        <f ca="1">OFFSET(PO!J$12,ROW(A145)-ROW($A$12),0)</f>
        <v>Serviço</v>
      </c>
      <c r="B145" s="112" t="str">
        <f ca="1">IF($A145=0,"",OFFSET(PO!K$12,ROW(B145)-ROW(B$12),0))</f>
        <v>1.12.7.1.</v>
      </c>
      <c r="C145" s="109" t="str">
        <f ca="1">IF(OFFSET(PO!N$12,ROW(C145)-ROW(C$12),0)=0,"",OFFSET(PO!N$12,ROW(C145)-ROW(C$12),0))</f>
        <v>LIXAMENTO MANUAL EM SUPERFÍCIES METÁLICAS EM OBRA. AF_01/2020</v>
      </c>
      <c r="D145" s="111" t="str">
        <f ca="1">IF(OFFSET(PO!O$12,ROW(D145)-ROW(D$12),0)=0,"",OFFSET(PO!O$12,ROW(D145)-ROW(D$12),0))</f>
        <v>M2</v>
      </c>
      <c r="E145" s="140">
        <f ca="1">IF($A145&lt;&gt;"Serviço",0,ROUND(SUMIF($F$9:$P$9,"&lt;&gt;",$F145:$P145),15-13*PO!$X$3))</f>
        <v>46.95</v>
      </c>
      <c r="F145" s="378">
        <f ca="1">OFFSET(PO!$P$12,ROW($E145)-ROW(F$12),0)</f>
        <v>46.95</v>
      </c>
      <c r="G145" s="378"/>
      <c r="H145" s="378"/>
      <c r="I145" s="378"/>
      <c r="J145" s="378"/>
      <c r="K145" s="378"/>
      <c r="L145" s="378"/>
      <c r="M145" s="378"/>
      <c r="N145" s="378"/>
      <c r="O145" s="378"/>
      <c r="U145" s="182"/>
    </row>
    <row r="146" spans="1:21" s="1" customFormat="1" x14ac:dyDescent="0.2">
      <c r="A146" s="110" t="str">
        <f ca="1">OFFSET(PO!J$12,ROW(A146)-ROW($A$12),0)</f>
        <v>Serviço</v>
      </c>
      <c r="B146" s="112" t="str">
        <f ca="1">IF($A146=0,"",OFFSET(PO!K$12,ROW(B146)-ROW(B$12),0))</f>
        <v>1.12.7.2.</v>
      </c>
      <c r="C146" s="109" t="str">
        <f ca="1">IF(OFFSET(PO!N$12,ROW(C146)-ROW(C$12),0)=0,"",OFFSET(PO!N$12,ROW(C146)-ROW(C$12),0))</f>
        <v>PINTURA COM TINTA ALQUÍDICA DE FUNDO (TIPO ZARCÃO) APLICADA A ROLO OU PINCEL SOBRE PERFIL METÁLICO EXECUTADO EM FÁBRICA (POR DEMÃO). AF_01/2020</v>
      </c>
      <c r="D146" s="111" t="str">
        <f ca="1">IF(OFFSET(PO!O$12,ROW(D146)-ROW(D$12),0)=0,"",OFFSET(PO!O$12,ROW(D146)-ROW(D$12),0))</f>
        <v>M2</v>
      </c>
      <c r="E146" s="140">
        <f ca="1">IF($A146&lt;&gt;"Serviço",0,ROUND(SUMIF($F$9:$P$9,"&lt;&gt;",$F146:$P146),15-13*PO!$X$3))</f>
        <v>93.9</v>
      </c>
      <c r="F146" s="378">
        <f ca="1">OFFSET(PO!$P$12,ROW($E146)-ROW(F$12),0)</f>
        <v>93.9</v>
      </c>
      <c r="G146" s="378"/>
      <c r="H146" s="378"/>
      <c r="I146" s="378"/>
      <c r="J146" s="378"/>
      <c r="K146" s="378"/>
      <c r="L146" s="378"/>
      <c r="M146" s="378"/>
      <c r="N146" s="378"/>
      <c r="O146" s="378"/>
      <c r="U146" s="182"/>
    </row>
    <row r="147" spans="1:21" s="1" customFormat="1" x14ac:dyDescent="0.2">
      <c r="A147" s="110" t="str">
        <f ca="1">OFFSET(PO!J$12,ROW(A147)-ROW($A$12),0)</f>
        <v>Serviço</v>
      </c>
      <c r="B147" s="112" t="str">
        <f ca="1">IF($A147=0,"",OFFSET(PO!K$12,ROW(B147)-ROW(B$12),0))</f>
        <v>1.12.7.3.</v>
      </c>
      <c r="C147" s="109" t="str">
        <f ca="1">IF(OFFSET(PO!N$12,ROW(C147)-ROW(C$12),0)=0,"",OFFSET(PO!N$12,ROW(C147)-ROW(C$12),0))</f>
        <v>PINTURA COM TINTA ALQUÍDICA DE ACABAMENTO (ESMALTE SINTÉTICO BRILHANTE) APLICADA A ROLO OU PINCEL SOBRE PERFIL METÁLICO EXECUTADO EM FÁBRICA (POR DEMÃO). AF_01/2020</v>
      </c>
      <c r="D147" s="111" t="str">
        <f ca="1">IF(OFFSET(PO!O$12,ROW(D147)-ROW(D$12),0)=0,"",OFFSET(PO!O$12,ROW(D147)-ROW(D$12),0))</f>
        <v>M2</v>
      </c>
      <c r="E147" s="140">
        <f ca="1">IF($A147&lt;&gt;"Serviço",0,ROUND(SUMIF($F$9:$P$9,"&lt;&gt;",$F147:$P147),15-13*PO!$X$3))</f>
        <v>93.9</v>
      </c>
      <c r="F147" s="378">
        <f ca="1">OFFSET(PO!$P$12,ROW($E147)-ROW(F$12),0)</f>
        <v>93.9</v>
      </c>
      <c r="G147" s="378"/>
      <c r="H147" s="378"/>
      <c r="I147" s="378"/>
      <c r="J147" s="378"/>
      <c r="K147" s="378"/>
      <c r="L147" s="378"/>
      <c r="M147" s="378"/>
      <c r="N147" s="378"/>
      <c r="O147" s="378"/>
      <c r="U147" s="182"/>
    </row>
    <row r="148" spans="1:21" s="1" customFormat="1" ht="51" x14ac:dyDescent="0.2">
      <c r="A148" s="110" t="str">
        <f ca="1">OFFSET(PO!J$12,ROW(A148)-ROW($A$12),0)</f>
        <v>Nível 2</v>
      </c>
      <c r="B148" s="112" t="str">
        <f ca="1">IF($A148=0,"",OFFSET(PO!K$12,ROW(B148)-ROW(B$12),0))</f>
        <v>1.13.</v>
      </c>
      <c r="C148" s="109" t="str">
        <f ca="1">IF(OFFSET(PO!N$12,ROW(C148)-ROW(C$12),0)=0,"",OFFSET(PO!N$12,ROW(C148)-ROW(C$12),0))</f>
        <v>LIXEIRA PRXÓXIMA À RAMPA</v>
      </c>
      <c r="D148" s="111" t="str">
        <f ca="1">IF(OFFSET(PO!O$12,ROW(D148)-ROW(D$12),0)=0,"",OFFSET(PO!O$12,ROW(D148)-ROW(D$12),0))</f>
        <v/>
      </c>
      <c r="E148" s="140">
        <f ca="1">IF($A148&lt;&gt;"Serviço",0,ROUND(SUMIF($F$9:$P$9,"&lt;&gt;",$F148:$P148),15-13*PO!$X$3))</f>
        <v>0</v>
      </c>
      <c r="F148" s="378" t="str">
        <f ca="1">OFFSET(PO!$P$12,ROW($E148)-ROW(F$12),0)</f>
        <v xml:space="preserve"> -  </v>
      </c>
      <c r="G148" s="378"/>
      <c r="H148" s="378"/>
      <c r="I148" s="378"/>
      <c r="J148" s="378"/>
      <c r="K148" s="378"/>
      <c r="L148" s="378"/>
      <c r="M148" s="378"/>
      <c r="N148" s="378"/>
      <c r="O148" s="378"/>
      <c r="U148" s="182"/>
    </row>
    <row r="149" spans="1:21" s="1" customFormat="1" ht="25.5" x14ac:dyDescent="0.2">
      <c r="A149" s="110" t="str">
        <f ca="1">OFFSET(PO!J$12,ROW(A149)-ROW($A$12),0)</f>
        <v>Nível 3</v>
      </c>
      <c r="B149" s="112" t="str">
        <f ca="1">IF($A149=0,"",OFFSET(PO!K$12,ROW(B149)-ROW(B$12),0))</f>
        <v>1.13.1.</v>
      </c>
      <c r="C149" s="109" t="str">
        <f ca="1">IF(OFFSET(PO!N$12,ROW(C149)-ROW(C$12),0)=0,"",OFFSET(PO!N$12,ROW(C149)-ROW(C$12),0))</f>
        <v>Base em concreto armado - Lixeira</v>
      </c>
      <c r="D149" s="111" t="str">
        <f ca="1">IF(OFFSET(PO!O$12,ROW(D149)-ROW(D$12),0)=0,"",OFFSET(PO!O$12,ROW(D149)-ROW(D$12),0))</f>
        <v/>
      </c>
      <c r="E149" s="140">
        <f ca="1">IF($A149&lt;&gt;"Serviço",0,ROUND(SUMIF($F$9:$P$9,"&lt;&gt;",$F149:$P149),15-13*PO!$X$3))</f>
        <v>0</v>
      </c>
      <c r="F149" s="378" t="str">
        <f ca="1">OFFSET(PO!$P$12,ROW($E149)-ROW(F$12),0)</f>
        <v xml:space="preserve"> -  </v>
      </c>
      <c r="G149" s="378"/>
      <c r="H149" s="378"/>
      <c r="I149" s="378"/>
      <c r="J149" s="378"/>
      <c r="K149" s="378"/>
      <c r="L149" s="378"/>
      <c r="M149" s="378"/>
      <c r="N149" s="378"/>
      <c r="O149" s="378"/>
      <c r="U149" s="182"/>
    </row>
    <row r="150" spans="1:21" s="1" customFormat="1" ht="25.5" x14ac:dyDescent="0.2">
      <c r="A150" s="110" t="str">
        <f ca="1">OFFSET(PO!J$12,ROW(A150)-ROW($A$12),0)</f>
        <v>Serviço</v>
      </c>
      <c r="B150" s="112" t="str">
        <f ca="1">IF($A150=0,"",OFFSET(PO!K$12,ROW(B150)-ROW(B$12),0))</f>
        <v>1.13.1.1.</v>
      </c>
      <c r="C150" s="109" t="str">
        <f ca="1">IF(OFFSET(PO!N$12,ROW(C150)-ROW(C$12),0)=0,"",OFFSET(PO!N$12,ROW(C150)-ROW(C$12),0))</f>
        <v>EXECUÇÃO DE LAJE SOBRE SOLO, ESPESSURA DE 10 CM, FCK = 30 MPA, COM USO DE FORMAS EM MADEIRA SERRADA. AF_09/2021</v>
      </c>
      <c r="D150" s="111" t="str">
        <f ca="1">IF(OFFSET(PO!O$12,ROW(D150)-ROW(D$12),0)=0,"",OFFSET(PO!O$12,ROW(D150)-ROW(D$12),0))</f>
        <v>M2</v>
      </c>
      <c r="E150" s="140">
        <f ca="1">IF($A150&lt;&gt;"Serviço",0,ROUND(SUMIF($F$9:$P$9,"&lt;&gt;",$F150:$P150),15-13*PO!$X$3))</f>
        <v>1.84</v>
      </c>
      <c r="F150" s="378">
        <f ca="1">OFFSET(PO!$P$12,ROW($E150)-ROW(F$12),0)</f>
        <v>1.84</v>
      </c>
      <c r="G150" s="378"/>
      <c r="H150" s="378"/>
      <c r="I150" s="378"/>
      <c r="J150" s="378"/>
      <c r="K150" s="378"/>
      <c r="L150" s="378"/>
      <c r="M150" s="378"/>
      <c r="N150" s="378"/>
      <c r="O150" s="378"/>
      <c r="U150" s="182"/>
    </row>
    <row r="151" spans="1:21" s="1" customFormat="1" x14ac:dyDescent="0.2">
      <c r="A151" s="110" t="str">
        <f ca="1">OFFSET(PO!J$12,ROW(A151)-ROW($A$12),0)</f>
        <v>Nível 3</v>
      </c>
      <c r="B151" s="112" t="str">
        <f ca="1">IF($A151=0,"",OFFSET(PO!K$12,ROW(B151)-ROW(B$12),0))</f>
        <v>1.13.2.</v>
      </c>
      <c r="C151" s="109" t="str">
        <f ca="1">IF(OFFSET(PO!N$12,ROW(C151)-ROW(C$12),0)=0,"",OFFSET(PO!N$12,ROW(C151)-ROW(C$12),0))</f>
        <v>Paredes e revestimentos - lixeira</v>
      </c>
      <c r="D151" s="111" t="str">
        <f ca="1">IF(OFFSET(PO!O$12,ROW(D151)-ROW(D$12),0)=0,"",OFFSET(PO!O$12,ROW(D151)-ROW(D$12),0))</f>
        <v/>
      </c>
      <c r="E151" s="140">
        <f ca="1">IF($A151&lt;&gt;"Serviço",0,ROUND(SUMIF($F$9:$P$9,"&lt;&gt;",$F151:$P151),15-13*PO!$X$3))</f>
        <v>0</v>
      </c>
      <c r="F151" s="378" t="str">
        <f ca="1">OFFSET(PO!$P$12,ROW($E151)-ROW(F$12),0)</f>
        <v xml:space="preserve"> -  </v>
      </c>
      <c r="G151" s="378"/>
      <c r="H151" s="378"/>
      <c r="I151" s="378"/>
      <c r="J151" s="378"/>
      <c r="K151" s="378"/>
      <c r="L151" s="378"/>
      <c r="M151" s="378"/>
      <c r="N151" s="378"/>
      <c r="O151" s="378"/>
      <c r="U151" s="182"/>
    </row>
    <row r="152" spans="1:21" s="1" customFormat="1" ht="25.5" x14ac:dyDescent="0.2">
      <c r="A152" s="110" t="str">
        <f ca="1">OFFSET(PO!J$12,ROW(A152)-ROW($A$12),0)</f>
        <v>Serviço</v>
      </c>
      <c r="B152" s="112" t="str">
        <f ca="1">IF($A152=0,"",OFFSET(PO!K$12,ROW(B152)-ROW(B$12),0))</f>
        <v>1.13.2.1.</v>
      </c>
      <c r="C152" s="109" t="str">
        <f ca="1">IF(OFFSET(PO!N$12,ROW(C152)-ROW(C$12),0)=0,"",OFFSET(PO!N$12,ROW(C152)-ROW(C$12),0))</f>
        <v>ALVENARIA DE VEDAÇÃO DE BLOCOS CERÂMICOS FURADOS NA HORIZONTAL DE 11,5X19X29 CM (ESPESSURA 11,5 CM) E ARGAMASSA DE ASSENTAMENTO COM PREPARO EM BETONEIRA. AF_12/2021</v>
      </c>
      <c r="D152" s="111" t="str">
        <f ca="1">IF(OFFSET(PO!O$12,ROW(D152)-ROW(D$12),0)=0,"",OFFSET(PO!O$12,ROW(D152)-ROW(D$12),0))</f>
        <v>M2</v>
      </c>
      <c r="E152" s="140">
        <f ca="1">IF($A152&lt;&gt;"Serviço",0,ROUND(SUMIF($F$9:$P$9,"&lt;&gt;",$F152:$P152),15-13*PO!$X$3))</f>
        <v>3.78</v>
      </c>
      <c r="F152" s="378">
        <f ca="1">OFFSET(PO!$P$12,ROW($E152)-ROW(F$12),0)</f>
        <v>3.78</v>
      </c>
      <c r="G152" s="378"/>
      <c r="H152" s="378"/>
      <c r="I152" s="378"/>
      <c r="J152" s="378"/>
      <c r="K152" s="378"/>
      <c r="L152" s="378"/>
      <c r="M152" s="378"/>
      <c r="N152" s="378"/>
      <c r="O152" s="378"/>
      <c r="U152" s="182"/>
    </row>
    <row r="153" spans="1:21" s="1" customFormat="1" ht="25.5" x14ac:dyDescent="0.2">
      <c r="A153" s="110" t="str">
        <f ca="1">OFFSET(PO!J$12,ROW(A153)-ROW($A$12),0)</f>
        <v>Serviço</v>
      </c>
      <c r="B153" s="112" t="str">
        <f ca="1">IF($A153=0,"",OFFSET(PO!K$12,ROW(B153)-ROW(B$12),0))</f>
        <v>1.13.2.2.</v>
      </c>
      <c r="C153" s="109" t="str">
        <f ca="1">IF(OFFSET(PO!N$12,ROW(C153)-ROW(C$12),0)=0,"",OFFSET(PO!N$12,ROW(C153)-ROW(C$12),0))</f>
        <v>CINTA DE AMARRAÇÃO DE ALVENARIA MOLDADA IN LOCO COM UTILIZAÇÃO DE BLOCOS CANALETA, ESPESSURA DE *15* CM. AF_03/2024</v>
      </c>
      <c r="D153" s="111" t="str">
        <f ca="1">IF(OFFSET(PO!O$12,ROW(D153)-ROW(D$12),0)=0,"",OFFSET(PO!O$12,ROW(D153)-ROW(D$12),0))</f>
        <v>M</v>
      </c>
      <c r="E153" s="140">
        <f ca="1">IF($A153&lt;&gt;"Serviço",0,ROUND(SUMIF($F$9:$P$9,"&lt;&gt;",$F153:$P153),15-13*PO!$X$3))</f>
        <v>3.6</v>
      </c>
      <c r="F153" s="378">
        <f ca="1">OFFSET(PO!$P$12,ROW($E153)-ROW(F$12),0)</f>
        <v>3.6</v>
      </c>
      <c r="G153" s="378"/>
      <c r="H153" s="378"/>
      <c r="I153" s="378"/>
      <c r="J153" s="378"/>
      <c r="K153" s="378"/>
      <c r="L153" s="378"/>
      <c r="M153" s="378"/>
      <c r="N153" s="378"/>
      <c r="O153" s="378"/>
      <c r="U153" s="182"/>
    </row>
    <row r="154" spans="1:21" s="1" customFormat="1" ht="51" x14ac:dyDescent="0.2">
      <c r="A154" s="110" t="str">
        <f ca="1">OFFSET(PO!J$12,ROW(A154)-ROW($A$12),0)</f>
        <v>Serviço</v>
      </c>
      <c r="B154" s="112" t="str">
        <f ca="1">IF($A154=0,"",OFFSET(PO!K$12,ROW(B154)-ROW(B$12),0))</f>
        <v>1.13.2.3.</v>
      </c>
      <c r="C154" s="109" t="str">
        <f ca="1">IF(OFFSET(PO!N$12,ROW(C154)-ROW(C$12),0)=0,"",OFFSET(PO!N$12,ROW(C154)-ROW(C$12),0))</f>
        <v>CHAPISCO APLICADO EM ALVENARIA (COM PRESENÇA DE VÃOS) E ESTRUTURAS DE CONCRETO DE FACHADA, COM COLHER DE PEDREIRO. ARGAMASSA TRAÇO 1:3 COM PREPARO EM BETONEIRA 400L. AF_10/2022</v>
      </c>
      <c r="D154" s="111" t="str">
        <f ca="1">IF(OFFSET(PO!O$12,ROW(D154)-ROW(D$12),0)=0,"",OFFSET(PO!O$12,ROW(D154)-ROW(D$12),0))</f>
        <v>M2</v>
      </c>
      <c r="E154" s="140">
        <f ca="1">IF($A154&lt;&gt;"Serviço",0,ROUND(SUMIF($F$9:$P$9,"&lt;&gt;",$F154:$P154),15-13*PO!$X$3))</f>
        <v>9.5399999999999991</v>
      </c>
      <c r="F154" s="378">
        <f ca="1">OFFSET(PO!$P$12,ROW($E154)-ROW(F$12),0)</f>
        <v>9.5399999999999991</v>
      </c>
      <c r="G154" s="378"/>
      <c r="H154" s="378"/>
      <c r="I154" s="378"/>
      <c r="J154" s="378"/>
      <c r="K154" s="378"/>
      <c r="L154" s="378"/>
      <c r="M154" s="378"/>
      <c r="N154" s="378"/>
      <c r="O154" s="378"/>
      <c r="U154" s="182"/>
    </row>
    <row r="155" spans="1:21" s="1" customFormat="1" ht="63.75" x14ac:dyDescent="0.2">
      <c r="A155" s="110" t="str">
        <f ca="1">OFFSET(PO!J$12,ROW(A155)-ROW($A$12),0)</f>
        <v>Serviço</v>
      </c>
      <c r="B155" s="112" t="str">
        <f ca="1">IF($A155=0,"",OFFSET(PO!K$12,ROW(B155)-ROW(B$12),0))</f>
        <v>1.13.2.4.</v>
      </c>
      <c r="C155" s="109" t="str">
        <f ca="1">IF(OFFSET(PO!N$12,ROW(C155)-ROW(C$12),0)=0,"",OFFSET(PO!N$12,ROW(C155)-ROW(C$12),0))</f>
        <v>EMBOÇO OU MASSA ÚNICA EM ARGAMASSA TRAÇO 1:2:8, PREPARO MECÂNICO COM BETONEIRA 400 L, APLICADA MANUALMENTE EM PANOS DE FACHADA COM PRESENÇA DE VÃOS, ESPESSURA DE 35 MM. AF_08/2022</v>
      </c>
      <c r="D155" s="111" t="str">
        <f ca="1">IF(OFFSET(PO!O$12,ROW(D155)-ROW(D$12),0)=0,"",OFFSET(PO!O$12,ROW(D155)-ROW(D$12),0))</f>
        <v>M2</v>
      </c>
      <c r="E155" s="140">
        <f ca="1">IF($A155&lt;&gt;"Serviço",0,ROUND(SUMIF($F$9:$P$9,"&lt;&gt;",$F155:$P155),15-13*PO!$X$3))</f>
        <v>9.5399999999999991</v>
      </c>
      <c r="F155" s="378">
        <f ca="1">OFFSET(PO!$P$12,ROW($E155)-ROW(F$12),0)</f>
        <v>9.5399999999999991</v>
      </c>
      <c r="G155" s="378"/>
      <c r="H155" s="378"/>
      <c r="I155" s="378"/>
      <c r="J155" s="378"/>
      <c r="K155" s="378"/>
      <c r="L155" s="378"/>
      <c r="M155" s="378"/>
      <c r="N155" s="378"/>
      <c r="O155" s="378"/>
      <c r="U155" s="182"/>
    </row>
    <row r="156" spans="1:21" s="1" customFormat="1" x14ac:dyDescent="0.2">
      <c r="A156" s="110" t="str">
        <f ca="1">OFFSET(PO!J$12,ROW(A156)-ROW($A$12),0)</f>
        <v>Nível 3</v>
      </c>
      <c r="B156" s="112" t="str">
        <f ca="1">IF($A156=0,"",OFFSET(PO!K$12,ROW(B156)-ROW(B$12),0))</f>
        <v>1.13.3.</v>
      </c>
      <c r="C156" s="109" t="str">
        <f ca="1">IF(OFFSET(PO!N$12,ROW(C156)-ROW(C$12),0)=0,"",OFFSET(PO!N$12,ROW(C156)-ROW(C$12),0))</f>
        <v>Pinturas - Lixeira</v>
      </c>
      <c r="D156" s="111" t="str">
        <f ca="1">IF(OFFSET(PO!O$12,ROW(D156)-ROW(D$12),0)=0,"",OFFSET(PO!O$12,ROW(D156)-ROW(D$12),0))</f>
        <v/>
      </c>
      <c r="E156" s="140">
        <f ca="1">IF($A156&lt;&gt;"Serviço",0,ROUND(SUMIF($F$9:$P$9,"&lt;&gt;",$F156:$P156),15-13*PO!$X$3))</f>
        <v>0</v>
      </c>
      <c r="F156" s="378" t="str">
        <f ca="1">OFFSET(PO!$P$12,ROW($E156)-ROW(F$12),0)</f>
        <v xml:space="preserve"> -  </v>
      </c>
      <c r="G156" s="378"/>
      <c r="H156" s="378"/>
      <c r="I156" s="378"/>
      <c r="J156" s="378"/>
      <c r="K156" s="378"/>
      <c r="L156" s="378"/>
      <c r="M156" s="378"/>
      <c r="N156" s="378"/>
      <c r="O156" s="378"/>
      <c r="U156" s="182"/>
    </row>
    <row r="157" spans="1:21" s="1" customFormat="1" ht="38.25" x14ac:dyDescent="0.2">
      <c r="A157" s="110" t="str">
        <f ca="1">OFFSET(PO!J$12,ROW(A157)-ROW($A$12),0)</f>
        <v>Serviço</v>
      </c>
      <c r="B157" s="112" t="str">
        <f ca="1">IF($A157=0,"",OFFSET(PO!K$12,ROW(B157)-ROW(B$12),0))</f>
        <v>1.13.3.1.</v>
      </c>
      <c r="C157" s="109" t="str">
        <f ca="1">IF(OFFSET(PO!N$12,ROW(C157)-ROW(C$12),0)=0,"",OFFSET(PO!N$12,ROW(C157)-ROW(C$12),0))</f>
        <v>APLICAÇÃO MANUAL DE FUNDO SELADOR ACRÍLICO EM PAREDES EXTERNAS DE CASAS. AF_03/2024</v>
      </c>
      <c r="D157" s="111" t="str">
        <f ca="1">IF(OFFSET(PO!O$12,ROW(D157)-ROW(D$12),0)=0,"",OFFSET(PO!O$12,ROW(D157)-ROW(D$12),0))</f>
        <v>M2</v>
      </c>
      <c r="E157" s="140">
        <f ca="1">IF($A157&lt;&gt;"Serviço",0,ROUND(SUMIF($F$9:$P$9,"&lt;&gt;",$F157:$P157),15-13*PO!$X$3))</f>
        <v>9.5399999999999991</v>
      </c>
      <c r="F157" s="378">
        <f ca="1">OFFSET(PO!$P$12,ROW($E157)-ROW(F$12),0)</f>
        <v>9.5399999999999991</v>
      </c>
      <c r="G157" s="378"/>
      <c r="H157" s="378"/>
      <c r="I157" s="378"/>
      <c r="J157" s="378"/>
      <c r="K157" s="378"/>
      <c r="L157" s="378"/>
      <c r="M157" s="378"/>
      <c r="N157" s="378"/>
      <c r="O157" s="378"/>
      <c r="U157" s="182"/>
    </row>
    <row r="158" spans="1:21" s="1" customFormat="1" ht="25.5" x14ac:dyDescent="0.2">
      <c r="A158" s="110" t="str">
        <f ca="1">OFFSET(PO!J$12,ROW(A158)-ROW($A$12),0)</f>
        <v>Serviço</v>
      </c>
      <c r="B158" s="112" t="str">
        <f ca="1">IF($A158=0,"",OFFSET(PO!K$12,ROW(B158)-ROW(B$12),0))</f>
        <v>1.13.3.2.</v>
      </c>
      <c r="C158" s="109" t="str">
        <f ca="1">IF(OFFSET(PO!N$12,ROW(C158)-ROW(C$12),0)=0,"",OFFSET(PO!N$12,ROW(C158)-ROW(C$12),0))</f>
        <v>APLICAÇÃO MANUAL DE TINTA LÁTEX ACRÍLICA EM PAREDE EXTERNAS DE CASAS, DUAS DEMÃOS. AF_03/2024</v>
      </c>
      <c r="D158" s="111" t="str">
        <f ca="1">IF(OFFSET(PO!O$12,ROW(D158)-ROW(D$12),0)=0,"",OFFSET(PO!O$12,ROW(D158)-ROW(D$12),0))</f>
        <v>M2</v>
      </c>
      <c r="E158" s="140">
        <f ca="1">IF($A158&lt;&gt;"Serviço",0,ROUND(SUMIF($F$9:$P$9,"&lt;&gt;",$F158:$P158),15-13*PO!$X$3))</f>
        <v>9.5399999999999991</v>
      </c>
      <c r="F158" s="378">
        <f ca="1">OFFSET(PO!$P$12,ROW($E158)-ROW(F$12),0)</f>
        <v>9.5399999999999991</v>
      </c>
      <c r="G158" s="378"/>
      <c r="H158" s="378"/>
      <c r="I158" s="378"/>
      <c r="J158" s="378"/>
      <c r="K158" s="378"/>
      <c r="L158" s="378"/>
      <c r="M158" s="378"/>
      <c r="N158" s="378"/>
      <c r="O158" s="378"/>
      <c r="U158" s="182"/>
    </row>
    <row r="159" spans="1:21" s="1" customFormat="1" ht="25.5" x14ac:dyDescent="0.2">
      <c r="A159" s="110" t="str">
        <f ca="1">OFFSET(PO!J$12,ROW(A159)-ROW($A$12),0)</f>
        <v>Nível 2</v>
      </c>
      <c r="B159" s="112" t="str">
        <f ca="1">IF($A159=0,"",OFFSET(PO!K$12,ROW(B159)-ROW(B$12),0))</f>
        <v>1.14.</v>
      </c>
      <c r="C159" s="109" t="str">
        <f ca="1">IF(OFFSET(PO!N$12,ROW(C159)-ROW(C$12),0)=0,"",OFFSET(PO!N$12,ROW(C159)-ROW(C$12),0))</f>
        <v>OUTROS ITENS</v>
      </c>
      <c r="D159" s="111" t="str">
        <f ca="1">IF(OFFSET(PO!O$12,ROW(D159)-ROW(D$12),0)=0,"",OFFSET(PO!O$12,ROW(D159)-ROW(D$12),0))</f>
        <v/>
      </c>
      <c r="E159" s="140">
        <f ca="1">IF($A159&lt;&gt;"Serviço",0,ROUND(SUMIF($F$9:$P$9,"&lt;&gt;",$F159:$P159),15-13*PO!$X$3))</f>
        <v>0</v>
      </c>
      <c r="F159" s="378" t="str">
        <f ca="1">OFFSET(PO!$P$12,ROW($E159)-ROW(F$12),0)</f>
        <v xml:space="preserve"> -  </v>
      </c>
      <c r="G159" s="378"/>
      <c r="H159" s="378"/>
      <c r="I159" s="378"/>
      <c r="J159" s="378"/>
      <c r="K159" s="378"/>
      <c r="L159" s="378"/>
      <c r="M159" s="378"/>
      <c r="N159" s="378"/>
      <c r="O159" s="378"/>
      <c r="U159" s="182"/>
    </row>
    <row r="160" spans="1:21" s="1" customFormat="1" ht="25.5" x14ac:dyDescent="0.2">
      <c r="A160" s="110" t="str">
        <f ca="1">OFFSET(PO!J$12,ROW(A160)-ROW($A$12),0)</f>
        <v>Serviço</v>
      </c>
      <c r="B160" s="112" t="str">
        <f ca="1">IF($A160=0,"",OFFSET(PO!K$12,ROW(B160)-ROW(B$12),0))</f>
        <v>1.14.0.1.</v>
      </c>
      <c r="C160" s="109" t="str">
        <f ca="1">IF(OFFSET(PO!N$12,ROW(C160)-ROW(C$12),0)=0,"",OFFSET(PO!N$12,ROW(C160)-ROW(C$12),0))</f>
        <v>PERSIANA VERTICAL, BLACKOUT, BEGE MESCLA, DE TECIDO, KIT COMPLETO COM TRILHO, SUPORTES, COMANDOS DE ACIONAMENTO, PARAFUSOS E ACESSÓRIOS - FORNECIMENTO E INSTALAÇÃO</v>
      </c>
      <c r="D160" s="111" t="str">
        <f ca="1">IF(OFFSET(PO!O$12,ROW(D160)-ROW(D$12),0)=0,"",OFFSET(PO!O$12,ROW(D160)-ROW(D$12),0))</f>
        <v>M2</v>
      </c>
      <c r="E160" s="140">
        <f ca="1">IF($A160&lt;&gt;"Serviço",0,ROUND(SUMIF($F$9:$P$9,"&lt;&gt;",$F160:$P160),15-13*PO!$X$3))</f>
        <v>71.94</v>
      </c>
      <c r="F160" s="378">
        <f ca="1">OFFSET(PO!$P$12,ROW($E160)-ROW(F$12),0)</f>
        <v>71.94</v>
      </c>
      <c r="G160" s="378"/>
      <c r="H160" s="378"/>
      <c r="I160" s="378"/>
      <c r="J160" s="378"/>
      <c r="K160" s="378"/>
      <c r="L160" s="378"/>
      <c r="M160" s="378"/>
      <c r="N160" s="378"/>
      <c r="O160" s="378"/>
      <c r="U160" s="182"/>
    </row>
    <row r="161" spans="1:21" s="1" customFormat="1" x14ac:dyDescent="0.2">
      <c r="A161" s="110" t="str">
        <f ca="1">OFFSET(PO!J$12,ROW(A161)-ROW($A$12),0)</f>
        <v>Serviço</v>
      </c>
      <c r="B161" s="112" t="str">
        <f ca="1">IF($A161=0,"",OFFSET(PO!K$12,ROW(B161)-ROW(B$12),0))</f>
        <v>1.14.0.2.</v>
      </c>
      <c r="C161" s="109" t="str">
        <f ca="1">IF(OFFSET(PO!N$12,ROW(C161)-ROW(C$12),0)=0,"",OFFSET(PO!N$12,ROW(C161)-ROW(C$12),0))</f>
        <v>REINSTALAÇÃO DE LAVATÓRIO DE LOUÇA BRANCA, COM COLUNA, COM TORNEIRA E VÁLVULA E INCLUSO NOVO SIFÃO E NOVO ENGATE FLEXÍVEL DE 40CM DE METAL CROMADO (BASE SINAPI 86941 ADAPT.)</v>
      </c>
      <c r="D161" s="111" t="str">
        <f ca="1">IF(OFFSET(PO!O$12,ROW(D161)-ROW(D$12),0)=0,"",OFFSET(PO!O$12,ROW(D161)-ROW(D$12),0))</f>
        <v>UN</v>
      </c>
      <c r="E161" s="140">
        <f ca="1">IF($A161&lt;&gt;"Serviço",0,ROUND(SUMIF($F$9:$P$9,"&lt;&gt;",$F161:$P161),15-13*PO!$X$3))</f>
        <v>1</v>
      </c>
      <c r="F161" s="378">
        <f ca="1">OFFSET(PO!$P$12,ROW($E161)-ROW(F$12),0)</f>
        <v>1</v>
      </c>
      <c r="G161" s="378"/>
      <c r="H161" s="378"/>
      <c r="I161" s="378"/>
      <c r="J161" s="378"/>
      <c r="K161" s="378"/>
      <c r="L161" s="378"/>
      <c r="M161" s="378"/>
      <c r="N161" s="378"/>
      <c r="O161" s="378"/>
      <c r="U161" s="182"/>
    </row>
    <row r="162" spans="1:21" s="1" customFormat="1" ht="25.5" x14ac:dyDescent="0.2">
      <c r="A162" s="110" t="str">
        <f ca="1">OFFSET(PO!J$12,ROW(A162)-ROW($A$12),0)</f>
        <v>Serviço</v>
      </c>
      <c r="B162" s="112" t="str">
        <f ca="1">IF($A162=0,"",OFFSET(PO!K$12,ROW(B162)-ROW(B$12),0))</f>
        <v>1.14.0.3.</v>
      </c>
      <c r="C162" s="109" t="str">
        <f ca="1">IF(OFFSET(PO!N$12,ROW(C162)-ROW(C$12),0)=0,"",OFFSET(PO!N$12,ROW(C162)-ROW(C$12),0))</f>
        <v>BACIA SANITÁRIA COM CAIXA ACOPLADA LOUÇA BRANCA - PADRÃO MÉDIO, INCLUSO ENGATE FLEXÍVEL EM METAL CROMADO, 1/2" X 40 CM - FORNECIMENTO E INSTALAÇÃO. AF_02/2026</v>
      </c>
      <c r="D162" s="111" t="str">
        <f ca="1">IF(OFFSET(PO!O$12,ROW(D162)-ROW(D$12),0)=0,"",OFFSET(PO!O$12,ROW(D162)-ROW(D$12),0))</f>
        <v>UN</v>
      </c>
      <c r="E162" s="140">
        <f ca="1">IF($A162&lt;&gt;"Serviço",0,ROUND(SUMIF($F$9:$P$9,"&lt;&gt;",$F162:$P162),15-13*PO!$X$3))</f>
        <v>1</v>
      </c>
      <c r="F162" s="378">
        <f ca="1">OFFSET(PO!$P$12,ROW($E162)-ROW(F$12),0)</f>
        <v>1</v>
      </c>
      <c r="G162" s="378"/>
      <c r="H162" s="378"/>
      <c r="I162" s="378"/>
      <c r="J162" s="378"/>
      <c r="K162" s="378"/>
      <c r="L162" s="378"/>
      <c r="M162" s="378"/>
      <c r="N162" s="378"/>
      <c r="O162" s="378"/>
      <c r="U162" s="182"/>
    </row>
    <row r="163" spans="1:21" s="1" customFormat="1" x14ac:dyDescent="0.2">
      <c r="A163" s="110" t="str">
        <f ca="1">OFFSET(PO!J$12,ROW(A163)-ROW($A$12),0)</f>
        <v>Serviço</v>
      </c>
      <c r="B163" s="112" t="str">
        <f ca="1">IF($A163=0,"",OFFSET(PO!K$12,ROW(B163)-ROW(B$12),0))</f>
        <v>1.14.0.4.</v>
      </c>
      <c r="C163" s="109" t="str">
        <f ca="1">IF(OFFSET(PO!N$12,ROW(C163)-ROW(C$12),0)=0,"",OFFSET(PO!N$12,ROW(C163)-ROW(C$12),0))</f>
        <v>ASSENTO SANITÁRIO CONVENCIONAL - FORNECIMENTO E INSTALAÇÃO. AF_02/2026</v>
      </c>
      <c r="D163" s="111" t="str">
        <f ca="1">IF(OFFSET(PO!O$12,ROW(D163)-ROW(D$12),0)=0,"",OFFSET(PO!O$12,ROW(D163)-ROW(D$12),0))</f>
        <v>UN</v>
      </c>
      <c r="E163" s="140">
        <f ca="1">IF($A163&lt;&gt;"Serviço",0,ROUND(SUMIF($F$9:$P$9,"&lt;&gt;",$F163:$P163),15-13*PO!$X$3))</f>
        <v>1</v>
      </c>
      <c r="F163" s="378">
        <f ca="1">OFFSET(PO!$P$12,ROW($E163)-ROW(F$12),0)</f>
        <v>1</v>
      </c>
      <c r="G163" s="378"/>
      <c r="H163" s="378"/>
      <c r="I163" s="378"/>
      <c r="J163" s="378"/>
      <c r="K163" s="378"/>
      <c r="L163" s="378"/>
      <c r="M163" s="378"/>
      <c r="N163" s="378"/>
      <c r="O163" s="378"/>
      <c r="U163" s="182"/>
    </row>
    <row r="164" spans="1:21" s="1" customFormat="1" ht="38.25" x14ac:dyDescent="0.2">
      <c r="A164" s="110" t="str">
        <f ca="1">OFFSET(PO!J$12,ROW(A164)-ROW($A$12),0)</f>
        <v>Serviço</v>
      </c>
      <c r="B164" s="112" t="str">
        <f ca="1">IF($A164=0,"",OFFSET(PO!K$12,ROW(B164)-ROW(B$12),0))</f>
        <v>1.14.0.5.</v>
      </c>
      <c r="C164" s="109" t="str">
        <f ca="1">IF(OFFSET(PO!N$12,ROW(C164)-ROW(C$12),0)=0,"",OFFSET(PO!N$12,ROW(C164)-ROW(C$12),0))</f>
        <v>PORTINHOLA DE MDF, COM ACABAMENTO E COM TRAVA DE ACIONAMENTO ELÉTRICO, COMPLETA - FORNECIMENTO E INSTALAÇÃO (BASE SINAPI 90820)</v>
      </c>
      <c r="D164" s="111" t="str">
        <f ca="1">IF(OFFSET(PO!O$12,ROW(D164)-ROW(D$12),0)=0,"",OFFSET(PO!O$12,ROW(D164)-ROW(D$12),0))</f>
        <v>UN</v>
      </c>
      <c r="E164" s="140">
        <f ca="1">IF($A164&lt;&gt;"Serviço",0,ROUND(SUMIF($F$9:$P$9,"&lt;&gt;",$F164:$P164),15-13*PO!$X$3))</f>
        <v>1</v>
      </c>
      <c r="F164" s="378">
        <f ca="1">OFFSET(PO!$P$12,ROW($E164)-ROW(F$12),0)</f>
        <v>1</v>
      </c>
      <c r="G164" s="378"/>
      <c r="H164" s="378"/>
      <c r="I164" s="378"/>
      <c r="J164" s="378"/>
      <c r="K164" s="378"/>
      <c r="L164" s="378"/>
      <c r="M164" s="378"/>
      <c r="N164" s="378"/>
      <c r="O164" s="378"/>
      <c r="U164" s="182"/>
    </row>
    <row r="165" spans="1:21" s="1" customFormat="1" ht="51" x14ac:dyDescent="0.2">
      <c r="A165" s="110" t="str">
        <f ca="1">OFFSET(PO!J$12,ROW(A165)-ROW($A$12),0)</f>
        <v>Nível 2</v>
      </c>
      <c r="B165" s="112" t="str">
        <f ca="1">IF($A165=0,"",OFFSET(PO!K$12,ROW(B165)-ROW(B$12),0))</f>
        <v>1.15.</v>
      </c>
      <c r="C165" s="109" t="str">
        <f ca="1">IF(OFFSET(PO!N$12,ROW(C165)-ROW(C$12),0)=0,"",OFFSET(PO!N$12,ROW(C165)-ROW(C$12),0))</f>
        <v>REPARO DE INFILTRAÇÃO E FISSURA</v>
      </c>
      <c r="D165" s="111" t="str">
        <f ca="1">IF(OFFSET(PO!O$12,ROW(D165)-ROW(D$12),0)=0,"",OFFSET(PO!O$12,ROW(D165)-ROW(D$12),0))</f>
        <v/>
      </c>
      <c r="E165" s="140">
        <f ca="1">IF($A165&lt;&gt;"Serviço",0,ROUND(SUMIF($F$9:$P$9,"&lt;&gt;",$F165:$P165),15-13*PO!$X$3))</f>
        <v>0</v>
      </c>
      <c r="F165" s="378" t="str">
        <f ca="1">OFFSET(PO!$P$12,ROW($E165)-ROW(F$12),0)</f>
        <v xml:space="preserve"> -  </v>
      </c>
      <c r="G165" s="378"/>
      <c r="H165" s="378"/>
      <c r="I165" s="378"/>
      <c r="J165" s="378"/>
      <c r="K165" s="378"/>
      <c r="L165" s="378"/>
      <c r="M165" s="378"/>
      <c r="N165" s="378"/>
      <c r="O165" s="378"/>
      <c r="U165" s="182"/>
    </row>
    <row r="166" spans="1:21" s="1" customFormat="1" x14ac:dyDescent="0.2">
      <c r="A166" s="110" t="str">
        <f ca="1">OFFSET(PO!J$12,ROW(A166)-ROW($A$12),0)</f>
        <v>Serviço</v>
      </c>
      <c r="B166" s="112" t="str">
        <f ca="1">IF($A166=0,"",OFFSET(PO!K$12,ROW(B166)-ROW(B$12),0))</f>
        <v>1.15.0.1.</v>
      </c>
      <c r="C166" s="109" t="str">
        <f ca="1">IF(OFFSET(PO!N$12,ROW(C166)-ROW(C$12),0)=0,"",OFFSET(PO!N$12,ROW(C166)-ROW(C$12),0))</f>
        <v>REMOÇÃO DE TELHAS DE FIBROCIMENTO METÁLICA E CERÂMICA, DE FORMA MANUAL, SEM REAPROVEITAMENTO. AF_09/2023</v>
      </c>
      <c r="D166" s="111" t="str">
        <f ca="1">IF(OFFSET(PO!O$12,ROW(D166)-ROW(D$12),0)=0,"",OFFSET(PO!O$12,ROW(D166)-ROW(D$12),0))</f>
        <v>M2</v>
      </c>
      <c r="E166" s="140">
        <f ca="1">IF($A166&lt;&gt;"Serviço",0,ROUND(SUMIF($F$9:$P$9,"&lt;&gt;",$F166:$P166),15-13*PO!$X$3))</f>
        <v>7</v>
      </c>
      <c r="F166" s="378">
        <f ca="1">OFFSET(PO!$P$12,ROW($E166)-ROW(F$12),0)</f>
        <v>7</v>
      </c>
      <c r="G166" s="378"/>
      <c r="H166" s="378"/>
      <c r="I166" s="378"/>
      <c r="J166" s="378"/>
      <c r="K166" s="378"/>
      <c r="L166" s="378"/>
      <c r="M166" s="378"/>
      <c r="N166" s="378"/>
      <c r="O166" s="378"/>
      <c r="U166" s="182"/>
    </row>
    <row r="167" spans="1:21" s="1" customFormat="1" ht="25.5" x14ac:dyDescent="0.2">
      <c r="A167" s="110" t="str">
        <f ca="1">OFFSET(PO!J$12,ROW(A167)-ROW($A$12),0)</f>
        <v>Serviço</v>
      </c>
      <c r="B167" s="112" t="str">
        <f ca="1">IF($A167=0,"",OFFSET(PO!K$12,ROW(B167)-ROW(B$12),0))</f>
        <v>1.15.0.2.</v>
      </c>
      <c r="C167" s="109" t="str">
        <f ca="1">IF(OFFSET(PO!N$12,ROW(C167)-ROW(C$12),0)=0,"",OFFSET(PO!N$12,ROW(C167)-ROW(C$12),0))</f>
        <v>TELHAMENTO COM TELHA DE AÇO/ALUMÍNIO E = 0,5 MM, COM ATÉ 2 ÁGUAS, INCLUSO IÇAMENTO. AF_06/2026</v>
      </c>
      <c r="D167" s="111" t="str">
        <f ca="1">IF(OFFSET(PO!O$12,ROW(D167)-ROW(D$12),0)=0,"",OFFSET(PO!O$12,ROW(D167)-ROW(D$12),0))</f>
        <v>M2</v>
      </c>
      <c r="E167" s="140">
        <f ca="1">IF($A167&lt;&gt;"Serviço",0,ROUND(SUMIF($F$9:$P$9,"&lt;&gt;",$F167:$P167),15-13*PO!$X$3))</f>
        <v>7</v>
      </c>
      <c r="F167" s="378">
        <f ca="1">OFFSET(PO!$P$12,ROW($E167)-ROW(F$12),0)</f>
        <v>7</v>
      </c>
      <c r="G167" s="378"/>
      <c r="H167" s="378"/>
      <c r="I167" s="378"/>
      <c r="J167" s="378"/>
      <c r="K167" s="378"/>
      <c r="L167" s="378"/>
      <c r="M167" s="378"/>
      <c r="N167" s="378"/>
      <c r="O167" s="378"/>
      <c r="U167" s="182"/>
    </row>
    <row r="168" spans="1:21" s="1" customFormat="1" ht="51" x14ac:dyDescent="0.2">
      <c r="A168" s="110" t="str">
        <f ca="1">OFFSET(PO!J$12,ROW(A168)-ROW($A$12),0)</f>
        <v>Serviço</v>
      </c>
      <c r="B168" s="112" t="str">
        <f ca="1">IF($A168=0,"",OFFSET(PO!K$12,ROW(B168)-ROW(B$12),0))</f>
        <v>1.15.0.3.</v>
      </c>
      <c r="C168" s="109" t="str">
        <f ca="1">IF(OFFSET(PO!N$12,ROW(C168)-ROW(C$12),0)=0,"",OFFSET(PO!N$12,ROW(C168)-ROW(C$12),0))</f>
        <v>REMOÇÃO CALHAS E RUFOS, DE FORMA MANUAL, SEM REAPROVEITAMENTO. AF_09/2023</v>
      </c>
      <c r="D168" s="111" t="str">
        <f ca="1">IF(OFFSET(PO!O$12,ROW(D168)-ROW(D$12),0)=0,"",OFFSET(PO!O$12,ROW(D168)-ROW(D$12),0))</f>
        <v>M</v>
      </c>
      <c r="E168" s="140">
        <f ca="1">IF($A168&lt;&gt;"Serviço",0,ROUND(SUMIF($F$9:$P$9,"&lt;&gt;",$F168:$P168),15-13*PO!$X$3))</f>
        <v>4</v>
      </c>
      <c r="F168" s="378">
        <f ca="1">OFFSET(PO!$P$12,ROW($E168)-ROW(F$12),0)</f>
        <v>4</v>
      </c>
      <c r="G168" s="378"/>
      <c r="H168" s="378"/>
      <c r="I168" s="378"/>
      <c r="J168" s="378"/>
      <c r="K168" s="378"/>
      <c r="L168" s="378"/>
      <c r="M168" s="378"/>
      <c r="N168" s="378"/>
      <c r="O168" s="378"/>
      <c r="U168" s="182"/>
    </row>
    <row r="169" spans="1:21" s="1" customFormat="1" ht="38.25" x14ac:dyDescent="0.2">
      <c r="A169" s="110" t="str">
        <f ca="1">OFFSET(PO!J$12,ROW(A169)-ROW($A$12),0)</f>
        <v>Serviço</v>
      </c>
      <c r="B169" s="112" t="str">
        <f ca="1">IF($A169=0,"",OFFSET(PO!K$12,ROW(B169)-ROW(B$12),0))</f>
        <v>1.15.0.4.</v>
      </c>
      <c r="C169" s="109" t="str">
        <f ca="1">IF(OFFSET(PO!N$12,ROW(C169)-ROW(C$12),0)=0,"",OFFSET(PO!N$12,ROW(C169)-ROW(C$12),0))</f>
        <v>IMPERMEABILIZAÇÃO DE SUPERFÍCIE COM MEMBRANA À BASE DE POLIURETANO, 2 DEMÃOS. AF_09/2023</v>
      </c>
      <c r="D169" s="111" t="str">
        <f ca="1">IF(OFFSET(PO!O$12,ROW(D169)-ROW(D$12),0)=0,"",OFFSET(PO!O$12,ROW(D169)-ROW(D$12),0))</f>
        <v>M2</v>
      </c>
      <c r="E169" s="140">
        <f ca="1">IF($A169&lt;&gt;"Serviço",0,ROUND(SUMIF($F$9:$P$9,"&lt;&gt;",$F169:$P169),15-13*PO!$X$3))</f>
        <v>2</v>
      </c>
      <c r="F169" s="378">
        <f ca="1">OFFSET(PO!$P$12,ROW($E169)-ROW(F$12),0)</f>
        <v>2</v>
      </c>
      <c r="G169" s="378"/>
      <c r="H169" s="378"/>
      <c r="I169" s="378"/>
      <c r="J169" s="378"/>
      <c r="K169" s="378"/>
      <c r="L169" s="378"/>
      <c r="M169" s="378"/>
      <c r="N169" s="378"/>
      <c r="O169" s="378"/>
      <c r="U169" s="182"/>
    </row>
    <row r="170" spans="1:21" s="1" customFormat="1" ht="25.5" x14ac:dyDescent="0.2">
      <c r="A170" s="110" t="str">
        <f ca="1">OFFSET(PO!J$12,ROW(A170)-ROW($A$12),0)</f>
        <v>Serviço</v>
      </c>
      <c r="B170" s="112" t="str">
        <f ca="1">IF($A170=0,"",OFFSET(PO!K$12,ROW(B170)-ROW(B$12),0))</f>
        <v>1.15.0.5.</v>
      </c>
      <c r="C170" s="109" t="str">
        <f ca="1">IF(OFFSET(PO!N$12,ROW(C170)-ROW(C$12),0)=0,"",OFFSET(PO!N$12,ROW(C170)-ROW(C$12),0))</f>
        <v>CHAPIM (RUFO CAPA) EM AÇO GALVANIZADO, CORTE 33. AF_11/2020</v>
      </c>
      <c r="D170" s="111" t="str">
        <f ca="1">IF(OFFSET(PO!O$12,ROW(D170)-ROW(D$12),0)=0,"",OFFSET(PO!O$12,ROW(D170)-ROW(D$12),0))</f>
        <v>M</v>
      </c>
      <c r="E170" s="140">
        <f ca="1">IF($A170&lt;&gt;"Serviço",0,ROUND(SUMIF($F$9:$P$9,"&lt;&gt;",$F170:$P170),15-13*PO!$X$3))</f>
        <v>2</v>
      </c>
      <c r="F170" s="378">
        <f ca="1">OFFSET(PO!$P$12,ROW($E170)-ROW(F$12),0)</f>
        <v>2</v>
      </c>
      <c r="G170" s="378"/>
      <c r="H170" s="378"/>
      <c r="I170" s="378"/>
      <c r="J170" s="378"/>
      <c r="K170" s="378"/>
      <c r="L170" s="378"/>
      <c r="M170" s="378"/>
      <c r="N170" s="378"/>
      <c r="O170" s="378"/>
      <c r="U170" s="182"/>
    </row>
    <row r="171" spans="1:21" s="1" customFormat="1" ht="38.25" x14ac:dyDescent="0.2">
      <c r="A171" s="110" t="str">
        <f ca="1">OFFSET(PO!J$12,ROW(A171)-ROW($A$12),0)</f>
        <v>Serviço</v>
      </c>
      <c r="B171" s="112" t="str">
        <f ca="1">IF($A171=0,"",OFFSET(PO!K$12,ROW(B171)-ROW(B$12),0))</f>
        <v>1.15.0.6.</v>
      </c>
      <c r="C171" s="109" t="str">
        <f ca="1">IF(OFFSET(PO!N$12,ROW(C171)-ROW(C$12),0)=0,"",OFFSET(PO!N$12,ROW(C171)-ROW(C$12),0))</f>
        <v>TRATAMENTO DE RALO OU PONTO EMERGENTE COM ARGAMASSA POLIMÉRICA / MEMBRANA ACRÍLICA REFORÇADO COM VÉU DE POLIÉSTER. AF_09/2023</v>
      </c>
      <c r="D171" s="111" t="str">
        <f ca="1">IF(OFFSET(PO!O$12,ROW(D171)-ROW(D$12),0)=0,"",OFFSET(PO!O$12,ROW(D171)-ROW(D$12),0))</f>
        <v>UN</v>
      </c>
      <c r="E171" s="140">
        <f ca="1">IF($A171&lt;&gt;"Serviço",0,ROUND(SUMIF($F$9:$P$9,"&lt;&gt;",$F171:$P171),15-13*PO!$X$3))</f>
        <v>2</v>
      </c>
      <c r="F171" s="378">
        <f ca="1">OFFSET(PO!$P$12,ROW($E171)-ROW(F$12),0)</f>
        <v>2</v>
      </c>
      <c r="G171" s="378"/>
      <c r="H171" s="378"/>
      <c r="I171" s="378"/>
      <c r="J171" s="378"/>
      <c r="K171" s="378"/>
      <c r="L171" s="378"/>
      <c r="M171" s="378"/>
      <c r="N171" s="378"/>
      <c r="O171" s="378"/>
      <c r="U171" s="182"/>
    </row>
    <row r="172" spans="1:21" s="1" customFormat="1" ht="63.75" x14ac:dyDescent="0.2">
      <c r="A172" s="110" t="str">
        <f ca="1">OFFSET(PO!J$12,ROW(A172)-ROW($A$12),0)</f>
        <v>Serviço</v>
      </c>
      <c r="B172" s="112" t="str">
        <f ca="1">IF($A172=0,"",OFFSET(PO!K$12,ROW(B172)-ROW(B$12),0))</f>
        <v>1.15.0.7.</v>
      </c>
      <c r="C172" s="109" t="str">
        <f ca="1">IF(OFFSET(PO!N$12,ROW(C172)-ROW(C$12),0)=0,"",OFFSET(PO!N$12,ROW(C172)-ROW(C$12),0))</f>
        <v>CALHA EM CHAPA DE AÇO GALVANIZADO NÚMERO 24, DESENVOLVIMENTO DE 50 CM, INCLUSO TRANSPORTE VERTICAL. AF_06/2026</v>
      </c>
      <c r="D172" s="111" t="str">
        <f ca="1">IF(OFFSET(PO!O$12,ROW(D172)-ROW(D$12),0)=0,"",OFFSET(PO!O$12,ROW(D172)-ROW(D$12),0))</f>
        <v>M</v>
      </c>
      <c r="E172" s="140">
        <f ca="1">IF($A172&lt;&gt;"Serviço",0,ROUND(SUMIF($F$9:$P$9,"&lt;&gt;",$F172:$P172),15-13*PO!$X$3))</f>
        <v>2</v>
      </c>
      <c r="F172" s="378">
        <f ca="1">OFFSET(PO!$P$12,ROW($E172)-ROW(F$12),0)</f>
        <v>2</v>
      </c>
      <c r="G172" s="378"/>
      <c r="H172" s="378"/>
      <c r="I172" s="378"/>
      <c r="J172" s="378"/>
      <c r="K172" s="378"/>
      <c r="L172" s="378"/>
      <c r="M172" s="378"/>
      <c r="N172" s="378"/>
      <c r="O172" s="378"/>
      <c r="U172" s="182"/>
    </row>
    <row r="173" spans="1:21" s="1" customFormat="1" ht="38.25" x14ac:dyDescent="0.2">
      <c r="A173" s="110" t="str">
        <f ca="1">OFFSET(PO!J$12,ROW(A173)-ROW($A$12),0)</f>
        <v>Serviço</v>
      </c>
      <c r="B173" s="112" t="str">
        <f ca="1">IF($A173=0,"",OFFSET(PO!K$12,ROW(B173)-ROW(B$12),0))</f>
        <v>1.15.0.8.</v>
      </c>
      <c r="C173" s="109" t="str">
        <f ca="1">IF(OFFSET(PO!N$12,ROW(C173)-ROW(C$12),0)=0,"",OFFSET(PO!N$12,ROW(C173)-ROW(C$12),0))</f>
        <v>RUFO EXTERNO/INTERNO EM CHAPA DE AÇO GALVANIZADO NÚMERO 26, CORTE DE 33 CM, INCLUSO IÇAMENTO. AF_06/2026</v>
      </c>
      <c r="D173" s="111" t="str">
        <f ca="1">IF(OFFSET(PO!O$12,ROW(D173)-ROW(D$12),0)=0,"",OFFSET(PO!O$12,ROW(D173)-ROW(D$12),0))</f>
        <v>M</v>
      </c>
      <c r="E173" s="140">
        <f ca="1">IF($A173&lt;&gt;"Serviço",0,ROUND(SUMIF($F$9:$P$9,"&lt;&gt;",$F173:$P173),15-13*PO!$X$3))</f>
        <v>2</v>
      </c>
      <c r="F173" s="378">
        <f ca="1">OFFSET(PO!$P$12,ROW($E173)-ROW(F$12),0)</f>
        <v>2</v>
      </c>
      <c r="G173" s="378"/>
      <c r="H173" s="378"/>
      <c r="I173" s="378"/>
      <c r="J173" s="378"/>
      <c r="K173" s="378"/>
      <c r="L173" s="378"/>
      <c r="M173" s="378"/>
      <c r="N173" s="378"/>
      <c r="O173" s="378"/>
      <c r="U173" s="182"/>
    </row>
    <row r="174" spans="1:21" s="1" customFormat="1" x14ac:dyDescent="0.2">
      <c r="A174" s="110" t="str">
        <f ca="1">OFFSET(PO!J$12,ROW(A174)-ROW($A$12),0)</f>
        <v>Serviço</v>
      </c>
      <c r="B174" s="112" t="str">
        <f ca="1">IF($A174=0,"",OFFSET(PO!K$12,ROW(B174)-ROW(B$12),0))</f>
        <v>1.15.0.9.</v>
      </c>
      <c r="C174" s="109" t="str">
        <f ca="1">IF(OFFSET(PO!N$12,ROW(C174)-ROW(C$12),0)=0,"",OFFSET(PO!N$12,ROW(C174)-ROW(C$12),0))</f>
        <v>DEMOLIÇÃO DE ARGAMASSAS, DE FORMA MANUAL, SEM REAPROVEITAMENTO. AF_09/2023</v>
      </c>
      <c r="D174" s="111" t="str">
        <f ca="1">IF(OFFSET(PO!O$12,ROW(D174)-ROW(D$12),0)=0,"",OFFSET(PO!O$12,ROW(D174)-ROW(D$12),0))</f>
        <v>M2</v>
      </c>
      <c r="E174" s="140">
        <f ca="1">IF($A174&lt;&gt;"Serviço",0,ROUND(SUMIF($F$9:$P$9,"&lt;&gt;",$F174:$P174),15-13*PO!$X$3))</f>
        <v>1.75</v>
      </c>
      <c r="F174" s="378">
        <f ca="1">OFFSET(PO!$P$12,ROW($E174)-ROW(F$12),0)</f>
        <v>1.75</v>
      </c>
      <c r="G174" s="378"/>
      <c r="H174" s="378"/>
      <c r="I174" s="378"/>
      <c r="J174" s="378"/>
      <c r="K174" s="378"/>
      <c r="L174" s="378"/>
      <c r="M174" s="378"/>
      <c r="N174" s="378"/>
      <c r="O174" s="378"/>
      <c r="U174" s="182"/>
    </row>
    <row r="175" spans="1:21" s="1" customFormat="1" ht="63.75" x14ac:dyDescent="0.2">
      <c r="A175" s="110" t="str">
        <f ca="1">OFFSET(PO!J$12,ROW(A175)-ROW($A$12),0)</f>
        <v>Serviço</v>
      </c>
      <c r="B175" s="112" t="str">
        <f ca="1">IF($A175=0,"",OFFSET(PO!K$12,ROW(B175)-ROW(B$12),0))</f>
        <v>1.15.0.10.</v>
      </c>
      <c r="C175" s="109" t="str">
        <f ca="1">IF(OFFSET(PO!N$12,ROW(C175)-ROW(C$12),0)=0,"",OFFSET(PO!N$12,ROW(C175)-ROW(C$12),0))</f>
        <v>TRATAMENTO DE FISSURA, COM SELANTE PU. (BASE SINAPI 98575)</v>
      </c>
      <c r="D175" s="111" t="str">
        <f ca="1">IF(OFFSET(PO!O$12,ROW(D175)-ROW(D$12),0)=0,"",OFFSET(PO!O$12,ROW(D175)-ROW(D$12),0))</f>
        <v>M</v>
      </c>
      <c r="E175" s="140">
        <f ca="1">IF($A175&lt;&gt;"Serviço",0,ROUND(SUMIF($F$9:$P$9,"&lt;&gt;",$F175:$P175),15-13*PO!$X$3))</f>
        <v>3.5</v>
      </c>
      <c r="F175" s="378">
        <f ca="1">OFFSET(PO!$P$12,ROW($E175)-ROW(F$12),0)</f>
        <v>3.5</v>
      </c>
      <c r="G175" s="378"/>
      <c r="H175" s="378"/>
      <c r="I175" s="378"/>
      <c r="J175" s="378"/>
      <c r="K175" s="378"/>
      <c r="L175" s="378"/>
      <c r="M175" s="378"/>
      <c r="N175" s="378"/>
      <c r="O175" s="378"/>
      <c r="U175" s="182"/>
    </row>
    <row r="176" spans="1:21" s="1" customFormat="1" ht="51" x14ac:dyDescent="0.2">
      <c r="A176" s="110" t="str">
        <f ca="1">OFFSET(PO!J$12,ROW(A176)-ROW($A$12),0)</f>
        <v>Serviço</v>
      </c>
      <c r="B176" s="112" t="str">
        <f ca="1">IF($A176=0,"",OFFSET(PO!K$12,ROW(B176)-ROW(B$12),0))</f>
        <v>1.15.0.11.</v>
      </c>
      <c r="C176" s="109" t="str">
        <f ca="1">IF(OFFSET(PO!N$12,ROW(C176)-ROW(C$12),0)=0,"",OFFSET(PO!N$12,ROW(C176)-ROW(C$12),0))</f>
        <v>CHAPISCO APLICADO EM ALVENARIAS E ESTRUTURAS DE CONCRETO INTERNAS, COM COLHER DE PEDREIRO. ARGAMASSA TRAÇO 1:3 COM PREPARO EM BETONEIRA 400L. AF_10/2022</v>
      </c>
      <c r="D176" s="111" t="str">
        <f ca="1">IF(OFFSET(PO!O$12,ROW(D176)-ROW(D$12),0)=0,"",OFFSET(PO!O$12,ROW(D176)-ROW(D$12),0))</f>
        <v>M2</v>
      </c>
      <c r="E176" s="140">
        <f ca="1">IF($A176&lt;&gt;"Serviço",0,ROUND(SUMIF($F$9:$P$9,"&lt;&gt;",$F176:$P176),15-13*PO!$X$3))</f>
        <v>1.75</v>
      </c>
      <c r="F176" s="378">
        <f ca="1">OFFSET(PO!$P$12,ROW($E176)-ROW(F$12),0)</f>
        <v>1.75</v>
      </c>
      <c r="G176" s="378"/>
      <c r="H176" s="378"/>
      <c r="I176" s="378"/>
      <c r="J176" s="378"/>
      <c r="K176" s="378"/>
      <c r="L176" s="378"/>
      <c r="M176" s="378"/>
      <c r="N176" s="378"/>
      <c r="O176" s="378"/>
      <c r="U176" s="182"/>
    </row>
    <row r="177" spans="1:21" s="1" customFormat="1" ht="38.25" x14ac:dyDescent="0.2">
      <c r="A177" s="110" t="str">
        <f ca="1">OFFSET(PO!J$12,ROW(A177)-ROW($A$12),0)</f>
        <v>Serviço</v>
      </c>
      <c r="B177" s="112" t="str">
        <f ca="1">IF($A177=0,"",OFFSET(PO!K$12,ROW(B177)-ROW(B$12),0))</f>
        <v>1.15.0.12.</v>
      </c>
      <c r="C177" s="109" t="str">
        <f ca="1">IF(OFFSET(PO!N$12,ROW(C177)-ROW(C$12),0)=0,"",OFFSET(PO!N$12,ROW(C177)-ROW(C$12),0))</f>
        <v>EMBOÇO, EM ARGAMASSA TRAÇO 1:2:8, PREPARO MECÂNICO, APLICADO MANUALMENTE EM PAREDES INTERNAS DE AMBIENTES COM ÁREA ENTRE 5M² E 10M², E = 17,5MM, COM TALISCAS. AF_03/2024</v>
      </c>
      <c r="D177" s="111" t="str">
        <f ca="1">IF(OFFSET(PO!O$12,ROW(D177)-ROW(D$12),0)=0,"",OFFSET(PO!O$12,ROW(D177)-ROW(D$12),0))</f>
        <v>M2</v>
      </c>
      <c r="E177" s="140">
        <f ca="1">IF($A177&lt;&gt;"Serviço",0,ROUND(SUMIF($F$9:$P$9,"&lt;&gt;",$F177:$P177),15-13*PO!$X$3))</f>
        <v>1.75</v>
      </c>
      <c r="F177" s="378">
        <f ca="1">OFFSET(PO!$P$12,ROW($E177)-ROW(F$12),0)</f>
        <v>1.75</v>
      </c>
      <c r="G177" s="378"/>
      <c r="H177" s="378"/>
      <c r="I177" s="378"/>
      <c r="J177" s="378"/>
      <c r="K177" s="378"/>
      <c r="L177" s="378"/>
      <c r="M177" s="378"/>
      <c r="N177" s="378"/>
      <c r="O177" s="378"/>
      <c r="U177" s="182"/>
    </row>
    <row r="178" spans="1:21" s="1" customFormat="1" x14ac:dyDescent="0.2">
      <c r="A178" s="110" t="str">
        <f ca="1">OFFSET(PO!J$12,ROW(A178)-ROW($A$12),0)</f>
        <v>Serviço</v>
      </c>
      <c r="B178" s="112" t="str">
        <f ca="1">IF($A178=0,"",OFFSET(PO!K$12,ROW(B178)-ROW(B$12),0))</f>
        <v>1.15.0.13.</v>
      </c>
      <c r="C178" s="109" t="str">
        <f ca="1">IF(OFFSET(PO!N$12,ROW(C178)-ROW(C$12),0)=0,"",OFFSET(PO!N$12,ROW(C178)-ROW(C$12),0))</f>
        <v>REMOÇÃO DE FORRO DE GESSO, DE FORMA MANUAL, SEM REAPROVEITAMENTO. AF_09/2023</v>
      </c>
      <c r="D178" s="111" t="str">
        <f ca="1">IF(OFFSET(PO!O$12,ROW(D178)-ROW(D$12),0)=0,"",OFFSET(PO!O$12,ROW(D178)-ROW(D$12),0))</f>
        <v>M2</v>
      </c>
      <c r="E178" s="140">
        <f ca="1">IF($A178&lt;&gt;"Serviço",0,ROUND(SUMIF($F$9:$P$9,"&lt;&gt;",$F178:$P178),15-13*PO!$X$3))</f>
        <v>2</v>
      </c>
      <c r="F178" s="378">
        <f ca="1">OFFSET(PO!$P$12,ROW($E178)-ROW(F$12),0)</f>
        <v>2</v>
      </c>
      <c r="G178" s="378"/>
      <c r="H178" s="378"/>
      <c r="I178" s="378"/>
      <c r="J178" s="378"/>
      <c r="K178" s="378"/>
      <c r="L178" s="378"/>
      <c r="M178" s="378"/>
      <c r="N178" s="378"/>
      <c r="O178" s="378"/>
      <c r="U178" s="182"/>
    </row>
    <row r="179" spans="1:21" s="1" customFormat="1" x14ac:dyDescent="0.2">
      <c r="A179" s="110" t="str">
        <f ca="1">OFFSET(PO!J$12,ROW(A179)-ROW($A$12),0)</f>
        <v>Serviço</v>
      </c>
      <c r="B179" s="112" t="str">
        <f ca="1">IF($A179=0,"",OFFSET(PO!K$12,ROW(B179)-ROW(B$12),0))</f>
        <v>1.15.0.14.</v>
      </c>
      <c r="C179" s="109" t="str">
        <f ca="1">IF(OFFSET(PO!N$12,ROW(C179)-ROW(C$12),0)=0,"",OFFSET(PO!N$12,ROW(C179)-ROW(C$12),0))</f>
        <v>FORRO EM PLACAS DE GESSO, PARA AMBIENTES RESIDENCIAIS. AF_08/2023_PS</v>
      </c>
      <c r="D179" s="111" t="str">
        <f ca="1">IF(OFFSET(PO!O$12,ROW(D179)-ROW(D$12),0)=0,"",OFFSET(PO!O$12,ROW(D179)-ROW(D$12),0))</f>
        <v>M2</v>
      </c>
      <c r="E179" s="140">
        <f ca="1">IF($A179&lt;&gt;"Serviço",0,ROUND(SUMIF($F$9:$P$9,"&lt;&gt;",$F179:$P179),15-13*PO!$X$3))</f>
        <v>2</v>
      </c>
      <c r="F179" s="378">
        <f ca="1">OFFSET(PO!$P$12,ROW($E179)-ROW(F$12),0)</f>
        <v>2</v>
      </c>
      <c r="G179" s="378"/>
      <c r="H179" s="378"/>
      <c r="I179" s="378"/>
      <c r="J179" s="378"/>
      <c r="K179" s="378"/>
      <c r="L179" s="378"/>
      <c r="M179" s="378"/>
      <c r="N179" s="378"/>
      <c r="O179" s="378"/>
      <c r="U179" s="182"/>
    </row>
    <row r="180" spans="1:21" s="1" customFormat="1" ht="38.25" x14ac:dyDescent="0.2">
      <c r="A180" s="110" t="str">
        <f ca="1">OFFSET(PO!J$12,ROW(A180)-ROW($A$12),0)</f>
        <v>Serviço</v>
      </c>
      <c r="B180" s="112" t="str">
        <f ca="1">IF($A180=0,"",OFFSET(PO!K$12,ROW(B180)-ROW(B$12),0))</f>
        <v>1.15.0.15.</v>
      </c>
      <c r="C180" s="109" t="str">
        <f ca="1">IF(OFFSET(PO!N$12,ROW(C180)-ROW(C$12),0)=0,"",OFFSET(PO!N$12,ROW(C180)-ROW(C$12),0))</f>
        <v>FUNDO SELADOR ACRÍLICO, APLICAÇÃO MANUAL EM TETO, UMA DEMÃO. AF_04/2023</v>
      </c>
      <c r="D180" s="111" t="str">
        <f ca="1">IF(OFFSET(PO!O$12,ROW(D180)-ROW(D$12),0)=0,"",OFFSET(PO!O$12,ROW(D180)-ROW(D$12),0))</f>
        <v>M2</v>
      </c>
      <c r="E180" s="140">
        <f ca="1">IF($A180&lt;&gt;"Serviço",0,ROUND(SUMIF($F$9:$P$9,"&lt;&gt;",$F180:$P180),15-13*PO!$X$3))</f>
        <v>2</v>
      </c>
      <c r="F180" s="378">
        <f ca="1">OFFSET(PO!$P$12,ROW($E180)-ROW(F$12),0)</f>
        <v>2</v>
      </c>
      <c r="G180" s="378"/>
      <c r="H180" s="378"/>
      <c r="I180" s="378"/>
      <c r="J180" s="378"/>
      <c r="K180" s="378"/>
      <c r="L180" s="378"/>
      <c r="M180" s="378"/>
      <c r="N180" s="378"/>
      <c r="O180" s="378"/>
      <c r="U180" s="182"/>
    </row>
    <row r="181" spans="1:21" s="1" customFormat="1" ht="25.5" x14ac:dyDescent="0.2">
      <c r="A181" s="110" t="str">
        <f ca="1">OFFSET(PO!J$12,ROW(A181)-ROW($A$12),0)</f>
        <v>Serviço</v>
      </c>
      <c r="B181" s="112" t="str">
        <f ca="1">IF($A181=0,"",OFFSET(PO!K$12,ROW(B181)-ROW(B$12),0))</f>
        <v>1.15.0.16.</v>
      </c>
      <c r="C181" s="109" t="str">
        <f ca="1">IF(OFFSET(PO!N$12,ROW(C181)-ROW(C$12),0)=0,"",OFFSET(PO!N$12,ROW(C181)-ROW(C$12),0))</f>
        <v>EMASSAMENTO COM MASSA LÁTEX, APLICAÇÃO EM TETO, DUAS DEMÃOS, LIXAMENTO MANUAL. AF_04/2023</v>
      </c>
      <c r="D181" s="111" t="str">
        <f ca="1">IF(OFFSET(PO!O$12,ROW(D181)-ROW(D$12),0)=0,"",OFFSET(PO!O$12,ROW(D181)-ROW(D$12),0))</f>
        <v>M2</v>
      </c>
      <c r="E181" s="140">
        <f ca="1">IF($A181&lt;&gt;"Serviço",0,ROUND(SUMIF($F$9:$P$9,"&lt;&gt;",$F181:$P181),15-13*PO!$X$3))</f>
        <v>2</v>
      </c>
      <c r="F181" s="378">
        <f ca="1">OFFSET(PO!$P$12,ROW($E181)-ROW(F$12),0)</f>
        <v>2</v>
      </c>
      <c r="G181" s="378"/>
      <c r="H181" s="378"/>
      <c r="I181" s="378"/>
      <c r="J181" s="378"/>
      <c r="K181" s="378"/>
      <c r="L181" s="378"/>
      <c r="M181" s="378"/>
      <c r="N181" s="378"/>
      <c r="O181" s="378"/>
      <c r="U181" s="182"/>
    </row>
    <row r="182" spans="1:21" s="1" customFormat="1" x14ac:dyDescent="0.2">
      <c r="A182" s="110" t="str">
        <f ca="1">OFFSET(PO!J$12,ROW(A182)-ROW($A$12),0)</f>
        <v>Serviço</v>
      </c>
      <c r="B182" s="112" t="str">
        <f ca="1">IF($A182=0,"",OFFSET(PO!K$12,ROW(B182)-ROW(B$12),0))</f>
        <v>1.15.0.17.</v>
      </c>
      <c r="C182" s="109" t="str">
        <f ca="1">IF(OFFSET(PO!N$12,ROW(C182)-ROW(C$12),0)=0,"",OFFSET(PO!N$12,ROW(C182)-ROW(C$12),0))</f>
        <v>PINTURA LÁTEX ACRÍLICA STANDARD, APLICAÇÃO MANUAL EM TETO, DUAS DEMÃOS. AF_04/2023</v>
      </c>
      <c r="D182" s="111" t="str">
        <f ca="1">IF(OFFSET(PO!O$12,ROW(D182)-ROW(D$12),0)=0,"",OFFSET(PO!O$12,ROW(D182)-ROW(D$12),0))</f>
        <v>M2</v>
      </c>
      <c r="E182" s="140">
        <f ca="1">IF($A182&lt;&gt;"Serviço",0,ROUND(SUMIF($F$9:$P$9,"&lt;&gt;",$F182:$P182),15-13*PO!$X$3))</f>
        <v>2</v>
      </c>
      <c r="F182" s="378">
        <f ca="1">OFFSET(PO!$P$12,ROW($E182)-ROW(F$12),0)</f>
        <v>2</v>
      </c>
      <c r="G182" s="378"/>
      <c r="H182" s="378"/>
      <c r="I182" s="378"/>
      <c r="J182" s="378"/>
      <c r="K182" s="378"/>
      <c r="L182" s="378"/>
      <c r="M182" s="378"/>
      <c r="N182" s="378"/>
      <c r="O182" s="378"/>
      <c r="U182" s="182"/>
    </row>
    <row r="183" spans="1:21" s="1" customFormat="1" ht="25.5" x14ac:dyDescent="0.2">
      <c r="A183" s="110" t="str">
        <f ca="1">OFFSET(PO!J$12,ROW(A183)-ROW($A$12),0)</f>
        <v>Nível 2</v>
      </c>
      <c r="B183" s="112" t="str">
        <f ca="1">IF($A183=0,"",OFFSET(PO!K$12,ROW(B183)-ROW(B$12),0))</f>
        <v>1.16.</v>
      </c>
      <c r="C183" s="109" t="str">
        <f ca="1">IF(OFFSET(PO!N$12,ROW(C183)-ROW(C$12),0)=0,"",OFFSET(PO!N$12,ROW(C183)-ROW(C$12),0))</f>
        <v>GUARDA-CORPOS E CORRIMÕES DO ACESSO PRINCIPAL</v>
      </c>
      <c r="D183" s="111" t="str">
        <f ca="1">IF(OFFSET(PO!O$12,ROW(D183)-ROW(D$12),0)=0,"",OFFSET(PO!O$12,ROW(D183)-ROW(D$12),0))</f>
        <v/>
      </c>
      <c r="E183" s="140">
        <f ca="1">IF($A183&lt;&gt;"Serviço",0,ROUND(SUMIF($F$9:$P$9,"&lt;&gt;",$F183:$P183),15-13*PO!$X$3))</f>
        <v>0</v>
      </c>
      <c r="F183" s="378" t="str">
        <f ca="1">OFFSET(PO!$P$12,ROW($E183)-ROW(F$12),0)</f>
        <v xml:space="preserve"> -  </v>
      </c>
      <c r="G183" s="378"/>
      <c r="H183" s="378"/>
      <c r="I183" s="378"/>
      <c r="J183" s="378"/>
      <c r="K183" s="378"/>
      <c r="L183" s="378"/>
      <c r="M183" s="378"/>
      <c r="N183" s="378"/>
      <c r="O183" s="378"/>
      <c r="U183" s="182"/>
    </row>
    <row r="184" spans="1:21" s="1" customFormat="1" ht="25.5" x14ac:dyDescent="0.2">
      <c r="A184" s="110" t="str">
        <f ca="1">OFFSET(PO!J$12,ROW(A184)-ROW($A$12),0)</f>
        <v>Nível 3</v>
      </c>
      <c r="B184" s="112" t="str">
        <f ca="1">IF($A184=0,"",OFFSET(PO!K$12,ROW(B184)-ROW(B$12),0))</f>
        <v>1.16.1.</v>
      </c>
      <c r="C184" s="109" t="str">
        <f ca="1">IF(OFFSET(PO!N$12,ROW(C184)-ROW(C$12),0)=0,"",OFFSET(PO!N$12,ROW(C184)-ROW(C$12),0))</f>
        <v>Guarda-corp e corr. - Acesso Principal</v>
      </c>
      <c r="D184" s="111" t="str">
        <f ca="1">IF(OFFSET(PO!O$12,ROW(D184)-ROW(D$12),0)=0,"",OFFSET(PO!O$12,ROW(D184)-ROW(D$12),0))</f>
        <v/>
      </c>
      <c r="E184" s="140">
        <f ca="1">IF($A184&lt;&gt;"Serviço",0,ROUND(SUMIF($F$9:$P$9,"&lt;&gt;",$F184:$P184),15-13*PO!$X$3))</f>
        <v>0</v>
      </c>
      <c r="F184" s="378" t="str">
        <f ca="1">OFFSET(PO!$P$12,ROW($E184)-ROW(F$12),0)</f>
        <v xml:space="preserve"> -  </v>
      </c>
      <c r="G184" s="378"/>
      <c r="H184" s="378"/>
      <c r="I184" s="378"/>
      <c r="J184" s="378"/>
      <c r="K184" s="378"/>
      <c r="L184" s="378"/>
      <c r="M184" s="378"/>
      <c r="N184" s="378"/>
      <c r="O184" s="378"/>
      <c r="U184" s="182"/>
    </row>
    <row r="185" spans="1:21" s="1" customFormat="1" ht="25.5" x14ac:dyDescent="0.2">
      <c r="A185" s="110" t="str">
        <f ca="1">OFFSET(PO!J$12,ROW(A185)-ROW($A$12),0)</f>
        <v>Serviço</v>
      </c>
      <c r="B185" s="112" t="str">
        <f ca="1">IF($A185=0,"",OFFSET(PO!K$12,ROW(B185)-ROW(B$12),0))</f>
        <v>1.16.1.1.</v>
      </c>
      <c r="C185" s="109" t="str">
        <f ca="1">IF(OFFSET(PO!N$12,ROW(C185)-ROW(C$12),0)=0,"",OFFSET(PO!N$12,ROW(C185)-ROW(C$12),0))</f>
        <v>GUARDA-CORPO DE AÇO GALVANIZADO DE 1,10M, DUPLO 
CORRIMÃO, MONTANTES TUBULARES DE 1.1/4" ESPAÇADOS DE 
1,20M, TRAVESSA SUPERIOR DE 1.1/2", GRADIL EM TUBOS 
HORIZONTAIS DE 1" E VERTICAIS DE 3/4", FIXADO COM ADESIVO 
ESTRUTURAL EPOXI OU CHUMBADOR MECÂNICO (BASE SINAPI 99851 E 99842)</v>
      </c>
      <c r="D185" s="111" t="str">
        <f ca="1">IF(OFFSET(PO!O$12,ROW(D185)-ROW(D$12),0)=0,"",OFFSET(PO!O$12,ROW(D185)-ROW(D$12),0))</f>
        <v>M</v>
      </c>
      <c r="E185" s="140">
        <f ca="1">IF($A185&lt;&gt;"Serviço",0,ROUND(SUMIF($F$9:$P$9,"&lt;&gt;",$F185:$P185),15-13*PO!$X$3))</f>
        <v>20.7</v>
      </c>
      <c r="F185" s="378">
        <f ca="1">OFFSET(PO!$P$12,ROW($E185)-ROW(F$12),0)</f>
        <v>20.7</v>
      </c>
      <c r="G185" s="378"/>
      <c r="H185" s="378"/>
      <c r="I185" s="378"/>
      <c r="J185" s="378"/>
      <c r="K185" s="378"/>
      <c r="L185" s="378"/>
      <c r="M185" s="378"/>
      <c r="N185" s="378"/>
      <c r="O185" s="378"/>
      <c r="U185" s="182"/>
    </row>
    <row r="186" spans="1:21" s="1" customFormat="1" x14ac:dyDescent="0.2">
      <c r="A186" s="110" t="str">
        <f ca="1">OFFSET(PO!J$12,ROW(A186)-ROW($A$12),0)</f>
        <v>Serviço</v>
      </c>
      <c r="B186" s="112" t="str">
        <f ca="1">IF($A186=0,"",OFFSET(PO!K$12,ROW(B186)-ROW(B$12),0))</f>
        <v>1.16.1.2.</v>
      </c>
      <c r="C186" s="109" t="str">
        <f ca="1">IF(OFFSET(PO!N$12,ROW(C186)-ROW(C$12),0)=0,"",OFFSET(PO!N$12,ROW(C186)-ROW(C$12),0))</f>
        <v>CORRIMÃO DUPLO CENTRAL FIXADO NO PISO EM AÇO 
GALVANIZADO DE 1.1/2", MONTANTES TUBULARES 1.1/2" 
ESPAÇADOS DE 1,00M, FIXADO COM CHUMBADOR MECÂNICO. (BASE SINAPI 106212)</v>
      </c>
      <c r="D186" s="111" t="str">
        <f ca="1">IF(OFFSET(PO!O$12,ROW(D186)-ROW(D$12),0)=0,"",OFFSET(PO!O$12,ROW(D186)-ROW(D$12),0))</f>
        <v>M</v>
      </c>
      <c r="E186" s="140">
        <f ca="1">IF($A186&lt;&gt;"Serviço",0,ROUND(SUMIF($F$9:$P$9,"&lt;&gt;",$F186:$P186),15-13*PO!$X$3))</f>
        <v>8.4</v>
      </c>
      <c r="F186" s="378">
        <f ca="1">OFFSET(PO!$P$12,ROW($E186)-ROW(F$12),0)</f>
        <v>8.4</v>
      </c>
      <c r="G186" s="378"/>
      <c r="H186" s="378"/>
      <c r="I186" s="378"/>
      <c r="J186" s="378"/>
      <c r="K186" s="378"/>
      <c r="L186" s="378"/>
      <c r="M186" s="378"/>
      <c r="N186" s="378"/>
      <c r="O186" s="378"/>
      <c r="U186" s="182"/>
    </row>
    <row r="187" spans="1:21" s="1" customFormat="1" x14ac:dyDescent="0.2">
      <c r="A187" s="110" t="str">
        <f ca="1">OFFSET(PO!J$12,ROW(A187)-ROW($A$12),0)</f>
        <v>Serviço</v>
      </c>
      <c r="B187" s="112" t="str">
        <f ca="1">IF($A187=0,"",OFFSET(PO!K$12,ROW(B187)-ROW(B$12),0))</f>
        <v>1.16.1.3.</v>
      </c>
      <c r="C187" s="109" t="str">
        <f ca="1">IF(OFFSET(PO!N$12,ROW(C187)-ROW(C$12),0)=0,"",OFFSET(PO!N$12,ROW(C187)-ROW(C$12),0))</f>
        <v>GUARDA-CORPO DE AÇO GALVANIZADO DE 1,10M, MONTANTES TUBULARES DE 1.1/4" ESPAÇADOS 1,20M, TRAVESSA SUPERIOR DE 1.1/2", GRADIL FORMADO POR TUBOS HORIZONTAIS DE 1" E VERTICAIS DE 3/4", FIXADO COM ADESIVO ESTRUTURAL EPOXI. AF_10/2025_PS</v>
      </c>
      <c r="D187" s="111" t="str">
        <f ca="1">IF(OFFSET(PO!O$12,ROW(D187)-ROW(D$12),0)=0,"",OFFSET(PO!O$12,ROW(D187)-ROW(D$12),0))</f>
        <v>M</v>
      </c>
      <c r="E187" s="140">
        <f ca="1">IF($A187&lt;&gt;"Serviço",0,ROUND(SUMIF($F$9:$P$9,"&lt;&gt;",$F187:$P187),15-13*PO!$X$3))</f>
        <v>2.85</v>
      </c>
      <c r="F187" s="378">
        <f ca="1">OFFSET(PO!$P$12,ROW($E187)-ROW(F$12),0)</f>
        <v>2.85</v>
      </c>
      <c r="G187" s="378"/>
      <c r="H187" s="378"/>
      <c r="I187" s="378"/>
      <c r="J187" s="378"/>
      <c r="K187" s="378"/>
      <c r="L187" s="378"/>
      <c r="M187" s="378"/>
      <c r="N187" s="378"/>
      <c r="O187" s="378"/>
      <c r="U187" s="182"/>
    </row>
    <row r="188" spans="1:21" s="1" customFormat="1" ht="127.5" x14ac:dyDescent="0.2">
      <c r="A188" s="110" t="str">
        <f ca="1">OFFSET(PO!J$12,ROW(A188)-ROW($A$12),0)</f>
        <v>Nível 3</v>
      </c>
      <c r="B188" s="112" t="str">
        <f ca="1">IF($A188=0,"",OFFSET(PO!K$12,ROW(B188)-ROW(B$12),0))</f>
        <v>1.16.2.</v>
      </c>
      <c r="C188" s="109" t="str">
        <f ca="1">IF(OFFSET(PO!N$12,ROW(C188)-ROW(C$12),0)=0,"",OFFSET(PO!N$12,ROW(C188)-ROW(C$12),0))</f>
        <v>Pintura guarda-corp. e corr. - Aces. Princip.</v>
      </c>
      <c r="D188" s="111" t="str">
        <f ca="1">IF(OFFSET(PO!O$12,ROW(D188)-ROW(D$12),0)=0,"",OFFSET(PO!O$12,ROW(D188)-ROW(D$12),0))</f>
        <v/>
      </c>
      <c r="E188" s="140">
        <f ca="1">IF($A188&lt;&gt;"Serviço",0,ROUND(SUMIF($F$9:$P$9,"&lt;&gt;",$F188:$P188),15-13*PO!$X$3))</f>
        <v>0</v>
      </c>
      <c r="F188" s="378" t="str">
        <f ca="1">OFFSET(PO!$P$12,ROW($E188)-ROW(F$12),0)</f>
        <v xml:space="preserve"> -  </v>
      </c>
      <c r="G188" s="378"/>
      <c r="H188" s="378"/>
      <c r="I188" s="378"/>
      <c r="J188" s="378"/>
      <c r="K188" s="378"/>
      <c r="L188" s="378"/>
      <c r="M188" s="378"/>
      <c r="N188" s="378"/>
      <c r="O188" s="378"/>
      <c r="U188" s="182"/>
    </row>
    <row r="189" spans="1:21" s="1" customFormat="1" ht="89.25" x14ac:dyDescent="0.2">
      <c r="A189" s="110" t="str">
        <f ca="1">OFFSET(PO!J$12,ROW(A189)-ROW($A$12),0)</f>
        <v>Serviço</v>
      </c>
      <c r="B189" s="112" t="str">
        <f ca="1">IF($A189=0,"",OFFSET(PO!K$12,ROW(B189)-ROW(B$12),0))</f>
        <v>1.16.2.1.</v>
      </c>
      <c r="C189" s="109" t="str">
        <f ca="1">IF(OFFSET(PO!N$12,ROW(C189)-ROW(C$12),0)=0,"",OFFSET(PO!N$12,ROW(C189)-ROW(C$12),0))</f>
        <v>LIXAMENTO MANUAL EM SUPERFÍCIES METÁLICAS EM OBRA. AF_01/2020</v>
      </c>
      <c r="D189" s="111" t="str">
        <f ca="1">IF(OFFSET(PO!O$12,ROW(D189)-ROW(D$12),0)=0,"",OFFSET(PO!O$12,ROW(D189)-ROW(D$12),0))</f>
        <v>M2</v>
      </c>
      <c r="E189" s="140">
        <f ca="1">IF($A189&lt;&gt;"Serviço",0,ROUND(SUMIF($F$9:$P$9,"&lt;&gt;",$F189:$P189),15-13*PO!$X$3))</f>
        <v>33.090000000000003</v>
      </c>
      <c r="F189" s="378">
        <f ca="1">OFFSET(PO!$P$12,ROW($E189)-ROW(F$12),0)</f>
        <v>33.090000000000003</v>
      </c>
      <c r="G189" s="378"/>
      <c r="H189" s="378"/>
      <c r="I189" s="378"/>
      <c r="J189" s="378"/>
      <c r="K189" s="378"/>
      <c r="L189" s="378"/>
      <c r="M189" s="378"/>
      <c r="N189" s="378"/>
      <c r="O189" s="378"/>
      <c r="U189" s="182"/>
    </row>
    <row r="190" spans="1:21" s="1" customFormat="1" ht="38.25" x14ac:dyDescent="0.2">
      <c r="A190" s="110" t="str">
        <f ca="1">OFFSET(PO!J$12,ROW(A190)-ROW($A$12),0)</f>
        <v>Serviço</v>
      </c>
      <c r="B190" s="112" t="str">
        <f ca="1">IF($A190=0,"",OFFSET(PO!K$12,ROW(B190)-ROW(B$12),0))</f>
        <v>1.16.2.2.</v>
      </c>
      <c r="C190" s="109" t="str">
        <f ca="1">IF(OFFSET(PO!N$12,ROW(C190)-ROW(C$12),0)=0,"",OFFSET(PO!N$12,ROW(C190)-ROW(C$12),0))</f>
        <v>PINTURA COM TINTA ALQUÍDICA DE FUNDO (TIPO ZARCÃO) APLICADA A ROLO OU PINCEL SOBRE PERFIL METÁLICO EXECUTADO EM FÁBRICA (POR DEMÃO). AF_01/2020</v>
      </c>
      <c r="D190" s="111" t="str">
        <f ca="1">IF(OFFSET(PO!O$12,ROW(D190)-ROW(D$12),0)=0,"",OFFSET(PO!O$12,ROW(D190)-ROW(D$12),0))</f>
        <v>M2</v>
      </c>
      <c r="E190" s="140">
        <f ca="1">IF($A190&lt;&gt;"Serviço",0,ROUND(SUMIF($F$9:$P$9,"&lt;&gt;",$F190:$P190),15-13*PO!$X$3))</f>
        <v>66.180000000000007</v>
      </c>
      <c r="F190" s="378">
        <f ca="1">OFFSET(PO!$P$12,ROW($E190)-ROW(F$12),0)</f>
        <v>66.180000000000007</v>
      </c>
      <c r="G190" s="378"/>
      <c r="H190" s="378"/>
      <c r="I190" s="378"/>
      <c r="J190" s="378"/>
      <c r="K190" s="378"/>
      <c r="L190" s="378"/>
      <c r="M190" s="378"/>
      <c r="N190" s="378"/>
      <c r="O190" s="378"/>
      <c r="U190" s="182"/>
    </row>
    <row r="191" spans="1:21" s="1" customFormat="1" ht="25.5" x14ac:dyDescent="0.2">
      <c r="A191" s="110" t="str">
        <f ca="1">OFFSET(PO!J$12,ROW(A191)-ROW($A$12),0)</f>
        <v>Serviço</v>
      </c>
      <c r="B191" s="112" t="str">
        <f ca="1">IF($A191=0,"",OFFSET(PO!K$12,ROW(B191)-ROW(B$12),0))</f>
        <v>1.16.2.3.</v>
      </c>
      <c r="C191" s="109" t="str">
        <f ca="1">IF(OFFSET(PO!N$12,ROW(C191)-ROW(C$12),0)=0,"",OFFSET(PO!N$12,ROW(C191)-ROW(C$12),0))</f>
        <v>PINTURA COM TINTA ALQUÍDICA DE ACABAMENTO (ESMALTE SINTÉTICO BRILHANTE) APLICADA A ROLO OU PINCEL SOBRE PERFIL METÁLICO EXECUTADO EM FÁBRICA (POR DEMÃO). AF_01/2020</v>
      </c>
      <c r="D191" s="111" t="str">
        <f ca="1">IF(OFFSET(PO!O$12,ROW(D191)-ROW(D$12),0)=0,"",OFFSET(PO!O$12,ROW(D191)-ROW(D$12),0))</f>
        <v>M2</v>
      </c>
      <c r="E191" s="140">
        <f ca="1">IF($A191&lt;&gt;"Serviço",0,ROUND(SUMIF($F$9:$P$9,"&lt;&gt;",$F191:$P191),15-13*PO!$X$3))</f>
        <v>66.180000000000007</v>
      </c>
      <c r="F191" s="378">
        <f ca="1">OFFSET(PO!$P$12,ROW($E191)-ROW(F$12),0)</f>
        <v>66.180000000000007</v>
      </c>
      <c r="G191" s="378"/>
      <c r="H191" s="378"/>
      <c r="I191" s="378"/>
      <c r="J191" s="378"/>
      <c r="K191" s="378"/>
      <c r="L191" s="378"/>
      <c r="M191" s="378"/>
      <c r="N191" s="378"/>
      <c r="O191" s="378"/>
      <c r="U191" s="182"/>
    </row>
    <row r="192" spans="1:21" s="1" customFormat="1" ht="38.25" x14ac:dyDescent="0.2">
      <c r="A192" s="110" t="str">
        <f ca="1">OFFSET(PO!J$12,ROW(A192)-ROW($A$12),0)</f>
        <v>Nível 2</v>
      </c>
      <c r="B192" s="112" t="str">
        <f ca="1">IF($A192=0,"",OFFSET(PO!K$12,ROW(B192)-ROW(B$12),0))</f>
        <v>1.17.</v>
      </c>
      <c r="C192" s="109" t="str">
        <f ca="1">IF(OFFSET(PO!N$12,ROW(C192)-ROW(C$12),0)=0,"",OFFSET(PO!N$12,ROW(C192)-ROW(C$12),0))</f>
        <v>SERVIÇOS FINAIS E LIMPEZA GERAL DE OBRA</v>
      </c>
      <c r="D192" s="111" t="str">
        <f ca="1">IF(OFFSET(PO!O$12,ROW(D192)-ROW(D$12),0)=0,"",OFFSET(PO!O$12,ROW(D192)-ROW(D$12),0))</f>
        <v/>
      </c>
      <c r="E192" s="140">
        <f ca="1">IF($A192&lt;&gt;"Serviço",0,ROUND(SUMIF($F$9:$P$9,"&lt;&gt;",$F192:$P192),15-13*PO!$X$3))</f>
        <v>0</v>
      </c>
      <c r="F192" s="378" t="str">
        <f ca="1">OFFSET(PO!$P$12,ROW($E192)-ROW(F$12),0)</f>
        <v xml:space="preserve"> -  </v>
      </c>
      <c r="G192" s="378"/>
      <c r="H192" s="378"/>
      <c r="I192" s="378"/>
      <c r="J192" s="378"/>
      <c r="K192" s="378"/>
      <c r="L192" s="378"/>
      <c r="M192" s="378"/>
      <c r="N192" s="378"/>
      <c r="O192" s="378"/>
      <c r="U192" s="182"/>
    </row>
    <row r="193" spans="1:21" s="1" customFormat="1" ht="38.25" x14ac:dyDescent="0.2">
      <c r="A193" s="110" t="str">
        <f ca="1">OFFSET(PO!J$12,ROW(A193)-ROW($A$12),0)</f>
        <v>Nível 3</v>
      </c>
      <c r="B193" s="112" t="str">
        <f ca="1">IF($A193=0,"",OFFSET(PO!K$12,ROW(B193)-ROW(B$12),0))</f>
        <v>1.17.1.</v>
      </c>
      <c r="C193" s="109" t="str">
        <f ca="1">IF(OFFSET(PO!N$12,ROW(C193)-ROW(C$12),0)=0,"",OFFSET(PO!N$12,ROW(C193)-ROW(C$12),0))</f>
        <v xml:space="preserve">Serviços finais  </v>
      </c>
      <c r="D193" s="111" t="str">
        <f ca="1">IF(OFFSET(PO!O$12,ROW(D193)-ROW(D$12),0)=0,"",OFFSET(PO!O$12,ROW(D193)-ROW(D$12),0))</f>
        <v/>
      </c>
      <c r="E193" s="140">
        <f ca="1">IF($A193&lt;&gt;"Serviço",0,ROUND(SUMIF($F$9:$P$9,"&lt;&gt;",$F193:$P193),15-13*PO!$X$3))</f>
        <v>0</v>
      </c>
      <c r="F193" s="378" t="str">
        <f ca="1">OFFSET(PO!$P$12,ROW($E193)-ROW(F$12),0)</f>
        <v xml:space="preserve"> -  </v>
      </c>
      <c r="G193" s="378"/>
      <c r="H193" s="378"/>
      <c r="I193" s="378"/>
      <c r="J193" s="378"/>
      <c r="K193" s="378"/>
      <c r="L193" s="378"/>
      <c r="M193" s="378"/>
      <c r="N193" s="378"/>
      <c r="O193" s="378"/>
      <c r="U193" s="182"/>
    </row>
    <row r="194" spans="1:21" s="1" customFormat="1" ht="89.25" x14ac:dyDescent="0.2">
      <c r="A194" s="110" t="str">
        <f ca="1">OFFSET(PO!J$12,ROW(A194)-ROW($A$12),0)</f>
        <v>Serviço</v>
      </c>
      <c r="B194" s="112" t="str">
        <f ca="1">IF($A194=0,"",OFFSET(PO!K$12,ROW(B194)-ROW(B$12),0))</f>
        <v>1.17.1.1.</v>
      </c>
      <c r="C194" s="109" t="str">
        <f ca="1">IF(OFFSET(PO!N$12,ROW(C194)-ROW(C$12),0)=0,"",OFFSET(PO!N$12,ROW(C194)-ROW(C$12),0))</f>
        <v>CARGA, MANOBRA E DESCARGA DE ENTULHO EM CAMINHÃO BASCULANTE 6 M³ - CARGA COM ESCAVADEIRA HIDRÁULICA (CAÇAMBA DE 0,80 M³ / 111 HP) E DESCARGA LIVRE (UNIDADE: M3). AF_02/2026</v>
      </c>
      <c r="D194" s="111" t="str">
        <f ca="1">IF(OFFSET(PO!O$12,ROW(D194)-ROW(D$12),0)=0,"",OFFSET(PO!O$12,ROW(D194)-ROW(D$12),0))</f>
        <v>M3</v>
      </c>
      <c r="E194" s="140">
        <f ca="1">IF($A194&lt;&gt;"Serviço",0,ROUND(SUMIF($F$9:$P$9,"&lt;&gt;",$F194:$P194),15-13*PO!$X$3))</f>
        <v>14.85</v>
      </c>
      <c r="F194" s="378">
        <f ca="1">OFFSET(PO!$P$12,ROW($E194)-ROW(F$12),0)</f>
        <v>14.85</v>
      </c>
      <c r="G194" s="378"/>
      <c r="H194" s="378"/>
      <c r="I194" s="378"/>
      <c r="J194" s="378"/>
      <c r="K194" s="378"/>
      <c r="L194" s="378"/>
      <c r="M194" s="378"/>
      <c r="N194" s="378"/>
      <c r="O194" s="378"/>
      <c r="U194" s="182"/>
    </row>
    <row r="195" spans="1:21" s="1" customFormat="1" ht="76.5" x14ac:dyDescent="0.2">
      <c r="A195" s="110" t="str">
        <f ca="1">OFFSET(PO!J$12,ROW(A195)-ROW($A$12),0)</f>
        <v>Serviço</v>
      </c>
      <c r="B195" s="112" t="str">
        <f ca="1">IF($A195=0,"",OFFSET(PO!K$12,ROW(B195)-ROW(B$12),0))</f>
        <v>1.17.1.2.</v>
      </c>
      <c r="C195" s="109" t="str">
        <f ca="1">IF(OFFSET(PO!N$12,ROW(C195)-ROW(C$12),0)=0,"",OFFSET(PO!N$12,ROW(C195)-ROW(C$12),0))</f>
        <v>TRANSPORTE COM CAMINHÃO BASCULANTE DE 6 M³, EM VIA URBANA PAVIMENTADA, DMT ATÉ 30 KM (UNIDADE: M3XKM). AF_02/2026</v>
      </c>
      <c r="D195" s="111" t="str">
        <f ca="1">IF(OFFSET(PO!O$12,ROW(D195)-ROW(D$12),0)=0,"",OFFSET(PO!O$12,ROW(D195)-ROW(D$12),0))</f>
        <v>M3XKM</v>
      </c>
      <c r="E195" s="140">
        <f ca="1">IF($A195&lt;&gt;"Serviço",0,ROUND(SUMIF($F$9:$P$9,"&lt;&gt;",$F195:$P195),15-13*PO!$X$3))</f>
        <v>222.74</v>
      </c>
      <c r="F195" s="378">
        <f ca="1">OFFSET(PO!$P$12,ROW($E195)-ROW(F$12),0)</f>
        <v>222.74</v>
      </c>
      <c r="G195" s="378"/>
      <c r="H195" s="378"/>
      <c r="I195" s="378"/>
      <c r="J195" s="378"/>
      <c r="K195" s="378"/>
      <c r="L195" s="378"/>
      <c r="M195" s="378"/>
      <c r="N195" s="378"/>
      <c r="O195" s="378"/>
      <c r="U195" s="182"/>
    </row>
    <row r="196" spans="1:21" s="1" customFormat="1" ht="76.5" x14ac:dyDescent="0.2">
      <c r="A196" s="110" t="str">
        <f ca="1">OFFSET(PO!J$12,ROW(A196)-ROW($A$12),0)</f>
        <v>Nível 3</v>
      </c>
      <c r="B196" s="112" t="str">
        <f ca="1">IF($A196=0,"",OFFSET(PO!K$12,ROW(B196)-ROW(B$12),0))</f>
        <v>1.17.2.</v>
      </c>
      <c r="C196" s="109" t="str">
        <f ca="1">IF(OFFSET(PO!N$12,ROW(C196)-ROW(C$12),0)=0,"",OFFSET(PO!N$12,ROW(C196)-ROW(C$12),0))</f>
        <v>Limpeza final de obra</v>
      </c>
      <c r="D196" s="111" t="str">
        <f ca="1">IF(OFFSET(PO!O$12,ROW(D196)-ROW(D$12),0)=0,"",OFFSET(PO!O$12,ROW(D196)-ROW(D$12),0))</f>
        <v/>
      </c>
      <c r="E196" s="140">
        <f ca="1">IF($A196&lt;&gt;"Serviço",0,ROUND(SUMIF($F$9:$P$9,"&lt;&gt;",$F196:$P196),15-13*PO!$X$3))</f>
        <v>0</v>
      </c>
      <c r="F196" s="378" t="str">
        <f ca="1">OFFSET(PO!$P$12,ROW($E196)-ROW(F$12),0)</f>
        <v xml:space="preserve"> -  </v>
      </c>
      <c r="G196" s="378"/>
      <c r="H196" s="378"/>
      <c r="I196" s="378"/>
      <c r="J196" s="378"/>
      <c r="K196" s="378"/>
      <c r="L196" s="378"/>
      <c r="M196" s="378"/>
      <c r="N196" s="378"/>
      <c r="O196" s="378"/>
      <c r="U196" s="182"/>
    </row>
    <row r="197" spans="1:21" s="1" customFormat="1" ht="102" x14ac:dyDescent="0.2">
      <c r="A197" s="110" t="str">
        <f ca="1">OFFSET(PO!J$12,ROW(A197)-ROW($A$12),0)</f>
        <v>Serviço</v>
      </c>
      <c r="B197" s="112" t="str">
        <f ca="1">IF($A197=0,"",OFFSET(PO!K$12,ROW(B197)-ROW(B$12),0))</f>
        <v>1.17.2.1.</v>
      </c>
      <c r="C197" s="109" t="str">
        <f ca="1">IF(OFFSET(PO!N$12,ROW(C197)-ROW(C$12),0)=0,"",OFFSET(PO!N$12,ROW(C197)-ROW(C$12),0))</f>
        <v>LIMPEZA DE PISO VINÍLICO COM VASSOURA E PANO ÚMIDO. AF_10/2025_PS</v>
      </c>
      <c r="D197" s="111" t="str">
        <f ca="1">IF(OFFSET(PO!O$12,ROW(D197)-ROW(D$12),0)=0,"",OFFSET(PO!O$12,ROW(D197)-ROW(D$12),0))</f>
        <v>M2</v>
      </c>
      <c r="E197" s="140">
        <f ca="1">IF($A197&lt;&gt;"Serviço",0,ROUND(SUMIF($F$9:$P$9,"&lt;&gt;",$F197:$P197),15-13*PO!$X$3))</f>
        <v>178.78</v>
      </c>
      <c r="F197" s="378">
        <f ca="1">OFFSET(PO!$P$12,ROW($E197)-ROW(F$12),0)</f>
        <v>178.78</v>
      </c>
      <c r="G197" s="378"/>
      <c r="H197" s="378"/>
      <c r="I197" s="378"/>
      <c r="J197" s="378"/>
      <c r="K197" s="378"/>
      <c r="L197" s="378"/>
      <c r="M197" s="378"/>
      <c r="N197" s="378"/>
      <c r="O197" s="378"/>
      <c r="U197" s="182"/>
    </row>
    <row r="198" spans="1:21" s="1" customFormat="1" ht="102" x14ac:dyDescent="0.2">
      <c r="A198" s="110" t="str">
        <f ca="1">OFFSET(PO!J$12,ROW(A198)-ROW($A$12),0)</f>
        <v>Serviço</v>
      </c>
      <c r="B198" s="112" t="str">
        <f ca="1">IF($A198=0,"",OFFSET(PO!K$12,ROW(B198)-ROW(B$12),0))</f>
        <v>1.17.2.2.</v>
      </c>
      <c r="C198" s="109" t="str">
        <f ca="1">IF(OFFSET(PO!N$12,ROW(C198)-ROW(C$12),0)=0,"",OFFSET(PO!N$12,ROW(C198)-ROW(C$12),0))</f>
        <v>LIMPEZA DE PISO CERÂMICO OU PORCELANATO COM VASSOURA A SECO. AF_10/2025</v>
      </c>
      <c r="D198" s="111" t="str">
        <f ca="1">IF(OFFSET(PO!O$12,ROW(D198)-ROW(D$12),0)=0,"",OFFSET(PO!O$12,ROW(D198)-ROW(D$12),0))</f>
        <v>M2</v>
      </c>
      <c r="E198" s="140">
        <f ca="1">IF($A198&lt;&gt;"Serviço",0,ROUND(SUMIF($F$9:$P$9,"&lt;&gt;",$F198:$P198),15-13*PO!$X$3))</f>
        <v>9.1199999999999992</v>
      </c>
      <c r="F198" s="378">
        <f ca="1">OFFSET(PO!$P$12,ROW($E198)-ROW(F$12),0)</f>
        <v>9.1199999999999992</v>
      </c>
      <c r="G198" s="378"/>
      <c r="H198" s="378"/>
      <c r="I198" s="378"/>
      <c r="J198" s="378"/>
      <c r="K198" s="378"/>
      <c r="L198" s="378"/>
      <c r="M198" s="378"/>
      <c r="N198" s="378"/>
      <c r="O198" s="378"/>
      <c r="U198" s="182"/>
    </row>
    <row r="199" spans="1:21" s="1" customFormat="1" ht="102" x14ac:dyDescent="0.2">
      <c r="A199" s="110" t="str">
        <f ca="1">OFFSET(PO!J$12,ROW(A199)-ROW($A$12),0)</f>
        <v>Serviço</v>
      </c>
      <c r="B199" s="112" t="str">
        <f ca="1">IF($A199=0,"",OFFSET(PO!K$12,ROW(B199)-ROW(B$12),0))</f>
        <v>1.17.2.3.</v>
      </c>
      <c r="C199" s="109" t="str">
        <f ca="1">IF(OFFSET(PO!N$12,ROW(C199)-ROW(C$12),0)=0,"",OFFSET(PO!N$12,ROW(C199)-ROW(C$12),0))</f>
        <v>LIMPEZA DE PISO CERÂMICO OU PORCELANATO COM PANO ÚMIDO. AF_10/2025_PS</v>
      </c>
      <c r="D199" s="111" t="str">
        <f ca="1">IF(OFFSET(PO!O$12,ROW(D199)-ROW(D$12),0)=0,"",OFFSET(PO!O$12,ROW(D199)-ROW(D$12),0))</f>
        <v>M2</v>
      </c>
      <c r="E199" s="140">
        <f ca="1">IF($A199&lt;&gt;"Serviço",0,ROUND(SUMIF($F$9:$P$9,"&lt;&gt;",$F199:$P199),15-13*PO!$X$3))</f>
        <v>9.1199999999999992</v>
      </c>
      <c r="F199" s="378">
        <f ca="1">OFFSET(PO!$P$12,ROW($E199)-ROW(F$12),0)</f>
        <v>9.1199999999999992</v>
      </c>
      <c r="G199" s="378"/>
      <c r="H199" s="378"/>
      <c r="I199" s="378"/>
      <c r="J199" s="378"/>
      <c r="K199" s="378"/>
      <c r="L199" s="378"/>
      <c r="M199" s="378"/>
      <c r="N199" s="378"/>
      <c r="O199" s="378"/>
      <c r="U199" s="182"/>
    </row>
    <row r="200" spans="1:21" s="1" customFormat="1" ht="89.25" x14ac:dyDescent="0.2">
      <c r="A200" s="110" t="str">
        <f ca="1">OFFSET(PO!J$12,ROW(A200)-ROW($A$12),0)</f>
        <v>Serviço</v>
      </c>
      <c r="B200" s="112" t="str">
        <f ca="1">IF($A200=0,"",OFFSET(PO!K$12,ROW(B200)-ROW(B$12),0))</f>
        <v>1.17.2.4.</v>
      </c>
      <c r="C200" s="109" t="str">
        <f ca="1">IF(OFFSET(PO!N$12,ROW(C200)-ROW(C$12),0)=0,"",OFFSET(PO!N$12,ROW(C200)-ROW(C$12),0))</f>
        <v>LIMPEZA DE REVESTIMENTO CERÂMICO EM PAREDE COM PANO ÚMIDO. AF_10/2025_PS</v>
      </c>
      <c r="D200" s="111" t="str">
        <f ca="1">IF(OFFSET(PO!O$12,ROW(D200)-ROW(D$12),0)=0,"",OFFSET(PO!O$12,ROW(D200)-ROW(D$12),0))</f>
        <v>M2</v>
      </c>
      <c r="E200" s="140">
        <f ca="1">IF($A200&lt;&gt;"Serviço",0,ROUND(SUMIF($F$9:$P$9,"&lt;&gt;",$F200:$P200),15-13*PO!$X$3))</f>
        <v>54.81</v>
      </c>
      <c r="F200" s="378">
        <f ca="1">OFFSET(PO!$P$12,ROW($E200)-ROW(F$12),0)</f>
        <v>54.81</v>
      </c>
      <c r="G200" s="378"/>
      <c r="H200" s="378"/>
      <c r="I200" s="378"/>
      <c r="J200" s="378"/>
      <c r="K200" s="378"/>
      <c r="L200" s="378"/>
      <c r="M200" s="378"/>
      <c r="N200" s="378"/>
      <c r="O200" s="378"/>
      <c r="U200" s="182"/>
    </row>
    <row r="201" spans="1:21" s="1" customFormat="1" ht="76.5" x14ac:dyDescent="0.2">
      <c r="A201" s="110" t="str">
        <f ca="1">OFFSET(PO!J$12,ROW(A201)-ROW($A$12),0)</f>
        <v>Serviço</v>
      </c>
      <c r="B201" s="112" t="str">
        <f ca="1">IF($A201=0,"",OFFSET(PO!K$12,ROW(B201)-ROW(B$12),0))</f>
        <v>1.17.2.5.</v>
      </c>
      <c r="C201" s="109" t="str">
        <f ca="1">IF(OFFSET(PO!N$12,ROW(C201)-ROW(C$12),0)=0,"",OFFSET(PO!N$12,ROW(C201)-ROW(C$12),0))</f>
        <v>LIMPEZA DE CONTRAPISO COM VASSOURA A SECO. AF_10/2025</v>
      </c>
      <c r="D201" s="111" t="str">
        <f ca="1">IF(OFFSET(PO!O$12,ROW(D201)-ROW(D$12),0)=0,"",OFFSET(PO!O$12,ROW(D201)-ROW(D$12),0))</f>
        <v>M2</v>
      </c>
      <c r="E201" s="140">
        <f ca="1">IF($A201&lt;&gt;"Serviço",0,ROUND(SUMIF($F$9:$P$9,"&lt;&gt;",$F201:$P201),15-13*PO!$X$3))</f>
        <v>290.20999999999998</v>
      </c>
      <c r="F201" s="378">
        <f ca="1">OFFSET(PO!$P$12,ROW($E201)-ROW(F$12),0)</f>
        <v>290.20999999999998</v>
      </c>
      <c r="G201" s="378"/>
      <c r="H201" s="378"/>
      <c r="I201" s="378"/>
      <c r="J201" s="378"/>
      <c r="K201" s="378"/>
      <c r="L201" s="378"/>
      <c r="M201" s="378"/>
      <c r="N201" s="378"/>
      <c r="O201" s="378"/>
      <c r="U201" s="182"/>
    </row>
    <row r="202" spans="1:21" s="1" customFormat="1" x14ac:dyDescent="0.2">
      <c r="A202" s="69"/>
      <c r="B202" s="69"/>
      <c r="C202" s="69"/>
      <c r="D202" s="69"/>
      <c r="E202" s="69"/>
      <c r="F202" s="69"/>
      <c r="G202" s="69"/>
      <c r="H202" s="69"/>
      <c r="I202" s="69"/>
      <c r="J202" s="69"/>
      <c r="K202" s="69"/>
      <c r="L202" s="69"/>
      <c r="M202" s="69"/>
      <c r="N202" s="69"/>
      <c r="O202" s="69"/>
      <c r="U202" s="69"/>
    </row>
    <row r="203" spans="1:21" s="1" customFormat="1" x14ac:dyDescent="0.2">
      <c r="B203" s="4"/>
      <c r="C203" s="10"/>
      <c r="D203" s="4"/>
      <c r="E203" s="12"/>
      <c r="F203" s="12"/>
      <c r="G203" s="12"/>
      <c r="H203" s="12"/>
      <c r="I203" s="12"/>
      <c r="J203" s="12"/>
      <c r="K203" s="12"/>
      <c r="L203" s="12"/>
      <c r="M203" s="12"/>
      <c r="N203" s="12"/>
      <c r="O203" s="12"/>
      <c r="U203" s="12"/>
    </row>
    <row r="204" spans="1:21" s="1" customFormat="1" x14ac:dyDescent="0.2">
      <c r="B204" s="331" t="str">
        <f>PO!$K$213</f>
        <v>BENTO GONÇALVES/RS</v>
      </c>
      <c r="C204" s="331"/>
      <c r="D204" s="4"/>
      <c r="E204" s="12"/>
      <c r="F204" s="12"/>
      <c r="G204" s="12"/>
      <c r="H204" s="12"/>
      <c r="I204" s="12"/>
      <c r="J204" s="12"/>
      <c r="K204" s="12"/>
      <c r="L204" s="12"/>
      <c r="M204" s="12"/>
      <c r="N204" s="12"/>
      <c r="O204" s="12"/>
      <c r="U204" s="12"/>
    </row>
    <row r="205" spans="1:21" s="1" customFormat="1" x14ac:dyDescent="0.2">
      <c r="B205" s="98" t="s">
        <v>120</v>
      </c>
      <c r="C205" s="10"/>
      <c r="D205" s="4"/>
      <c r="E205" s="12"/>
      <c r="F205" s="12"/>
      <c r="G205" s="12"/>
      <c r="H205" s="12"/>
      <c r="I205" s="12"/>
      <c r="J205" s="12"/>
      <c r="K205" s="12"/>
      <c r="L205" s="12"/>
      <c r="M205" s="12"/>
      <c r="N205" s="12"/>
      <c r="O205" s="12"/>
      <c r="U205" s="12"/>
    </row>
    <row r="206" spans="1:21" s="1" customFormat="1" x14ac:dyDescent="0.2">
      <c r="B206" s="10"/>
      <c r="C206" s="10"/>
      <c r="D206" s="4"/>
      <c r="E206" s="12"/>
      <c r="F206" s="12"/>
      <c r="G206" s="12"/>
      <c r="H206" s="12"/>
      <c r="I206" s="12"/>
      <c r="J206" s="12"/>
      <c r="K206" s="12"/>
      <c r="L206" s="12"/>
      <c r="M206" s="12"/>
      <c r="N206" s="12"/>
      <c r="O206" s="12"/>
      <c r="U206" s="12"/>
    </row>
    <row r="207" spans="1:21" s="1" customFormat="1" x14ac:dyDescent="0.2">
      <c r="B207" s="332">
        <f ca="1">PO!$K$216</f>
        <v>46246</v>
      </c>
      <c r="C207" s="332"/>
      <c r="D207" s="4"/>
      <c r="E207" s="12"/>
      <c r="F207" s="12"/>
      <c r="G207" s="12"/>
      <c r="H207" s="12"/>
      <c r="I207" s="12"/>
      <c r="J207" s="12"/>
      <c r="K207" s="12"/>
      <c r="L207" s="12"/>
      <c r="M207" s="12"/>
      <c r="N207" s="12"/>
      <c r="O207" s="12"/>
      <c r="U207" s="12"/>
    </row>
    <row r="208" spans="1:21" s="1" customFormat="1" x14ac:dyDescent="0.2">
      <c r="B208" s="120" t="s">
        <v>121</v>
      </c>
      <c r="C208" s="121"/>
      <c r="D208" s="4"/>
      <c r="E208" s="12"/>
      <c r="F208" s="12"/>
      <c r="G208" s="12"/>
      <c r="H208" s="12"/>
      <c r="I208" s="12"/>
      <c r="J208" s="12"/>
      <c r="K208" s="12"/>
      <c r="L208" s="12"/>
      <c r="M208" s="12"/>
      <c r="N208" s="12"/>
      <c r="O208" s="12"/>
      <c r="U208" s="12"/>
    </row>
  </sheetData>
  <sheetProtection password="C95B" sheet="1" objects="1" scenarios="1"/>
  <mergeCells count="2">
    <mergeCell ref="B204:C204"/>
    <mergeCell ref="B207:C207"/>
  </mergeCells>
  <phoneticPr fontId="27" type="noConversion"/>
  <conditionalFormatting sqref="D11:E11 D13:E13 D22:E28 D18:E20 D88:E117 D168:E201">
    <cfRule type="expression" dxfId="226" priority="3319" stopIfTrue="1">
      <formula>$A11="Meta"</formula>
    </cfRule>
    <cfRule type="expression" dxfId="225" priority="3320" stopIfTrue="1">
      <formula>$A11&lt;&gt;"Serviço"</formula>
    </cfRule>
  </conditionalFormatting>
  <conditionalFormatting sqref="C11 C13 C22:C28 C18:C20 C88:C117 C168:C201">
    <cfRule type="expression" dxfId="224" priority="3321" stopIfTrue="1">
      <formula>$A11="Meta"</formula>
    </cfRule>
    <cfRule type="expression" dxfId="223" priority="3322" stopIfTrue="1">
      <formula>$A11&lt;&gt;"Serviço"</formula>
    </cfRule>
  </conditionalFormatting>
  <conditionalFormatting sqref="A11:B11 A13:B13 A22:B28 A18:B20 A88:B117 A168:B201">
    <cfRule type="expression" dxfId="222" priority="3323" stopIfTrue="1">
      <formula>$A11="Meta"</formula>
    </cfRule>
    <cfRule type="expression" dxfId="221" priority="3324" stopIfTrue="1">
      <formula>LEFT($A11,5)="Nível"</formula>
    </cfRule>
    <cfRule type="expression" dxfId="220" priority="3325" stopIfTrue="1">
      <formula>$A11=0</formula>
    </cfRule>
  </conditionalFormatting>
  <conditionalFormatting sqref="U11 F13:O13 U13 U18:U29 F18:O29 U88:U117 F88:O117 U168:U201 F168:O201">
    <cfRule type="expression" dxfId="219" priority="3335" stopIfTrue="1">
      <formula>$A11="Meta"</formula>
    </cfRule>
    <cfRule type="expression" dxfId="218" priority="3336" stopIfTrue="1">
      <formula>OR(F$9=0,$A11&lt;&gt;"Serviço")</formula>
    </cfRule>
    <cfRule type="expression" dxfId="217" priority="3337" stopIfTrue="1">
      <formula>TipoOrçamento="Licitado"</formula>
    </cfRule>
  </conditionalFormatting>
  <conditionalFormatting sqref="U9">
    <cfRule type="expression" dxfId="216" priority="2757" stopIfTrue="1">
      <formula>AND(T9=0,U9=0)</formula>
    </cfRule>
    <cfRule type="expression" dxfId="215" priority="2758" stopIfTrue="1">
      <formula>TipoOrçamento="Licitado"</formula>
    </cfRule>
  </conditionalFormatting>
  <conditionalFormatting sqref="F11:O11">
    <cfRule type="expression" dxfId="214" priority="2717" stopIfTrue="1">
      <formula>$A11="Meta"</formula>
    </cfRule>
    <cfRule type="expression" dxfId="213" priority="2718" stopIfTrue="1">
      <formula>OR(F$9=0,$A11&lt;&gt;"Serviço")</formula>
    </cfRule>
    <cfRule type="expression" dxfId="212" priority="2719" stopIfTrue="1">
      <formula>TipoOrçamento="Licitado"</formula>
    </cfRule>
  </conditionalFormatting>
  <conditionalFormatting sqref="F9:O9">
    <cfRule type="expression" dxfId="211" priority="2715" stopIfTrue="1">
      <formula>AND(E9=0,F9=0)</formula>
    </cfRule>
    <cfRule type="expression" dxfId="210" priority="2716" stopIfTrue="1">
      <formula>TipoOrçamento="Licitado"</formula>
    </cfRule>
  </conditionalFormatting>
  <conditionalFormatting sqref="D14:E14">
    <cfRule type="expression" dxfId="209" priority="1346" stopIfTrue="1">
      <formula>$A14="Meta"</formula>
    </cfRule>
    <cfRule type="expression" dxfId="208" priority="1347" stopIfTrue="1">
      <formula>$A14&lt;&gt;"Serviço"</formula>
    </cfRule>
  </conditionalFormatting>
  <conditionalFormatting sqref="C14">
    <cfRule type="expression" dxfId="207" priority="1348" stopIfTrue="1">
      <formula>$A14="Meta"</formula>
    </cfRule>
    <cfRule type="expression" dxfId="206" priority="1349" stopIfTrue="1">
      <formula>$A14&lt;&gt;"Serviço"</formula>
    </cfRule>
  </conditionalFormatting>
  <conditionalFormatting sqref="A14:B14">
    <cfRule type="expression" dxfId="205" priority="1350" stopIfTrue="1">
      <formula>$A14="Meta"</formula>
    </cfRule>
    <cfRule type="expression" dxfId="204" priority="1351" stopIfTrue="1">
      <formula>LEFT($A14,5)="Nível"</formula>
    </cfRule>
    <cfRule type="expression" dxfId="203" priority="1352" stopIfTrue="1">
      <formula>$A14=0</formula>
    </cfRule>
  </conditionalFormatting>
  <conditionalFormatting sqref="U14">
    <cfRule type="expression" dxfId="202" priority="1353" stopIfTrue="1">
      <formula>$A14="Meta"</formula>
    </cfRule>
    <cfRule type="expression" dxfId="201" priority="1354" stopIfTrue="1">
      <formula>OR(U$9=0,$A14&lt;&gt;"Serviço")</formula>
    </cfRule>
    <cfRule type="expression" dxfId="200" priority="1355" stopIfTrue="1">
      <formula>TipoOrçamento="Licitado"</formula>
    </cfRule>
  </conditionalFormatting>
  <conditionalFormatting sqref="F14:O14">
    <cfRule type="expression" dxfId="199" priority="1343" stopIfTrue="1">
      <formula>$A14="Meta"</formula>
    </cfRule>
    <cfRule type="expression" dxfId="198" priority="1344" stopIfTrue="1">
      <formula>OR(F$9=0,$A14&lt;&gt;"Serviço")</formula>
    </cfRule>
    <cfRule type="expression" dxfId="197" priority="1345" stopIfTrue="1">
      <formula>TipoOrçamento="Licitado"</formula>
    </cfRule>
  </conditionalFormatting>
  <conditionalFormatting sqref="D16:E16">
    <cfRule type="expression" dxfId="196" priority="1216" stopIfTrue="1">
      <formula>$A16="Meta"</formula>
    </cfRule>
    <cfRule type="expression" dxfId="195" priority="1217" stopIfTrue="1">
      <formula>$A16&lt;&gt;"Serviço"</formula>
    </cfRule>
  </conditionalFormatting>
  <conditionalFormatting sqref="C16">
    <cfRule type="expression" dxfId="194" priority="1218" stopIfTrue="1">
      <formula>$A16="Meta"</formula>
    </cfRule>
    <cfRule type="expression" dxfId="193" priority="1219" stopIfTrue="1">
      <formula>$A16&lt;&gt;"Serviço"</formula>
    </cfRule>
  </conditionalFormatting>
  <conditionalFormatting sqref="A16:B16">
    <cfRule type="expression" dxfId="192" priority="1220" stopIfTrue="1">
      <formula>$A16="Meta"</formula>
    </cfRule>
    <cfRule type="expression" dxfId="191" priority="1221" stopIfTrue="1">
      <formula>LEFT($A16,5)="Nível"</formula>
    </cfRule>
    <cfRule type="expression" dxfId="190" priority="1222" stopIfTrue="1">
      <formula>$A16=0</formula>
    </cfRule>
  </conditionalFormatting>
  <conditionalFormatting sqref="U16">
    <cfRule type="expression" dxfId="189" priority="1223" stopIfTrue="1">
      <formula>$A16="Meta"</formula>
    </cfRule>
    <cfRule type="expression" dxfId="188" priority="1224" stopIfTrue="1">
      <formula>OR(U$9=0,$A16&lt;&gt;"Serviço")</formula>
    </cfRule>
    <cfRule type="expression" dxfId="187" priority="1225" stopIfTrue="1">
      <formula>TipoOrçamento="Licitado"</formula>
    </cfRule>
  </conditionalFormatting>
  <conditionalFormatting sqref="F16:O16">
    <cfRule type="expression" dxfId="186" priority="1213" stopIfTrue="1">
      <formula>$A16="Meta"</formula>
    </cfRule>
    <cfRule type="expression" dxfId="185" priority="1214" stopIfTrue="1">
      <formula>OR(F$9=0,$A16&lt;&gt;"Serviço")</formula>
    </cfRule>
    <cfRule type="expression" dxfId="184" priority="1215" stopIfTrue="1">
      <formula>TipoOrçamento="Licitado"</formula>
    </cfRule>
  </conditionalFormatting>
  <conditionalFormatting sqref="D17:E17">
    <cfRule type="expression" dxfId="183" priority="1203" stopIfTrue="1">
      <formula>$A17="Meta"</formula>
    </cfRule>
    <cfRule type="expression" dxfId="182" priority="1204" stopIfTrue="1">
      <formula>$A17&lt;&gt;"Serviço"</formula>
    </cfRule>
  </conditionalFormatting>
  <conditionalFormatting sqref="C17">
    <cfRule type="expression" dxfId="181" priority="1205" stopIfTrue="1">
      <formula>$A17="Meta"</formula>
    </cfRule>
    <cfRule type="expression" dxfId="180" priority="1206" stopIfTrue="1">
      <formula>$A17&lt;&gt;"Serviço"</formula>
    </cfRule>
  </conditionalFormatting>
  <conditionalFormatting sqref="A17:B17">
    <cfRule type="expression" dxfId="179" priority="1207" stopIfTrue="1">
      <formula>$A17="Meta"</formula>
    </cfRule>
    <cfRule type="expression" dxfId="178" priority="1208" stopIfTrue="1">
      <formula>LEFT($A17,5)="Nível"</formula>
    </cfRule>
    <cfRule type="expression" dxfId="177" priority="1209" stopIfTrue="1">
      <formula>$A17=0</formula>
    </cfRule>
  </conditionalFormatting>
  <conditionalFormatting sqref="U17">
    <cfRule type="expression" dxfId="176" priority="1210" stopIfTrue="1">
      <formula>$A17="Meta"</formula>
    </cfRule>
    <cfRule type="expression" dxfId="175" priority="1211" stopIfTrue="1">
      <formula>OR(U$9=0,$A17&lt;&gt;"Serviço")</formula>
    </cfRule>
    <cfRule type="expression" dxfId="174" priority="1212" stopIfTrue="1">
      <formula>TipoOrçamento="Licitado"</formula>
    </cfRule>
  </conditionalFormatting>
  <conditionalFormatting sqref="F17:O17">
    <cfRule type="expression" dxfId="173" priority="1200" stopIfTrue="1">
      <formula>$A17="Meta"</formula>
    </cfRule>
    <cfRule type="expression" dxfId="172" priority="1201" stopIfTrue="1">
      <formula>OR(F$9=0,$A17&lt;&gt;"Serviço")</formula>
    </cfRule>
    <cfRule type="expression" dxfId="171" priority="1202" stopIfTrue="1">
      <formula>TipoOrçamento="Licitado"</formula>
    </cfRule>
  </conditionalFormatting>
  <conditionalFormatting sqref="D21:E21">
    <cfRule type="expression" dxfId="170" priority="316" stopIfTrue="1">
      <formula>$A21="Meta"</formula>
    </cfRule>
    <cfRule type="expression" dxfId="169" priority="317" stopIfTrue="1">
      <formula>$A21&lt;&gt;"Serviço"</formula>
    </cfRule>
  </conditionalFormatting>
  <conditionalFormatting sqref="C21">
    <cfRule type="expression" dxfId="168" priority="318" stopIfTrue="1">
      <formula>$A21="Meta"</formula>
    </cfRule>
    <cfRule type="expression" dxfId="167" priority="319" stopIfTrue="1">
      <formula>$A21&lt;&gt;"Serviço"</formula>
    </cfRule>
  </conditionalFormatting>
  <conditionalFormatting sqref="A21:B21">
    <cfRule type="expression" dxfId="166" priority="320" stopIfTrue="1">
      <formula>$A21="Meta"</formula>
    </cfRule>
    <cfRule type="expression" dxfId="165" priority="321" stopIfTrue="1">
      <formula>LEFT($A21,5)="Nível"</formula>
    </cfRule>
    <cfRule type="expression" dxfId="164" priority="322" stopIfTrue="1">
      <formula>$A21=0</formula>
    </cfRule>
  </conditionalFormatting>
  <conditionalFormatting sqref="D29:E29">
    <cfRule type="expression" dxfId="163" priority="303" stopIfTrue="1">
      <formula>$A29="Meta"</formula>
    </cfRule>
    <cfRule type="expression" dxfId="162" priority="304" stopIfTrue="1">
      <formula>$A29&lt;&gt;"Serviço"</formula>
    </cfRule>
  </conditionalFormatting>
  <conditionalFormatting sqref="C29">
    <cfRule type="expression" dxfId="161" priority="305" stopIfTrue="1">
      <formula>$A29="Meta"</formula>
    </cfRule>
    <cfRule type="expression" dxfId="160" priority="306" stopIfTrue="1">
      <formula>$A29&lt;&gt;"Serviço"</formula>
    </cfRule>
  </conditionalFormatting>
  <conditionalFormatting sqref="A29:B29">
    <cfRule type="expression" dxfId="159" priority="307" stopIfTrue="1">
      <formula>$A29="Meta"</formula>
    </cfRule>
    <cfRule type="expression" dxfId="158" priority="308" stopIfTrue="1">
      <formula>LEFT($A29,5)="Nível"</formula>
    </cfRule>
    <cfRule type="expression" dxfId="157" priority="309" stopIfTrue="1">
      <formula>$A29=0</formula>
    </cfRule>
  </conditionalFormatting>
  <conditionalFormatting sqref="D15:E15">
    <cfRule type="expression" dxfId="156" priority="108" stopIfTrue="1">
      <formula>$A15="Meta"</formula>
    </cfRule>
    <cfRule type="expression" dxfId="155" priority="109" stopIfTrue="1">
      <formula>$A15&lt;&gt;"Serviço"</formula>
    </cfRule>
  </conditionalFormatting>
  <conditionalFormatting sqref="C15">
    <cfRule type="expression" dxfId="154" priority="110" stopIfTrue="1">
      <formula>$A15="Meta"</formula>
    </cfRule>
    <cfRule type="expression" dxfId="153" priority="111" stopIfTrue="1">
      <formula>$A15&lt;&gt;"Serviço"</formula>
    </cfRule>
  </conditionalFormatting>
  <conditionalFormatting sqref="A15:B15">
    <cfRule type="expression" dxfId="152" priority="112" stopIfTrue="1">
      <formula>$A15="Meta"</formula>
    </cfRule>
    <cfRule type="expression" dxfId="151" priority="113" stopIfTrue="1">
      <formula>LEFT($A15,5)="Nível"</formula>
    </cfRule>
    <cfRule type="expression" dxfId="150" priority="114" stopIfTrue="1">
      <formula>$A15=0</formula>
    </cfRule>
  </conditionalFormatting>
  <conditionalFormatting sqref="U15">
    <cfRule type="expression" dxfId="149" priority="115" stopIfTrue="1">
      <formula>$A15="Meta"</formula>
    </cfRule>
    <cfRule type="expression" dxfId="148" priority="116" stopIfTrue="1">
      <formula>OR(U$9=0,$A15&lt;&gt;"Serviço")</formula>
    </cfRule>
    <cfRule type="expression" dxfId="147" priority="117" stopIfTrue="1">
      <formula>TipoOrçamento="Licitado"</formula>
    </cfRule>
  </conditionalFormatting>
  <conditionalFormatting sqref="F15:O15">
    <cfRule type="expression" dxfId="146" priority="105" stopIfTrue="1">
      <formula>$A15="Meta"</formula>
    </cfRule>
    <cfRule type="expression" dxfId="145" priority="106" stopIfTrue="1">
      <formula>OR(F$9=0,$A15&lt;&gt;"Serviço")</formula>
    </cfRule>
    <cfRule type="expression" dxfId="144" priority="107" stopIfTrue="1">
      <formula>TipoOrçamento="Licitado"</formula>
    </cfRule>
  </conditionalFormatting>
  <conditionalFormatting sqref="D30:E46 D67:E87">
    <cfRule type="expression" dxfId="143" priority="95" stopIfTrue="1">
      <formula>$A30="Meta"</formula>
    </cfRule>
    <cfRule type="expression" dxfId="142" priority="96" stopIfTrue="1">
      <formula>$A30&lt;&gt;"Serviço"</formula>
    </cfRule>
  </conditionalFormatting>
  <conditionalFormatting sqref="C30:C46 C67:C87">
    <cfRule type="expression" dxfId="141" priority="97" stopIfTrue="1">
      <formula>$A30="Meta"</formula>
    </cfRule>
    <cfRule type="expression" dxfId="140" priority="98" stopIfTrue="1">
      <formula>$A30&lt;&gt;"Serviço"</formula>
    </cfRule>
  </conditionalFormatting>
  <conditionalFormatting sqref="A30:B46 A67:B87">
    <cfRule type="expression" dxfId="139" priority="99" stopIfTrue="1">
      <formula>$A30="Meta"</formula>
    </cfRule>
    <cfRule type="expression" dxfId="138" priority="100" stopIfTrue="1">
      <formula>LEFT($A30,5)="Nível"</formula>
    </cfRule>
    <cfRule type="expression" dxfId="137" priority="101" stopIfTrue="1">
      <formula>$A30=0</formula>
    </cfRule>
  </conditionalFormatting>
  <conditionalFormatting sqref="U30:U46 U67:U87">
    <cfRule type="expression" dxfId="136" priority="102" stopIfTrue="1">
      <formula>$A30="Meta"</formula>
    </cfRule>
    <cfRule type="expression" dxfId="135" priority="103" stopIfTrue="1">
      <formula>OR(U$9=0,$A30&lt;&gt;"Serviço")</formula>
    </cfRule>
    <cfRule type="expression" dxfId="134" priority="104" stopIfTrue="1">
      <formula>TipoOrçamento="Licitado"</formula>
    </cfRule>
  </conditionalFormatting>
  <conditionalFormatting sqref="F30:O46 F67:O87">
    <cfRule type="expression" dxfId="133" priority="92" stopIfTrue="1">
      <formula>$A30="Meta"</formula>
    </cfRule>
    <cfRule type="expression" dxfId="132" priority="93" stopIfTrue="1">
      <formula>OR(F$9=0,$A30&lt;&gt;"Serviço")</formula>
    </cfRule>
    <cfRule type="expression" dxfId="131" priority="94" stopIfTrue="1">
      <formula>TipoOrçamento="Licitado"</formula>
    </cfRule>
  </conditionalFormatting>
  <conditionalFormatting sqref="D47:E66">
    <cfRule type="expression" dxfId="130" priority="82" stopIfTrue="1">
      <formula>$A47="Meta"</formula>
    </cfRule>
    <cfRule type="expression" dxfId="129" priority="83" stopIfTrue="1">
      <formula>$A47&lt;&gt;"Serviço"</formula>
    </cfRule>
  </conditionalFormatting>
  <conditionalFormatting sqref="C47:C66">
    <cfRule type="expression" dxfId="128" priority="84" stopIfTrue="1">
      <formula>$A47="Meta"</formula>
    </cfRule>
    <cfRule type="expression" dxfId="127" priority="85" stopIfTrue="1">
      <formula>$A47&lt;&gt;"Serviço"</formula>
    </cfRule>
  </conditionalFormatting>
  <conditionalFormatting sqref="A47:B66">
    <cfRule type="expression" dxfId="126" priority="86" stopIfTrue="1">
      <formula>$A47="Meta"</formula>
    </cfRule>
    <cfRule type="expression" dxfId="125" priority="87" stopIfTrue="1">
      <formula>LEFT($A47,5)="Nível"</formula>
    </cfRule>
    <cfRule type="expression" dxfId="124" priority="88" stopIfTrue="1">
      <formula>$A47=0</formula>
    </cfRule>
  </conditionalFormatting>
  <conditionalFormatting sqref="U47:U66">
    <cfRule type="expression" dxfId="123" priority="89" stopIfTrue="1">
      <formula>$A47="Meta"</formula>
    </cfRule>
    <cfRule type="expression" dxfId="122" priority="90" stopIfTrue="1">
      <formula>OR(U$9=0,$A47&lt;&gt;"Serviço")</formula>
    </cfRule>
    <cfRule type="expression" dxfId="121" priority="91" stopIfTrue="1">
      <formula>TipoOrçamento="Licitado"</formula>
    </cfRule>
  </conditionalFormatting>
  <conditionalFormatting sqref="F47:O66">
    <cfRule type="expression" dxfId="120" priority="79" stopIfTrue="1">
      <formula>$A47="Meta"</formula>
    </cfRule>
    <cfRule type="expression" dxfId="119" priority="80" stopIfTrue="1">
      <formula>OR(F$9=0,$A47&lt;&gt;"Serviço")</formula>
    </cfRule>
    <cfRule type="expression" dxfId="118" priority="81" stopIfTrue="1">
      <formula>TipoOrçamento="Licitado"</formula>
    </cfRule>
  </conditionalFormatting>
  <conditionalFormatting sqref="D118:E167">
    <cfRule type="expression" dxfId="117" priority="56" stopIfTrue="1">
      <formula>$A118="Meta"</formula>
    </cfRule>
    <cfRule type="expression" dxfId="116" priority="57" stopIfTrue="1">
      <formula>$A118&lt;&gt;"Serviço"</formula>
    </cfRule>
  </conditionalFormatting>
  <conditionalFormatting sqref="C118:C167">
    <cfRule type="expression" dxfId="115" priority="58" stopIfTrue="1">
      <formula>$A118="Meta"</formula>
    </cfRule>
    <cfRule type="expression" dxfId="114" priority="59" stopIfTrue="1">
      <formula>$A118&lt;&gt;"Serviço"</formula>
    </cfRule>
  </conditionalFormatting>
  <conditionalFormatting sqref="A118:B167">
    <cfRule type="expression" dxfId="113" priority="60" stopIfTrue="1">
      <formula>$A118="Meta"</formula>
    </cfRule>
    <cfRule type="expression" dxfId="112" priority="61" stopIfTrue="1">
      <formula>LEFT($A118,5)="Nível"</formula>
    </cfRule>
    <cfRule type="expression" dxfId="111" priority="62" stopIfTrue="1">
      <formula>$A118=0</formula>
    </cfRule>
  </conditionalFormatting>
  <conditionalFormatting sqref="U118:U167">
    <cfRule type="expression" dxfId="110" priority="63" stopIfTrue="1">
      <formula>$A118="Meta"</formula>
    </cfRule>
    <cfRule type="expression" dxfId="109" priority="64" stopIfTrue="1">
      <formula>OR(U$9=0,$A118&lt;&gt;"Serviço")</formula>
    </cfRule>
    <cfRule type="expression" dxfId="108" priority="65" stopIfTrue="1">
      <formula>TipoOrçamento="Licitado"</formula>
    </cfRule>
  </conditionalFormatting>
  <conditionalFormatting sqref="F118:O167">
    <cfRule type="expression" dxfId="107" priority="53" stopIfTrue="1">
      <formula>$A118="Meta"</formula>
    </cfRule>
    <cfRule type="expression" dxfId="106" priority="54" stopIfTrue="1">
      <formula>OR(F$9=0,$A118&lt;&gt;"Serviço")</formula>
    </cfRule>
    <cfRule type="expression" dxfId="105" priority="55"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201 U14:U201">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207 B204"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61"/>
  <sheetViews>
    <sheetView showGridLines="0" view="pageBreakPreview" topLeftCell="L1" zoomScale="70" zoomScaleSheetLayoutView="70" workbookViewId="0">
      <selection activeCell="P18" sqref="P18"/>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33" t="str">
        <f ca="1">IF(MAX($A$14:$A$52)&lt;&gt;MAX(PO!$V$12:$V$202),"ERRO: CRONOGRAMA DESATUALIZADO",IF(OR(COUNTIF($O$16:$X$16,"&gt;1")&gt;0,OFFSET($X$17,0,-1)&lt;&gt;$N$14),"ERRO: CRONOGRAMA NÃO FECHA EM 100%",""))</f>
        <v>ERRO: CRONOGRAMA DESATUALIZADO</v>
      </c>
      <c r="M8" s="333"/>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10/09/26</v>
      </c>
      <c r="P10" s="186" t="str">
        <f ca="1">IF(AND(TipoOrçamento="REPROGRAMADOAC",$N$9&gt;0,N10="Valores Totais (R$)"),"Parcela "&amp;$N$9&amp;" Executado","Parcela "&amp;P$9&amp;CHAR(10)&amp;TEXT(DATE(YEAR(DADOS!$A$48),MONTH(DADOS!$A$48)+P$9-IF(AND(TipoOrçamento="REPROGRAMADOAC",$N$9&gt;0),$N$9,0),1),"mmm/aa"))</f>
        <v>Parcela 1
out/26</v>
      </c>
      <c r="Q10" s="177" t="str">
        <f ca="1">IF(AND(TipoOrçamento="REPROGRAMADOAC",$N$9&gt;0,O10="Valores Totais (R$)"),"Parcela "&amp;$N$9&amp;" Executado","Parcela "&amp;Q$9&amp;CHAR(10)&amp;TEXT(DATE(YEAR(DADOS!$A$48),MONTH(DADOS!$A$48)+Q$9-IF(AND(TipoOrçamento="REPROGRAMADOAC",$N$9&gt;0),$N$9,0),1),"mmm/aa"))</f>
        <v>Parcela 2
nov/26</v>
      </c>
      <c r="R10" s="177" t="str">
        <f ca="1">IF(AND(TipoOrçamento="REPROGRAMADOAC",$N$9&gt;0,P10="Valores Totais (R$)"),"Parcela "&amp;$N$9&amp;" Executado","Parcela "&amp;R$9&amp;CHAR(10)&amp;TEXT(DATE(YEAR(DADOS!$A$48),MONTH(DADOS!$A$48)+R$9-IF(AND(TipoOrçamento="REPROGRAMADOAC",$N$9&gt;0),$N$9,0),1),"mmm/aa"))</f>
        <v>Parcela 3
dez/26</v>
      </c>
      <c r="S10" s="177" t="str">
        <f ca="1">IF(AND(TipoOrçamento="REPROGRAMADOAC",$N$9&gt;0,Q10="Valores Totais (R$)"),"Parcela "&amp;$N$9&amp;" Executado","Parcela "&amp;S$9&amp;CHAR(10)&amp;TEXT(DATE(YEAR(DADOS!$A$48),MONTH(DADOS!$A$48)+S$9-IF(AND(TipoOrçamento="REPROGRAMADOAC",$N$9&gt;0),$N$9,0),1),"mmm/aa"))</f>
        <v>Parcela 4
jan/27</v>
      </c>
      <c r="T10" s="177" t="str">
        <f ca="1">IF(AND(TipoOrçamento="REPROGRAMADOAC",$N$9&gt;0,R10="Valores Totais (R$)"),"Parcela "&amp;$N$9&amp;" Executado","Parcela "&amp;T$9&amp;CHAR(10)&amp;TEXT(DATE(YEAR(DADOS!$A$48),MONTH(DADOS!$A$48)+T$9-IF(AND(TipoOrçamento="REPROGRAMADOAC",$N$9&gt;0),$N$9,0),1),"mmm/aa"))</f>
        <v>Parcela 5
fev/27</v>
      </c>
      <c r="U10" s="177" t="str">
        <f ca="1">IF(AND(TipoOrçamento="REPROGRAMADOAC",$N$9&gt;0,S10="Valores Totais (R$)"),"Parcela "&amp;$N$9&amp;" Executado","Parcela "&amp;U$9&amp;CHAR(10)&amp;TEXT(DATE(YEAR(DADOS!$A$48),MONTH(DADOS!$A$48)+U$9-IF(AND(TipoOrçamento="REPROGRAMADOAC",$N$9&gt;0),$N$9,0),1),"mmm/aa"))</f>
        <v>Parcela 6
mar/27</v>
      </c>
      <c r="V10" s="177" t="str">
        <f ca="1">IF(AND(TipoOrçamento="REPROGRAMADOAC",$N$9&gt;0,T10="Valores Totais (R$)"),"Parcela "&amp;$N$9&amp;" Executado","Parcela "&amp;V$9&amp;CHAR(10)&amp;TEXT(DATE(YEAR(DADOS!$A$48),MONTH(DADOS!$A$48)+V$9-IF(AND(TipoOrçamento="REPROGRAMADOAC",$N$9&gt;0),$N$9,0),1),"mmm/aa"))</f>
        <v>Parcela 7
abr/27</v>
      </c>
      <c r="W10" s="189" t="str">
        <f ca="1">IF(AND(TipoOrçamento="REPROGRAMADOAC",$N$9&gt;0,U10="Valores Totais (R$)"),"Parcela "&amp;$N$9&amp;" Executado","Parcela "&amp;W$9&amp;CHAR(10)&amp;TEXT(DATE(YEAR(DADOS!$A$48),MONTH(DADOS!$A$48)+W$9-IF(AND(TipoOrçamento="REPROGRAMADOAC",$N$9&gt;0),$N$9,0),1),"mmm/aa"))</f>
        <v>Parcela 8
mai/27</v>
      </c>
      <c r="X10" s="162"/>
      <c r="AC10" s="177" t="str">
        <f ca="1">IF(AND(TipoOrçamento="REPROGRAMADOAC",$N$9&gt;0,AA10="Valores Totais (R$)"),"Parcela "&amp;$N$9&amp;" Executado","Parcela "&amp;AC$9&amp;CHAR(10)&amp;TEXT(DATE(YEAR(DADOS!$A$48),MONTH(DADOS!$A$48)+AC$9-IF(AND(TipoOrçamento="REPROGRAMADOAC",$N$9&gt;0),$N$9,0),1),"mmm/aa"))</f>
        <v>Parcela 1
out/26</v>
      </c>
    </row>
    <row r="11" spans="1:29" customFormat="1" ht="14.25" hidden="1" customHeight="1" x14ac:dyDescent="0.2">
      <c r="A11" s="1"/>
      <c r="B11" s="1"/>
      <c r="C11" s="1"/>
      <c r="D11" s="1"/>
      <c r="E11" s="1"/>
      <c r="F11" s="1"/>
      <c r="G11" s="1"/>
      <c r="H11" s="1"/>
      <c r="I11" s="1"/>
      <c r="J11" s="1"/>
      <c r="K11" s="1"/>
      <c r="L11" s="338" t="e">
        <f ca="1">INDEX(PO!K$12:K$202,MATCH($A13,PO!$V$12:$V$202,0))</f>
        <v>#VALUE!</v>
      </c>
      <c r="M11" s="336" t="e">
        <f ca="1">INDEX(PO!N$12:N$202,MATCH($A13,PO!$V$12:$V$202,0))</f>
        <v>#VALUE!</v>
      </c>
      <c r="N11" s="334"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9"/>
      <c r="M12" s="337"/>
      <c r="N12" s="335"/>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INDEX(PO!A$12:A$202,MATCH($A13,PO!$V$12:$V$202,0))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ROUND(INDEX(PO!T$12:T$202,MATCH($A13,PO!$V$12:$V$202,0)),2)+10^-12</f>
        <v>#VALUE!</v>
      </c>
      <c r="L13" s="339"/>
      <c r="M13" s="337"/>
      <c r="N13" s="335"/>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5" t="s">
        <v>19</v>
      </c>
      <c r="M14" s="346"/>
      <c r="N14" s="351">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7"/>
      <c r="M15" s="348"/>
      <c r="N15" s="352"/>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7"/>
      <c r="M16" s="348"/>
      <c r="N16" s="352"/>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ROW(D$51)-ROW(D18)</f>
        <v>33</v>
      </c>
      <c r="E17"/>
      <c r="F17"/>
      <c r="G17"/>
      <c r="H17"/>
      <c r="I17"/>
      <c r="J17"/>
      <c r="K17"/>
      <c r="L17" s="349"/>
      <c r="M17" s="350"/>
      <c r="N17" s="353"/>
      <c r="O17" s="134" t="s">
        <v>20</v>
      </c>
      <c r="P17" s="169">
        <f ca="1">SUMIF(OFFSET($C17,1,0):$C$51,1,OFFSET(P17,1,0):P$51)</f>
        <v>0</v>
      </c>
      <c r="Q17" s="129">
        <f ca="1">SUMIF(OFFSET($C17,1,0):$C$51,1,OFFSET(Q17,1,0):Q$51)</f>
        <v>0</v>
      </c>
      <c r="R17" s="129">
        <f ca="1">SUMIF(OFFSET($C17,1,0):$C$51,1,OFFSET(R17,1,0):R$51)</f>
        <v>0</v>
      </c>
      <c r="S17" s="129">
        <f ca="1">SUMIF(OFFSET($C17,1,0):$C$51,1,OFFSET(S17,1,0):S$51)</f>
        <v>0</v>
      </c>
      <c r="T17" s="129">
        <f ca="1">SUMIF(OFFSET($C17,1,0):$C$51,1,OFFSET(T17,1,0):T$51)</f>
        <v>0</v>
      </c>
      <c r="U17" s="129">
        <f ca="1">SUMIF(OFFSET($C17,1,0):$C$51,1,OFFSET(U17,1,0):U$51)</f>
        <v>0</v>
      </c>
      <c r="V17" s="129">
        <f ca="1">SUMIF(OFFSET($C17,1,0):$C$51,1,OFFSET(V17,1,0):V$51)</f>
        <v>0</v>
      </c>
      <c r="W17" s="129">
        <f ca="1">SUMIF(OFFSET($C17,1,0):$C$51,1,OFFSET(W17,1,0):W$51)</f>
        <v>0</v>
      </c>
      <c r="X17" s="146"/>
      <c r="AC17" s="129">
        <f ca="1">SUMIF(OFFSET($C17,1,0):$C$51,1,OFFSET(AC17,1,0):AC$51)</f>
        <v>0</v>
      </c>
    </row>
    <row r="18" spans="1:29" customFormat="1" ht="14.25" customHeight="1" x14ac:dyDescent="0.2">
      <c r="L18" s="338" t="str">
        <f ca="1">INDEX(PO!K$12:K$202,MATCH($A20,PO!$V$12:$V$202,0))</f>
        <v>1.</v>
      </c>
      <c r="M18" s="336" t="str">
        <f ca="1">INDEX(PO!N$12:N$202,MATCH($A20,PO!$V$12:$V$202,0))</f>
        <v>REFORMA DO CRAS I</v>
      </c>
      <c r="N18" s="334">
        <f ca="1">IF(ROUND(K20,2)=0,K20,ROUND(K20,2))</f>
        <v>9.9999999999999998E-13</v>
      </c>
      <c r="O18" s="170" t="s">
        <v>143</v>
      </c>
      <c r="P18" s="192">
        <f ca="1">P14</f>
        <v>0</v>
      </c>
      <c r="Q18" s="193">
        <f ca="1">Q14</f>
        <v>0</v>
      </c>
      <c r="R18" s="193">
        <f ca="1">R14</f>
        <v>0</v>
      </c>
      <c r="S18" s="193">
        <v>0.1</v>
      </c>
      <c r="T18" s="193">
        <v>0.1</v>
      </c>
      <c r="U18" s="193">
        <v>0.1</v>
      </c>
      <c r="V18" s="193">
        <v>0.1</v>
      </c>
      <c r="W18" s="194">
        <f ca="1">IF($B20,0,W19-IF(ISNUMBER(V19),V19,0))</f>
        <v>0</v>
      </c>
      <c r="X18" s="164" t="s">
        <v>106</v>
      </c>
      <c r="AC18" s="188">
        <f ca="1">IF($B20,0,AC19-IF(ISNUMBER(AB19),AB19,0))</f>
        <v>0</v>
      </c>
    </row>
    <row r="19" spans="1:29" customFormat="1" ht="14.25" x14ac:dyDescent="0.2">
      <c r="L19" s="339"/>
      <c r="M19" s="337"/>
      <c r="N19" s="335"/>
      <c r="O19" s="145" t="s">
        <v>145</v>
      </c>
      <c r="P19" s="165">
        <f t="shared" ref="P19:W19" ca="1" si="7">MIN(IF($B20,P18+IF(ISNUMBER(O19),O19,0),P20/$N18),1)</f>
        <v>0</v>
      </c>
      <c r="Q19" s="143">
        <f t="shared" ca="1" si="7"/>
        <v>0</v>
      </c>
      <c r="R19" s="143">
        <f t="shared" ca="1" si="7"/>
        <v>0</v>
      </c>
      <c r="S19" s="143">
        <f t="shared" ca="1" si="7"/>
        <v>0</v>
      </c>
      <c r="T19" s="143">
        <f t="shared" ca="1" si="7"/>
        <v>0</v>
      </c>
      <c r="U19" s="143">
        <f t="shared" ca="1" si="7"/>
        <v>0</v>
      </c>
      <c r="V19" s="143">
        <f t="shared" ca="1" si="7"/>
        <v>0</v>
      </c>
      <c r="W19" s="143">
        <f t="shared" ca="1" si="7"/>
        <v>0</v>
      </c>
      <c r="X19" s="163"/>
      <c r="AC19" s="143">
        <f ca="1">MIN(IF($B20,AC18+IF(ISNUMBER(AB19),AB19,0),AC20/$N18),1)</f>
        <v>0</v>
      </c>
    </row>
    <row r="20" spans="1:29" customFormat="1" ht="14.25" x14ac:dyDescent="0.2">
      <c r="A20" s="19">
        <f ca="1">OFFSET(A20,-CFF.NumLinha,0)+1</f>
        <v>1</v>
      </c>
      <c r="B20" t="b">
        <f ca="1">$C20&gt;=OFFSET($C20,CFF.NumLinha,0)</f>
        <v>0</v>
      </c>
      <c r="C20" s="11">
        <f ca="1">INDEX(PO!A$12:A$202,MATCH($A20,PO!$V$12:$V$202,0))</f>
        <v>1</v>
      </c>
      <c r="D20" s="11">
        <f ca="1">IF(ISERROR(J20),I20,SMALL(I20:J20,1))-1</f>
        <v>30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t="e">
        <f ca="1">MATCH(OFFSET($D20,0,$C20)+1,OFFSET($D20,1,$C20,ROW($A$51)-ROW($A20)),0)</f>
        <v>#N/A</v>
      </c>
      <c r="K20" s="156">
        <f ca="1">ROUND(INDEX(PO!T$12:T$202,MATCH($A20,PO!$V$12:$V$202,0)),2)+10^-12</f>
        <v>9.9999999999999998E-13</v>
      </c>
      <c r="L20" s="339"/>
      <c r="M20" s="337"/>
      <c r="N20" s="335"/>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8" t="str">
        <f ca="1">INDEX(PO!K$12:K$202,MATCH($A23,PO!$V$12:$V$202,0))</f>
        <v>1.1.</v>
      </c>
      <c r="M21" s="336" t="str">
        <f ca="1">INDEX(PO!N$12:N$202,MATCH($A23,PO!$V$12:$V$202,0))</f>
        <v>SERVIÇOS PRELIMINARES</v>
      </c>
      <c r="N21" s="334">
        <f ca="1">IF(ROUND(K23,2)=0,K23,ROUND(K23,2))</f>
        <v>9.9999999999999998E-13</v>
      </c>
      <c r="O21" s="187" t="s">
        <v>143</v>
      </c>
      <c r="P21" s="192">
        <v>0.48</v>
      </c>
      <c r="Q21" s="193">
        <v>0.3</v>
      </c>
      <c r="R21" s="193">
        <v>0.22</v>
      </c>
      <c r="S21" s="193">
        <v>0.2</v>
      </c>
      <c r="T21" s="193">
        <f t="shared" ref="T21:W21" ca="1" si="9">IF($B23,0,T22-IF(ISNUMBER(S22),S22,0))</f>
        <v>0</v>
      </c>
      <c r="U21" s="193">
        <f t="shared" ca="1" si="9"/>
        <v>0</v>
      </c>
      <c r="V21" s="193">
        <f t="shared" ca="1" si="9"/>
        <v>0</v>
      </c>
      <c r="W21" s="194">
        <f t="shared" ca="1" si="9"/>
        <v>0</v>
      </c>
      <c r="X21" s="163"/>
      <c r="AC21" s="188">
        <f ca="1">IF($B23,0,AC22-IF(ISNUMBER(AB22),AB22,0))</f>
        <v>0</v>
      </c>
    </row>
    <row r="22" spans="1:29" customFormat="1" ht="14.25" x14ac:dyDescent="0.2">
      <c r="A22" s="11"/>
      <c r="B22" s="11"/>
      <c r="C22" s="11"/>
      <c r="D22" s="11"/>
      <c r="E22" s="11"/>
      <c r="F22" s="11"/>
      <c r="G22" s="11"/>
      <c r="H22" s="11"/>
      <c r="I22" s="11"/>
      <c r="J22" s="11"/>
      <c r="K22" s="11"/>
      <c r="L22" s="339"/>
      <c r="M22" s="337"/>
      <c r="N22" s="335"/>
      <c r="O22" s="145" t="s">
        <v>145</v>
      </c>
      <c r="P22" s="165">
        <f t="shared" ref="P22:W22" ca="1" si="10">MIN(IF($B23,P21+IF(ISNUMBER(O22),O22,0),P23/$N21),1)</f>
        <v>0.48</v>
      </c>
      <c r="Q22" s="143">
        <f t="shared" ca="1" si="10"/>
        <v>0.78</v>
      </c>
      <c r="R22" s="143">
        <f t="shared" ca="1" si="10"/>
        <v>1</v>
      </c>
      <c r="S22" s="143">
        <f t="shared" ca="1" si="10"/>
        <v>1</v>
      </c>
      <c r="T22" s="143">
        <f t="shared" ca="1" si="10"/>
        <v>1</v>
      </c>
      <c r="U22" s="143">
        <f t="shared" ca="1" si="10"/>
        <v>1</v>
      </c>
      <c r="V22" s="143">
        <f t="shared" ca="1" si="10"/>
        <v>1</v>
      </c>
      <c r="W22" s="143">
        <f t="shared" ca="1" si="10"/>
        <v>1</v>
      </c>
      <c r="X22" s="163"/>
      <c r="AC22" s="143">
        <f ca="1">MIN(IF($B23,AC21+IF(ISNUMBER(AB22),AB22,0),AC23/$N21),1)</f>
        <v>0</v>
      </c>
    </row>
    <row r="23" spans="1:29" customFormat="1" ht="14.25" x14ac:dyDescent="0.2">
      <c r="A23" s="11">
        <f ca="1">OFFSET(A23,-CFF.NumLinha,0)+1</f>
        <v>2</v>
      </c>
      <c r="B23" s="11" t="b">
        <f ca="1">$C23&gt;=OFFSET($C23,CFF.NumLinha,0)</f>
        <v>1</v>
      </c>
      <c r="C23" s="11">
        <f ca="1">INDEX(PO!A$12:A$202,MATCH($A23,PO!$V$12:$V$202,0))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ROUND(INDEX(PO!T$12:T$202,MATCH($A23,PO!$V$12:$V$202,0)),2)+10^-12</f>
        <v>9.9999999999999998E-13</v>
      </c>
      <c r="L23" s="339"/>
      <c r="M23" s="337"/>
      <c r="N23" s="335"/>
      <c r="O23" s="171" t="s">
        <v>20</v>
      </c>
      <c r="P23" s="166">
        <f ca="1">IF($B23,ROUND(P22*$N21,2),ROUND(SUMIF(OFFSET($B23,1,0,$D23),TRUE,OFFSET(P23,1,0,$D23))/SUMIF(OFFSET($B23,1,0,$D23),TRUE,OFFSET($K23,1,0,$D23))*$N21,2))</f>
        <v>0</v>
      </c>
      <c r="Q23" s="144">
        <f t="shared" ref="Q23:W23" ca="1" si="11">IF($B23,ROUND(Q22*$N21,2),ROUND(SUMIF(OFFSET($B23,1,0,$D23),TRUE,OFFSET(Q23,1,0,$D23))/SUMIF(OFFSET($B23,1,0,$D23),TRUE,OFFSET($K23,1,0,$D23))*$N21,2))</f>
        <v>0</v>
      </c>
      <c r="R23" s="144">
        <f t="shared" ca="1" si="11"/>
        <v>0</v>
      </c>
      <c r="S23" s="144">
        <f t="shared" ca="1" si="11"/>
        <v>0</v>
      </c>
      <c r="T23" s="144">
        <f t="shared" ca="1" si="11"/>
        <v>0</v>
      </c>
      <c r="U23" s="144">
        <f t="shared" ca="1" si="11"/>
        <v>0</v>
      </c>
      <c r="V23" s="144">
        <f t="shared" ca="1" si="11"/>
        <v>0</v>
      </c>
      <c r="W23" s="174">
        <f t="shared" ca="1" si="11"/>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8" t="str">
        <f ca="1">INDEX(PO!K$12:K$202,MATCH($A26,PO!$V$12:$V$202,0))</f>
        <v>1.2.</v>
      </c>
      <c r="M24" s="336" t="str">
        <f ca="1">INDEX(PO!N$12:N$202,MATCH($A26,PO!$V$12:$V$202,0))</f>
        <v xml:space="preserve">ADMINISTRAÇÃO LOCAL  </v>
      </c>
      <c r="N24" s="334">
        <f t="shared" ref="N24" ca="1" si="12">IF(ROUND(K26,2)=0,K26,ROUND(K26,2))</f>
        <v>9.9999999999999998E-13</v>
      </c>
      <c r="O24" s="187" t="s">
        <v>143</v>
      </c>
      <c r="P24" s="192">
        <v>0.35</v>
      </c>
      <c r="Q24" s="193">
        <v>0.05</v>
      </c>
      <c r="R24" s="193">
        <v>0.6</v>
      </c>
      <c r="S24" s="193">
        <v>0</v>
      </c>
      <c r="T24" s="193">
        <v>0.5</v>
      </c>
      <c r="U24" s="193">
        <v>0.5</v>
      </c>
      <c r="V24" s="193">
        <f t="shared" ref="V24" ca="1" si="13">IF($B26,0,V25-IF(ISNUMBER(U25),U25,0))</f>
        <v>0</v>
      </c>
      <c r="W24" s="194">
        <f t="shared" ref="W24" ca="1" si="14">IF($B26,0,W25-IF(ISNUMBER(V25),V25,0))</f>
        <v>0</v>
      </c>
      <c r="X24" s="163"/>
      <c r="AC24" s="188">
        <f t="shared" ref="AC24" ca="1" si="15">IF($B26,0,AC25-IF(ISNUMBER(AB25),AB25,0))</f>
        <v>0</v>
      </c>
    </row>
    <row r="25" spans="1:29" customFormat="1" ht="14.25" x14ac:dyDescent="0.2">
      <c r="A25" s="11"/>
      <c r="B25" s="11"/>
      <c r="C25" s="11"/>
      <c r="D25" s="11"/>
      <c r="E25" s="11"/>
      <c r="F25" s="11"/>
      <c r="G25" s="11"/>
      <c r="H25" s="11"/>
      <c r="I25" s="11"/>
      <c r="J25" s="11"/>
      <c r="K25" s="11"/>
      <c r="L25" s="339"/>
      <c r="M25" s="337"/>
      <c r="N25" s="335"/>
      <c r="O25" s="145" t="s">
        <v>145</v>
      </c>
      <c r="P25" s="165">
        <f t="shared" ref="P25" ca="1" si="16">MIN(IF($B26,P24+IF(ISNUMBER(O25),O25,0),P26/$N24),1)</f>
        <v>0.35</v>
      </c>
      <c r="Q25" s="143">
        <f t="shared" ref="Q25" ca="1" si="17">MIN(IF($B26,Q24+IF(ISNUMBER(P25),P25,0),Q26/$N24),1)</f>
        <v>0.39999999999999997</v>
      </c>
      <c r="R25" s="143">
        <f t="shared" ref="R25" ca="1" si="18">MIN(IF($B26,R24+IF(ISNUMBER(Q25),Q25,0),R26/$N24),1)</f>
        <v>1</v>
      </c>
      <c r="S25" s="143">
        <f t="shared" ref="S25" ca="1" si="19">MIN(IF($B26,S24+IF(ISNUMBER(R25),R25,0),S26/$N24),1)</f>
        <v>1</v>
      </c>
      <c r="T25" s="143">
        <f t="shared" ref="T25" ca="1" si="20">MIN(IF($B26,T24+IF(ISNUMBER(S25),S25,0),T26/$N24),1)</f>
        <v>1</v>
      </c>
      <c r="U25" s="143">
        <f t="shared" ref="U25" ca="1" si="21">MIN(IF($B26,U24+IF(ISNUMBER(T25),T25,0),U26/$N24),1)</f>
        <v>1</v>
      </c>
      <c r="V25" s="143">
        <f t="shared" ref="V25" ca="1" si="22">MIN(IF($B26,V24+IF(ISNUMBER(U25),U25,0),V26/$N24),1)</f>
        <v>1</v>
      </c>
      <c r="W25" s="143">
        <f t="shared" ref="W25" ca="1" si="23">MIN(IF($B26,W24+IF(ISNUMBER(V25),V25,0),W26/$N24),1)</f>
        <v>1</v>
      </c>
      <c r="X25" s="163"/>
      <c r="AC25" s="143">
        <f t="shared" ref="AC25" ca="1" si="24">MIN(IF($B26,AC24+IF(ISNUMBER(AB25),AB25,0),AC26/$N24),1)</f>
        <v>0</v>
      </c>
    </row>
    <row r="26" spans="1:29" customFormat="1" ht="14.25" x14ac:dyDescent="0.2">
      <c r="A26" s="11">
        <f ca="1">OFFSET(A26,-CFF.NumLinha,0)+1</f>
        <v>3</v>
      </c>
      <c r="B26" s="11" t="b">
        <f ca="1">$C26&gt;=OFFSET($C26,CFF.NumLinha,0)</f>
        <v>1</v>
      </c>
      <c r="C26" s="11">
        <f ca="1">INDEX(PO!A$12:A$202,MATCH($A26,PO!$V$12:$V$202,0))</f>
        <v>2</v>
      </c>
      <c r="D26" s="11">
        <f t="shared" ref="D26" ca="1" si="25">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ROUND(INDEX(PO!T$12:T$202,MATCH($A26,PO!$V$12:$V$202,0)),2)+10^-12</f>
        <v>9.9999999999999998E-13</v>
      </c>
      <c r="L26" s="339"/>
      <c r="M26" s="337"/>
      <c r="N26" s="335"/>
      <c r="O26" s="171" t="s">
        <v>20</v>
      </c>
      <c r="P26" s="166">
        <f t="shared" ref="P26:W26" ca="1" si="26">IF($B26,ROUND(P25*$N24,2),ROUND(SUMIF(OFFSET($B26,1,0,$D26),TRUE,OFFSET(P26,1,0,$D26))/SUMIF(OFFSET($B26,1,0,$D26),TRUE,OFFSET($K26,1,0,$D26))*$N24,2))</f>
        <v>0</v>
      </c>
      <c r="Q26" s="144">
        <f t="shared" ca="1" si="26"/>
        <v>0</v>
      </c>
      <c r="R26" s="144">
        <f t="shared" ca="1" si="26"/>
        <v>0</v>
      </c>
      <c r="S26" s="144">
        <f t="shared" ca="1" si="26"/>
        <v>0</v>
      </c>
      <c r="T26" s="144">
        <f t="shared" ca="1" si="26"/>
        <v>0</v>
      </c>
      <c r="U26" s="144">
        <f t="shared" ca="1" si="26"/>
        <v>0</v>
      </c>
      <c r="V26" s="144">
        <f t="shared" ca="1" si="26"/>
        <v>0</v>
      </c>
      <c r="W26" s="174">
        <f t="shared" ca="1" si="26"/>
        <v>0</v>
      </c>
      <c r="X26" s="163"/>
      <c r="AC26" s="144">
        <f t="shared" ref="AC26" ca="1" si="2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8" t="str">
        <f ca="1">INDEX(PO!K$12:K$202,MATCH($A29,PO!$V$12:$V$202,0))</f>
        <v>1.3.</v>
      </c>
      <c r="M27" s="336" t="str">
        <f ca="1">INDEX(PO!N$12:N$202,MATCH($A29,PO!$V$12:$V$202,0))</f>
        <v>DEMOLIÇÕES, RETIRADAS. ADEQUAÇÕES</v>
      </c>
      <c r="N27" s="334">
        <f t="shared" ref="N27" ca="1" si="28">IF(ROUND(K29,2)=0,K29,ROUND(K29,2))</f>
        <v>9.9999999999999998E-13</v>
      </c>
      <c r="O27" s="187" t="s">
        <v>143</v>
      </c>
      <c r="P27" s="192">
        <v>0.45</v>
      </c>
      <c r="Q27" s="193">
        <v>0.4</v>
      </c>
      <c r="R27" s="193">
        <v>0.15</v>
      </c>
      <c r="S27" s="193">
        <v>0.1</v>
      </c>
      <c r="T27" s="193">
        <v>0.1</v>
      </c>
      <c r="U27" s="193">
        <f t="shared" ref="U27" ca="1" si="29">IF($B29,0,U28-IF(ISNUMBER(T28),T28,0))</f>
        <v>0</v>
      </c>
      <c r="V27" s="193">
        <f t="shared" ref="V27" ca="1" si="30">IF($B29,0,V28-IF(ISNUMBER(U28),U28,0))</f>
        <v>0</v>
      </c>
      <c r="W27" s="194">
        <f t="shared" ref="W27" ca="1" si="31">IF($B29,0,W28-IF(ISNUMBER(V28),V28,0))</f>
        <v>0</v>
      </c>
      <c r="X27" s="163"/>
      <c r="AC27" s="188">
        <f t="shared" ref="AC27" ca="1" si="32">IF($B29,0,AC28-IF(ISNUMBER(AB28),AB28,0))</f>
        <v>0</v>
      </c>
    </row>
    <row r="28" spans="1:29" customFormat="1" ht="14.25" x14ac:dyDescent="0.2">
      <c r="A28" s="11"/>
      <c r="B28" s="11"/>
      <c r="C28" s="11"/>
      <c r="D28" s="11"/>
      <c r="E28" s="11"/>
      <c r="F28" s="11"/>
      <c r="G28" s="11"/>
      <c r="H28" s="11"/>
      <c r="I28" s="11"/>
      <c r="J28" s="11"/>
      <c r="K28" s="11"/>
      <c r="L28" s="339"/>
      <c r="M28" s="337"/>
      <c r="N28" s="335"/>
      <c r="O28" s="145" t="s">
        <v>145</v>
      </c>
      <c r="P28" s="165">
        <f t="shared" ref="P28" ca="1" si="33">MIN(IF($B29,P27+IF(ISNUMBER(O28),O28,0),P29/$N27),1)</f>
        <v>0.45</v>
      </c>
      <c r="Q28" s="143">
        <f t="shared" ref="Q28" ca="1" si="34">MIN(IF($B29,Q27+IF(ISNUMBER(P28),P28,0),Q29/$N27),1)</f>
        <v>0.85000000000000009</v>
      </c>
      <c r="R28" s="143">
        <f t="shared" ref="R28" ca="1" si="35">MIN(IF($B29,R27+IF(ISNUMBER(Q28),Q28,0),R29/$N27),1)</f>
        <v>1</v>
      </c>
      <c r="S28" s="143">
        <f t="shared" ref="S28" ca="1" si="36">MIN(IF($B29,S27+IF(ISNUMBER(R28),R28,0),S29/$N27),1)</f>
        <v>1</v>
      </c>
      <c r="T28" s="143">
        <f t="shared" ref="T28" ca="1" si="37">MIN(IF($B29,T27+IF(ISNUMBER(S28),S28,0),T29/$N27),1)</f>
        <v>1</v>
      </c>
      <c r="U28" s="143">
        <f t="shared" ref="U28" ca="1" si="38">MIN(IF($B29,U27+IF(ISNUMBER(T28),T28,0),U29/$N27),1)</f>
        <v>1</v>
      </c>
      <c r="V28" s="143">
        <f t="shared" ref="V28" ca="1" si="39">MIN(IF($B29,V27+IF(ISNUMBER(U28),U28,0),V29/$N27),1)</f>
        <v>1</v>
      </c>
      <c r="W28" s="143">
        <f t="shared" ref="W28" ca="1" si="40">MIN(IF($B29,W27+IF(ISNUMBER(V28),V28,0),W29/$N27),1)</f>
        <v>1</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INDEX(PO!A$12:A$202,MATCH($A29,PO!$V$12:$V$202,0))</f>
        <v>2</v>
      </c>
      <c r="D29" s="11">
        <f t="shared" ref="D29" ca="1" si="42">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MATCH(0,OFFSET($D29,1,$C29,ROW($A$51)-ROW($A29)),0)</f>
        <v>22</v>
      </c>
      <c r="J29" s="11">
        <f ca="1">MATCH(OFFSET($D29,0,$C29)+1,OFFSET($D29,1,$C29,ROW($A$51)-ROW($A29)),0)</f>
        <v>3</v>
      </c>
      <c r="K29" s="156">
        <f ca="1">ROUND(INDEX(PO!T$12:T$202,MATCH($A29,PO!$V$12:$V$202,0)),2)+10^-12</f>
        <v>9.9999999999999998E-13</v>
      </c>
      <c r="L29" s="339"/>
      <c r="M29" s="337"/>
      <c r="N29" s="335"/>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8" t="str">
        <f ca="1">INDEX(PO!K$12:K$202,MATCH($A32,PO!$V$12:$V$202,0))</f>
        <v>1.4.</v>
      </c>
      <c r="M30" s="336" t="str">
        <f ca="1">INDEX(PO!N$12:N$202,MATCH($A32,PO!$V$12:$V$202,0))</f>
        <v>PAREDES</v>
      </c>
      <c r="N30" s="334">
        <f t="shared" ref="N30" ca="1" si="45">IF(ROUND(K32,2)=0,K32,ROUND(K32,2))</f>
        <v>9.9999999999999998E-13</v>
      </c>
      <c r="O30" s="187" t="s">
        <v>143</v>
      </c>
      <c r="P30" s="192">
        <v>0.3</v>
      </c>
      <c r="Q30" s="193">
        <v>0.5</v>
      </c>
      <c r="R30" s="193">
        <v>0.2</v>
      </c>
      <c r="S30" s="193">
        <v>0.5</v>
      </c>
      <c r="T30" s="193">
        <v>0</v>
      </c>
      <c r="U30" s="193">
        <v>0.2</v>
      </c>
      <c r="V30" s="193">
        <f t="shared" ref="V30" ca="1" si="46">IF($B32,0,V31-IF(ISNUMBER(U31),U31,0))</f>
        <v>0</v>
      </c>
      <c r="W30" s="194">
        <f t="shared" ref="W30" ca="1" si="47">IF($B32,0,W31-IF(ISNUMBER(V31),V31,0))</f>
        <v>0</v>
      </c>
      <c r="X30" s="163"/>
      <c r="AC30" s="188">
        <f t="shared" ref="AC30" ca="1" si="48">IF($B32,0,AC31-IF(ISNUMBER(AB31),AB31,0))</f>
        <v>0</v>
      </c>
    </row>
    <row r="31" spans="1:29" customFormat="1" ht="14.25" x14ac:dyDescent="0.2">
      <c r="A31" s="11"/>
      <c r="B31" s="11"/>
      <c r="C31" s="11"/>
      <c r="D31" s="11"/>
      <c r="E31" s="11"/>
      <c r="F31" s="11"/>
      <c r="G31" s="11"/>
      <c r="H31" s="11"/>
      <c r="I31" s="11"/>
      <c r="J31" s="11"/>
      <c r="K31" s="11"/>
      <c r="L31" s="339"/>
      <c r="M31" s="337"/>
      <c r="N31" s="335"/>
      <c r="O31" s="145" t="s">
        <v>145</v>
      </c>
      <c r="P31" s="165">
        <f t="shared" ref="P31" ca="1" si="49">MIN(IF($B32,P30+IF(ISNUMBER(O31),O31,0),P32/$N30),1)</f>
        <v>0.3</v>
      </c>
      <c r="Q31" s="143">
        <f t="shared" ref="Q31" ca="1" si="50">MIN(IF($B32,Q30+IF(ISNUMBER(P31),P31,0),Q32/$N30),1)</f>
        <v>0.8</v>
      </c>
      <c r="R31" s="143">
        <f t="shared" ref="R31" ca="1" si="51">MIN(IF($B32,R30+IF(ISNUMBER(Q31),Q31,0),R32/$N30),1)</f>
        <v>1</v>
      </c>
      <c r="S31" s="143">
        <f t="shared" ref="S31" ca="1" si="52">MIN(IF($B32,S30+IF(ISNUMBER(R31),R31,0),S32/$N30),1)</f>
        <v>1</v>
      </c>
      <c r="T31" s="143">
        <f t="shared" ref="T31" ca="1" si="53">MIN(IF($B32,T30+IF(ISNUMBER(S31),S31,0),T32/$N30),1)</f>
        <v>1</v>
      </c>
      <c r="U31" s="143">
        <f t="shared" ref="U31" ca="1" si="54">MIN(IF($B32,U30+IF(ISNUMBER(T31),T31,0),U32/$N30),1)</f>
        <v>1</v>
      </c>
      <c r="V31" s="143">
        <f t="shared" ref="V31" ca="1" si="55">MIN(IF($B32,V30+IF(ISNUMBER(U31),U31,0),V32/$N30),1)</f>
        <v>1</v>
      </c>
      <c r="W31" s="143">
        <f t="shared" ref="W31" ca="1" si="56">MIN(IF($B32,W30+IF(ISNUMBER(V31),V31,0),W32/$N30),1)</f>
        <v>1</v>
      </c>
      <c r="X31" s="163"/>
      <c r="AC31" s="143">
        <f t="shared" ref="AC31" ca="1" si="57">MIN(IF($B32,AC30+IF(ISNUMBER(AB31),AB31,0),AC32/$N30),1)</f>
        <v>0</v>
      </c>
    </row>
    <row r="32" spans="1:29" customFormat="1" ht="14.25" x14ac:dyDescent="0.2">
      <c r="A32" s="11">
        <f ca="1">OFFSET(A32,-CFF.NumLinha,0)+1</f>
        <v>5</v>
      </c>
      <c r="B32" s="11" t="b">
        <f ca="1">$C32&gt;=OFFSET($C32,CFF.NumLinha,0)</f>
        <v>1</v>
      </c>
      <c r="C32" s="11">
        <f ca="1">INDEX(PO!A$12:A$202,MATCH($A32,PO!$V$12:$V$202,0))</f>
        <v>2</v>
      </c>
      <c r="D32" s="11">
        <f t="shared" ref="D32" ca="1" si="58">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MATCH(0,OFFSET($D32,1,$C32,ROW($A$51)-ROW($A32)),0)</f>
        <v>19</v>
      </c>
      <c r="J32" s="11">
        <f ca="1">MATCH(OFFSET($D32,0,$C32)+1,OFFSET($D32,1,$C32,ROW($A$51)-ROW($A32)),0)</f>
        <v>3</v>
      </c>
      <c r="K32" s="156">
        <f ca="1">ROUND(INDEX(PO!T$12:T$202,MATCH($A32,PO!$V$12:$V$202,0)),2)+10^-12</f>
        <v>9.9999999999999998E-13</v>
      </c>
      <c r="L32" s="339"/>
      <c r="M32" s="337"/>
      <c r="N32" s="335"/>
      <c r="O32" s="171" t="s">
        <v>20</v>
      </c>
      <c r="P32" s="166">
        <f t="shared" ref="P32:W32" ca="1" si="59">IF($B32,ROUND(P31*$N30,2),ROUND(SUMIF(OFFSET($B32,1,0,$D32),TRUE,OFFSET(P32,1,0,$D32))/SUMIF(OFFSET($B32,1,0,$D32),TRUE,OFFSET($K32,1,0,$D32))*$N30,2))</f>
        <v>0</v>
      </c>
      <c r="Q32" s="144">
        <f t="shared" ca="1" si="59"/>
        <v>0</v>
      </c>
      <c r="R32" s="144">
        <f t="shared" ca="1" si="59"/>
        <v>0</v>
      </c>
      <c r="S32" s="144">
        <f t="shared" ca="1" si="59"/>
        <v>0</v>
      </c>
      <c r="T32" s="144">
        <f t="shared" ca="1" si="59"/>
        <v>0</v>
      </c>
      <c r="U32" s="144">
        <f t="shared" ca="1" si="59"/>
        <v>0</v>
      </c>
      <c r="V32" s="144">
        <f t="shared" ca="1" si="59"/>
        <v>0</v>
      </c>
      <c r="W32" s="174">
        <f t="shared" ca="1" si="59"/>
        <v>0</v>
      </c>
      <c r="X32" s="163"/>
      <c r="AC32" s="144">
        <f t="shared" ref="AC32" ca="1" si="60">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8" t="str">
        <f ca="1">INDEX(PO!K$12:K$202,MATCH($A35,PO!$V$12:$V$202,0))</f>
        <v>1.5.</v>
      </c>
      <c r="M33" s="336" t="str">
        <f ca="1">INDEX(PO!N$12:N$202,MATCH($A35,PO!$V$12:$V$202,0))</f>
        <v>REVESTIMENTO E PINTURA INTERNA</v>
      </c>
      <c r="N33" s="334">
        <f t="shared" ref="N33" ca="1" si="61">IF(ROUND(K35,2)=0,K35,ROUND(K35,2))</f>
        <v>9.9999999999999998E-13</v>
      </c>
      <c r="O33" s="187" t="s">
        <v>143</v>
      </c>
      <c r="P33" s="192">
        <v>0</v>
      </c>
      <c r="Q33" s="193">
        <v>0.5</v>
      </c>
      <c r="R33" s="193">
        <v>0.5</v>
      </c>
      <c r="S33" s="193">
        <v>0.5</v>
      </c>
      <c r="T33" s="193">
        <v>0</v>
      </c>
      <c r="U33" s="193">
        <v>0.3</v>
      </c>
      <c r="V33" s="193">
        <v>0.2</v>
      </c>
      <c r="W33" s="194">
        <f t="shared" ref="W33" ca="1" si="62">IF($B35,0,W34-IF(ISNUMBER(V34),V34,0))</f>
        <v>0</v>
      </c>
      <c r="X33" s="163"/>
      <c r="AC33" s="188">
        <f t="shared" ref="AC33" ca="1" si="63">IF($B35,0,AC34-IF(ISNUMBER(AB34),AB34,0))</f>
        <v>0</v>
      </c>
    </row>
    <row r="34" spans="1:29" customFormat="1" ht="14.25" x14ac:dyDescent="0.2">
      <c r="A34" s="11"/>
      <c r="B34" s="11"/>
      <c r="C34" s="11"/>
      <c r="D34" s="11"/>
      <c r="E34" s="11"/>
      <c r="F34" s="11"/>
      <c r="G34" s="11"/>
      <c r="H34" s="11"/>
      <c r="I34" s="11"/>
      <c r="J34" s="11"/>
      <c r="K34" s="11"/>
      <c r="L34" s="339"/>
      <c r="M34" s="337"/>
      <c r="N34" s="335"/>
      <c r="O34" s="145" t="s">
        <v>145</v>
      </c>
      <c r="P34" s="165">
        <f t="shared" ref="P34" ca="1" si="64">MIN(IF($B35,P33+IF(ISNUMBER(O34),O34,0),P35/$N33),1)</f>
        <v>0</v>
      </c>
      <c r="Q34" s="143">
        <f t="shared" ref="Q34" ca="1" si="65">MIN(IF($B35,Q33+IF(ISNUMBER(P34),P34,0),Q35/$N33),1)</f>
        <v>0.5</v>
      </c>
      <c r="R34" s="143">
        <f t="shared" ref="R34" ca="1" si="66">MIN(IF($B35,R33+IF(ISNUMBER(Q34),Q34,0),R35/$N33),1)</f>
        <v>1</v>
      </c>
      <c r="S34" s="143">
        <f t="shared" ref="S34" ca="1" si="67">MIN(IF($B35,S33+IF(ISNUMBER(R34),R34,0),S35/$N33),1)</f>
        <v>1</v>
      </c>
      <c r="T34" s="143">
        <f t="shared" ref="T34" ca="1" si="68">MIN(IF($B35,T33+IF(ISNUMBER(S34),S34,0),T35/$N33),1)</f>
        <v>1</v>
      </c>
      <c r="U34" s="143">
        <f t="shared" ref="U34" ca="1" si="69">MIN(IF($B35,U33+IF(ISNUMBER(T34),T34,0),U35/$N33),1)</f>
        <v>1</v>
      </c>
      <c r="V34" s="143">
        <f t="shared" ref="V34" ca="1" si="70">MIN(IF($B35,V33+IF(ISNUMBER(U34),U34,0),V35/$N33),1)</f>
        <v>1</v>
      </c>
      <c r="W34" s="143">
        <f t="shared" ref="W34" ca="1" si="71">MIN(IF($B35,W33+IF(ISNUMBER(V34),V34,0),W35/$N33),1)</f>
        <v>1</v>
      </c>
      <c r="X34" s="163"/>
      <c r="AC34" s="143">
        <f t="shared" ref="AC34" ca="1" si="72">MIN(IF($B35,AC33+IF(ISNUMBER(AB34),AB34,0),AC35/$N33),1)</f>
        <v>0</v>
      </c>
    </row>
    <row r="35" spans="1:29" customFormat="1" ht="14.25" x14ac:dyDescent="0.2">
      <c r="A35" s="11">
        <f ca="1">OFFSET(A35,-CFF.NumLinha,0)+1</f>
        <v>6</v>
      </c>
      <c r="B35" s="11" t="b">
        <f ca="1">$C35&gt;=OFFSET($C35,CFF.NumLinha,0)</f>
        <v>1</v>
      </c>
      <c r="C35" s="11">
        <f ca="1">INDEX(PO!A$12:A$202,MATCH($A35,PO!$V$12:$V$202,0))</f>
        <v>2</v>
      </c>
      <c r="D35" s="11">
        <f t="shared" ref="D35" ca="1" si="73">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MATCH(0,OFFSET($D35,1,$C35,ROW($A$51)-ROW($A35)),0)</f>
        <v>16</v>
      </c>
      <c r="J35" s="11">
        <f ca="1">MATCH(OFFSET($D35,0,$C35)+1,OFFSET($D35,1,$C35,ROW($A$51)-ROW($A35)),0)</f>
        <v>3</v>
      </c>
      <c r="K35" s="156">
        <f ca="1">ROUND(INDEX(PO!T$12:T$202,MATCH($A35,PO!$V$12:$V$202,0)),2)+10^-12</f>
        <v>9.9999999999999998E-13</v>
      </c>
      <c r="L35" s="339"/>
      <c r="M35" s="337"/>
      <c r="N35" s="335"/>
      <c r="O35" s="171" t="s">
        <v>20</v>
      </c>
      <c r="P35" s="166">
        <f t="shared" ref="P35:W35" ca="1" si="74">IF($B35,ROUND(P34*$N33,2),ROUND(SUMIF(OFFSET($B35,1,0,$D35),TRUE,OFFSET(P35,1,0,$D35))/SUMIF(OFFSET($B35,1,0,$D35),TRUE,OFFSET($K35,1,0,$D35))*$N33,2))</f>
        <v>0</v>
      </c>
      <c r="Q35" s="144">
        <f t="shared" ca="1" si="74"/>
        <v>0</v>
      </c>
      <c r="R35" s="144">
        <f t="shared" ca="1" si="74"/>
        <v>0</v>
      </c>
      <c r="S35" s="144">
        <f t="shared" ca="1" si="74"/>
        <v>0</v>
      </c>
      <c r="T35" s="144">
        <f t="shared" ca="1" si="74"/>
        <v>0</v>
      </c>
      <c r="U35" s="144">
        <f t="shared" ca="1" si="74"/>
        <v>0</v>
      </c>
      <c r="V35" s="144">
        <f t="shared" ca="1" si="74"/>
        <v>0</v>
      </c>
      <c r="W35" s="174">
        <f t="shared" ca="1" si="74"/>
        <v>0</v>
      </c>
      <c r="X35" s="163"/>
      <c r="AC35" s="144">
        <f t="shared" ref="AC35" ca="1" si="75">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8" t="str">
        <f ca="1">INDEX(PO!K$12:K$202,MATCH($A38,PO!$V$12:$V$202,0))</f>
        <v>1.6.</v>
      </c>
      <c r="M36" s="336" t="str">
        <f ca="1">INDEX(PO!N$12:N$202,MATCH($A38,PO!$V$12:$V$202,0))</f>
        <v>DRYWALL</v>
      </c>
      <c r="N36" s="334">
        <f t="shared" ref="N36" ca="1" si="76">IF(ROUND(K38,2)=0,K38,ROUND(K38,2))</f>
        <v>9.9999999999999998E-13</v>
      </c>
      <c r="O36" s="187" t="s">
        <v>143</v>
      </c>
      <c r="P36" s="192">
        <v>0</v>
      </c>
      <c r="Q36" s="193">
        <v>0.5</v>
      </c>
      <c r="R36" s="193">
        <v>0.5</v>
      </c>
      <c r="S36" s="193">
        <v>0.25</v>
      </c>
      <c r="T36" s="193">
        <v>0.25</v>
      </c>
      <c r="U36" s="193">
        <v>0.25</v>
      </c>
      <c r="V36" s="193">
        <f t="shared" ref="V36" ca="1" si="77">IF($B38,0,V37-IF(ISNUMBER(U37),U37,0))</f>
        <v>0</v>
      </c>
      <c r="W36" s="194">
        <f t="shared" ref="W36" ca="1" si="78">IF($B38,0,W37-IF(ISNUMBER(V37),V37,0))</f>
        <v>0</v>
      </c>
      <c r="X36" s="163"/>
      <c r="AC36" s="188">
        <f t="shared" ref="AC36" ca="1" si="79">IF($B38,0,AC37-IF(ISNUMBER(AB37),AB37,0))</f>
        <v>0</v>
      </c>
    </row>
    <row r="37" spans="1:29" customFormat="1" ht="14.25" x14ac:dyDescent="0.2">
      <c r="A37" s="11"/>
      <c r="B37" s="11"/>
      <c r="C37" s="11"/>
      <c r="D37" s="11"/>
      <c r="E37" s="11"/>
      <c r="F37" s="11"/>
      <c r="G37" s="11"/>
      <c r="H37" s="11"/>
      <c r="I37" s="11"/>
      <c r="J37" s="11"/>
      <c r="K37" s="11"/>
      <c r="L37" s="339"/>
      <c r="M37" s="337"/>
      <c r="N37" s="335"/>
      <c r="O37" s="145" t="s">
        <v>145</v>
      </c>
      <c r="P37" s="165">
        <f t="shared" ref="P37" ca="1" si="80">MIN(IF($B38,P36+IF(ISNUMBER(O37),O37,0),P38/$N36),1)</f>
        <v>0</v>
      </c>
      <c r="Q37" s="143">
        <f t="shared" ref="Q37" ca="1" si="81">MIN(IF($B38,Q36+IF(ISNUMBER(P37),P37,0),Q38/$N36),1)</f>
        <v>0.5</v>
      </c>
      <c r="R37" s="143">
        <f t="shared" ref="R37" ca="1" si="82">MIN(IF($B38,R36+IF(ISNUMBER(Q37),Q37,0),R38/$N36),1)</f>
        <v>1</v>
      </c>
      <c r="S37" s="143">
        <f t="shared" ref="S37" ca="1" si="83">MIN(IF($B38,S36+IF(ISNUMBER(R37),R37,0),S38/$N36),1)</f>
        <v>1</v>
      </c>
      <c r="T37" s="143">
        <f t="shared" ref="T37" ca="1" si="84">MIN(IF($B38,T36+IF(ISNUMBER(S37),S37,0),T38/$N36),1)</f>
        <v>1</v>
      </c>
      <c r="U37" s="143">
        <f t="shared" ref="U37" ca="1" si="85">MIN(IF($B38,U36+IF(ISNUMBER(T37),T37,0),U38/$N36),1)</f>
        <v>1</v>
      </c>
      <c r="V37" s="143">
        <f t="shared" ref="V37" ca="1" si="86">MIN(IF($B38,V36+IF(ISNUMBER(U37),U37,0),V38/$N36),1)</f>
        <v>1</v>
      </c>
      <c r="W37" s="143">
        <f t="shared" ref="W37" ca="1" si="87">MIN(IF($B38,W36+IF(ISNUMBER(V37),V37,0),W38/$N36),1)</f>
        <v>1</v>
      </c>
      <c r="X37" s="163"/>
      <c r="AC37" s="143">
        <f t="shared" ref="AC37" ca="1" si="88">MIN(IF($B38,AC36+IF(ISNUMBER(AB37),AB37,0),AC38/$N36),1)</f>
        <v>0</v>
      </c>
    </row>
    <row r="38" spans="1:29" customFormat="1" ht="14.25" x14ac:dyDescent="0.2">
      <c r="A38" s="11">
        <f ca="1">OFFSET(A38,-CFF.NumLinha,0)+1</f>
        <v>7</v>
      </c>
      <c r="B38" s="11" t="b">
        <f ca="1">$C38&gt;=OFFSET($C38,CFF.NumLinha,0)</f>
        <v>1</v>
      </c>
      <c r="C38" s="11">
        <f ca="1">INDEX(PO!A$12:A$202,MATCH($A38,PO!$V$12:$V$202,0))</f>
        <v>2</v>
      </c>
      <c r="D38" s="11">
        <f t="shared" ref="D38" ca="1" si="89">IF(ISERROR(J38),I38,SMALL(I38:J38,1))-1</f>
        <v>2</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ca="1">MATCH(0,OFFSET($D38,1,$C38,ROW($A$51)-ROW($A38)),0)</f>
        <v>13</v>
      </c>
      <c r="J38" s="11">
        <f ca="1">MATCH(OFFSET($D38,0,$C38)+1,OFFSET($D38,1,$C38,ROW($A$51)-ROW($A38)),0)</f>
        <v>3</v>
      </c>
      <c r="K38" s="156">
        <f ca="1">ROUND(INDEX(PO!T$12:T$202,MATCH($A38,PO!$V$12:$V$202,0)),2)+10^-12</f>
        <v>9.9999999999999998E-13</v>
      </c>
      <c r="L38" s="339"/>
      <c r="M38" s="337"/>
      <c r="N38" s="335"/>
      <c r="O38" s="171" t="s">
        <v>20</v>
      </c>
      <c r="P38" s="166">
        <f t="shared" ref="P38:W38" ca="1" si="90">IF($B38,ROUND(P37*$N36,2),ROUND(SUMIF(OFFSET($B38,1,0,$D38),TRUE,OFFSET(P38,1,0,$D38))/SUMIF(OFFSET($B38,1,0,$D38),TRUE,OFFSET($K38,1,0,$D38))*$N36,2))</f>
        <v>0</v>
      </c>
      <c r="Q38" s="144">
        <f t="shared" ca="1" si="90"/>
        <v>0</v>
      </c>
      <c r="R38" s="144">
        <f t="shared" ca="1" si="90"/>
        <v>0</v>
      </c>
      <c r="S38" s="144">
        <f t="shared" ca="1" si="90"/>
        <v>0</v>
      </c>
      <c r="T38" s="144">
        <f t="shared" ca="1" si="90"/>
        <v>0</v>
      </c>
      <c r="U38" s="144">
        <f t="shared" ca="1" si="90"/>
        <v>0</v>
      </c>
      <c r="V38" s="144">
        <f t="shared" ca="1" si="90"/>
        <v>0</v>
      </c>
      <c r="W38" s="174">
        <f t="shared" ca="1" si="90"/>
        <v>0</v>
      </c>
      <c r="X38" s="163"/>
      <c r="AC38" s="144">
        <f t="shared" ref="AC38" ca="1" si="91">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8" t="str">
        <f ca="1">INDEX(PO!K$12:K$202,MATCH($A41,PO!$V$12:$V$202,0))</f>
        <v>1.7.</v>
      </c>
      <c r="M39" s="336" t="str">
        <f ca="1">INDEX(PO!N$12:N$202,MATCH($A41,PO!$V$12:$V$202,0))</f>
        <v>ESQUADRIAS</v>
      </c>
      <c r="N39" s="334">
        <f t="shared" ref="N39" ca="1" si="92">IF(ROUND(K41,2)=0,K41,ROUND(K41,2))</f>
        <v>9.9999999999999998E-13</v>
      </c>
      <c r="O39" s="187" t="s">
        <v>143</v>
      </c>
      <c r="P39" s="192">
        <v>0</v>
      </c>
      <c r="Q39" s="193">
        <v>0</v>
      </c>
      <c r="R39" s="193">
        <v>1</v>
      </c>
      <c r="S39" s="193">
        <v>0.5</v>
      </c>
      <c r="T39" s="193">
        <v>0.15</v>
      </c>
      <c r="U39" s="193">
        <v>0.55000000000000004</v>
      </c>
      <c r="V39" s="193">
        <f t="shared" ref="V39" ca="1" si="93">IF($B41,0,V40-IF(ISNUMBER(U40),U40,0))</f>
        <v>0</v>
      </c>
      <c r="W39" s="194">
        <f t="shared" ref="W39" ca="1" si="94">IF($B41,0,W40-IF(ISNUMBER(V40),V40,0))</f>
        <v>0</v>
      </c>
      <c r="X39" s="163"/>
      <c r="AC39" s="188">
        <f t="shared" ref="AC39" ca="1" si="95">IF($B41,0,AC40-IF(ISNUMBER(AB40),AB40,0))</f>
        <v>0</v>
      </c>
    </row>
    <row r="40" spans="1:29" customFormat="1" ht="14.25" x14ac:dyDescent="0.2">
      <c r="A40" s="11"/>
      <c r="B40" s="11"/>
      <c r="C40" s="11"/>
      <c r="D40" s="11"/>
      <c r="E40" s="11"/>
      <c r="F40" s="11"/>
      <c r="G40" s="11"/>
      <c r="H40" s="11"/>
      <c r="I40" s="11"/>
      <c r="J40" s="11"/>
      <c r="K40" s="11"/>
      <c r="L40" s="339"/>
      <c r="M40" s="337"/>
      <c r="N40" s="335"/>
      <c r="O40" s="145" t="s">
        <v>145</v>
      </c>
      <c r="P40" s="165">
        <f t="shared" ref="P40" ca="1" si="96">MIN(IF($B41,P39+IF(ISNUMBER(O40),O40,0),P41/$N39),1)</f>
        <v>0</v>
      </c>
      <c r="Q40" s="143">
        <f t="shared" ref="Q40" ca="1" si="97">MIN(IF($B41,Q39+IF(ISNUMBER(P40),P40,0),Q41/$N39),1)</f>
        <v>0</v>
      </c>
      <c r="R40" s="143">
        <f t="shared" ref="R40" ca="1" si="98">MIN(IF($B41,R39+IF(ISNUMBER(Q40),Q40,0),R41/$N39),1)</f>
        <v>1</v>
      </c>
      <c r="S40" s="143">
        <f t="shared" ref="S40" ca="1" si="99">MIN(IF($B41,S39+IF(ISNUMBER(R40),R40,0),S41/$N39),1)</f>
        <v>1</v>
      </c>
      <c r="T40" s="143">
        <f t="shared" ref="T40" ca="1" si="100">MIN(IF($B41,T39+IF(ISNUMBER(S40),S40,0),T41/$N39),1)</f>
        <v>1</v>
      </c>
      <c r="U40" s="143">
        <f t="shared" ref="U40" ca="1" si="101">MIN(IF($B41,U39+IF(ISNUMBER(T40),T40,0),U41/$N39),1)</f>
        <v>1</v>
      </c>
      <c r="V40" s="143">
        <f t="shared" ref="V40" ca="1" si="102">MIN(IF($B41,V39+IF(ISNUMBER(U40),U40,0),V41/$N39),1)</f>
        <v>1</v>
      </c>
      <c r="W40" s="143">
        <f t="shared" ref="W40" ca="1" si="103">MIN(IF($B41,W39+IF(ISNUMBER(V40),V40,0),W41/$N39),1)</f>
        <v>1</v>
      </c>
      <c r="X40" s="163"/>
      <c r="AC40" s="143">
        <f t="shared" ref="AC40" ca="1" si="104">MIN(IF($B41,AC39+IF(ISNUMBER(AB40),AB40,0),AC41/$N39),1)</f>
        <v>0</v>
      </c>
    </row>
    <row r="41" spans="1:29" customFormat="1" ht="14.25" x14ac:dyDescent="0.2">
      <c r="A41" s="11">
        <f ca="1">OFFSET(A41,-CFF.NumLinha,0)+1</f>
        <v>8</v>
      </c>
      <c r="B41" s="11" t="b">
        <f ca="1">$C41&gt;=OFFSET($C41,CFF.NumLinha,0)</f>
        <v>1</v>
      </c>
      <c r="C41" s="11">
        <f ca="1">INDEX(PO!A$12:A$202,MATCH($A41,PO!$V$12:$V$202,0))</f>
        <v>2</v>
      </c>
      <c r="D41" s="11">
        <f t="shared" ref="D41" ca="1" si="105">IF(ISERROR(J41),I41,SMALL(I41:J41,1))-1</f>
        <v>2</v>
      </c>
      <c r="E41" s="11">
        <f ca="1">IF($C41=1,OFFSET(E41,-CFF.NumLinha,0)+1,OFFSET(E41,-CFF.NumLinha,0))</f>
        <v>1</v>
      </c>
      <c r="F41" s="11">
        <f ca="1">IF($C41=1,0,IF($C41=2,OFFSET(F41,-CFF.NumLinha,0)+1,OFFSET(F41,-CFF.NumLinha,0)))</f>
        <v>7</v>
      </c>
      <c r="G41" s="11">
        <f ca="1">IF(AND($C41&lt;=2,$C41&lt;&gt;0),0,IF($C41=3,OFFSET(G41,-CFF.NumLinha,0)+1,OFFSET(G41,-CFF.NumLinha,0)))</f>
        <v>0</v>
      </c>
      <c r="H41" s="11">
        <f ca="1">IF(AND($C41&lt;=3,$C41&lt;&gt;0),0,IF($C41=4,OFFSET(H41,-CFF.NumLinha,0)+1,OFFSET(H41,-CFF.NumLinha,0)))</f>
        <v>0</v>
      </c>
      <c r="I41" s="11">
        <f ca="1">MATCH(0,OFFSET($D41,1,$C41,ROW($A$51)-ROW($A41)),0)</f>
        <v>10</v>
      </c>
      <c r="J41" s="11">
        <f ca="1">MATCH(OFFSET($D41,0,$C41)+1,OFFSET($D41,1,$C41,ROW($A$51)-ROW($A41)),0)</f>
        <v>3</v>
      </c>
      <c r="K41" s="156">
        <f ca="1">ROUND(INDEX(PO!T$12:T$202,MATCH($A41,PO!$V$12:$V$202,0)),2)+10^-12</f>
        <v>9.9999999999999998E-13</v>
      </c>
      <c r="L41" s="339"/>
      <c r="M41" s="337"/>
      <c r="N41" s="335"/>
      <c r="O41" s="171" t="s">
        <v>20</v>
      </c>
      <c r="P41" s="166">
        <f t="shared" ref="P41:W41" ca="1" si="106">IF($B41,ROUND(P40*$N39,2),ROUND(SUMIF(OFFSET($B41,1,0,$D41),TRUE,OFFSET(P41,1,0,$D41))/SUMIF(OFFSET($B41,1,0,$D41),TRUE,OFFSET($K41,1,0,$D41))*$N39,2))</f>
        <v>0</v>
      </c>
      <c r="Q41" s="144">
        <f t="shared" ca="1" si="106"/>
        <v>0</v>
      </c>
      <c r="R41" s="144">
        <f t="shared" ca="1" si="106"/>
        <v>0</v>
      </c>
      <c r="S41" s="144">
        <f t="shared" ca="1" si="106"/>
        <v>0</v>
      </c>
      <c r="T41" s="144">
        <f t="shared" ca="1" si="106"/>
        <v>0</v>
      </c>
      <c r="U41" s="144">
        <f t="shared" ca="1" si="106"/>
        <v>0</v>
      </c>
      <c r="V41" s="144">
        <f t="shared" ca="1" si="106"/>
        <v>0</v>
      </c>
      <c r="W41" s="174">
        <f t="shared" ca="1" si="106"/>
        <v>0</v>
      </c>
      <c r="X41" s="163"/>
      <c r="AC41" s="144">
        <f t="shared" ref="AC41" ca="1" si="107">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8" t="str">
        <f ca="1">INDEX(PO!K$12:K$202,MATCH($A44,PO!$V$12:$V$202,0))</f>
        <v>1.8.</v>
      </c>
      <c r="M42" s="336" t="str">
        <f ca="1">INDEX(PO!N$12:N$202,MATCH($A44,PO!$V$12:$V$202,0))</f>
        <v>PISO VINÍLICO</v>
      </c>
      <c r="N42" s="334">
        <f t="shared" ref="N42" ca="1" si="108">IF(ROUND(K44,2)=0,K44,ROUND(K44,2))</f>
        <v>9.9999999999999998E-13</v>
      </c>
      <c r="O42" s="187" t="s">
        <v>143</v>
      </c>
      <c r="P42" s="192">
        <v>0</v>
      </c>
      <c r="Q42" s="193">
        <v>0</v>
      </c>
      <c r="R42" s="193">
        <v>1</v>
      </c>
      <c r="S42" s="193">
        <v>0.3</v>
      </c>
      <c r="T42" s="193">
        <v>0.3</v>
      </c>
      <c r="U42" s="193">
        <v>0.2</v>
      </c>
      <c r="V42" s="193">
        <f t="shared" ref="V42" ca="1" si="109">IF($B44,0,V43-IF(ISNUMBER(U43),U43,0))</f>
        <v>0</v>
      </c>
      <c r="W42" s="194">
        <f t="shared" ref="W42" ca="1" si="110">IF($B44,0,W43-IF(ISNUMBER(V43),V43,0))</f>
        <v>0</v>
      </c>
      <c r="X42" s="163"/>
      <c r="AC42" s="188">
        <f t="shared" ref="AC42" ca="1" si="111">IF($B44,0,AC43-IF(ISNUMBER(AB43),AB43,0))</f>
        <v>0</v>
      </c>
    </row>
    <row r="43" spans="1:29" customFormat="1" ht="14.25" x14ac:dyDescent="0.2">
      <c r="A43" s="11"/>
      <c r="B43" s="11"/>
      <c r="C43" s="11"/>
      <c r="D43" s="11"/>
      <c r="E43" s="11"/>
      <c r="F43" s="11"/>
      <c r="G43" s="11"/>
      <c r="H43" s="11"/>
      <c r="I43" s="11"/>
      <c r="J43" s="11"/>
      <c r="K43" s="11"/>
      <c r="L43" s="339"/>
      <c r="M43" s="337"/>
      <c r="N43" s="335"/>
      <c r="O43" s="145" t="s">
        <v>145</v>
      </c>
      <c r="P43" s="165">
        <f t="shared" ref="P43" ca="1" si="112">MIN(IF($B44,P42+IF(ISNUMBER(O43),O43,0),P44/$N42),1)</f>
        <v>0</v>
      </c>
      <c r="Q43" s="143">
        <f t="shared" ref="Q43" ca="1" si="113">MIN(IF($B44,Q42+IF(ISNUMBER(P43),P43,0),Q44/$N42),1)</f>
        <v>0</v>
      </c>
      <c r="R43" s="143">
        <f t="shared" ref="R43" ca="1" si="114">MIN(IF($B44,R42+IF(ISNUMBER(Q43),Q43,0),R44/$N42),1)</f>
        <v>1</v>
      </c>
      <c r="S43" s="143">
        <f t="shared" ref="S43" ca="1" si="115">MIN(IF($B44,S42+IF(ISNUMBER(R43),R43,0),S44/$N42),1)</f>
        <v>1</v>
      </c>
      <c r="T43" s="143">
        <f t="shared" ref="T43" ca="1" si="116">MIN(IF($B44,T42+IF(ISNUMBER(S43),S43,0),T44/$N42),1)</f>
        <v>1</v>
      </c>
      <c r="U43" s="143">
        <f t="shared" ref="U43" ca="1" si="117">MIN(IF($B44,U42+IF(ISNUMBER(T43),T43,0),U44/$N42),1)</f>
        <v>1</v>
      </c>
      <c r="V43" s="143">
        <f t="shared" ref="V43" ca="1" si="118">MIN(IF($B44,V42+IF(ISNUMBER(U43),U43,0),V44/$N42),1)</f>
        <v>1</v>
      </c>
      <c r="W43" s="143">
        <f t="shared" ref="W43" ca="1" si="119">MIN(IF($B44,W42+IF(ISNUMBER(V43),V43,0),W44/$N42),1)</f>
        <v>1</v>
      </c>
      <c r="X43" s="163"/>
      <c r="AC43" s="143">
        <f t="shared" ref="AC43" ca="1" si="120">MIN(IF($B44,AC42+IF(ISNUMBER(AB43),AB43,0),AC44/$N42),1)</f>
        <v>0</v>
      </c>
    </row>
    <row r="44" spans="1:29" customFormat="1" ht="14.25" x14ac:dyDescent="0.2">
      <c r="A44" s="11">
        <f ca="1">OFFSET(A44,-CFF.NumLinha,0)+1</f>
        <v>9</v>
      </c>
      <c r="B44" s="11" t="b">
        <f ca="1">$C44&gt;=OFFSET($C44,CFF.NumLinha,0)</f>
        <v>1</v>
      </c>
      <c r="C44" s="11">
        <f ca="1">INDEX(PO!A$12:A$202,MATCH($A44,PO!$V$12:$V$202,0))</f>
        <v>2</v>
      </c>
      <c r="D44" s="11">
        <f t="shared" ref="D44" ca="1" si="121">IF(ISERROR(J44),I44,SMALL(I44:J44,1))-1</f>
        <v>2</v>
      </c>
      <c r="E44" s="11">
        <f ca="1">IF($C44=1,OFFSET(E44,-CFF.NumLinha,0)+1,OFFSET(E44,-CFF.NumLinha,0))</f>
        <v>1</v>
      </c>
      <c r="F44" s="11">
        <f ca="1">IF($C44=1,0,IF($C44=2,OFFSET(F44,-CFF.NumLinha,0)+1,OFFSET(F44,-CFF.NumLinha,0)))</f>
        <v>8</v>
      </c>
      <c r="G44" s="11">
        <f ca="1">IF(AND($C44&lt;=2,$C44&lt;&gt;0),0,IF($C44=3,OFFSET(G44,-CFF.NumLinha,0)+1,OFFSET(G44,-CFF.NumLinha,0)))</f>
        <v>0</v>
      </c>
      <c r="H44" s="11">
        <f ca="1">IF(AND($C44&lt;=3,$C44&lt;&gt;0),0,IF($C44=4,OFFSET(H44,-CFF.NumLinha,0)+1,OFFSET(H44,-CFF.NumLinha,0)))</f>
        <v>0</v>
      </c>
      <c r="I44" s="11">
        <f ca="1">MATCH(0,OFFSET($D44,1,$C44,ROW($A$51)-ROW($A44)),0)</f>
        <v>7</v>
      </c>
      <c r="J44" s="11">
        <f ca="1">MATCH(OFFSET($D44,0,$C44)+1,OFFSET($D44,1,$C44,ROW($A$51)-ROW($A44)),0)</f>
        <v>3</v>
      </c>
      <c r="K44" s="156">
        <f ca="1">ROUND(INDEX(PO!T$12:T$202,MATCH($A44,PO!$V$12:$V$202,0)),2)+10^-12</f>
        <v>9.9999999999999998E-13</v>
      </c>
      <c r="L44" s="339"/>
      <c r="M44" s="337"/>
      <c r="N44" s="335"/>
      <c r="O44" s="171" t="s">
        <v>20</v>
      </c>
      <c r="P44" s="166">
        <f t="shared" ref="P44:W44" ca="1" si="122">IF($B44,ROUND(P43*$N42,2),ROUND(SUMIF(OFFSET($B44,1,0,$D44),TRUE,OFFSET(P44,1,0,$D44))/SUMIF(OFFSET($B44,1,0,$D44),TRUE,OFFSET($K44,1,0,$D44))*$N42,2))</f>
        <v>0</v>
      </c>
      <c r="Q44" s="144">
        <f t="shared" ca="1" si="122"/>
        <v>0</v>
      </c>
      <c r="R44" s="144">
        <f t="shared" ca="1" si="122"/>
        <v>0</v>
      </c>
      <c r="S44" s="144">
        <f t="shared" ca="1" si="122"/>
        <v>0</v>
      </c>
      <c r="T44" s="144">
        <f t="shared" ca="1" si="122"/>
        <v>0</v>
      </c>
      <c r="U44" s="144">
        <f t="shared" ca="1" si="122"/>
        <v>0</v>
      </c>
      <c r="V44" s="144">
        <f t="shared" ca="1" si="122"/>
        <v>0</v>
      </c>
      <c r="W44" s="174">
        <f t="shared" ca="1" si="122"/>
        <v>0</v>
      </c>
      <c r="X44" s="163"/>
      <c r="AC44" s="144">
        <f t="shared" ref="AC44" ca="1" si="123">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8" t="str">
        <f ca="1">INDEX(PO!K$12:K$202,MATCH($A47,PO!$V$12:$V$202,0))</f>
        <v>1.9.</v>
      </c>
      <c r="M45" s="336" t="str">
        <f ca="1">INDEX(PO!N$12:N$202,MATCH($A47,PO!$V$12:$V$202,0))</f>
        <v>PISO EXTERNO - ÁREAS DE INTERTRAVADOS</v>
      </c>
      <c r="N45" s="334">
        <f t="shared" ref="N45" ca="1" si="124">IF(ROUND(K47,2)=0,K47,ROUND(K47,2))</f>
        <v>9.9999999999999998E-13</v>
      </c>
      <c r="O45" s="187" t="s">
        <v>143</v>
      </c>
      <c r="P45" s="192">
        <v>0</v>
      </c>
      <c r="Q45" s="193">
        <v>0</v>
      </c>
      <c r="R45" s="193">
        <v>1</v>
      </c>
      <c r="S45" s="193">
        <f t="shared" ref="S45" ca="1" si="125">IF($B47,0,S46-IF(ISNUMBER(R46),R46,0))</f>
        <v>0</v>
      </c>
      <c r="T45" s="193">
        <f t="shared" ref="T45" ca="1" si="126">IF($B47,0,T46-IF(ISNUMBER(S46),S46,0))</f>
        <v>0</v>
      </c>
      <c r="U45" s="193">
        <f t="shared" ref="U45" ca="1" si="127">IF($B47,0,U46-IF(ISNUMBER(T46),T46,0))</f>
        <v>0</v>
      </c>
      <c r="V45" s="193">
        <f t="shared" ref="V45" ca="1" si="128">IF($B47,0,V46-IF(ISNUMBER(U46),U46,0))</f>
        <v>0</v>
      </c>
      <c r="W45" s="194">
        <f t="shared" ref="W45" ca="1" si="129">IF($B47,0,W46-IF(ISNUMBER(V46),V46,0))</f>
        <v>0</v>
      </c>
      <c r="X45" s="163"/>
      <c r="AC45" s="188">
        <f t="shared" ref="AC45" ca="1" si="130">IF($B47,0,AC46-IF(ISNUMBER(AB46),AB46,0))</f>
        <v>0</v>
      </c>
    </row>
    <row r="46" spans="1:29" customFormat="1" ht="14.25" x14ac:dyDescent="0.2">
      <c r="A46" s="11"/>
      <c r="B46" s="11"/>
      <c r="C46" s="11"/>
      <c r="D46" s="11"/>
      <c r="E46" s="11"/>
      <c r="F46" s="11"/>
      <c r="G46" s="11"/>
      <c r="H46" s="11"/>
      <c r="I46" s="11"/>
      <c r="J46" s="11"/>
      <c r="K46" s="11"/>
      <c r="L46" s="339"/>
      <c r="M46" s="337"/>
      <c r="N46" s="335"/>
      <c r="O46" s="145" t="s">
        <v>145</v>
      </c>
      <c r="P46" s="165">
        <f t="shared" ref="P46" ca="1" si="131">MIN(IF($B47,P45+IF(ISNUMBER(O46),O46,0),P47/$N45),1)</f>
        <v>0</v>
      </c>
      <c r="Q46" s="143">
        <f t="shared" ref="Q46" ca="1" si="132">MIN(IF($B47,Q45+IF(ISNUMBER(P46),P46,0),Q47/$N45),1)</f>
        <v>0</v>
      </c>
      <c r="R46" s="143">
        <f t="shared" ref="R46" ca="1" si="133">MIN(IF($B47,R45+IF(ISNUMBER(Q46),Q46,0),R47/$N45),1)</f>
        <v>1</v>
      </c>
      <c r="S46" s="143">
        <f t="shared" ref="S46" ca="1" si="134">MIN(IF($B47,S45+IF(ISNUMBER(R46),R46,0),S47/$N45),1)</f>
        <v>1</v>
      </c>
      <c r="T46" s="143">
        <f t="shared" ref="T46" ca="1" si="135">MIN(IF($B47,T45+IF(ISNUMBER(S46),S46,0),T47/$N45),1)</f>
        <v>1</v>
      </c>
      <c r="U46" s="143">
        <f t="shared" ref="U46" ca="1" si="136">MIN(IF($B47,U45+IF(ISNUMBER(T46),T46,0),U47/$N45),1)</f>
        <v>1</v>
      </c>
      <c r="V46" s="143">
        <f t="shared" ref="V46" ca="1" si="137">MIN(IF($B47,V45+IF(ISNUMBER(U46),U46,0),V47/$N45),1)</f>
        <v>1</v>
      </c>
      <c r="W46" s="143">
        <f t="shared" ref="W46" ca="1" si="138">MIN(IF($B47,W45+IF(ISNUMBER(V46),V46,0),W47/$N45),1)</f>
        <v>1</v>
      </c>
      <c r="X46" s="163"/>
      <c r="AC46" s="143">
        <f t="shared" ref="AC46" ca="1" si="139">MIN(IF($B47,AC45+IF(ISNUMBER(AB46),AB46,0),AC47/$N45),1)</f>
        <v>0</v>
      </c>
    </row>
    <row r="47" spans="1:29" customFormat="1" ht="14.25" x14ac:dyDescent="0.2">
      <c r="A47" s="11">
        <f ca="1">OFFSET(A47,-CFF.NumLinha,0)+1</f>
        <v>10</v>
      </c>
      <c r="B47" s="11" t="b">
        <f ca="1">$C47&gt;=OFFSET($C47,CFF.NumLinha,0)</f>
        <v>1</v>
      </c>
      <c r="C47" s="11">
        <f ca="1">INDEX(PO!A$12:A$202,MATCH($A47,PO!$V$12:$V$202,0))</f>
        <v>2</v>
      </c>
      <c r="D47" s="11">
        <f t="shared" ref="D47" ca="1" si="140">IF(ISERROR(J47),I47,SMALL(I47:J47,1))-1</f>
        <v>2</v>
      </c>
      <c r="E47" s="11">
        <f ca="1">IF($C47=1,OFFSET(E47,-CFF.NumLinha,0)+1,OFFSET(E47,-CFF.NumLinha,0))</f>
        <v>1</v>
      </c>
      <c r="F47" s="11">
        <f ca="1">IF($C47=1,0,IF($C47=2,OFFSET(F47,-CFF.NumLinha,0)+1,OFFSET(F47,-CFF.NumLinha,0)))</f>
        <v>9</v>
      </c>
      <c r="G47" s="11">
        <f ca="1">IF(AND($C47&lt;=2,$C47&lt;&gt;0),0,IF($C47=3,OFFSET(G47,-CFF.NumLinha,0)+1,OFFSET(G47,-CFF.NumLinha,0)))</f>
        <v>0</v>
      </c>
      <c r="H47" s="11">
        <f ca="1">IF(AND($C47&lt;=3,$C47&lt;&gt;0),0,IF($C47=4,OFFSET(H47,-CFF.NumLinha,0)+1,OFFSET(H47,-CFF.NumLinha,0)))</f>
        <v>0</v>
      </c>
      <c r="I47" s="11">
        <f ca="1">MATCH(0,OFFSET($D47,1,$C47,ROW($A$51)-ROW($A47)),0)</f>
        <v>4</v>
      </c>
      <c r="J47" s="11">
        <f ca="1">MATCH(OFFSET($D47,0,$C47)+1,OFFSET($D47,1,$C47,ROW($A$51)-ROW($A47)),0)</f>
        <v>3</v>
      </c>
      <c r="K47" s="156">
        <f ca="1">ROUND(INDEX(PO!T$12:T$202,MATCH($A47,PO!$V$12:$V$202,0)),2)+10^-12</f>
        <v>9.9999999999999998E-13</v>
      </c>
      <c r="L47" s="339"/>
      <c r="M47" s="337"/>
      <c r="N47" s="335"/>
      <c r="O47" s="171" t="s">
        <v>20</v>
      </c>
      <c r="P47" s="166">
        <f t="shared" ref="P47:W47" ca="1" si="141">IF($B47,ROUND(P46*$N45,2),ROUND(SUMIF(OFFSET($B47,1,0,$D47),TRUE,OFFSET(P47,1,0,$D47))/SUMIF(OFFSET($B47,1,0,$D47),TRUE,OFFSET($K47,1,0,$D47))*$N45,2))</f>
        <v>0</v>
      </c>
      <c r="Q47" s="144">
        <f t="shared" ca="1" si="141"/>
        <v>0</v>
      </c>
      <c r="R47" s="144">
        <f t="shared" ca="1" si="141"/>
        <v>0</v>
      </c>
      <c r="S47" s="144">
        <f t="shared" ca="1" si="141"/>
        <v>0</v>
      </c>
      <c r="T47" s="144">
        <f t="shared" ca="1" si="141"/>
        <v>0</v>
      </c>
      <c r="U47" s="144">
        <f t="shared" ca="1" si="141"/>
        <v>0</v>
      </c>
      <c r="V47" s="144">
        <f t="shared" ca="1" si="141"/>
        <v>0</v>
      </c>
      <c r="W47" s="174">
        <f t="shared" ca="1" si="141"/>
        <v>0</v>
      </c>
      <c r="X47" s="163"/>
      <c r="AC47" s="144">
        <f t="shared" ref="AC47" ca="1" si="142">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8" t="str">
        <f ca="1">INDEX(PO!K$12:K$202,MATCH($A50,PO!$V$12:$V$202,0))</f>
        <v>1.10.</v>
      </c>
      <c r="M48" s="336" t="str">
        <f ca="1">INDEX(PO!N$12:N$202,MATCH($A50,PO!$V$12:$V$202,0))</f>
        <v>PISO EXTERNO - ACESSO NORTE</v>
      </c>
      <c r="N48" s="334">
        <f t="shared" ref="N48" ca="1" si="143">IF(ROUND(K50,2)=0,K50,ROUND(K50,2))</f>
        <v>9.9999999999999998E-13</v>
      </c>
      <c r="O48" s="187" t="s">
        <v>143</v>
      </c>
      <c r="P48" s="192">
        <v>0</v>
      </c>
      <c r="Q48" s="193">
        <v>0</v>
      </c>
      <c r="R48" s="193">
        <v>1</v>
      </c>
      <c r="S48" s="193">
        <f t="shared" ref="S48" ca="1" si="144">IF($B50,0,S49-IF(ISNUMBER(R49),R49,0))</f>
        <v>0</v>
      </c>
      <c r="T48" s="193">
        <v>0.25</v>
      </c>
      <c r="U48" s="193">
        <v>0.25</v>
      </c>
      <c r="V48" s="193">
        <v>0.4</v>
      </c>
      <c r="W48" s="194">
        <f t="shared" ref="W48" ca="1" si="145">IF($B50,0,W49-IF(ISNUMBER(V49),V49,0))</f>
        <v>0</v>
      </c>
      <c r="X48" s="163"/>
      <c r="AC48" s="188">
        <f t="shared" ref="AC48" ca="1" si="146">IF($B50,0,AC49-IF(ISNUMBER(AB49),AB49,0))</f>
        <v>0</v>
      </c>
    </row>
    <row r="49" spans="1:29" customFormat="1" ht="14.25" x14ac:dyDescent="0.2">
      <c r="A49" s="11"/>
      <c r="B49" s="11"/>
      <c r="C49" s="11"/>
      <c r="D49" s="11"/>
      <c r="E49" s="11"/>
      <c r="F49" s="11"/>
      <c r="G49" s="11"/>
      <c r="H49" s="11"/>
      <c r="I49" s="11"/>
      <c r="J49" s="11"/>
      <c r="K49" s="11"/>
      <c r="L49" s="339"/>
      <c r="M49" s="337"/>
      <c r="N49" s="335"/>
      <c r="O49" s="145" t="s">
        <v>145</v>
      </c>
      <c r="P49" s="165">
        <f t="shared" ref="P49" ca="1" si="147">MIN(IF($B50,P48+IF(ISNUMBER(O49),O49,0),P50/$N48),1)</f>
        <v>0</v>
      </c>
      <c r="Q49" s="143">
        <f t="shared" ref="Q49" ca="1" si="148">MIN(IF($B50,Q48+IF(ISNUMBER(P49),P49,0),Q50/$N48),1)</f>
        <v>0</v>
      </c>
      <c r="R49" s="143">
        <f t="shared" ref="R49" ca="1" si="149">MIN(IF($B50,R48+IF(ISNUMBER(Q49),Q49,0),R50/$N48),1)</f>
        <v>1</v>
      </c>
      <c r="S49" s="143">
        <f t="shared" ref="S49" ca="1" si="150">MIN(IF($B50,S48+IF(ISNUMBER(R49),R49,0),S50/$N48),1)</f>
        <v>1</v>
      </c>
      <c r="T49" s="143">
        <f t="shared" ref="T49" ca="1" si="151">MIN(IF($B50,T48+IF(ISNUMBER(S49),S49,0),T50/$N48),1)</f>
        <v>1</v>
      </c>
      <c r="U49" s="143">
        <f t="shared" ref="U49" ca="1" si="152">MIN(IF($B50,U48+IF(ISNUMBER(T49),T49,0),U50/$N48),1)</f>
        <v>1</v>
      </c>
      <c r="V49" s="143">
        <f t="shared" ref="V49" ca="1" si="153">MIN(IF($B50,V48+IF(ISNUMBER(U49),U49,0),V50/$N48),1)</f>
        <v>1</v>
      </c>
      <c r="W49" s="143">
        <f t="shared" ref="W49" ca="1" si="154">MIN(IF($B50,W48+IF(ISNUMBER(V49),V49,0),W50/$N48),1)</f>
        <v>1</v>
      </c>
      <c r="X49" s="163"/>
      <c r="AC49" s="143">
        <f t="shared" ref="AC49" ca="1" si="155">MIN(IF($B50,AC48+IF(ISNUMBER(AB49),AB49,0),AC50/$N48),1)</f>
        <v>0</v>
      </c>
    </row>
    <row r="50" spans="1:29" customFormat="1" ht="14.25" x14ac:dyDescent="0.2">
      <c r="A50" s="11">
        <f ca="1">OFFSET(A50,-CFF.NumLinha,0)+1</f>
        <v>11</v>
      </c>
      <c r="B50" s="11" t="b">
        <f ca="1">$C50&gt;=OFFSET($C50,CFF.NumLinha,0)</f>
        <v>1</v>
      </c>
      <c r="C50" s="11">
        <f ca="1">INDEX(PO!A$12:A$202,MATCH($A50,PO!$V$12:$V$202,0))</f>
        <v>2</v>
      </c>
      <c r="D50" s="11">
        <f t="shared" ref="D50" ca="1" si="156">IF(ISERROR(J50),I50,SMALL(I50:J50,1))-1</f>
        <v>0</v>
      </c>
      <c r="E50" s="11">
        <f ca="1">IF($C50=1,OFFSET(E50,-CFF.NumLinha,0)+1,OFFSET(E50,-CFF.NumLinha,0))</f>
        <v>1</v>
      </c>
      <c r="F50" s="11">
        <f ca="1">IF($C50=1,0,IF($C50=2,OFFSET(F50,-CFF.NumLinha,0)+1,OFFSET(F50,-CFF.NumLinha,0)))</f>
        <v>10</v>
      </c>
      <c r="G50" s="11">
        <f ca="1">IF(AND($C50&lt;=2,$C50&lt;&gt;0),0,IF($C50=3,OFFSET(G50,-CFF.NumLinha,0)+1,OFFSET(G50,-CFF.NumLinha,0)))</f>
        <v>0</v>
      </c>
      <c r="H50" s="11">
        <f ca="1">IF(AND($C50&lt;=3,$C50&lt;&gt;0),0,IF($C50=4,OFFSET(H50,-CFF.NumLinha,0)+1,OFFSET(H50,-CFF.NumLinha,0)))</f>
        <v>0</v>
      </c>
      <c r="I50" s="11">
        <f ca="1">MATCH(0,OFFSET($D50,1,$C50,ROW($A$51)-ROW($A50)),0)</f>
        <v>1</v>
      </c>
      <c r="J50" s="11" t="e">
        <f ca="1">MATCH(OFFSET($D50,0,$C50)+1,OFFSET($D50,1,$C50,ROW($A$51)-ROW($A50)),0)</f>
        <v>#N/A</v>
      </c>
      <c r="K50" s="156">
        <f ca="1">ROUND(INDEX(PO!T$12:T$202,MATCH($A50,PO!$V$12:$V$202,0)),2)+10^-12</f>
        <v>9.9999999999999998E-13</v>
      </c>
      <c r="L50" s="339"/>
      <c r="M50" s="337"/>
      <c r="N50" s="335"/>
      <c r="O50" s="171" t="s">
        <v>20</v>
      </c>
      <c r="P50" s="166">
        <f t="shared" ref="P50:W50" ca="1" si="157">IF($B50,ROUND(P49*$N48,2),ROUND(SUMIF(OFFSET($B50,1,0,$D50),TRUE,OFFSET(P50,1,0,$D50))/SUMIF(OFFSET($B50,1,0,$D50),TRUE,OFFSET($K50,1,0,$D50))*$N48,2))</f>
        <v>0</v>
      </c>
      <c r="Q50" s="144">
        <f t="shared" ca="1" si="157"/>
        <v>0</v>
      </c>
      <c r="R50" s="144">
        <f t="shared" ca="1" si="157"/>
        <v>0</v>
      </c>
      <c r="S50" s="144">
        <f t="shared" ca="1" si="157"/>
        <v>0</v>
      </c>
      <c r="T50" s="144">
        <f t="shared" ca="1" si="157"/>
        <v>0</v>
      </c>
      <c r="U50" s="144">
        <f t="shared" ca="1" si="157"/>
        <v>0</v>
      </c>
      <c r="V50" s="144">
        <f t="shared" ca="1" si="157"/>
        <v>0</v>
      </c>
      <c r="W50" s="174">
        <f t="shared" ca="1" si="157"/>
        <v>0</v>
      </c>
      <c r="X50" s="163"/>
      <c r="AC50" s="144">
        <f t="shared" ref="AC50" ca="1" si="158">IF($B50,ROUND(AC49*$N48,2),ROUND(SUMIF(OFFSET($B50,1,0,$D50),TRUE,OFFSET(AC50,1,0,$D50))/SUMIF(OFFSET($B50,1,0,$D50),TRUE,OFFSET($K50,1,0,$D50))*$N48,2))</f>
        <v>0</v>
      </c>
    </row>
    <row r="51" spans="1:29" ht="12.75" customHeight="1" x14ac:dyDescent="0.2">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
      <c r="A52"/>
      <c r="B52"/>
      <c r="C52"/>
      <c r="D52"/>
      <c r="E52"/>
      <c r="F52"/>
      <c r="G52"/>
      <c r="H52"/>
      <c r="I52"/>
      <c r="J52"/>
      <c r="K52"/>
      <c r="L52" s="1"/>
      <c r="M52" s="1"/>
      <c r="N52" s="1"/>
      <c r="O52" s="1"/>
      <c r="P52" s="1"/>
      <c r="Q52" s="1"/>
      <c r="R52" s="1"/>
      <c r="S52" s="1"/>
      <c r="T52" s="1"/>
      <c r="U52" s="1"/>
      <c r="V52" s="1"/>
      <c r="W52" s="1"/>
      <c r="X52" s="157"/>
      <c r="AC52" s="1"/>
    </row>
    <row r="53" spans="1:29" x14ac:dyDescent="0.2">
      <c r="A53"/>
      <c r="B53"/>
      <c r="C53"/>
      <c r="D53"/>
      <c r="E53"/>
      <c r="F53"/>
      <c r="G53"/>
      <c r="H53"/>
      <c r="I53"/>
      <c r="J53"/>
      <c r="K53"/>
      <c r="L53" s="343">
        <f>DADOS!I32</f>
        <v>0</v>
      </c>
      <c r="M53" s="343"/>
      <c r="N53" s="343"/>
      <c r="O53" s="1"/>
      <c r="P53" s="158"/>
      <c r="Q53" s="340"/>
      <c r="R53" s="340"/>
      <c r="S53" s="340"/>
      <c r="T53" s="1"/>
      <c r="U53" s="1"/>
      <c r="V53" s="1"/>
      <c r="W53" s="1"/>
      <c r="X53" s="157"/>
      <c r="AC53" s="1"/>
    </row>
    <row r="54" spans="1:29" x14ac:dyDescent="0.2">
      <c r="A54"/>
      <c r="B54"/>
      <c r="C54"/>
      <c r="D54"/>
      <c r="E54"/>
      <c r="F54"/>
      <c r="G54"/>
      <c r="H54"/>
      <c r="I54"/>
      <c r="J54"/>
      <c r="K54"/>
      <c r="L54" s="159" t="s">
        <v>120</v>
      </c>
      <c r="M54" s="342"/>
      <c r="N54" s="342"/>
      <c r="O54" s="1"/>
      <c r="P54" s="158"/>
      <c r="Q54" s="340"/>
      <c r="R54" s="340"/>
      <c r="S54" s="340"/>
      <c r="T54" s="1"/>
      <c r="U54" s="1"/>
      <c r="V54" s="1"/>
      <c r="W54" s="1"/>
      <c r="X54" s="157"/>
      <c r="AC54" s="1"/>
    </row>
    <row r="55" spans="1:29" x14ac:dyDescent="0.2">
      <c r="A55"/>
      <c r="B55"/>
      <c r="C55"/>
      <c r="D55"/>
      <c r="E55"/>
      <c r="F55"/>
      <c r="G55"/>
      <c r="H55"/>
      <c r="I55"/>
      <c r="J55"/>
      <c r="K55"/>
      <c r="L55" s="158"/>
      <c r="M55" s="341"/>
      <c r="N55" s="342"/>
      <c r="O55" s="1"/>
      <c r="P55" s="158"/>
      <c r="Q55" s="340"/>
      <c r="R55" s="340"/>
      <c r="S55" s="340"/>
      <c r="T55" s="1"/>
      <c r="U55" s="1"/>
      <c r="V55" s="1"/>
      <c r="W55" s="1"/>
      <c r="X55" s="157"/>
      <c r="AC55" s="1"/>
    </row>
    <row r="56" spans="1:29" x14ac:dyDescent="0.2">
      <c r="A56"/>
      <c r="B56"/>
      <c r="C56"/>
      <c r="D56"/>
      <c r="E56"/>
      <c r="F56"/>
      <c r="G56"/>
      <c r="H56"/>
      <c r="I56"/>
      <c r="J56"/>
      <c r="K56"/>
      <c r="L56" s="344">
        <f ca="1">PO!K216</f>
        <v>46246</v>
      </c>
      <c r="M56" s="344"/>
      <c r="N56" s="344"/>
      <c r="O56" s="1"/>
      <c r="P56" s="1"/>
      <c r="Q56" s="1"/>
      <c r="R56" s="1"/>
      <c r="S56" s="1"/>
      <c r="T56" s="1"/>
      <c r="U56" s="1"/>
      <c r="V56" s="1"/>
      <c r="W56" s="1"/>
      <c r="X56" s="160"/>
      <c r="AC56" s="1"/>
    </row>
    <row r="57" spans="1:29" x14ac:dyDescent="0.2">
      <c r="A57"/>
      <c r="B57"/>
      <c r="C57"/>
      <c r="D57"/>
      <c r="E57"/>
      <c r="F57"/>
      <c r="G57"/>
      <c r="H57"/>
      <c r="I57"/>
      <c r="J57"/>
      <c r="K57"/>
      <c r="L57" s="161" t="s">
        <v>121</v>
      </c>
      <c r="M57" s="69"/>
      <c r="N57" s="69"/>
      <c r="O57" s="1"/>
      <c r="P57" s="1"/>
      <c r="Q57" s="1"/>
      <c r="R57" s="1"/>
      <c r="S57" s="1"/>
      <c r="T57" s="1"/>
      <c r="U57" s="1"/>
      <c r="V57" s="1"/>
      <c r="W57" s="1"/>
      <c r="X57" s="160"/>
      <c r="AC57" s="1"/>
    </row>
    <row r="58" spans="1:29" x14ac:dyDescent="0.2">
      <c r="A58"/>
      <c r="B58"/>
      <c r="C58"/>
      <c r="D58"/>
      <c r="E58"/>
      <c r="F58"/>
      <c r="G58"/>
      <c r="H58"/>
      <c r="I58"/>
      <c r="J58"/>
      <c r="K58"/>
      <c r="L58" s="1"/>
      <c r="M58" s="1"/>
      <c r="N58" s="1"/>
      <c r="O58" s="1"/>
      <c r="P58" s="1"/>
      <c r="Q58" s="1"/>
      <c r="R58" s="1"/>
      <c r="S58" s="1"/>
      <c r="T58" s="1"/>
      <c r="U58" s="1"/>
      <c r="V58" s="1"/>
      <c r="W58" s="1"/>
      <c r="X58" s="160"/>
      <c r="AC58" s="1"/>
    </row>
    <row r="59" spans="1:29" x14ac:dyDescent="0.2">
      <c r="A59"/>
      <c r="B59"/>
      <c r="C59"/>
      <c r="D59"/>
      <c r="E59"/>
      <c r="F59"/>
      <c r="G59"/>
      <c r="H59"/>
      <c r="I59"/>
      <c r="J59"/>
      <c r="K59"/>
      <c r="L59" s="1"/>
      <c r="M59" s="1"/>
      <c r="N59" s="4"/>
      <c r="O59" s="1"/>
      <c r="P59" s="1"/>
      <c r="Q59" s="1"/>
      <c r="R59" s="1"/>
      <c r="S59" s="1"/>
      <c r="T59" s="1"/>
      <c r="U59" s="1"/>
      <c r="V59" s="1"/>
      <c r="W59" s="1"/>
      <c r="X59" s="157"/>
      <c r="AC59" s="1"/>
    </row>
    <row r="60" spans="1:29" x14ac:dyDescent="0.2">
      <c r="A60"/>
      <c r="B60"/>
      <c r="C60"/>
      <c r="D60"/>
      <c r="E60"/>
      <c r="F60"/>
      <c r="G60"/>
      <c r="H60"/>
      <c r="I60"/>
      <c r="J60"/>
      <c r="K60"/>
      <c r="L60" s="1"/>
      <c r="M60" s="1"/>
      <c r="N60" s="4"/>
      <c r="O60" s="1"/>
      <c r="P60" s="1"/>
      <c r="Q60" s="1"/>
      <c r="R60" s="1"/>
      <c r="S60" s="1"/>
      <c r="T60" s="1"/>
      <c r="U60" s="1"/>
      <c r="V60" s="1"/>
      <c r="W60" s="1"/>
      <c r="X60" s="157"/>
      <c r="AC60" s="1"/>
    </row>
    <row r="61" spans="1:29" x14ac:dyDescent="0.2">
      <c r="A61"/>
      <c r="B61"/>
      <c r="C61"/>
      <c r="D61"/>
      <c r="E61"/>
      <c r="F61"/>
      <c r="G61"/>
      <c r="H61"/>
      <c r="I61"/>
      <c r="J61"/>
      <c r="K61"/>
      <c r="L61" s="1"/>
      <c r="M61" s="1"/>
      <c r="N61" s="4"/>
      <c r="O61" s="1"/>
      <c r="P61" s="1"/>
      <c r="Q61" s="1"/>
      <c r="R61" s="1"/>
      <c r="S61" s="1"/>
      <c r="T61" s="1"/>
      <c r="U61" s="1"/>
      <c r="V61" s="1"/>
      <c r="W61" s="1"/>
      <c r="X61" s="157"/>
      <c r="AC61" s="1"/>
    </row>
  </sheetData>
  <sheetProtection password="C95B" sheet="1" objects="1" scenarios="1"/>
  <mergeCells count="46">
    <mergeCell ref="L56:N56"/>
    <mergeCell ref="L11:L13"/>
    <mergeCell ref="M11:M13"/>
    <mergeCell ref="L14:M17"/>
    <mergeCell ref="N14:N17"/>
    <mergeCell ref="L18:L20"/>
    <mergeCell ref="L21:L23"/>
    <mergeCell ref="M21:M23"/>
    <mergeCell ref="N21:N23"/>
    <mergeCell ref="L30:L32"/>
    <mergeCell ref="M30:M32"/>
    <mergeCell ref="N30:N32"/>
    <mergeCell ref="L33:L35"/>
    <mergeCell ref="M33:M35"/>
    <mergeCell ref="M27:M29"/>
    <mergeCell ref="N27:N29"/>
    <mergeCell ref="N33:N35"/>
    <mergeCell ref="L36:L38"/>
    <mergeCell ref="Q55:S55"/>
    <mergeCell ref="M55:N55"/>
    <mergeCell ref="Q54:S54"/>
    <mergeCell ref="Q53:S53"/>
    <mergeCell ref="L53:N53"/>
    <mergeCell ref="M54:N54"/>
    <mergeCell ref="N45:N47"/>
    <mergeCell ref="L48:L50"/>
    <mergeCell ref="M48:M50"/>
    <mergeCell ref="N48:N50"/>
    <mergeCell ref="L45:L47"/>
    <mergeCell ref="M45:M47"/>
    <mergeCell ref="L8:M8"/>
    <mergeCell ref="N11:N13"/>
    <mergeCell ref="M18:M20"/>
    <mergeCell ref="N18:N20"/>
    <mergeCell ref="L42:L44"/>
    <mergeCell ref="M42:M44"/>
    <mergeCell ref="N42:N44"/>
    <mergeCell ref="M36:M38"/>
    <mergeCell ref="N36:N38"/>
    <mergeCell ref="L39:L41"/>
    <mergeCell ref="M39:M41"/>
    <mergeCell ref="N39:N41"/>
    <mergeCell ref="L24:L26"/>
    <mergeCell ref="M24:M26"/>
    <mergeCell ref="N24:N26"/>
    <mergeCell ref="L27:L29"/>
  </mergeCells>
  <phoneticPr fontId="22" type="noConversion"/>
  <conditionalFormatting sqref="L11:N11 L12:M13 L18:N18">
    <cfRule type="expression" dxfId="104" priority="1171" stopIfTrue="1">
      <formula>$C13=1</formula>
    </cfRule>
  </conditionalFormatting>
  <conditionalFormatting sqref="O11 O18">
    <cfRule type="expression" dxfId="103" priority="1243" stopIfTrue="1">
      <formula>$B13=FALSE</formula>
    </cfRule>
    <cfRule type="expression" dxfId="102" priority="1244" stopIfTrue="1">
      <formula>$C13=1</formula>
    </cfRule>
  </conditionalFormatting>
  <conditionalFormatting sqref="P12:W12">
    <cfRule type="expression" dxfId="101" priority="1233" stopIfTrue="1">
      <formula>AND(ISNUMBER(O13),O13&gt;=$N11)</formula>
    </cfRule>
    <cfRule type="cellIs" dxfId="100" priority="1234" stopIfTrue="1" operator="notBetween">
      <formula>0</formula>
      <formula>1</formula>
    </cfRule>
  </conditionalFormatting>
  <conditionalFormatting sqref="P13:W13">
    <cfRule type="expression" dxfId="99" priority="1235" stopIfTrue="1">
      <formula>AND(ISNUMBER(O13),O13&gt;=$N11)</formula>
    </cfRule>
    <cfRule type="cellIs" dxfId="98" priority="1236" stopIfTrue="1" operator="notBetween">
      <formula>0</formula>
      <formula>$N11</formula>
    </cfRule>
  </conditionalFormatting>
  <conditionalFormatting sqref="P14:W14">
    <cfRule type="expression" dxfId="97" priority="1237" stopIfTrue="1">
      <formula>AND(ISNUMBER(O17),O17&gt;=$N14)</formula>
    </cfRule>
  </conditionalFormatting>
  <conditionalFormatting sqref="P15:W15">
    <cfRule type="expression" dxfId="96" priority="1238" stopIfTrue="1">
      <formula>AND(ISNUMBER(O17),O17&gt;=$N14)</formula>
    </cfRule>
  </conditionalFormatting>
  <conditionalFormatting sqref="P16:W16">
    <cfRule type="expression" dxfId="95" priority="1239" stopIfTrue="1">
      <formula>AND(ISNUMBER(O17),O17&gt;=$N14)</formula>
    </cfRule>
    <cfRule type="cellIs" dxfId="94" priority="1240" stopIfTrue="1" operator="notBetween">
      <formula>0</formula>
      <formula>1</formula>
    </cfRule>
  </conditionalFormatting>
  <conditionalFormatting sqref="P17:W17">
    <cfRule type="expression" dxfId="93" priority="1241" stopIfTrue="1">
      <formula>AND(ISNUMBER(O17),O17&gt;=$N14)</formula>
    </cfRule>
    <cfRule type="cellIs" dxfId="92" priority="1242" stopIfTrue="1" operator="notBetween">
      <formula>0</formula>
      <formula>$N14</formula>
    </cfRule>
  </conditionalFormatting>
  <conditionalFormatting sqref="L8">
    <cfRule type="cellIs" dxfId="91" priority="1228" stopIfTrue="1" operator="notEqual">
      <formula>""</formula>
    </cfRule>
  </conditionalFormatting>
  <conditionalFormatting sqref="N9">
    <cfRule type="expression" dxfId="90" priority="1227" stopIfTrue="1">
      <formula>TipoOrçamento&lt;&gt;"REPROGRAMADOAC"</formula>
    </cfRule>
  </conditionalFormatting>
  <conditionalFormatting sqref="L19:M20">
    <cfRule type="expression" dxfId="89" priority="2062" stopIfTrue="1">
      <formula>#REF!=1</formula>
    </cfRule>
  </conditionalFormatting>
  <conditionalFormatting sqref="P11:W11">
    <cfRule type="expression" dxfId="88" priority="382" stopIfTrue="1">
      <formula>AND(ISNUMBER(O13),O13&gt;=$N11)</formula>
    </cfRule>
    <cfRule type="expression" dxfId="87" priority="383" stopIfTrue="1">
      <formula>$B13=FALSE</formula>
    </cfRule>
    <cfRule type="expression" dxfId="86" priority="384" stopIfTrue="1">
      <formula>$C13=1</formula>
    </cfRule>
  </conditionalFormatting>
  <conditionalFormatting sqref="P19:W19">
    <cfRule type="expression" dxfId="85" priority="333" stopIfTrue="1">
      <formula>AND(ISNUMBER(O20),O20&gt;=$N18)</formula>
    </cfRule>
    <cfRule type="cellIs" dxfId="84" priority="334" stopIfTrue="1" operator="notBetween">
      <formula>0</formula>
      <formula>1</formula>
    </cfRule>
  </conditionalFormatting>
  <conditionalFormatting sqref="P20:W20">
    <cfRule type="expression" dxfId="83" priority="335" stopIfTrue="1">
      <formula>AND(ISNUMBER(O20),O20&gt;=$N18)</formula>
    </cfRule>
    <cfRule type="cellIs" dxfId="82" priority="336" stopIfTrue="1" operator="notBetween">
      <formula>0</formula>
      <formula>$N18</formula>
    </cfRule>
  </conditionalFormatting>
  <conditionalFormatting sqref="O10:W10">
    <cfRule type="expression" dxfId="81" priority="305" stopIfTrue="1">
      <formula>1=1</formula>
    </cfRule>
  </conditionalFormatting>
  <conditionalFormatting sqref="P18:W18">
    <cfRule type="expression" dxfId="80" priority="260" stopIfTrue="1">
      <formula>AND(ISNUMBER(O20),O20&gt;=$N18)</formula>
    </cfRule>
    <cfRule type="expression" dxfId="79" priority="261" stopIfTrue="1">
      <formula>$B20=FALSE</formula>
    </cfRule>
    <cfRule type="expression" dxfId="78" priority="262" stopIfTrue="1">
      <formula>$C20=1</formula>
    </cfRule>
  </conditionalFormatting>
  <conditionalFormatting sqref="AC18">
    <cfRule type="expression" dxfId="77" priority="180" stopIfTrue="1">
      <formula>AND(ISNUMBER(AB20),AB20&gt;=$N18)</formula>
    </cfRule>
    <cfRule type="expression" dxfId="76" priority="181" stopIfTrue="1">
      <formula>$B20=FALSE</formula>
    </cfRule>
    <cfRule type="expression" dxfId="75" priority="182" stopIfTrue="1">
      <formula>$C20=1</formula>
    </cfRule>
  </conditionalFormatting>
  <conditionalFormatting sqref="AC12">
    <cfRule type="expression" dxfId="74" priority="195" stopIfTrue="1">
      <formula>AND(ISNUMBER(AB13),AB13&gt;=$N11)</formula>
    </cfRule>
    <cfRule type="cellIs" dxfId="73" priority="196" stopIfTrue="1" operator="notBetween">
      <formula>0</formula>
      <formula>1</formula>
    </cfRule>
  </conditionalFormatting>
  <conditionalFormatting sqref="AC13">
    <cfRule type="expression" dxfId="72" priority="197" stopIfTrue="1">
      <formula>AND(ISNUMBER(AB13),AB13&gt;=$N11)</formula>
    </cfRule>
    <cfRule type="cellIs" dxfId="71" priority="198" stopIfTrue="1" operator="notBetween">
      <formula>0</formula>
      <formula>$N11</formula>
    </cfRule>
  </conditionalFormatting>
  <conditionalFormatting sqref="AC14">
    <cfRule type="expression" dxfId="70" priority="199" stopIfTrue="1">
      <formula>AND(ISNUMBER(AB17),AB17&gt;=$N14)</formula>
    </cfRule>
  </conditionalFormatting>
  <conditionalFormatting sqref="AC15">
    <cfRule type="expression" dxfId="69" priority="200" stopIfTrue="1">
      <formula>AND(ISNUMBER(AB17),AB17&gt;=$N14)</formula>
    </cfRule>
  </conditionalFormatting>
  <conditionalFormatting sqref="AC16">
    <cfRule type="expression" dxfId="68" priority="201" stopIfTrue="1">
      <formula>AND(ISNUMBER(AB17),AB17&gt;=$N14)</formula>
    </cfRule>
    <cfRule type="cellIs" dxfId="67" priority="202" stopIfTrue="1" operator="notBetween">
      <formula>0</formula>
      <formula>1</formula>
    </cfRule>
  </conditionalFormatting>
  <conditionalFormatting sqref="AC17">
    <cfRule type="expression" dxfId="66" priority="203" stopIfTrue="1">
      <formula>AND(ISNUMBER(AB17),AB17&gt;=$N14)</formula>
    </cfRule>
    <cfRule type="cellIs" dxfId="65" priority="204" stopIfTrue="1" operator="notBetween">
      <formula>0</formula>
      <formula>$N14</formula>
    </cfRule>
  </conditionalFormatting>
  <conditionalFormatting sqref="AC11">
    <cfRule type="expression" dxfId="64" priority="192" stopIfTrue="1">
      <formula>AND(ISNUMBER(AB13),AB13&gt;=$N11)</formula>
    </cfRule>
    <cfRule type="expression" dxfId="63" priority="193" stopIfTrue="1">
      <formula>$B13=FALSE</formula>
    </cfRule>
    <cfRule type="expression" dxfId="62" priority="194" stopIfTrue="1">
      <formula>$C13=1</formula>
    </cfRule>
  </conditionalFormatting>
  <conditionalFormatting sqref="AC19">
    <cfRule type="expression" dxfId="61" priority="188" stopIfTrue="1">
      <formula>AND(ISNUMBER(AB20),AB20&gt;=$N18)</formula>
    </cfRule>
    <cfRule type="cellIs" dxfId="60" priority="189" stopIfTrue="1" operator="notBetween">
      <formula>0</formula>
      <formula>1</formula>
    </cfRule>
  </conditionalFormatting>
  <conditionalFormatting sqref="AC20">
    <cfRule type="expression" dxfId="59" priority="190" stopIfTrue="1">
      <formula>AND(ISNUMBER(AB20),AB20&gt;=$N18)</formula>
    </cfRule>
    <cfRule type="cellIs" dxfId="58" priority="191" stopIfTrue="1" operator="notBetween">
      <formula>0</formula>
      <formula>$N18</formula>
    </cfRule>
  </conditionalFormatting>
  <conditionalFormatting sqref="AC10">
    <cfRule type="expression" dxfId="57" priority="183" stopIfTrue="1">
      <formula>1=1</formula>
    </cfRule>
  </conditionalFormatting>
  <conditionalFormatting sqref="L21:N21">
    <cfRule type="expression" dxfId="56" priority="79" stopIfTrue="1">
      <formula>$C23=1</formula>
    </cfRule>
  </conditionalFormatting>
  <conditionalFormatting sqref="O21">
    <cfRule type="expression" dxfId="55" priority="84" stopIfTrue="1">
      <formula>$B23=FALSE</formula>
    </cfRule>
    <cfRule type="expression" dxfId="54" priority="85" stopIfTrue="1">
      <formula>$C23=1</formula>
    </cfRule>
  </conditionalFormatting>
  <conditionalFormatting sqref="P22:W22">
    <cfRule type="expression" dxfId="53" priority="80" stopIfTrue="1">
      <formula>AND(ISNUMBER(O23),O23&gt;=$N21)</formula>
    </cfRule>
    <cfRule type="cellIs" dxfId="52" priority="81" stopIfTrue="1" operator="notBetween">
      <formula>0</formula>
      <formula>1</formula>
    </cfRule>
  </conditionalFormatting>
  <conditionalFormatting sqref="P23:W23">
    <cfRule type="expression" dxfId="51" priority="82" stopIfTrue="1">
      <formula>AND(ISNUMBER(O23),O23&gt;=$N21)</formula>
    </cfRule>
    <cfRule type="cellIs" dxfId="50" priority="83" stopIfTrue="1" operator="notBetween">
      <formula>0</formula>
      <formula>$N21</formula>
    </cfRule>
  </conditionalFormatting>
  <conditionalFormatting sqref="P21:W21">
    <cfRule type="expression" dxfId="49" priority="76" stopIfTrue="1">
      <formula>AND(ISNUMBER(O23),O23&gt;=$N21)</formula>
    </cfRule>
    <cfRule type="expression" dxfId="48" priority="77" stopIfTrue="1">
      <formula>$B23=FALSE</formula>
    </cfRule>
    <cfRule type="expression" dxfId="47" priority="78" stopIfTrue="1">
      <formula>$C23=1</formula>
    </cfRule>
  </conditionalFormatting>
  <conditionalFormatting sqref="AC22">
    <cfRule type="expression" dxfId="46" priority="72" stopIfTrue="1">
      <formula>AND(ISNUMBER(AB23),AB23&gt;=$N21)</formula>
    </cfRule>
    <cfRule type="cellIs" dxfId="45" priority="73" stopIfTrue="1" operator="notBetween">
      <formula>0</formula>
      <formula>1</formula>
    </cfRule>
  </conditionalFormatting>
  <conditionalFormatting sqref="AC23">
    <cfRule type="expression" dxfId="44" priority="74" stopIfTrue="1">
      <formula>AND(ISNUMBER(AB23),AB23&gt;=$N21)</formula>
    </cfRule>
    <cfRule type="cellIs" dxfId="43" priority="75" stopIfTrue="1" operator="notBetween">
      <formula>0</formula>
      <formula>$N21</formula>
    </cfRule>
  </conditionalFormatting>
  <conditionalFormatting sqref="AC21">
    <cfRule type="expression" dxfId="42" priority="69" stopIfTrue="1">
      <formula>AND(ISNUMBER(AB23),AB23&gt;=$N21)</formula>
    </cfRule>
    <cfRule type="expression" dxfId="41" priority="70" stopIfTrue="1">
      <formula>$B23=FALSE</formula>
    </cfRule>
    <cfRule type="expression" dxfId="40" priority="71" stopIfTrue="1">
      <formula>$C23=1</formula>
    </cfRule>
  </conditionalFormatting>
  <conditionalFormatting sqref="L22:M23">
    <cfRule type="expression" dxfId="39" priority="4405" stopIfTrue="1">
      <formula>$C51=1</formula>
    </cfRule>
  </conditionalFormatting>
  <conditionalFormatting sqref="L24:N24 L27:N27 L30:N30 L33:N33 L36:N36 L39:N39 L25:M26 L28:M29 L31:M32 L34:M35 L37:M38">
    <cfRule type="expression" dxfId="38" priority="62" stopIfTrue="1">
      <formula>$C26=1</formula>
    </cfRule>
  </conditionalFormatting>
  <conditionalFormatting sqref="O24 O27 O30 O33 O36 O39">
    <cfRule type="expression" dxfId="37" priority="67" stopIfTrue="1">
      <formula>$B26=FALSE</formula>
    </cfRule>
    <cfRule type="expression" dxfId="36" priority="68" stopIfTrue="1">
      <formula>$C26=1</formula>
    </cfRule>
  </conditionalFormatting>
  <conditionalFormatting sqref="P25:W25 P28:W28 P31:W31 P34:W34 P37:W37 P40:W40">
    <cfRule type="expression" dxfId="35" priority="63" stopIfTrue="1">
      <formula>AND(ISNUMBER(O26),O26&gt;=$N24)</formula>
    </cfRule>
    <cfRule type="cellIs" dxfId="34" priority="64" stopIfTrue="1" operator="notBetween">
      <formula>0</formula>
      <formula>1</formula>
    </cfRule>
  </conditionalFormatting>
  <conditionalFormatting sqref="P26:W26 P29:W29 P32:W32 P35:W35 P38:W38 P41:W41">
    <cfRule type="expression" dxfId="33" priority="65" stopIfTrue="1">
      <formula>AND(ISNUMBER(O26),O26&gt;=$N24)</formula>
    </cfRule>
    <cfRule type="cellIs" dxfId="32" priority="66" stopIfTrue="1" operator="notBetween">
      <formula>0</formula>
      <formula>$N24</formula>
    </cfRule>
  </conditionalFormatting>
  <conditionalFormatting sqref="P24:W24 P27:W27 P30:W30 P33:W33 P36:W36 P39:W39">
    <cfRule type="expression" dxfId="31" priority="59" stopIfTrue="1">
      <formula>AND(ISNUMBER(O26),O26&gt;=$N24)</formula>
    </cfRule>
    <cfRule type="expression" dxfId="30" priority="60" stopIfTrue="1">
      <formula>$B26=FALSE</formula>
    </cfRule>
    <cfRule type="expression" dxfId="29" priority="61" stopIfTrue="1">
      <formula>$C26=1</formula>
    </cfRule>
  </conditionalFormatting>
  <conditionalFormatting sqref="AC25 AC28 AC31 AC34 AC37 AC40">
    <cfRule type="expression" dxfId="28" priority="55" stopIfTrue="1">
      <formula>AND(ISNUMBER(AB26),AB26&gt;=$N24)</formula>
    </cfRule>
    <cfRule type="cellIs" dxfId="27" priority="56" stopIfTrue="1" operator="notBetween">
      <formula>0</formula>
      <formula>1</formula>
    </cfRule>
  </conditionalFormatting>
  <conditionalFormatting sqref="AC26 AC29 AC32 AC35 AC38 AC41">
    <cfRule type="expression" dxfId="26" priority="57" stopIfTrue="1">
      <formula>AND(ISNUMBER(AB26),AB26&gt;=$N24)</formula>
    </cfRule>
    <cfRule type="cellIs" dxfId="25" priority="58" stopIfTrue="1" operator="notBetween">
      <formula>0</formula>
      <formula>$N24</formula>
    </cfRule>
  </conditionalFormatting>
  <conditionalFormatting sqref="AC24 AC27 AC30 AC33 AC36 AC39">
    <cfRule type="expression" dxfId="24" priority="52" stopIfTrue="1">
      <formula>AND(ISNUMBER(AB26),AB26&gt;=$N24)</formula>
    </cfRule>
    <cfRule type="expression" dxfId="23" priority="53" stopIfTrue="1">
      <formula>$B26=FALSE</formula>
    </cfRule>
    <cfRule type="expression" dxfId="22" priority="54" stopIfTrue="1">
      <formula>$C26=1</formula>
    </cfRule>
  </conditionalFormatting>
  <conditionalFormatting sqref="L40:M41">
    <cfRule type="expression" dxfId="21" priority="4406" stopIfTrue="1">
      <formula>$C51=1</formula>
    </cfRule>
  </conditionalFormatting>
  <conditionalFormatting sqref="L42:N42 L45:N45 L48:N48 L43:M44 L46:M47">
    <cfRule type="expression" dxfId="20" priority="11" stopIfTrue="1">
      <formula>$C44=1</formula>
    </cfRule>
  </conditionalFormatting>
  <conditionalFormatting sqref="O42 O45 O48">
    <cfRule type="expression" dxfId="19" priority="16" stopIfTrue="1">
      <formula>$B44=FALSE</formula>
    </cfRule>
    <cfRule type="expression" dxfId="18" priority="17" stopIfTrue="1">
      <formula>$C44=1</formula>
    </cfRule>
  </conditionalFormatting>
  <conditionalFormatting sqref="P43:W43 P46:W46 P49:W49">
    <cfRule type="expression" dxfId="17" priority="12" stopIfTrue="1">
      <formula>AND(ISNUMBER(O44),O44&gt;=$N42)</formula>
    </cfRule>
    <cfRule type="cellIs" dxfId="16" priority="13" stopIfTrue="1" operator="notBetween">
      <formula>0</formula>
      <formula>1</formula>
    </cfRule>
  </conditionalFormatting>
  <conditionalFormatting sqref="P44:W44 P47:W47 P50:W50">
    <cfRule type="expression" dxfId="15" priority="14" stopIfTrue="1">
      <formula>AND(ISNUMBER(O44),O44&gt;=$N42)</formula>
    </cfRule>
    <cfRule type="cellIs" dxfId="14" priority="15" stopIfTrue="1" operator="notBetween">
      <formula>0</formula>
      <formula>$N42</formula>
    </cfRule>
  </conditionalFormatting>
  <conditionalFormatting sqref="P42:W42 P45:W45 P48:W48">
    <cfRule type="expression" dxfId="13" priority="8" stopIfTrue="1">
      <formula>AND(ISNUMBER(O44),O44&gt;=$N42)</formula>
    </cfRule>
    <cfRule type="expression" dxfId="12" priority="9" stopIfTrue="1">
      <formula>$B44=FALSE</formula>
    </cfRule>
    <cfRule type="expression" dxfId="11" priority="10" stopIfTrue="1">
      <formula>$C44=1</formula>
    </cfRule>
  </conditionalFormatting>
  <conditionalFormatting sqref="AC43 AC46 AC49">
    <cfRule type="expression" dxfId="10" priority="4" stopIfTrue="1">
      <formula>AND(ISNUMBER(AB44),AB44&gt;=$N42)</formula>
    </cfRule>
    <cfRule type="cellIs" dxfId="9" priority="5" stopIfTrue="1" operator="notBetween">
      <formula>0</formula>
      <formula>1</formula>
    </cfRule>
  </conditionalFormatting>
  <conditionalFormatting sqref="AC44 AC47 AC50">
    <cfRule type="expression" dxfId="8" priority="6" stopIfTrue="1">
      <formula>AND(ISNUMBER(AB44),AB44&gt;=$N42)</formula>
    </cfRule>
    <cfRule type="cellIs" dxfId="7" priority="7" stopIfTrue="1" operator="notBetween">
      <formula>0</formula>
      <formula>$N42</formula>
    </cfRule>
  </conditionalFormatting>
  <conditionalFormatting sqref="AC42 AC45 AC48">
    <cfRule type="expression" dxfId="6" priority="1" stopIfTrue="1">
      <formula>AND(ISNUMBER(AB44),AB44&gt;=$N42)</formula>
    </cfRule>
    <cfRule type="expression" dxfId="5" priority="2" stopIfTrue="1">
      <formula>$B44=FALSE</formula>
    </cfRule>
    <cfRule type="expression" dxfId="4" priority="3" stopIfTrue="1">
      <formula>$C44=1</formula>
    </cfRule>
  </conditionalFormatting>
  <conditionalFormatting sqref="L49:M50">
    <cfRule type="expression" dxfId="3" priority="5392"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P45:W45 P48:W48 AC42 AC45 AC48">
      <formula1>0</formula1>
      <formula2>1-SUM($P11:P11)+P11</formula2>
    </dataValidation>
  </dataValidations>
  <printOptions horizontalCentered="1"/>
  <pageMargins left="0.7" right="0.7" top="0.75" bottom="0.75" header="0.3" footer="0.3"/>
  <pageSetup paperSize="9" scale="60" fitToHeight="0" orientation="landscape" r:id="rId1"/>
  <headerFooter alignWithMargins="0">
    <oddFooter>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2025-05-07T12:39:35Z</cp:lastPrinted>
  <dcterms:created xsi:type="dcterms:W3CDTF">1998-03-27T18:43:07Z</dcterms:created>
  <dcterms:modified xsi:type="dcterms:W3CDTF">2026-08-12T13:20:59Z</dcterms:modified>
</cp:coreProperties>
</file>