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OLDAIR - ALISSANDRO\PLANILHAS DE CUSTOS - LICITAÇÕES\Zeladoria\Novas informações\"/>
    </mc:Choice>
  </mc:AlternateContent>
  <xr:revisionPtr revIDLastSave="0" documentId="13_ncr:1_{33A6E73F-6AD0-43AA-923F-2783FAC2563A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eladoria - Serviços de limpeza" sheetId="1" r:id="rId1"/>
    <sheet name="2.Tabelas Auxiliares" sheetId="2" r:id="rId2"/>
  </sheets>
  <definedNames>
    <definedName name="AbaDeprec">'2.Tabelas Auxiliares'!$A$79</definedName>
    <definedName name="AbaRemun">'2.Tabelas Auxiliares'!$A$97</definedName>
    <definedName name="_xlnm.Print_Area" localSheetId="1">'2.Tabelas Auxiliares'!$A$1:$F$112</definedName>
    <definedName name="_xlnm.Print_Area" localSheetId="0">'Zeladoria - Serviços de limpeza'!$A$1:$F$537</definedName>
    <definedName name="_xlnm.Print_Titles" localSheetId="0">'Zeladoria - Serviços de limpeza'!$1:$6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84" i="1" l="1"/>
  <c r="B75" i="2" l="1"/>
  <c r="C72" i="2"/>
  <c r="C77" i="2" s="1"/>
  <c r="F70" i="2"/>
  <c r="E70" i="2"/>
  <c r="D70" i="2"/>
  <c r="C53" i="2"/>
  <c r="C55" i="2" s="1"/>
  <c r="C51" i="2"/>
  <c r="D16" i="2"/>
  <c r="D13" i="2"/>
  <c r="C52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F516" i="1" s="1"/>
  <c r="F518" i="1" s="1"/>
  <c r="E502" i="1"/>
  <c r="E494" i="1"/>
  <c r="C492" i="1"/>
  <c r="B488" i="1"/>
  <c r="C486" i="1"/>
  <c r="D485" i="1"/>
  <c r="D484" i="1"/>
  <c r="E484" i="1"/>
  <c r="B481" i="1"/>
  <c r="E477" i="1"/>
  <c r="C472" i="1"/>
  <c r="D471" i="1"/>
  <c r="C471" i="1"/>
  <c r="E471" i="1" s="1"/>
  <c r="A471" i="1"/>
  <c r="C467" i="1"/>
  <c r="D466" i="1"/>
  <c r="A466" i="1"/>
  <c r="E462" i="1"/>
  <c r="C460" i="1"/>
  <c r="C459" i="1"/>
  <c r="E459" i="1" s="1"/>
  <c r="D460" i="1" s="1"/>
  <c r="E460" i="1" s="1"/>
  <c r="E456" i="1"/>
  <c r="D459" i="1" s="1"/>
  <c r="C456" i="1"/>
  <c r="C455" i="1"/>
  <c r="C454" i="1"/>
  <c r="E451" i="1"/>
  <c r="C451" i="1"/>
  <c r="C466" i="1" s="1"/>
  <c r="E466" i="1" s="1"/>
  <c r="F444" i="1"/>
  <c r="E443" i="1"/>
  <c r="C442" i="1"/>
  <c r="D443" i="1" s="1"/>
  <c r="D437" i="1"/>
  <c r="C437" i="1"/>
  <c r="E437" i="1" s="1"/>
  <c r="F438" i="1" s="1"/>
  <c r="E36" i="1" s="1"/>
  <c r="D431" i="1"/>
  <c r="D432" i="1" s="1"/>
  <c r="C431" i="1"/>
  <c r="E431" i="1" s="1"/>
  <c r="F433" i="1" s="1"/>
  <c r="E35" i="1" s="1"/>
  <c r="D430" i="1"/>
  <c r="B427" i="1"/>
  <c r="C443" i="1" s="1"/>
  <c r="E423" i="1"/>
  <c r="D420" i="1"/>
  <c r="C420" i="1"/>
  <c r="E420" i="1" s="1"/>
  <c r="D419" i="1"/>
  <c r="E415" i="1"/>
  <c r="C414" i="1"/>
  <c r="C421" i="1" s="1"/>
  <c r="E421" i="1" s="1"/>
  <c r="C410" i="1"/>
  <c r="C411" i="1" s="1"/>
  <c r="C409" i="1"/>
  <c r="D408" i="1"/>
  <c r="E408" i="1" s="1"/>
  <c r="A407" i="1"/>
  <c r="C406" i="1"/>
  <c r="C401" i="1"/>
  <c r="D400" i="1"/>
  <c r="E400" i="1" s="1"/>
  <c r="A399" i="1"/>
  <c r="E395" i="1"/>
  <c r="C394" i="1"/>
  <c r="D392" i="1"/>
  <c r="E392" i="1" s="1"/>
  <c r="E393" i="1" s="1"/>
  <c r="D394" i="1" s="1"/>
  <c r="E394" i="1" s="1"/>
  <c r="C392" i="1"/>
  <c r="D391" i="1"/>
  <c r="C391" i="1"/>
  <c r="E391" i="1" s="1"/>
  <c r="E388" i="1"/>
  <c r="A387" i="1"/>
  <c r="C386" i="1"/>
  <c r="C419" i="1" s="1"/>
  <c r="E419" i="1" s="1"/>
  <c r="C384" i="1"/>
  <c r="D383" i="1"/>
  <c r="C383" i="1"/>
  <c r="C402" i="1" s="1"/>
  <c r="E380" i="1"/>
  <c r="A379" i="1"/>
  <c r="C371" i="1"/>
  <c r="C370" i="1"/>
  <c r="E369" i="1"/>
  <c r="C369" i="1"/>
  <c r="E367" i="1"/>
  <c r="D370" i="1" s="1"/>
  <c r="E370" i="1" s="1"/>
  <c r="D371" i="1" s="1"/>
  <c r="E363" i="1"/>
  <c r="D360" i="1"/>
  <c r="D355" i="1"/>
  <c r="D354" i="1"/>
  <c r="D353" i="1"/>
  <c r="D352" i="1"/>
  <c r="D351" i="1"/>
  <c r="D349" i="1"/>
  <c r="D347" i="1"/>
  <c r="C347" i="1"/>
  <c r="B343" i="1"/>
  <c r="B341" i="1"/>
  <c r="C360" i="1" s="1"/>
  <c r="E360" i="1" s="1"/>
  <c r="F363" i="1" s="1"/>
  <c r="E29" i="1" s="1"/>
  <c r="C335" i="1"/>
  <c r="E335" i="1" s="1"/>
  <c r="E334" i="1"/>
  <c r="D334" i="1"/>
  <c r="C334" i="1"/>
  <c r="D333" i="1"/>
  <c r="C333" i="1"/>
  <c r="E328" i="1"/>
  <c r="C323" i="1"/>
  <c r="E322" i="1"/>
  <c r="D322" i="1"/>
  <c r="C320" i="1"/>
  <c r="C315" i="1"/>
  <c r="D314" i="1"/>
  <c r="C310" i="1"/>
  <c r="D309" i="1"/>
  <c r="E309" i="1" s="1"/>
  <c r="C302" i="1"/>
  <c r="D301" i="1"/>
  <c r="E301" i="1" s="1"/>
  <c r="A301" i="1"/>
  <c r="E296" i="1"/>
  <c r="D296" i="1"/>
  <c r="E291" i="1"/>
  <c r="C290" i="1"/>
  <c r="C288" i="1"/>
  <c r="D287" i="1"/>
  <c r="C287" i="1"/>
  <c r="E287" i="1" s="1"/>
  <c r="D288" i="1" s="1"/>
  <c r="E288" i="1" s="1"/>
  <c r="E289" i="1" s="1"/>
  <c r="D290" i="1" s="1"/>
  <c r="E284" i="1"/>
  <c r="A283" i="1"/>
  <c r="A321" i="1" s="1"/>
  <c r="C282" i="1"/>
  <c r="C280" i="1"/>
  <c r="D279" i="1"/>
  <c r="C279" i="1"/>
  <c r="E279" i="1" s="1"/>
  <c r="D280" i="1" s="1"/>
  <c r="E280" i="1" s="1"/>
  <c r="E276" i="1"/>
  <c r="C275" i="1"/>
  <c r="E274" i="1"/>
  <c r="D275" i="1" s="1"/>
  <c r="E275" i="1" s="1"/>
  <c r="D274" i="1"/>
  <c r="C274" i="1"/>
  <c r="E271" i="1"/>
  <c r="C311" i="1" s="1"/>
  <c r="A270" i="1"/>
  <c r="A308" i="1" s="1"/>
  <c r="C269" i="1"/>
  <c r="C267" i="1"/>
  <c r="C266" i="1"/>
  <c r="E266" i="1" s="1"/>
  <c r="D267" i="1" s="1"/>
  <c r="E267" i="1" s="1"/>
  <c r="E268" i="1" s="1"/>
  <c r="D269" i="1" s="1"/>
  <c r="E263" i="1"/>
  <c r="C303" i="1" s="1"/>
  <c r="D263" i="1"/>
  <c r="D266" i="1" s="1"/>
  <c r="C262" i="1"/>
  <c r="E261" i="1"/>
  <c r="D262" i="1" s="1"/>
  <c r="E262" i="1" s="1"/>
  <c r="D261" i="1"/>
  <c r="C261" i="1"/>
  <c r="E258" i="1"/>
  <c r="C298" i="1" s="1"/>
  <c r="A257" i="1"/>
  <c r="A295" i="1" s="1"/>
  <c r="E247" i="1"/>
  <c r="C246" i="1"/>
  <c r="B245" i="1"/>
  <c r="A245" i="1"/>
  <c r="C244" i="1"/>
  <c r="A244" i="1"/>
  <c r="E243" i="1"/>
  <c r="D243" i="1"/>
  <c r="C243" i="1"/>
  <c r="D242" i="1"/>
  <c r="C242" i="1"/>
  <c r="E237" i="1"/>
  <c r="C236" i="1"/>
  <c r="D235" i="1"/>
  <c r="D245" i="1" s="1"/>
  <c r="C235" i="1"/>
  <c r="C245" i="1" s="1"/>
  <c r="E245" i="1" s="1"/>
  <c r="E234" i="1"/>
  <c r="D234" i="1"/>
  <c r="A234" i="1"/>
  <c r="D233" i="1"/>
  <c r="E233" i="1" s="1"/>
  <c r="A233" i="1"/>
  <c r="E232" i="1"/>
  <c r="D232" i="1"/>
  <c r="A232" i="1"/>
  <c r="E231" i="1"/>
  <c r="D231" i="1"/>
  <c r="A231" i="1"/>
  <c r="E230" i="1"/>
  <c r="D230" i="1"/>
  <c r="A230" i="1"/>
  <c r="D229" i="1"/>
  <c r="E229" i="1" s="1"/>
  <c r="A229" i="1"/>
  <c r="E228" i="1"/>
  <c r="D228" i="1"/>
  <c r="A228" i="1"/>
  <c r="E227" i="1"/>
  <c r="D227" i="1"/>
  <c r="A227" i="1"/>
  <c r="D226" i="1"/>
  <c r="E226" i="1" s="1"/>
  <c r="A226" i="1"/>
  <c r="D225" i="1"/>
  <c r="E225" i="1" s="1"/>
  <c r="A225" i="1"/>
  <c r="E224" i="1"/>
  <c r="D224" i="1"/>
  <c r="A224" i="1"/>
  <c r="D223" i="1"/>
  <c r="A223" i="1"/>
  <c r="D222" i="1"/>
  <c r="E222" i="1" s="1"/>
  <c r="A222" i="1"/>
  <c r="D221" i="1"/>
  <c r="E216" i="1"/>
  <c r="D215" i="1"/>
  <c r="C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88" i="1"/>
  <c r="D187" i="1"/>
  <c r="C187" i="1"/>
  <c r="E187" i="1" s="1"/>
  <c r="D186" i="1"/>
  <c r="C186" i="1"/>
  <c r="E186" i="1" s="1"/>
  <c r="D185" i="1"/>
  <c r="C185" i="1"/>
  <c r="D184" i="1"/>
  <c r="C184" i="1"/>
  <c r="D183" i="1"/>
  <c r="C183" i="1"/>
  <c r="E183" i="1" s="1"/>
  <c r="D182" i="1"/>
  <c r="C182" i="1"/>
  <c r="E182" i="1" s="1"/>
  <c r="D181" i="1"/>
  <c r="C181" i="1"/>
  <c r="C173" i="1"/>
  <c r="E173" i="1" s="1"/>
  <c r="D172" i="1"/>
  <c r="E172" i="1" s="1"/>
  <c r="C172" i="1"/>
  <c r="C171" i="1"/>
  <c r="C170" i="1"/>
  <c r="C169" i="1"/>
  <c r="D168" i="1"/>
  <c r="E168" i="1" s="1"/>
  <c r="C168" i="1"/>
  <c r="C167" i="1"/>
  <c r="C166" i="1"/>
  <c r="D173" i="1" s="1"/>
  <c r="C159" i="1"/>
  <c r="E156" i="1"/>
  <c r="E155" i="1"/>
  <c r="E152" i="1"/>
  <c r="D155" i="1" s="1"/>
  <c r="E148" i="1"/>
  <c r="C147" i="1"/>
  <c r="E140" i="1"/>
  <c r="E136" i="1"/>
  <c r="C135" i="1"/>
  <c r="E128" i="1"/>
  <c r="E124" i="1"/>
  <c r="C123" i="1"/>
  <c r="D119" i="1"/>
  <c r="E119" i="1" s="1"/>
  <c r="E116" i="1"/>
  <c r="E120" i="1" s="1"/>
  <c r="E112" i="1"/>
  <c r="C111" i="1"/>
  <c r="E107" i="1"/>
  <c r="E108" i="1" s="1"/>
  <c r="D107" i="1"/>
  <c r="E104" i="1"/>
  <c r="C99" i="1"/>
  <c r="E95" i="1"/>
  <c r="E96" i="1" s="1"/>
  <c r="D95" i="1"/>
  <c r="E92" i="1"/>
  <c r="E88" i="1"/>
  <c r="C87" i="1"/>
  <c r="E84" i="1"/>
  <c r="D85" i="1" s="1"/>
  <c r="E83" i="1"/>
  <c r="D83" i="1"/>
  <c r="E80" i="1"/>
  <c r="D167" i="1" s="1"/>
  <c r="E68" i="1"/>
  <c r="E63" i="1"/>
  <c r="E55" i="1"/>
  <c r="A54" i="1"/>
  <c r="A173" i="1" s="1"/>
  <c r="A53" i="1"/>
  <c r="A172" i="1" s="1"/>
  <c r="A52" i="1"/>
  <c r="A171" i="1" s="1"/>
  <c r="A51" i="1"/>
  <c r="A170" i="1" s="1"/>
  <c r="A50" i="1"/>
  <c r="A169" i="1" s="1"/>
  <c r="A49" i="1"/>
  <c r="A168" i="1" s="1"/>
  <c r="A48" i="1"/>
  <c r="A167" i="1" s="1"/>
  <c r="A43" i="1"/>
  <c r="E42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E167" i="1" l="1"/>
  <c r="C355" i="1"/>
  <c r="E355" i="1" s="1"/>
  <c r="C361" i="1"/>
  <c r="C403" i="1"/>
  <c r="D404" i="1" s="1"/>
  <c r="E404" i="1" s="1"/>
  <c r="E405" i="1" s="1"/>
  <c r="D406" i="1" s="1"/>
  <c r="E406" i="1" s="1"/>
  <c r="F415" i="1" s="1"/>
  <c r="D97" i="1"/>
  <c r="D157" i="1"/>
  <c r="A182" i="1"/>
  <c r="C299" i="1"/>
  <c r="D300" i="1" s="1"/>
  <c r="E300" i="1" s="1"/>
  <c r="E306" i="1" s="1"/>
  <c r="D307" i="1" s="1"/>
  <c r="C312" i="1"/>
  <c r="D313" i="1" s="1"/>
  <c r="E313" i="1" s="1"/>
  <c r="E319" i="1" s="1"/>
  <c r="D320" i="1" s="1"/>
  <c r="E320" i="1" s="1"/>
  <c r="C304" i="1"/>
  <c r="D305" i="1" s="1"/>
  <c r="E305" i="1" s="1"/>
  <c r="D121" i="1"/>
  <c r="D171" i="1"/>
  <c r="E171" i="1" s="1"/>
  <c r="D131" i="1"/>
  <c r="E131" i="1" s="1"/>
  <c r="E132" i="1" s="1"/>
  <c r="A186" i="1"/>
  <c r="D244" i="1"/>
  <c r="E244" i="1" s="1"/>
  <c r="E223" i="1"/>
  <c r="E242" i="1"/>
  <c r="E246" i="1" s="1"/>
  <c r="F247" i="1"/>
  <c r="C316" i="1"/>
  <c r="C317" i="1" s="1"/>
  <c r="D318" i="1" s="1"/>
  <c r="E318" i="1" s="1"/>
  <c r="E314" i="1"/>
  <c r="D109" i="1"/>
  <c r="E144" i="1"/>
  <c r="D143" i="1"/>
  <c r="E143" i="1" s="1"/>
  <c r="E281" i="1"/>
  <c r="D282" i="1" s="1"/>
  <c r="D422" i="1"/>
  <c r="E422" i="1" s="1"/>
  <c r="F423" i="1" s="1"/>
  <c r="E34" i="1" s="1"/>
  <c r="E37" i="1"/>
  <c r="A181" i="1"/>
  <c r="A185" i="1"/>
  <c r="E215" i="1"/>
  <c r="F216" i="1" s="1"/>
  <c r="C353" i="1"/>
  <c r="E353" i="1" s="1"/>
  <c r="C351" i="1"/>
  <c r="E351" i="1" s="1"/>
  <c r="E347" i="1"/>
  <c r="F356" i="1" s="1"/>
  <c r="E28" i="1" s="1"/>
  <c r="D170" i="1"/>
  <c r="E170" i="1" s="1"/>
  <c r="E181" i="1"/>
  <c r="A184" i="1"/>
  <c r="E185" i="1"/>
  <c r="E235" i="1"/>
  <c r="E269" i="1"/>
  <c r="C324" i="1"/>
  <c r="C325" i="1" s="1"/>
  <c r="D326" i="1" s="1"/>
  <c r="E326" i="1" s="1"/>
  <c r="D327" i="1" s="1"/>
  <c r="C307" i="1"/>
  <c r="E307" i="1" s="1"/>
  <c r="E371" i="1"/>
  <c r="F372" i="1" s="1"/>
  <c r="C468" i="1"/>
  <c r="D454" i="1"/>
  <c r="E454" i="1" s="1"/>
  <c r="D455" i="1" s="1"/>
  <c r="E455" i="1" s="1"/>
  <c r="E461" i="1" s="1"/>
  <c r="F462" i="1" s="1"/>
  <c r="E39" i="1" s="1"/>
  <c r="C61" i="2"/>
  <c r="D23" i="2" s="1"/>
  <c r="C56" i="2"/>
  <c r="D169" i="1"/>
  <c r="E169" i="1" s="1"/>
  <c r="A183" i="1"/>
  <c r="E184" i="1"/>
  <c r="A187" i="1"/>
  <c r="D236" i="1"/>
  <c r="E221" i="1"/>
  <c r="E236" i="1" s="1"/>
  <c r="F237" i="1" s="1"/>
  <c r="E282" i="1"/>
  <c r="C327" i="1"/>
  <c r="E290" i="1"/>
  <c r="E333" i="1"/>
  <c r="D336" i="1" s="1"/>
  <c r="E336" i="1" s="1"/>
  <c r="F337" i="1" s="1"/>
  <c r="E27" i="1" s="1"/>
  <c r="C349" i="1"/>
  <c r="E349" i="1" s="1"/>
  <c r="E383" i="1"/>
  <c r="D384" i="1" s="1"/>
  <c r="E384" i="1" s="1"/>
  <c r="E385" i="1" s="1"/>
  <c r="D386" i="1" s="1"/>
  <c r="E386" i="1" s="1"/>
  <c r="F395" i="1" s="1"/>
  <c r="E32" i="1" s="1"/>
  <c r="D412" i="1"/>
  <c r="E412" i="1" s="1"/>
  <c r="E413" i="1" s="1"/>
  <c r="D414" i="1" s="1"/>
  <c r="E414" i="1"/>
  <c r="C473" i="1"/>
  <c r="C474" i="1" s="1"/>
  <c r="D475" i="1" s="1"/>
  <c r="E475" i="1" s="1"/>
  <c r="C485" i="1"/>
  <c r="D26" i="2"/>
  <c r="C54" i="2"/>
  <c r="D27" i="2" s="1"/>
  <c r="F249" i="1" l="1"/>
  <c r="E22" i="1" s="1"/>
  <c r="E33" i="1"/>
  <c r="F445" i="1"/>
  <c r="E31" i="1" s="1"/>
  <c r="D133" i="1"/>
  <c r="E485" i="1"/>
  <c r="D486" i="1" s="1"/>
  <c r="E486" i="1" s="1"/>
  <c r="F487" i="1" s="1"/>
  <c r="E481" i="1"/>
  <c r="E488" i="1" s="1"/>
  <c r="D145" i="1"/>
  <c r="C469" i="1"/>
  <c r="D470" i="1" s="1"/>
  <c r="E470" i="1" s="1"/>
  <c r="F291" i="1"/>
  <c r="E25" i="1" s="1"/>
  <c r="F188" i="1"/>
  <c r="E21" i="1" s="1"/>
  <c r="D361" i="1"/>
  <c r="E361" i="1"/>
  <c r="E476" i="1"/>
  <c r="F477" i="1" s="1"/>
  <c r="E40" i="1" s="1"/>
  <c r="E327" i="1"/>
  <c r="D24" i="2"/>
  <c r="D15" i="2" s="1"/>
  <c r="D21" i="2" s="1"/>
  <c r="D30" i="2" s="1"/>
  <c r="D32" i="2" s="1"/>
  <c r="E30" i="1"/>
  <c r="D246" i="1"/>
  <c r="D31" i="2"/>
  <c r="F328" i="1"/>
  <c r="E26" i="1" s="1"/>
  <c r="F174" i="1"/>
  <c r="E20" i="1" s="1"/>
  <c r="D25" i="2" l="1"/>
  <c r="D28" i="2" s="1"/>
  <c r="D33" i="2" s="1"/>
  <c r="F373" i="1"/>
  <c r="E24" i="1" s="1"/>
  <c r="C491" i="1"/>
  <c r="E491" i="1" s="1"/>
  <c r="D492" i="1"/>
  <c r="E492" i="1" s="1"/>
  <c r="F493" i="1" s="1"/>
  <c r="F494" i="1" s="1"/>
  <c r="E41" i="1" l="1"/>
  <c r="F495" i="1"/>
  <c r="C145" i="1"/>
  <c r="E145" i="1" s="1"/>
  <c r="E146" i="1" s="1"/>
  <c r="D147" i="1" s="1"/>
  <c r="E147" i="1" s="1"/>
  <c r="F148" i="1" s="1"/>
  <c r="E18" i="1" s="1"/>
  <c r="C121" i="1"/>
  <c r="E121" i="1" s="1"/>
  <c r="E122" i="1" s="1"/>
  <c r="D123" i="1" s="1"/>
  <c r="E123" i="1" s="1"/>
  <c r="F124" i="1" s="1"/>
  <c r="E16" i="1" s="1"/>
  <c r="C109" i="1"/>
  <c r="E109" i="1" s="1"/>
  <c r="E110" i="1" s="1"/>
  <c r="D111" i="1" s="1"/>
  <c r="E111" i="1" s="1"/>
  <c r="F112" i="1" s="1"/>
  <c r="E15" i="1" s="1"/>
  <c r="C97" i="1"/>
  <c r="E97" i="1" s="1"/>
  <c r="E98" i="1" s="1"/>
  <c r="D99" i="1" s="1"/>
  <c r="E99" i="1" s="1"/>
  <c r="F100" i="1" s="1"/>
  <c r="E14" i="1" s="1"/>
  <c r="C85" i="1"/>
  <c r="E85" i="1" s="1"/>
  <c r="E86" i="1" s="1"/>
  <c r="D87" i="1" s="1"/>
  <c r="E87" i="1" s="1"/>
  <c r="F88" i="1" s="1"/>
  <c r="C157" i="1"/>
  <c r="E157" i="1" s="1"/>
  <c r="E158" i="1" s="1"/>
  <c r="D159" i="1" s="1"/>
  <c r="E159" i="1" s="1"/>
  <c r="F160" i="1" s="1"/>
  <c r="E19" i="1" s="1"/>
  <c r="C133" i="1"/>
  <c r="E133" i="1" s="1"/>
  <c r="E134" i="1" s="1"/>
  <c r="D135" i="1" s="1"/>
  <c r="E135" i="1" s="1"/>
  <c r="F136" i="1" s="1"/>
  <c r="E17" i="1" s="1"/>
  <c r="E13" i="1" l="1"/>
  <c r="F190" i="1"/>
  <c r="F497" i="1"/>
  <c r="E23" i="1" s="1"/>
  <c r="E38" i="1"/>
  <c r="F521" i="1" l="1"/>
  <c r="E12" i="1"/>
  <c r="D526" i="1" l="1"/>
  <c r="E526" i="1" s="1"/>
  <c r="F527" i="1" s="1"/>
  <c r="F529" i="1" s="1"/>
  <c r="E43" i="1" s="1"/>
  <c r="E44" i="1" s="1"/>
  <c r="F35" i="1" l="1"/>
  <c r="F36" i="1"/>
  <c r="F42" i="1"/>
  <c r="F29" i="1"/>
  <c r="F32" i="1"/>
  <c r="F37" i="1"/>
  <c r="F28" i="1"/>
  <c r="F34" i="1"/>
  <c r="F39" i="1"/>
  <c r="F27" i="1"/>
  <c r="F22" i="1"/>
  <c r="F30" i="1"/>
  <c r="F31" i="1"/>
  <c r="F33" i="1"/>
  <c r="F21" i="1"/>
  <c r="F20" i="1"/>
  <c r="F25" i="1"/>
  <c r="F26" i="1"/>
  <c r="F40" i="1"/>
  <c r="F24" i="1"/>
  <c r="F18" i="1"/>
  <c r="F14" i="1"/>
  <c r="F17" i="1"/>
  <c r="F41" i="1"/>
  <c r="F19" i="1"/>
  <c r="F15" i="1"/>
  <c r="F16" i="1"/>
  <c r="F13" i="1"/>
  <c r="F23" i="1"/>
  <c r="F38" i="1"/>
  <c r="F12" i="1"/>
  <c r="F43" i="1"/>
  <c r="F532" i="1"/>
  <c r="F4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0" authorId="0" shapeId="0" xr:uid="{00000000-0006-0000-0000-000001000000}">
      <text>
        <r>
          <rPr>
            <sz val="10"/>
            <rFont val="Arial"/>
            <family val="2"/>
            <charset val="1"/>
          </rPr>
          <t xml:space="preserve">Qualquer custo previsto no edital e não contemplado nesta planilha modelo deverá ser devidamente incluído
</t>
        </r>
      </text>
    </comment>
    <comment ref="B70" authorId="0" shapeId="0" xr:uid="{00000000-0006-0000-0000-000003000000}">
      <text>
        <r>
          <rPr>
            <sz val="10"/>
            <rFont val="Arial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80" authorId="0" shapeId="0" xr:uid="{00000000-0006-0000-0000-000083000000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81" authorId="0" shapeId="0" xr:uid="{00000000-0006-0000-0000-000084000000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82" authorId="0" shapeId="0" xr:uid="{00000000-0006-0000-0000-000009000000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83" authorId="0" shapeId="0" xr:uid="{00000000-0006-0000-0000-00000A000000}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C85" authorId="0" shapeId="0" xr:uid="{00000000-0006-0000-0000-00000B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87" authorId="0" shapeId="0" xr:uid="{00000000-0006-0000-0000-00000C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C90" authorId="0" shapeId="0" xr:uid="{00000000-0006-0000-0000-00000D000000}">
      <text>
        <r>
          <rPr>
            <sz val="10"/>
            <rFont val="Arial"/>
            <family val="2"/>
            <charset val="1"/>
          </rPr>
          <t>Cargo não
previsto na CCT
do SINDLIMP,
salário arbitrado
pela Secretaria -PROCESSO 259- 2026 DESPACHO LICITAÇÃO LIMPEZA E VARREÇÃO</t>
        </r>
      </text>
    </comment>
    <comment ref="D92" authorId="0" shapeId="0" xr:uid="{00000000-0006-0000-0000-000085000000}">
      <text>
        <r>
          <rPr>
            <sz val="9"/>
            <color rgb="FF000000"/>
            <rFont val="Tahoma"/>
            <family val="2"/>
            <charset val="1"/>
          </rPr>
          <t xml:space="preserve">Informar o Piso da categoria fixado na Convenção Coletiva -Cargo não
previsto na CCT
do SINDLIMP,
salário arbitrado
pela Secretaria
</t>
        </r>
      </text>
    </comment>
    <comment ref="D93" authorId="0" shapeId="0" xr:uid="{00000000-0006-0000-0000-000086000000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94" authorId="0" shapeId="0" xr:uid="{00000000-0006-0000-0000-00000E000000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97" authorId="0" shapeId="0" xr:uid="{00000000-0006-0000-0000-00000F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99" authorId="0" shapeId="0" xr:uid="{00000000-0006-0000-0000-000010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A102" authorId="0" shapeId="0" xr:uid="{00000000-0006-0000-0000-000002000000}">
      <text>
        <r>
          <rPr>
            <sz val="10"/>
            <rFont val="CIDFont+F1"/>
            <charset val="1"/>
          </rPr>
          <t>a) em grau máximo (quarenta por cento) para: Auxiliar em limpeza técnica</t>
        </r>
      </text>
    </comment>
    <comment ref="D104" authorId="0" shapeId="0" xr:uid="{00000000-0006-0000-0000-000087000000}">
      <text>
        <r>
          <rPr>
            <sz val="10"/>
            <rFont val="Arial"/>
            <family val="2"/>
            <charset val="1"/>
          </rPr>
          <t xml:space="preserve">Informar o Piso da categoria fixado na Convenção Coletiva </t>
        </r>
      </text>
    </comment>
    <comment ref="D105" authorId="0" shapeId="0" xr:uid="{00000000-0006-0000-0000-000088000000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06" authorId="0" shapeId="0" xr:uid="{00000000-0006-0000-0000-000011000000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09" authorId="0" shapeId="0" xr:uid="{00000000-0006-0000-0000-000012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11" authorId="0" shapeId="0" xr:uid="{00000000-0006-0000-0000-000013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116" authorId="0" shapeId="0" xr:uid="{00000000-0006-0000-0000-000089000000}">
      <text>
        <r>
          <rPr>
            <sz val="10"/>
            <rFont val="Arial"/>
            <family val="2"/>
            <charset val="1"/>
          </rPr>
          <t xml:space="preserve">Informar o Piso da categoria fixado na Convenção Coletiva </t>
        </r>
      </text>
    </comment>
    <comment ref="D117" authorId="0" shapeId="0" xr:uid="{00000000-0006-0000-0000-00008A000000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18" authorId="0" shapeId="0" xr:uid="{00000000-0006-0000-0000-000014000000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21" authorId="0" shapeId="0" xr:uid="{00000000-0006-0000-0000-000015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23" authorId="0" shapeId="0" xr:uid="{00000000-0006-0000-0000-000016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128" authorId="0" shapeId="0" xr:uid="{00000000-0006-0000-0000-00008B000000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129" authorId="0" shapeId="0" xr:uid="{00000000-0006-0000-0000-00008C000000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30" authorId="0" shapeId="0" xr:uid="{00000000-0006-0000-0000-000017000000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133" authorId="0" shapeId="0" xr:uid="{00000000-0006-0000-0000-000018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35" authorId="0" shapeId="0" xr:uid="{00000000-0006-0000-0000-000019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140" authorId="0" shapeId="0" xr:uid="{00000000-0006-0000-0000-00008D000000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141" authorId="0" shapeId="0" xr:uid="{00000000-0006-0000-0000-00008E000000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42" authorId="0" shapeId="0" xr:uid="{00000000-0006-0000-0000-00001A000000}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CLAUSULA 24° informa que é o salário mínimo a base de calculo.
</t>
        </r>
      </text>
    </comment>
    <comment ref="C145" authorId="0" shapeId="0" xr:uid="{00000000-0006-0000-0000-00001B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47" authorId="0" shapeId="0" xr:uid="{00000000-0006-0000-0000-00001C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152" authorId="0" shapeId="0" xr:uid="{00000000-0006-0000-0000-00008F000000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D153" authorId="0" shapeId="0" xr:uid="{00000000-0006-0000-0000-000090000000}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154" authorId="0" shapeId="0" xr:uid="{00000000-0006-0000-0000-00001D000000}">
      <text>
        <r>
          <rPr>
            <sz val="10"/>
            <rFont val="Arial"/>
            <charset val="1"/>
          </rPr>
          <t xml:space="preserve">Informar 1 se a base de cálculo for o Salário Mínimo Nacional; Informar 2 se a base de cálculo for o Piso da Categoria; </t>
        </r>
        <r>
          <rPr>
            <sz val="9"/>
            <color rgb="FF000000"/>
            <rFont val="Tahoma"/>
            <family val="2"/>
            <charset val="1"/>
          </rPr>
          <t xml:space="preserve">CLAUSULA 24° informa que é o salário mínimo a base de calculo.
</t>
        </r>
      </text>
    </comment>
    <comment ref="C157" authorId="0" shapeId="0" xr:uid="{00000000-0006-0000-0000-00001E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59" authorId="0" shapeId="0" xr:uid="{00000000-0006-0000-0000-00001F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164" authorId="0" shapeId="0" xr:uid="{00000000-0006-0000-0000-000091000000}">
      <text>
        <r>
          <rPr>
            <sz val="9"/>
            <color rgb="FF000000"/>
            <rFont val="Tahoma"/>
            <family val="2"/>
            <charset val="1"/>
          </rPr>
          <t>Informar o valor unitário do VT no município</t>
        </r>
      </text>
    </comment>
    <comment ref="C165" authorId="0" shapeId="0" xr:uid="{00000000-0006-0000-0000-000020000000}">
      <text>
        <r>
          <rPr>
            <sz val="9"/>
            <color rgb="FF000000"/>
            <rFont val="Tahoma"/>
            <family val="2"/>
            <charset val="1"/>
          </rPr>
          <t>Informar o número médio de dias trabalhados por mês</t>
        </r>
      </text>
    </comment>
    <comment ref="D181" authorId="0" shapeId="0" xr:uid="{00000000-0006-0000-0000-000092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alimentação, considerando o desconto aplicável ao funcionário, conforme Convenção Coletiva da categoria Clausula vigésima Sindilimp</t>
        </r>
      </text>
    </comment>
    <comment ref="D182" authorId="0" shapeId="0" xr:uid="{00000000-0006-0000-0000-000093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alimentação, considerando o desconto aplicável ao funcionário, conforme Convenção Coletiva da categoria Clausula vigésima Sindilimp</t>
        </r>
      </text>
    </comment>
    <comment ref="D183" authorId="0" shapeId="0" xr:uid="{00000000-0006-0000-0000-000094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alimentação, considerando o desconto aplicável ao funcionário, conforme Convenção Coletiva da categoria Clausula vigésima Sindilimp</t>
        </r>
      </text>
    </comment>
    <comment ref="D184" authorId="0" shapeId="0" xr:uid="{00000000-0006-0000-0000-000095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alimentação, considerando o desconto aplicável ao funcionário, conforme Convenção Coletiva da categoria Clausula vigésima Sindilimp</t>
        </r>
      </text>
    </comment>
    <comment ref="D185" authorId="0" shapeId="0" xr:uid="{00000000-0006-0000-0000-000096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alimentação, considerando o desconto aplicável ao funcionário, conforme Convenção Coletiva da categoria Clausula vigésima Sindilimp</t>
        </r>
      </text>
    </comment>
    <comment ref="D186" authorId="0" shapeId="0" xr:uid="{00000000-0006-0000-0000-000097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alimentação, considerando o desconto aplicável ao funcionário, conforme Convenção Coletiva da categoria – Clausula Quinta e o desconto e R$ 1,00 real paragrafo segundo - Sindtrans Cargas</t>
        </r>
      </text>
    </comment>
    <comment ref="D187" authorId="0" shapeId="0" xr:uid="{00000000-0006-0000-0000-000098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alimentação, considerando o desconto aplicável ao funcionário, conforme Convenção Coletiva da categoria – Clausula Quinta e o desconto e R$ 1,00 real paragrafo segundo - Sindtrans Cargas</t>
        </r>
      </text>
    </comment>
    <comment ref="C197" authorId="0" shapeId="0" xr:uid="{00000000-0006-0000-0000-000021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198" authorId="0" shapeId="0" xr:uid="{00000000-0006-0000-0000-000022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199" authorId="0" shapeId="0" xr:uid="{00000000-0006-0000-0000-000023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0" authorId="0" shapeId="0" xr:uid="{00000000-0006-0000-0000-000024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1" authorId="0" shapeId="0" xr:uid="{00000000-0006-0000-0000-000025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2" authorId="0" shapeId="0" xr:uid="{00000000-0006-0000-0000-000026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3" authorId="0" shapeId="0" xr:uid="{00000000-0006-0000-0000-000027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4" authorId="0" shapeId="0" xr:uid="{00000000-0006-0000-0000-000028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5" authorId="0" shapeId="0" xr:uid="{00000000-0006-0000-0000-000029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6" authorId="0" shapeId="0" xr:uid="{00000000-0006-0000-0000-00002A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7" authorId="0" shapeId="0" xr:uid="{00000000-0006-0000-0000-00002B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8" authorId="0" shapeId="0" xr:uid="{00000000-0006-0000-0000-00002C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09" authorId="0" shapeId="0" xr:uid="{00000000-0006-0000-0000-00002D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10" authorId="0" shapeId="0" xr:uid="{00000000-0006-0000-0000-00002E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11" authorId="0" shapeId="0" xr:uid="{00000000-0006-0000-0000-00002F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12" authorId="0" shapeId="0" xr:uid="{00000000-0006-0000-0000-000030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13" authorId="0" shapeId="0" xr:uid="{00000000-0006-0000-0000-000031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14" authorId="0" shapeId="0" xr:uid="{00000000-0006-0000-0000-000032000000}">
      <text>
        <r>
          <rPr>
            <sz val="9"/>
            <color rgb="FF000000"/>
            <rFont val="Tahoma"/>
            <family val="2"/>
            <charset val="1"/>
          </rPr>
          <t>SMA – Informou a quantidade de EPI consumida anual e o valor</t>
        </r>
      </text>
    </comment>
    <comment ref="C221" authorId="0" shapeId="0" xr:uid="{00000000-0006-0000-0000-000033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22" authorId="0" shapeId="0" xr:uid="{00000000-0006-0000-0000-000034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23" authorId="0" shapeId="0" xr:uid="{00000000-0006-0000-0000-000035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25" authorId="0" shapeId="0" xr:uid="{00000000-0006-0000-0000-000036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26" authorId="0" shapeId="0" xr:uid="{00000000-0006-0000-0000-000037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27" authorId="0" shapeId="0" xr:uid="{00000000-0006-0000-0000-000038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28" authorId="0" shapeId="0" xr:uid="{00000000-0006-0000-0000-000039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29" authorId="0" shapeId="0" xr:uid="{00000000-0006-0000-0000-00003A000000}">
      <text>
        <r>
          <rPr>
            <sz val="9"/>
            <color rgb="FF000000"/>
            <rFont val="Tahoma"/>
            <family val="2"/>
            <charset val="1"/>
          </rPr>
          <t>SMA – Informou a quantidade de EPI consumida anual e o valor</t>
        </r>
      </text>
    </comment>
    <comment ref="C230" authorId="0" shapeId="0" xr:uid="{00000000-0006-0000-0000-00003B000000}">
      <text>
        <r>
          <rPr>
            <sz val="9"/>
            <color rgb="FF000000"/>
            <rFont val="Tahoma"/>
            <family val="2"/>
            <charset val="1"/>
          </rPr>
          <t>SMA – Informou a quantidade de EPI consumida anual e o valor</t>
        </r>
      </text>
    </comment>
    <comment ref="C231" authorId="0" shapeId="0" xr:uid="{00000000-0006-0000-0000-00003C000000}">
      <text>
        <r>
          <rPr>
            <sz val="9"/>
            <color rgb="FF000000"/>
            <rFont val="Tahoma"/>
            <family val="2"/>
            <charset val="1"/>
          </rPr>
          <t>SMA – Informou a quantidade de EPI consumida anual e o valor</t>
        </r>
      </text>
    </comment>
    <comment ref="C232" authorId="0" shapeId="0" xr:uid="{00000000-0006-0000-0000-00003D000000}">
      <text>
        <r>
          <rPr>
            <sz val="9"/>
            <color rgb="FF000000"/>
            <rFont val="Tahoma"/>
            <family val="2"/>
            <charset val="1"/>
          </rPr>
          <t>SMA – Informou a quantidade de EPI consumida anual e o valor</t>
        </r>
      </text>
    </comment>
    <comment ref="C233" authorId="0" shapeId="0" xr:uid="{00000000-0006-0000-0000-00003E000000}">
      <text>
        <r>
          <rPr>
            <sz val="9"/>
            <color rgb="FF000000"/>
            <rFont val="Tahoma"/>
            <family val="2"/>
            <charset val="1"/>
          </rPr>
          <t>SMA – Informou a quantidade de EPI consumida anual e o valor</t>
        </r>
      </text>
    </comment>
    <comment ref="C234" authorId="0" shapeId="0" xr:uid="{00000000-0006-0000-0000-00003F000000}">
      <text>
        <r>
          <rPr>
            <sz val="9"/>
            <color rgb="FF000000"/>
            <rFont val="Tahoma"/>
            <family val="2"/>
            <charset val="1"/>
          </rPr>
          <t>SMA – Informou a quantidade de EPI consumida anual e o valor</t>
        </r>
      </text>
    </comment>
    <comment ref="C235" authorId="0" shapeId="0" xr:uid="{00000000-0006-0000-0000-000040000000}">
      <text>
        <r>
          <rPr>
            <sz val="9"/>
            <color rgb="FF000000"/>
            <rFont val="Tahoma"/>
            <family val="2"/>
            <charset val="1"/>
          </rPr>
          <t>SMA – Informou a quantidade de EPI consumida anual e o valor</t>
        </r>
      </text>
    </comment>
    <comment ref="C242" authorId="0" shapeId="0" xr:uid="{00000000-0006-0000-0000-000041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43" authorId="0" shapeId="0" xr:uid="{00000000-0006-0000-0000-000042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44" authorId="0" shapeId="0" xr:uid="{00000000-0006-0000-0000-000043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C245" authorId="0" shapeId="0" xr:uid="{00000000-0006-0000-0000-000044000000}">
      <text>
        <r>
          <rPr>
            <sz val="9"/>
            <color rgb="FF000000"/>
            <rFont val="Tahoma"/>
            <family val="2"/>
            <charset val="1"/>
          </rPr>
          <t xml:space="preserve">SMA – Informou a quantidade de EPI consumida anual e o valor
</t>
        </r>
      </text>
    </comment>
    <comment ref="D258" authorId="0" shapeId="0" xr:uid="{00000000-0006-0000-0000-000099000000}">
      <text>
        <r>
          <rPr>
            <sz val="9"/>
            <color rgb="FF000000"/>
            <rFont val="Tahoma"/>
            <family val="2"/>
            <charset val="1"/>
          </rPr>
          <t>Informar o preço unitário do chassis do caminhão de coleta</t>
        </r>
      </text>
    </comment>
    <comment ref="C259" authorId="0" shapeId="0" xr:uid="{00000000-0006-0000-0000-000045000000}">
      <text>
        <r>
          <rPr>
            <sz val="9"/>
            <color rgb="FF000000"/>
            <rFont val="Tahoma"/>
            <family val="2"/>
            <charset val="1"/>
          </rPr>
          <t>Informar a vida útil estimada para o caminhão, em anos</t>
        </r>
      </text>
    </comment>
    <comment ref="C260" authorId="0" shapeId="0" xr:uid="{00000000-0006-0000-0000-000046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261" authorId="0" shapeId="0" xr:uid="{00000000-0006-0000-0000-000047000000}">
      <text>
        <r>
          <rPr>
            <sz val="10"/>
            <rFont val="Arial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D263" authorId="0" shapeId="0" xr:uid="{00000000-0006-0000-0000-00009A000000}">
      <text>
        <r>
          <rPr>
            <sz val="9"/>
            <color rgb="FFC9211E"/>
            <rFont val="Tahoma"/>
            <family val="2"/>
            <charset val="1"/>
          </rPr>
          <t xml:space="preserve">Informar o preço unitário do equipamento
1 - Caçamba 40.000,00  
2 - Cabine auxiliar para 4 a 5 pessoas 18.900,00 
</t>
        </r>
      </text>
    </comment>
    <comment ref="C264" authorId="0" shapeId="0" xr:uid="{00000000-0006-0000-0000-000048000000}">
      <text>
        <r>
          <rPr>
            <sz val="9"/>
            <color rgb="FF000000"/>
            <rFont val="Tahoma"/>
            <family val="2"/>
            <charset val="1"/>
          </rPr>
          <t>Informar a vida útil estimada para o compactador, em anos</t>
        </r>
      </text>
    </comment>
    <comment ref="C265" authorId="0" shapeId="0" xr:uid="{00000000-0006-0000-0000-000049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compactador proposto.</t>
        </r>
      </text>
    </comment>
    <comment ref="C266" authorId="0" shapeId="0" xr:uid="{00000000-0006-0000-0000-00004A000000}">
      <text>
        <r>
          <rPr>
            <sz val="10"/>
            <rFont val="Arial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269" authorId="0" shapeId="0" xr:uid="{00000000-0006-0000-0000-00004B000000}">
      <text>
        <r>
          <rPr>
            <sz val="9"/>
            <color rgb="FF000000"/>
            <rFont val="Tahoma"/>
            <family val="2"/>
            <charset val="1"/>
          </rPr>
          <t>Informar a quantidade de caminhões compactadores do respectivo modelo</t>
        </r>
      </text>
    </comment>
    <comment ref="D271" authorId="0" shapeId="0" xr:uid="{00000000-0006-0000-0000-00009B000000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equipamento compactador
</t>
        </r>
      </text>
    </comment>
    <comment ref="C272" authorId="0" shapeId="0" xr:uid="{00000000-0006-0000-0000-00004C000000}">
      <text>
        <r>
          <rPr>
            <sz val="9"/>
            <color rgb="FF000000"/>
            <rFont val="Tahoma"/>
            <family val="2"/>
            <charset val="1"/>
          </rPr>
          <t>Informar a vida útil estimada para o compactador, em anos</t>
        </r>
      </text>
    </comment>
    <comment ref="C273" authorId="0" shapeId="0" xr:uid="{00000000-0006-0000-0000-00004D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compactador proposto.</t>
        </r>
      </text>
    </comment>
    <comment ref="C274" authorId="0" shapeId="0" xr:uid="{00000000-0006-0000-0000-00004E000000}">
      <text>
        <r>
          <rPr>
            <sz val="10"/>
            <rFont val="Arial"/>
            <family val="2"/>
            <charset val="1"/>
          </rPr>
          <t xml:space="preserve">Informar o valor da depreciação do compactador, adotando o valor sugerido pelo TCE ou outro valor estimado 
</t>
        </r>
      </text>
    </comment>
    <comment ref="D276" authorId="0" shapeId="0" xr:uid="{00000000-0006-0000-0000-00009C000000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equipamento compactador
</t>
        </r>
      </text>
    </comment>
    <comment ref="C277" authorId="0" shapeId="0" xr:uid="{00000000-0006-0000-0000-00004F000000}">
      <text>
        <r>
          <rPr>
            <sz val="9"/>
            <color rgb="FF000000"/>
            <rFont val="Tahoma"/>
            <family val="2"/>
            <charset val="1"/>
          </rPr>
          <t>Informar a vida útil estimada para o compactador, em anos</t>
        </r>
      </text>
    </comment>
    <comment ref="C278" authorId="0" shapeId="0" xr:uid="{00000000-0006-0000-0000-000050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compactador proposto.</t>
        </r>
      </text>
    </comment>
    <comment ref="C279" authorId="0" shapeId="0" xr:uid="{00000000-0006-0000-0000-000051000000}">
      <text>
        <r>
          <rPr>
            <sz val="10"/>
            <rFont val="Arial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282" authorId="0" shapeId="0" xr:uid="{00000000-0006-0000-0000-000052000000}">
      <text>
        <r>
          <rPr>
            <sz val="9"/>
            <color rgb="FF000000"/>
            <rFont val="Tahoma"/>
            <family val="2"/>
            <charset val="1"/>
          </rPr>
          <t>Informar a quantidade de caminhões compactadores do respectivo modelo</t>
        </r>
      </text>
    </comment>
    <comment ref="D284" authorId="0" shapeId="0" xr:uid="{00000000-0006-0000-0000-00009D000000}">
      <text>
        <r>
          <rPr>
            <sz val="9"/>
            <color rgb="FF000000"/>
            <rFont val="Tahoma"/>
            <family val="2"/>
            <charset val="1"/>
          </rPr>
          <t>Informar o preço unitário do chassis do caminhão de coleta</t>
        </r>
      </text>
    </comment>
    <comment ref="C285" authorId="0" shapeId="0" xr:uid="{00000000-0006-0000-0000-000053000000}">
      <text>
        <r>
          <rPr>
            <sz val="9"/>
            <color rgb="FF000000"/>
            <rFont val="Tahoma"/>
            <family val="2"/>
            <charset val="1"/>
          </rPr>
          <t>Informar a vida útil estimada para o caminhão, em anos</t>
        </r>
      </text>
    </comment>
    <comment ref="C286" authorId="0" shapeId="0" xr:uid="{00000000-0006-0000-0000-000054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287" authorId="0" shapeId="0" xr:uid="{00000000-0006-0000-0000-000055000000}">
      <text>
        <r>
          <rPr>
            <sz val="10"/>
            <rFont val="Arial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290" authorId="0" shapeId="0" xr:uid="{00000000-0006-0000-0000-000056000000}">
      <text>
        <r>
          <rPr>
            <sz val="9"/>
            <color rgb="FF000000"/>
            <rFont val="Tahoma"/>
            <family val="2"/>
            <charset val="1"/>
          </rPr>
          <t>Informar a quantidade de caminhões compactadores do respectivo modelo</t>
        </r>
      </text>
    </comment>
    <comment ref="C297" authorId="0" shapeId="0" xr:uid="{00000000-0006-0000-0000-000057000000}">
      <text>
        <r>
          <rPr>
            <sz val="10"/>
            <rFont val="Arial"/>
            <family val="2"/>
            <charset val="1"/>
          </rPr>
          <t xml:space="preserve">Informar a taxa de juros anual para remuneração do capital. Recomenda-se o uso da Taxa SELIC
</t>
        </r>
      </text>
    </comment>
    <comment ref="C310" authorId="0" shapeId="0" xr:uid="{00000000-0006-0000-0000-000058000000}">
      <text>
        <r>
          <rPr>
            <sz val="10"/>
            <rFont val="Arial"/>
            <family val="2"/>
            <charset val="1"/>
          </rPr>
          <t xml:space="preserve">Informar a taxa de juros anual para remuneração do capital. Recomenda-se o uso da Taxa SELIC
</t>
        </r>
      </text>
    </comment>
    <comment ref="C323" authorId="0" shapeId="0" xr:uid="{00000000-0006-0000-0000-000059000000}">
      <text>
        <r>
          <rPr>
            <sz val="10"/>
            <rFont val="Arial"/>
            <family val="2"/>
            <charset val="1"/>
          </rPr>
          <t xml:space="preserve">Informar a taxa de juros anual para remuneração do capital. Recomenda-se o uso da Taxa SELIC
</t>
        </r>
      </text>
    </comment>
    <comment ref="D333" authorId="0" shapeId="0" xr:uid="{00000000-0006-0000-0000-00009E000000}">
      <text>
        <r>
          <rPr>
            <sz val="10"/>
            <rFont val="Arial"/>
            <family val="2"/>
            <charset val="1"/>
          </rPr>
          <t>Percentual de 1 % de IPVA conforme determinado pelo RS</t>
        </r>
      </text>
    </comment>
    <comment ref="D334" authorId="0" shapeId="0" xr:uid="{00000000-0006-0000-0000-00009F000000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obrigatório e licenciamento anual de um caminhão -  Valor - Informado inofrmado pelo Detran taxa de expedição e vistoria e taxa inspesul
</t>
        </r>
      </text>
    </comment>
    <comment ref="D335" authorId="0" shapeId="0" xr:uid="{00000000-0006-0000-0000-0000A0000000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contra terceiros de um caminhão, se houver previsão no Projeto Básico – média caminhão truck e toco!
</t>
        </r>
      </text>
    </comment>
    <comment ref="B341" authorId="0" shapeId="0" xr:uid="{00000000-0006-0000-0000-000004000000}">
      <text>
        <r>
          <rPr>
            <sz val="10"/>
            <rFont val="Arial"/>
            <charset val="1"/>
          </rPr>
          <t xml:space="preserve">Informar a quilometragem mensal percorrida, de acordo com o projeto básico - </t>
        </r>
        <r>
          <rPr>
            <sz val="10"/>
            <color rgb="FF000000"/>
            <rFont val="Arial"/>
            <family val="2"/>
            <charset val="1"/>
          </rPr>
          <t xml:space="preserve">Nota técnica: Parametrização – (5 veículos rodam 13.200 km por mês)
</t>
        </r>
      </text>
    </comment>
    <comment ref="B343" authorId="0" shapeId="0" xr:uid="{00000000-0006-0000-0000-000005000000}">
      <text>
        <r>
          <rPr>
            <sz val="10"/>
            <rFont val="Arial"/>
            <charset val="1"/>
          </rPr>
          <t xml:space="preserve">Informar as horas mensais, de acordo com o projeto básico - </t>
        </r>
        <r>
          <rPr>
            <sz val="10"/>
            <color rgb="FF000000"/>
            <rFont val="Arial"/>
            <family val="2"/>
            <charset val="1"/>
          </rPr>
          <t xml:space="preserve">Nota técnica: Parametrização:
(1 veículos - 8 km horas por dia – 22 dias mensais) (8*22)= 176 horas por mês.
Consumo aproximado 4,5 litros por hora (4,5*8*22)= 792 litros Diesel por mês
</t>
        </r>
      </text>
    </comment>
    <comment ref="C346" authorId="0" shapeId="0" xr:uid="{00000000-0006-0000-0000-00005A000000}">
      <text>
        <r>
          <rPr>
            <sz val="9"/>
            <color rgb="FF000000"/>
            <rFont val="Tahoma"/>
            <family val="2"/>
            <charset val="1"/>
          </rPr>
          <t>Informar o consumo estimado do veículo em km/l</t>
        </r>
      </text>
    </comment>
    <comment ref="C348" authorId="0" shapeId="0" xr:uid="{00000000-0006-0000-0000-00005B000000}">
      <text>
        <r>
          <rPr>
            <sz val="9"/>
            <color rgb="FF000000"/>
            <rFont val="Tahoma"/>
            <family val="2"/>
            <charset val="1"/>
          </rPr>
          <t>Informar o consumo de óleo do motor a cada 1000km</t>
        </r>
      </text>
    </comment>
    <comment ref="C350" authorId="0" shapeId="0" xr:uid="{00000000-0006-0000-0000-00005C000000}">
      <text>
        <r>
          <rPr>
            <sz val="9"/>
            <color rgb="FF000000"/>
            <rFont val="Tahoma"/>
            <family val="2"/>
            <charset val="1"/>
          </rPr>
          <t>Informar o consumo de óleo hidráulico a cada 1000km</t>
        </r>
      </text>
    </comment>
    <comment ref="C352" authorId="0" shapeId="0" xr:uid="{00000000-0006-0000-0000-00005D000000}">
      <text>
        <r>
          <rPr>
            <sz val="9"/>
            <color rgb="FF000000"/>
            <rFont val="Tahoma"/>
            <family val="2"/>
            <charset val="1"/>
          </rPr>
          <t>Informar o consumo de graxa a cada 1000km</t>
        </r>
      </text>
    </comment>
    <comment ref="C354" authorId="0" shapeId="0" xr:uid="{00000000-0006-0000-0000-00005E000000}">
      <text>
        <r>
          <rPr>
            <sz val="9"/>
            <color rgb="FF000000"/>
            <rFont val="Tahoma"/>
            <family val="2"/>
            <charset val="1"/>
          </rPr>
          <t>Informar o consumo de combustivel por horas - (4,5 litros por hora)</t>
        </r>
      </text>
    </comment>
    <comment ref="D354" authorId="0" shapeId="0" xr:uid="{00000000-0006-0000-0000-0000A1000000}">
      <text>
        <r>
          <rPr>
            <sz val="10"/>
            <rFont val="Arial"/>
            <charset val="1"/>
          </rPr>
          <t xml:space="preserve">Oldair Primieri:
</t>
        </r>
        <r>
          <rPr>
            <sz val="9"/>
            <color rgb="FF000000"/>
            <rFont val="Segoe UI"/>
            <family val="2"/>
            <charset val="1"/>
          </rPr>
          <t xml:space="preserve">Cada hora trabalhada 4 litros de combustivel consumido (4,5 x 6,60 valor combustivel)
Fonte de informação aproximada: https://www.sobratema.org.br/custohorario/tabela
</t>
        </r>
      </text>
    </comment>
    <comment ref="D360" authorId="0" shapeId="0" xr:uid="{00000000-0006-0000-0000-0000A2000000}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R$/km rodado
</t>
        </r>
      </text>
    </comment>
    <comment ref="D361" authorId="0" shapeId="0" xr:uid="{00000000-0006-0000-0000-0000A3000000}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R$/por hora trabalhada
</t>
        </r>
      </text>
    </comment>
    <comment ref="C367" authorId="0" shapeId="0" xr:uid="{00000000-0006-0000-0000-00005F000000}">
      <text>
        <r>
          <rPr>
            <sz val="9"/>
            <color rgb="FF000000"/>
            <rFont val="Tahoma"/>
            <family val="2"/>
            <charset val="1"/>
          </rPr>
          <t>Informar a quantidade de pneus novos de 1 caminhão</t>
        </r>
      </text>
    </comment>
    <comment ref="C368" authorId="0" shapeId="0" xr:uid="{00000000-0006-0000-0000-000060000000}">
      <text>
        <r>
          <rPr>
            <sz val="9"/>
            <color rgb="FF000000"/>
            <rFont val="Tahoma"/>
            <family val="2"/>
            <charset val="1"/>
          </rPr>
          <t>Informar o número de recapagens por pneu</t>
        </r>
      </text>
    </comment>
    <comment ref="C370" authorId="0" shapeId="0" xr:uid="{00000000-0006-0000-0000-000061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média dos pneus considerando todas as recapagens, em km
</t>
        </r>
      </text>
    </comment>
    <comment ref="D380" authorId="0" shapeId="0" xr:uid="{00000000-0006-0000-0000-0000A4000000}">
      <text>
        <r>
          <rPr>
            <sz val="9"/>
            <color rgb="FF000000"/>
            <rFont val="Tahoma"/>
            <family val="2"/>
            <charset val="1"/>
          </rPr>
          <t>Informar o preço unitário do chassis do caminhão de coleta</t>
        </r>
      </text>
    </comment>
    <comment ref="C381" authorId="0" shapeId="0" xr:uid="{00000000-0006-0000-0000-000062000000}">
      <text>
        <r>
          <rPr>
            <sz val="9"/>
            <color rgb="FF000000"/>
            <rFont val="Tahoma"/>
            <family val="2"/>
            <charset val="1"/>
          </rPr>
          <t>Informar a vida útil estimada para o caminhão, em anos</t>
        </r>
      </text>
    </comment>
    <comment ref="C382" authorId="0" shapeId="0" xr:uid="{00000000-0006-0000-0000-000063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383" authorId="0" shapeId="0" xr:uid="{00000000-0006-0000-0000-000064000000}">
      <text>
        <r>
          <rPr>
            <sz val="10"/>
            <rFont val="Arial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386" authorId="0" shapeId="0" xr:uid="{00000000-0006-0000-0000-000065000000}">
      <text>
        <r>
          <rPr>
            <sz val="9"/>
            <color rgb="FF000000"/>
            <rFont val="Tahoma"/>
            <family val="2"/>
            <charset val="1"/>
          </rPr>
          <t>Informar a quantidade de caminhões compactadores do respectivo modelo</t>
        </r>
      </text>
    </comment>
    <comment ref="D388" authorId="0" shapeId="0" xr:uid="{00000000-0006-0000-0000-0000A5000000}">
      <text>
        <r>
          <rPr>
            <sz val="9"/>
            <color rgb="FF000000"/>
            <rFont val="Tahoma"/>
            <family val="2"/>
            <charset val="1"/>
          </rPr>
          <t>Informar o preço unitário do chassis do caminhão de coleta</t>
        </r>
      </text>
    </comment>
    <comment ref="C389" authorId="0" shapeId="0" xr:uid="{00000000-0006-0000-0000-000066000000}">
      <text>
        <r>
          <rPr>
            <sz val="9"/>
            <color rgb="FF000000"/>
            <rFont val="Tahoma"/>
            <family val="2"/>
            <charset val="1"/>
          </rPr>
          <t>Informar a vida útil estimada para o caminhão, em anos</t>
        </r>
      </text>
    </comment>
    <comment ref="C390" authorId="0" shapeId="0" xr:uid="{00000000-0006-0000-0000-000067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391" authorId="0" shapeId="0" xr:uid="{00000000-0006-0000-0000-000068000000}">
      <text>
        <r>
          <rPr>
            <sz val="10"/>
            <rFont val="Arial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C394" authorId="0" shapeId="0" xr:uid="{00000000-0006-0000-0000-000069000000}">
      <text>
        <r>
          <rPr>
            <sz val="9"/>
            <color rgb="FF000000"/>
            <rFont val="Tahoma"/>
            <family val="2"/>
            <charset val="1"/>
          </rPr>
          <t>Informar a quantidade de caminhões compactadores do respectivo modelo</t>
        </r>
      </text>
    </comment>
    <comment ref="C401" authorId="0" shapeId="0" xr:uid="{00000000-0006-0000-0000-00006A000000}">
      <text>
        <r>
          <rPr>
            <sz val="10"/>
            <rFont val="Arial"/>
            <family val="2"/>
            <charset val="1"/>
          </rPr>
          <t xml:space="preserve">Informar a taxa de juros anual para remuneração do capital. Recomenda-se o uso da Taxa SELIC
</t>
        </r>
      </text>
    </comment>
    <comment ref="C409" authorId="0" shapeId="0" xr:uid="{00000000-0006-0000-0000-00006B000000}">
      <text>
        <r>
          <rPr>
            <sz val="10"/>
            <rFont val="Arial"/>
            <family val="2"/>
            <charset val="1"/>
          </rPr>
          <t xml:space="preserve">Informar a taxa de juros anual para remuneração do capital. Recomenda-se o uso da Taxa SELIC
</t>
        </r>
      </text>
    </comment>
    <comment ref="D420" authorId="0" shapeId="0" xr:uid="{00000000-0006-0000-0000-0000A6000000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obrigatório e licenciamento anual de um caminhão
</t>
        </r>
      </text>
    </comment>
    <comment ref="D421" authorId="0" shapeId="0" xr:uid="{00000000-0006-0000-0000-0000A7000000}">
      <text>
        <r>
          <rPr>
            <sz val="9"/>
            <color rgb="FF000000"/>
            <rFont val="Tahoma"/>
            <family val="2"/>
            <charset val="1"/>
          </rPr>
          <t xml:space="preserve">Informar o valor do seguro contra terceiros de um caminhão, se houver previsão no Projeto Básico
</t>
        </r>
      </text>
    </comment>
    <comment ref="B427" authorId="0" shapeId="0" xr:uid="{00000000-0006-0000-0000-000006000000}">
      <text>
        <r>
          <rPr>
            <sz val="10"/>
            <rFont val="Arial"/>
            <charset val="1"/>
          </rPr>
          <t xml:space="preserve">Informar a quilometragem mensal percorrida, de acordo com o projeto básico - </t>
        </r>
        <r>
          <rPr>
            <sz val="10"/>
            <color rgb="FF000000"/>
            <rFont val="Arial"/>
            <family val="2"/>
            <charset val="1"/>
          </rPr>
          <t xml:space="preserve">Nota técnica: Parametrização – (5 veículos - 20 km por dia – 22 dias mensais) (5*20*22)
</t>
        </r>
      </text>
    </comment>
    <comment ref="C430" authorId="0" shapeId="0" xr:uid="{00000000-0006-0000-0000-00006C000000}">
      <text>
        <r>
          <rPr>
            <sz val="9"/>
            <color rgb="FF000000"/>
            <rFont val="Tahoma"/>
            <family val="2"/>
            <charset val="1"/>
          </rPr>
          <t>Informar o consumo estimado do veículo em km/l</t>
        </r>
      </text>
    </comment>
    <comment ref="D437" authorId="0" shapeId="0" xr:uid="{00000000-0006-0000-0000-0000A8000000}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R$/km rodado
</t>
        </r>
      </text>
    </comment>
    <comment ref="D451" authorId="0" shapeId="0" xr:uid="{00000000-0006-0000-0000-0000A9000000}">
      <text>
        <r>
          <rPr>
            <sz val="9"/>
            <color rgb="FF000000"/>
            <rFont val="Tahoma"/>
            <family val="2"/>
            <charset val="1"/>
          </rPr>
          <t>Informar o preço unitário do chassis do caminhão de coleta</t>
        </r>
      </text>
    </comment>
    <comment ref="C452" authorId="0" shapeId="0" xr:uid="{00000000-0006-0000-0000-00006D000000}">
      <text>
        <r>
          <rPr>
            <sz val="9"/>
            <color rgb="FF000000"/>
            <rFont val="Tahoma"/>
            <family val="2"/>
            <charset val="1"/>
          </rPr>
          <t>Informar a vida útil estimada para o caminhão, em anos</t>
        </r>
      </text>
    </comment>
    <comment ref="C453" authorId="0" shapeId="0" xr:uid="{00000000-0006-0000-0000-00006E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454" authorId="0" shapeId="0" xr:uid="{00000000-0006-0000-0000-00006F000000}">
      <text>
        <r>
          <rPr>
            <sz val="10"/>
            <rFont val="Arial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D456" authorId="0" shapeId="0" xr:uid="{00000000-0006-0000-0000-0000AA000000}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equipamento compactador
</t>
        </r>
      </text>
    </comment>
    <comment ref="C457" authorId="0" shapeId="0" xr:uid="{00000000-0006-0000-0000-000070000000}">
      <text>
        <r>
          <rPr>
            <sz val="9"/>
            <color rgb="FF000000"/>
            <rFont val="Tahoma"/>
            <family val="2"/>
            <charset val="1"/>
          </rPr>
          <t>Informar a vida útil estimada para o compactador, em anos</t>
        </r>
      </text>
    </comment>
    <comment ref="C458" authorId="0" shapeId="0" xr:uid="{00000000-0006-0000-0000-000071000000}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compactador proposto.</t>
        </r>
      </text>
    </comment>
    <comment ref="C459" authorId="0" shapeId="0" xr:uid="{00000000-0006-0000-0000-000072000000}">
      <text>
        <r>
          <rPr>
            <sz val="10"/>
            <rFont val="Arial"/>
            <family val="2"/>
            <charset val="1"/>
          </rPr>
          <t xml:space="preserve">Informar o valor da depreciação do compactador, adotando o valor sugerido pelo TCE ou outro valor estimado 
</t>
        </r>
      </text>
    </comment>
    <comment ref="C467" authorId="0" shapeId="0" xr:uid="{00000000-0006-0000-0000-000073000000}">
      <text>
        <r>
          <rPr>
            <sz val="10"/>
            <rFont val="Arial"/>
            <family val="2"/>
            <charset val="1"/>
          </rPr>
          <t xml:space="preserve">Informar a taxa de juros anual para remuneração do capital. Recomenda-se o uso da Taxa SELIC
</t>
        </r>
      </text>
    </comment>
    <comment ref="B481" authorId="0" shapeId="0" xr:uid="{00000000-0006-0000-0000-000007000000}">
      <text>
        <r>
          <rPr>
            <sz val="10"/>
            <rFont val="Arial"/>
            <charset val="1"/>
          </rPr>
          <t xml:space="preserve">Informar as horas mensais, de acordo com o projeto básico - </t>
        </r>
        <r>
          <rPr>
            <sz val="10"/>
            <color rgb="FF000000"/>
            <rFont val="Arial"/>
            <family val="2"/>
            <charset val="1"/>
          </rPr>
          <t xml:space="preserve">Nota técnica: Parametrização:
(1 veículos - 8 km horas por dia – 22 dias mensais) (8*22)= 176 horas por mês.
Consumo aproximado 4,5 litros por hora (4,5*8*22)= 792 litros Diesel por mês
</t>
        </r>
      </text>
    </comment>
    <comment ref="C484" authorId="0" shapeId="0" xr:uid="{00000000-0006-0000-0000-000074000000}">
      <text>
        <r>
          <rPr>
            <sz val="9"/>
            <color rgb="FF000000"/>
            <rFont val="Tahoma"/>
            <family val="2"/>
            <charset val="1"/>
          </rPr>
          <t>Informar o consumo de combustivel por horas - (1,5 litros por hora)</t>
        </r>
      </text>
    </comment>
    <comment ref="D484" authorId="0" shapeId="0" xr:uid="{00000000-0006-0000-0000-0000AB000000}">
      <text>
        <r>
          <rPr>
            <sz val="9"/>
            <color rgb="FF000000"/>
            <rFont val="Segoe UI"/>
            <family val="2"/>
            <charset val="1"/>
          </rPr>
          <t xml:space="preserve">Cada hora trabalhada 1,5 litros de combustivel consumido (1,5 x 6,60 valor combustivel)
</t>
        </r>
      </text>
    </comment>
    <comment ref="B488" authorId="0" shapeId="0" xr:uid="{00000000-0006-0000-0000-000008000000}">
      <text>
        <r>
          <rPr>
            <sz val="10"/>
            <rFont val="Arial"/>
            <charset val="1"/>
          </rPr>
          <t xml:space="preserve">Informar as horas mensais, de acordo com o projeto básico - </t>
        </r>
        <r>
          <rPr>
            <sz val="10"/>
            <color rgb="FF000000"/>
            <rFont val="Arial"/>
            <family val="2"/>
            <charset val="1"/>
          </rPr>
          <t xml:space="preserve">Nota técnica: Parametrização:
(1 veículos - 8 km horas por dia – 22 dias mensais) (8*22)= 176 horas por mês.
Consumo aproximado 4,5 litros por hora (4,5*8*22)= 792 litros Diesel por mês
</t>
        </r>
      </text>
    </comment>
    <comment ref="C502" authorId="0" shapeId="0" xr:uid="{00000000-0006-0000-0000-000075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03" authorId="0" shapeId="0" xr:uid="{00000000-0006-0000-0000-000076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04" authorId="0" shapeId="0" xr:uid="{00000000-0006-0000-0000-000077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05" authorId="0" shapeId="0" xr:uid="{00000000-0006-0000-0000-000078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06" authorId="0" shapeId="0" xr:uid="{00000000-0006-0000-0000-000079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07" authorId="0" shapeId="0" xr:uid="{00000000-0006-0000-0000-00007A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08" authorId="0" shapeId="0" xr:uid="{00000000-0006-0000-0000-00007B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09" authorId="0" shapeId="0" xr:uid="{00000000-0006-0000-0000-00007C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10" authorId="0" shapeId="0" xr:uid="{00000000-0006-0000-0000-00007D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11" authorId="0" shapeId="0" xr:uid="{00000000-0006-0000-0000-00007E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12" authorId="0" shapeId="0" xr:uid="{00000000-0006-0000-0000-00007F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13" authorId="0" shapeId="0" xr:uid="{00000000-0006-0000-0000-000080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14" authorId="0" shapeId="0" xr:uid="{00000000-0006-0000-0000-000081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  <comment ref="C515" authorId="0" shapeId="0" xr:uid="{00000000-0006-0000-0000-000082000000}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ano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69" authorId="0" shapeId="0" xr:uid="{00000000-0006-0000-0100-000001000000}">
      <text>
        <r>
          <rPr>
            <sz val="10"/>
            <rFont val="Arial"/>
            <family val="2"/>
            <charset val="1"/>
          </rPr>
          <t xml:space="preserve">Informar o % de Administração Central estimado
</t>
        </r>
      </text>
    </comment>
    <comment ref="C70" authorId="0" shapeId="0" xr:uid="{00000000-0006-0000-0100-000002000000}">
      <text>
        <r>
          <rPr>
            <sz val="10"/>
            <rFont val="Arial"/>
            <family val="2"/>
            <charset val="1"/>
          </rPr>
          <t xml:space="preserve">Informar o % de Seguros, Riscos e Garantia estimado
</t>
        </r>
      </text>
    </comment>
    <comment ref="C71" authorId="0" shapeId="0" xr:uid="{00000000-0006-0000-0100-000003000000}">
      <text>
        <r>
          <rPr>
            <sz val="10"/>
            <rFont val="Arial"/>
            <family val="2"/>
            <charset val="1"/>
          </rPr>
          <t xml:space="preserve">Informar o % de Lucro estimado
</t>
        </r>
      </text>
    </comment>
    <comment ref="E72" authorId="0" shapeId="0" xr:uid="{00000000-0006-0000-0100-000006000000}">
      <text>
        <r>
          <rPr>
            <b/>
            <sz val="9"/>
            <color rgb="FF000000"/>
            <rFont val="Tahoma"/>
            <family val="2"/>
            <charset val="1"/>
          </rPr>
          <t>Informar o valor anual da taxa financeira, em percentual. Admite-se utilizar a SELIC</t>
        </r>
      </text>
    </comment>
    <comment ref="C73" authorId="0" shapeId="0" xr:uid="{00000000-0006-0000-0100-000004000000}">
      <text>
        <r>
          <rPr>
            <sz val="10"/>
            <rFont val="Arial"/>
            <family val="2"/>
            <charset val="1"/>
          </rPr>
          <t xml:space="preserve">Informar o percentual de ISS, de acordo com a legislação tributária do município onde serão prestados os serviços. De 2% até o limite de 5%.
</t>
        </r>
      </text>
    </comment>
    <comment ref="E73" authorId="0" shapeId="0" xr:uid="{00000000-0006-0000-0100-000007000000}">
      <text>
        <r>
          <rPr>
            <sz val="10"/>
            <rFont val="Arial"/>
            <family val="2"/>
            <charset val="1"/>
          </rPr>
          <t xml:space="preserve">Informar a média de dias úteis entre data de pagamento prevista no contrato e a data final do período de adimplemento da parcela
</t>
        </r>
      </text>
    </comment>
    <comment ref="C74" authorId="0" shapeId="0" xr:uid="{00000000-0006-0000-0100-000005000000}">
      <text>
        <r>
          <rPr>
            <sz val="10"/>
            <rFont val="Arial"/>
            <charset val="1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<sst xmlns="http://schemas.openxmlformats.org/spreadsheetml/2006/main" count="932" uniqueCount="402">
  <si>
    <t>MUNICÍPIO DE BENTO GONÇALVES
ESTADO DO RIO GRANDE DO SUL
Secretaria Municipal de Finanças</t>
  </si>
  <si>
    <t>Serviço de Limpeza de Áreas Públicas – Zeladoria</t>
  </si>
  <si>
    <t>Planilha de Composição de Custos</t>
  </si>
  <si>
    <t>Orçamento Sintético</t>
  </si>
  <si>
    <t>Descrição do Item</t>
  </si>
  <si>
    <t>Custo (R$/mês)</t>
  </si>
  <si>
    <t>%</t>
  </si>
  <si>
    <t>PREÇO TOTAL MENSAL COM A COLETA</t>
  </si>
  <si>
    <t>Quantitativos</t>
  </si>
  <si>
    <t>Mão-de-obra</t>
  </si>
  <si>
    <t>Quantidade</t>
  </si>
  <si>
    <t>Total de mão-de-obra (postos de trabalho)</t>
  </si>
  <si>
    <t xml:space="preserve">Veículos </t>
  </si>
  <si>
    <t>Caminhão ¾ com 175 cv com Caçamba basculante e Cabine auxiliar (Para 5 pessoas) (Conjunto)</t>
  </si>
  <si>
    <t>Caminhão 4/2 toco com 230 cv e Varredeira mecânica de sucção (Conjunto)</t>
  </si>
  <si>
    <t>Mini escavadeira – 48.9 HP (Bobcat)</t>
  </si>
  <si>
    <t>Camionete Pick-up 2 lugares</t>
  </si>
  <si>
    <t>Camionete Pick-up 5 lugares – Para equipe</t>
  </si>
  <si>
    <t>Total da frota</t>
  </si>
  <si>
    <t xml:space="preserve"> Equipamentos</t>
  </si>
  <si>
    <t>Roçadeira a gasolina 32cc</t>
  </si>
  <si>
    <t>Soprador a gasolina</t>
  </si>
  <si>
    <t>Total dos Equipamentos</t>
  </si>
  <si>
    <t>Fator de utilização (FU)</t>
  </si>
  <si>
    <t>1. Mão-de-obra</t>
  </si>
  <si>
    <t>1.1. Auxiliar Administrativo</t>
  </si>
  <si>
    <t>CBO: 4110</t>
  </si>
  <si>
    <t>Sindilimp Asseio</t>
  </si>
  <si>
    <t>Vigência:</t>
  </si>
  <si>
    <t>01/01/2026 a 31/12/2026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</si>
  <si>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</si>
  <si>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</si>
  <si>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</si>
  <si>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</si>
  <si>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  <charset val="1"/>
      </rPr>
      <t xml:space="preserve">Total </t>
    </r>
    <r>
      <rPr>
        <b/>
        <u/>
        <sz val="9"/>
        <rFont val="Arial"/>
        <family val="2"/>
        <charset val="1"/>
      </rPr>
      <t>(R$)</t>
    </r>
  </si>
  <si>
    <t>Piso da categoria</t>
  </si>
  <si>
    <t>mês</t>
  </si>
  <si>
    <t>Salário mínimo nacional - Base de cálculo</t>
  </si>
  <si>
    <t>Base de cálculo da Insalubridade</t>
  </si>
  <si>
    <t>Adicional de Insalubridade</t>
  </si>
  <si>
    <t>Soma</t>
  </si>
  <si>
    <t>Encargos Sociais</t>
  </si>
  <si>
    <t>Total por Auxiliar</t>
  </si>
  <si>
    <t>Total do Efetivo</t>
  </si>
  <si>
    <t>Profissional</t>
  </si>
  <si>
    <t>Fator de utilização</t>
  </si>
  <si>
    <t>1.2. Técnico Supervisor</t>
  </si>
  <si>
    <t>Despacho anexado Processo OXY 259/2026-Sequência 15</t>
  </si>
  <si>
    <t>Valor arbitrado pela Secretaria - Parametro para restante: Sindilimp</t>
  </si>
  <si>
    <t xml:space="preserve">Total por Técnico </t>
  </si>
  <si>
    <t>Nota técnica: Cargo não previsto na CCT SINDLIMP, salário arbitrado pela Secretaria</t>
  </si>
  <si>
    <t>1.3. Gari Ajudante</t>
  </si>
  <si>
    <t>CBO: 5142</t>
  </si>
  <si>
    <t xml:space="preserve">Piso da categoria </t>
  </si>
  <si>
    <t xml:space="preserve">Adicional de Insalubridade </t>
  </si>
  <si>
    <t>Total por Gari</t>
  </si>
  <si>
    <t>1.4. Gari Varredor</t>
  </si>
  <si>
    <t>1.5. Roçador</t>
  </si>
  <si>
    <t>CBO: 6220</t>
  </si>
  <si>
    <t>Total por Roçador</t>
  </si>
  <si>
    <t>1.6. Motoristas Operadores</t>
  </si>
  <si>
    <t xml:space="preserve">CBO: </t>
  </si>
  <si>
    <t>Sindtrans</t>
  </si>
  <si>
    <t>01/05/2026 a 30/04/2027</t>
  </si>
  <si>
    <r>
      <rPr>
        <sz val="10"/>
        <color rgb="FF000000"/>
        <rFont val="Arial"/>
        <family val="2"/>
        <charset val="1"/>
      </rPr>
      <t xml:space="preserve">Piso da categoria – </t>
    </r>
    <r>
      <rPr>
        <sz val="10"/>
        <color rgb="FFC9211E"/>
        <rFont val="Arial"/>
        <family val="2"/>
        <charset val="1"/>
      </rPr>
      <t>Clausula terceira – (c)</t>
    </r>
  </si>
  <si>
    <r>
      <rPr>
        <sz val="10"/>
        <color rgb="FF000000"/>
        <rFont val="Arial"/>
        <family val="2"/>
        <charset val="1"/>
      </rPr>
      <t xml:space="preserve">Base de cálculo da Insalubridade – </t>
    </r>
    <r>
      <rPr>
        <sz val="9"/>
        <color rgb="FFC9211E"/>
        <rFont val="Tahoma"/>
        <family val="2"/>
        <charset val="1"/>
      </rPr>
      <t>Cláusula 24°do CCT.</t>
    </r>
  </si>
  <si>
    <t>Total por Motoristas Operadores</t>
  </si>
  <si>
    <r>
      <rPr>
        <sz val="10"/>
        <color rgb="FF000000"/>
        <rFont val="Arial"/>
        <family val="2"/>
        <charset val="1"/>
      </rPr>
      <t xml:space="preserve">Base de cálculo da Insalubridade-CCT-Sinditrans </t>
    </r>
    <r>
      <rPr>
        <sz val="9"/>
        <color rgb="FFC9211E"/>
        <rFont val="Tahoma"/>
        <family val="2"/>
        <charset val="1"/>
      </rPr>
      <t>Cláusula 24°informa que é o salário mínimo.</t>
    </r>
  </si>
  <si>
    <t>1.7. Motoristas Caminhão/Caminhonete</t>
  </si>
  <si>
    <r>
      <rPr>
        <sz val="10"/>
        <color rgb="FF000000"/>
        <rFont val="Arial"/>
        <family val="2"/>
        <charset val="1"/>
      </rPr>
      <t xml:space="preserve">Piso da categoria – </t>
    </r>
    <r>
      <rPr>
        <sz val="10"/>
        <color rgb="FFC9211E"/>
        <rFont val="Arial"/>
        <family val="2"/>
        <charset val="1"/>
      </rPr>
      <t>Clausula terceira – (d)</t>
    </r>
  </si>
  <si>
    <t>Total por Motoristas Caminhão/Caminhonete</t>
  </si>
  <si>
    <r>
      <rPr>
        <sz val="10"/>
        <color rgb="FF000000"/>
        <rFont val="Arial"/>
        <family val="2"/>
        <charset val="1"/>
      </rPr>
      <t xml:space="preserve">Base de cálculo Insalubridade-CCT-Sinditrans </t>
    </r>
    <r>
      <rPr>
        <sz val="9"/>
        <color rgb="FFC9211E"/>
        <rFont val="Tahoma"/>
        <family val="2"/>
        <charset val="1"/>
      </rPr>
      <t>Cláusula 24°informa que é o salário mínimo.</t>
    </r>
  </si>
  <si>
    <t>1.8. Vale Transporte</t>
  </si>
  <si>
    <t xml:space="preserve">Quantidade </t>
  </si>
  <si>
    <t>Vale Transporte</t>
  </si>
  <si>
    <t>R$</t>
  </si>
  <si>
    <t>Dias Trabalhados por mês</t>
  </si>
  <si>
    <t>dia</t>
  </si>
  <si>
    <t>Quantidade de passagens por mês -  por pessoa</t>
  </si>
  <si>
    <t>vale</t>
  </si>
  <si>
    <t>Nota técnica:Valor VT conforme decreto municipal – Desconto 6% sobre salário normativo</t>
  </si>
  <si>
    <t>1.9. Auxílio Alimentação (mensal)</t>
  </si>
  <si>
    <t xml:space="preserve">CCT Sindlimp Clausula 20° por dia–com desconto 19%  </t>
  </si>
  <si>
    <t>Um refeição por dia – total mensal 22 dias</t>
  </si>
  <si>
    <t>unidade</t>
  </si>
  <si>
    <t>Nota técnica:Motorista Sinditrans -CCT-Cláusula quinta–valor único-c/desconto 1,00 real</t>
  </si>
  <si>
    <t>Custo Mensal com Mão-de-obra (R$/mês)</t>
  </si>
  <si>
    <t>2. Uniformes e Equipamentos de Proteção Individual</t>
  </si>
  <si>
    <t>2.1. Uniformes e EPIs para  Gari e Roçadores</t>
  </si>
  <si>
    <t>Quantidade consumo anual</t>
  </si>
  <si>
    <t xml:space="preserve">Custo unitário </t>
  </si>
  <si>
    <t>Subtotal Mensal</t>
  </si>
  <si>
    <t>Capacete com proteção facial</t>
  </si>
  <si>
    <t>Calças</t>
  </si>
  <si>
    <t>Camisetas</t>
  </si>
  <si>
    <t>Abafadores para ruídos</t>
  </si>
  <si>
    <t>Bonés</t>
  </si>
  <si>
    <t>Botina c/ biqueira de aço</t>
  </si>
  <si>
    <t>par</t>
  </si>
  <si>
    <t>Meias de algodão com cano alto</t>
  </si>
  <si>
    <t>Capas de chuva amarela com reflexivo</t>
  </si>
  <si>
    <t>Colete reflexivo</t>
  </si>
  <si>
    <t>Luva de proteção</t>
  </si>
  <si>
    <t>Mascara respiratória de proteção</t>
  </si>
  <si>
    <t>Protetor solar FPS 30</t>
  </si>
  <si>
    <t>frasco 120g</t>
  </si>
  <si>
    <t>Repelente para insetos</t>
  </si>
  <si>
    <t>Óculos de proteção</t>
  </si>
  <si>
    <t>Protetores Auriculares</t>
  </si>
  <si>
    <t>Caneleira de couro para roçada</t>
  </si>
  <si>
    <t>Aventais de couro para roçada</t>
  </si>
  <si>
    <t>Higienização de uniformes e EPIs</t>
  </si>
  <si>
    <t>R$ mensal</t>
  </si>
  <si>
    <t>homem</t>
  </si>
  <si>
    <t>2.2. Uniformes e EPIs para Motoristas  e Técnico Supervisor</t>
  </si>
  <si>
    <t>Jaqueta com reflexiva</t>
  </si>
  <si>
    <t xml:space="preserve">2.3. Uniformes e EPIs para Auxiliar Administrativo </t>
  </si>
  <si>
    <t xml:space="preserve">Jaqueta </t>
  </si>
  <si>
    <t>2. Custo Mensal total com Uniformes e EPIs (R$/mês)</t>
  </si>
  <si>
    <t>3. Veículos e Equipamentos</t>
  </si>
  <si>
    <t>3.1. Caminhões e equipamentos acoplados</t>
  </si>
  <si>
    <t>3.1.1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</si>
  <si>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</si>
  <si>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</si>
  <si>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</si>
  <si>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</si>
  <si>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</si>
  <si>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chassis</t>
  </si>
  <si>
    <t xml:space="preserve">Custo de aquisição Caçamba e Cabine auxiliar </t>
  </si>
  <si>
    <t>Vida útil da Caçamba e Cabine auxiliar (5 pessoas)</t>
  </si>
  <si>
    <t>Idade da caçamba/cabine</t>
  </si>
  <si>
    <t>Depreciação da caçamba/cabine</t>
  </si>
  <si>
    <t>Depreciação mensal da caçamba</t>
  </si>
  <si>
    <t>Total depreciação conjunto Veículo/Caçamba</t>
  </si>
  <si>
    <t>Conjunto</t>
  </si>
  <si>
    <t>Total da frota - Veículo/Caçamba/cabine 175 CV–¾</t>
  </si>
  <si>
    <t xml:space="preserve">Depreciação mensal </t>
  </si>
  <si>
    <t xml:space="preserve">Custo de aquisição do equipamento Varredeira </t>
  </si>
  <si>
    <t>Vida útil do equipamento Varredeira mecânica sucção</t>
  </si>
  <si>
    <t>Idade do equipamento Varredeira mecânica sucção</t>
  </si>
  <si>
    <t>Depreciação do equipamento</t>
  </si>
  <si>
    <t xml:space="preserve">Depreciação mensal do equipamento </t>
  </si>
  <si>
    <t>Total depreciação conjunto Veículo/Varredeira</t>
  </si>
  <si>
    <t>Total da frota – Conjunto Veículo/Varredeira 230 cv</t>
  </si>
  <si>
    <t>Custo de aquisição do chassis -Mini (Bobcat)</t>
  </si>
  <si>
    <t xml:space="preserve">Total depreciação Mini escavadeira </t>
  </si>
  <si>
    <t>Total da frota – Mini escavadeira – 48.9 HP(Bobcat)</t>
  </si>
  <si>
    <t>3.1.2 Remuneração do Capital</t>
  </si>
  <si>
    <t>Custo do chassis</t>
  </si>
  <si>
    <r>
      <rPr>
        <sz val="10"/>
        <color rgb="FF000000"/>
        <rFont val="Arial"/>
        <family val="2"/>
        <charset val="1"/>
      </rPr>
      <t xml:space="preserve">Taxa de juros anual nominal – </t>
    </r>
    <r>
      <rPr>
        <sz val="10"/>
        <color rgb="FFC9211E"/>
        <rFont val="Arial"/>
        <family val="2"/>
        <charset val="1"/>
      </rPr>
      <t>Selic</t>
    </r>
  </si>
  <si>
    <t>Valor do veículo proposto (V0)</t>
  </si>
  <si>
    <t>Investimento médio total do chassis</t>
  </si>
  <si>
    <t>Remuneração mensal de capital do chassis</t>
  </si>
  <si>
    <t>Taxa de juros anual nominal</t>
  </si>
  <si>
    <t>Valor do  caçamba e Cabine proposto (V0)</t>
  </si>
  <si>
    <t>Investimento médio total da caçamba e Cabine</t>
  </si>
  <si>
    <t>Remuneração mensal de capital do caçamba/cabine</t>
  </si>
  <si>
    <t>Total por veículo e caçamba e cabine</t>
  </si>
  <si>
    <t>Total da frota – Caminhão 3/4 175 cv e caçamba/cabine</t>
  </si>
  <si>
    <t>Custo do chassis – Caminhão 4/2</t>
  </si>
  <si>
    <t>Taxa de juros anual nominal – Selic</t>
  </si>
  <si>
    <t>Custo do equipamento automatizado</t>
  </si>
  <si>
    <t>Valor do equipamento automatizado proposto (V0)</t>
  </si>
  <si>
    <t>Investimento médio do equipamento automatizado</t>
  </si>
  <si>
    <t xml:space="preserve">Remuneração mensal de capital do equipamento </t>
  </si>
  <si>
    <t>Total por veículo e Varredeira mecânica sucção</t>
  </si>
  <si>
    <t>Total da frota–Veiculo/Varredeira mecânica sucção</t>
  </si>
  <si>
    <t>Custo do chassis – Mini Escavadeira</t>
  </si>
  <si>
    <t>Total da frota - Mini escavadeira – 48.9 HP (Bobcat)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</si>
  <si>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</si>
  <si>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</si>
  <si>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</si>
  <si>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</si>
  <si>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</si>
  <si>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</si>
  <si>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</si>
  <si>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r>
      <rPr>
        <b/>
        <sz val="10"/>
        <color rgb="FF000000"/>
        <rFont val="Arial"/>
        <family val="2"/>
        <charset val="1"/>
      </rPr>
      <t>Nota técnica:</t>
    </r>
    <r>
      <rPr>
        <sz val="10"/>
        <color rgb="FF000000"/>
        <rFont val="Arial"/>
        <family val="2"/>
        <charset val="1"/>
      </rPr>
      <t xml:space="preserve"> Para cada veiculo considerar 2.200 km mês</t>
    </r>
  </si>
  <si>
    <t>Horas mensais Mini escavadeira</t>
  </si>
  <si>
    <r>
      <rPr>
        <b/>
        <sz val="10"/>
        <color rgb="FF000000"/>
        <rFont val="Arial"/>
        <family val="2"/>
        <charset val="1"/>
      </rPr>
      <t>Nota técnica:</t>
    </r>
    <r>
      <rPr>
        <sz val="10"/>
        <color rgb="FF000000"/>
        <rFont val="Arial"/>
        <family val="2"/>
        <charset val="1"/>
      </rPr>
      <t xml:space="preserve"> Considerar 176 horas mês (4,5lt*8hrs*22dias)</t>
    </r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</si>
  <si>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</si>
  <si>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</si>
  <si>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</si>
  <si>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</si>
  <si>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</si>
  <si>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</si>
  <si>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</si>
  <si>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motor-(Incluido Miniescadadeira)</t>
  </si>
  <si>
    <t>Custo de óleo hidráulico / 1.000 km</t>
  </si>
  <si>
    <t>Custo mensal com óleo hidráulico-(Incluido Miniescadadeira)</t>
  </si>
  <si>
    <t>Custo de graxa /1.000 km rodados</t>
  </si>
  <si>
    <t>kg/1.000 km</t>
  </si>
  <si>
    <t>Custo mensal com graxa-(Incluido Miniescadadeira)</t>
  </si>
  <si>
    <t>Custo de oleo diesel por hora - Miniescavadeira</t>
  </si>
  <si>
    <t>176 horas mês</t>
  </si>
  <si>
    <t>Custo mensal - Combustivel por hora - Miniescavadeira</t>
  </si>
  <si>
    <t>Horas lts totais</t>
  </si>
  <si>
    <t>3.1.5. Manutenção</t>
  </si>
  <si>
    <t>Custo de manutenção dos caminhões</t>
  </si>
  <si>
    <t>R$/km rodado</t>
  </si>
  <si>
    <t xml:space="preserve">Custo de manutenção  - Mini escavadeira </t>
  </si>
  <si>
    <t>R$/hora rodada</t>
  </si>
  <si>
    <t>Fonte:https://www.sobratema.org.br/custohorario/tabela</t>
  </si>
  <si>
    <t>Nota técnica:Mini escavadeira - Base - Hora trabalhada</t>
  </si>
  <si>
    <t>3.1.6. Pneus</t>
  </si>
  <si>
    <t>Custo do jogo de pneus 275 R22.5</t>
  </si>
  <si>
    <t>Número de recapagens por pneu</t>
  </si>
  <si>
    <t>Custo de recapagem</t>
  </si>
  <si>
    <t>Custo jg. compl. + 2 recap./ km rodado</t>
  </si>
  <si>
    <t>km/jogo</t>
  </si>
  <si>
    <t xml:space="preserve">Custo mensal com pneus </t>
  </si>
  <si>
    <t xml:space="preserve">Custo mensal total com Caminhões e equipamentos acoplados </t>
  </si>
  <si>
    <t>3.2. Veículo Leve camionete</t>
  </si>
  <si>
    <t>3.2.1 Depreciação</t>
  </si>
  <si>
    <t>Depreciação mensal veículo Leve com Carroceria</t>
  </si>
  <si>
    <t>Total por veículo</t>
  </si>
  <si>
    <t>3.2.2 Remuneração do Capital</t>
  </si>
  <si>
    <t>Custo do item</t>
  </si>
  <si>
    <t>Investimento médio total do item</t>
  </si>
  <si>
    <t>Remuneração mensal de capital do item</t>
  </si>
  <si>
    <t>3.2.3. Impostos e Seguros</t>
  </si>
  <si>
    <t>3.2.4. Consumos</t>
  </si>
  <si>
    <t>Nota técnica: Para cada veiculo considerar 2.200 km mês</t>
  </si>
  <si>
    <t>Custo de combustível / km rodado</t>
  </si>
  <si>
    <t>Custo mensal com combustível</t>
  </si>
  <si>
    <t>Custo com consumos/km rodado</t>
  </si>
  <si>
    <t>3.2.5. Manutenção</t>
  </si>
  <si>
    <t>Custo de manutenção do veiculo</t>
  </si>
  <si>
    <t>3.2.6. Pneus</t>
  </si>
  <si>
    <t>Custo médio mensal com pneus / KM</t>
  </si>
  <si>
    <t>Custo mensal com pneus</t>
  </si>
  <si>
    <t>km x Custo médio</t>
  </si>
  <si>
    <t>Custo mensal total com Veículos leves</t>
  </si>
  <si>
    <t>3.3. Equipamentos – Roçadeira e Soprador</t>
  </si>
  <si>
    <t>3.3.1 Depreciação</t>
  </si>
  <si>
    <t>Custo de aquisição Roçadeira a gasolina 32cc</t>
  </si>
  <si>
    <t>Vida útil do Item</t>
  </si>
  <si>
    <t>Idade do Item</t>
  </si>
  <si>
    <t>Depreciação do Item</t>
  </si>
  <si>
    <t>Depreciação mensal Roçadeira a gasolina</t>
  </si>
  <si>
    <t>Custo de aquisição Soprador a gasolina</t>
  </si>
  <si>
    <t>Depreciação mensal Soprador</t>
  </si>
  <si>
    <t>Total dos Itens</t>
  </si>
  <si>
    <t>3.3.2 Remuneração do Capital</t>
  </si>
  <si>
    <t>Valor Roçadeira a gasolina 32cc proposto (V0)</t>
  </si>
  <si>
    <t>Investimento médio total da Roçadeira gasolina 32cc</t>
  </si>
  <si>
    <t xml:space="preserve">Remuneração mensal de capital da Roçadeira </t>
  </si>
  <si>
    <t>Valor do Soprador a gasolina proposto (V0)</t>
  </si>
  <si>
    <t xml:space="preserve">Investimento médio total do Soprador </t>
  </si>
  <si>
    <t>Remuneração mensal de capital do Soprador</t>
  </si>
  <si>
    <t>3.3.3. Consumos</t>
  </si>
  <si>
    <t>Horas mensais - Roçadeira e Soprador</t>
  </si>
  <si>
    <t>Consumo lts mensal</t>
  </si>
  <si>
    <r>
      <rPr>
        <b/>
        <sz val="10"/>
        <color rgb="FF000000"/>
        <rFont val="Arial"/>
        <family val="2"/>
        <charset val="1"/>
      </rPr>
      <t>Nota técnica:</t>
    </r>
    <r>
      <rPr>
        <sz val="10"/>
        <color rgb="FF000000"/>
        <rFont val="Arial"/>
        <family val="2"/>
        <charset val="1"/>
      </rPr>
      <t xml:space="preserve"> Considerar 176 horas mês (8hrs*22dias) Consumo 1,5lt por hora</t>
    </r>
  </si>
  <si>
    <t>Discriminação - Consumo Gasolina</t>
  </si>
  <si>
    <t>Custo de combustivel por hora - Roçadeira e Soprador</t>
  </si>
  <si>
    <t xml:space="preserve">Custo mensal - Combustivel por hora </t>
  </si>
  <si>
    <t>Custo com consumo total - Qtd equipamentos</t>
  </si>
  <si>
    <t>Qtd x valor</t>
  </si>
  <si>
    <r>
      <rPr>
        <b/>
        <sz val="10"/>
        <color rgb="FF000000"/>
        <rFont val="Arial"/>
        <family val="2"/>
        <charset val="1"/>
      </rPr>
      <t>Nota técnica:</t>
    </r>
    <r>
      <rPr>
        <sz val="10"/>
        <color rgb="FF000000"/>
        <rFont val="Arial"/>
        <family val="2"/>
        <charset val="1"/>
      </rPr>
      <t xml:space="preserve"> Considerar cada litro de gasolina 20 ml de aditivo</t>
    </r>
  </si>
  <si>
    <t>Discriminação - Consumo Aditivo 2 tempos</t>
  </si>
  <si>
    <t>Consumo mensal</t>
  </si>
  <si>
    <t>Custo de aditivo por equipamento-Roçadeira e Soprador</t>
  </si>
  <si>
    <t>Custo mensal total com Equipamentos – Roçadeira e Soprador</t>
  </si>
  <si>
    <t>3. Custo Mensal TOTAL com Veículos e Equipamentos (R$/mês)</t>
  </si>
  <si>
    <t>4. Ferramentas e Materiais de Consumo</t>
  </si>
  <si>
    <t>Quantidade ano</t>
  </si>
  <si>
    <t xml:space="preserve">Recipiente térmico para água (5L)                       </t>
  </si>
  <si>
    <t xml:space="preserve">Pá de Concha                                                        </t>
  </si>
  <si>
    <t>Vassouras</t>
  </si>
  <si>
    <t>Rásteis</t>
  </si>
  <si>
    <t>Ancinhos</t>
  </si>
  <si>
    <t>Foices</t>
  </si>
  <si>
    <t>Enxadas</t>
  </si>
  <si>
    <t>Carrinho de mão</t>
  </si>
  <si>
    <t>Carrinho para varrição Nota Técnica - Vida útil 24 mês</t>
  </si>
  <si>
    <t>Sacos 100 lt – Pacote com 100 unidades</t>
  </si>
  <si>
    <t>Sacos 50 lt – Pacote com 100 unidades</t>
  </si>
  <si>
    <t>Carreteis para roçadeira usinados</t>
  </si>
  <si>
    <t>Telas de segurança</t>
  </si>
  <si>
    <t>Placas de sinalização</t>
  </si>
  <si>
    <t>4. Custo Mensal com Ferramentas e Materiais de Consumo (R$/mês)</t>
  </si>
  <si>
    <t>CUSTO TOTAL MENSAL COM DESPESAS OPERACIONAIS (R$/mês)</t>
  </si>
  <si>
    <t>5. Benefícios e Despesas Indiretas - BDI</t>
  </si>
  <si>
    <t>Benefícios e despesas indiretas</t>
  </si>
  <si>
    <t>CUSTO MENSAL COM BDI (R$/mês)</t>
  </si>
  <si>
    <t>PREÇO MENSAL TOTAL (R$/mês)</t>
  </si>
  <si>
    <t>Tabelas Auxiliares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</si>
  <si>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</si>
  <si>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</si>
  <si>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</si>
  <si>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</si>
  <si>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</si>
  <si>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</si>
  <si>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</si>
  <si>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</si>
  <si>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</si>
  <si>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</si>
  <si>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</si>
  <si>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</si>
  <si>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</si>
  <si>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</si>
  <si>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</si>
  <si>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</si>
  <si>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</si>
  <si>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</si>
  <si>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</si>
  <si>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</si>
  <si>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</si>
  <si>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</si>
  <si>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</si>
  <si>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</si>
  <si>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</si>
  <si>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</si>
  <si>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</si>
  <si>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</si>
  <si>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</si>
  <si>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</si>
  <si>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</si>
  <si>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</si>
  <si>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</si>
  <si>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</si>
  <si>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</si>
  <si>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</si>
  <si>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</si>
  <si>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</si>
  <si>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</si>
  <si>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</si>
  <si>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</si>
  <si>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</si>
  <si>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</si>
  <si>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</si>
  <si>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</si>
  <si>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</si>
  <si>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</si>
  <si>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</si>
  <si>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</si>
  <si>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</si>
  <si>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</si>
  <si>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</si>
  <si>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</si>
  <si>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</si>
  <si>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</si>
  <si>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3. CAGED 2025</t>
  </si>
  <si>
    <t>Rio Grande do Sul  - Atividades de limpeza - (CBO 5142-15 / 5142-25 - CNAE 81.29-0-00)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</si>
  <si>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</si>
  <si>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</si>
  <si>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</si>
  <si>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</si>
  <si>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</si>
  <si>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</si>
  <si>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</si>
  <si>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</si>
  <si>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</si>
  <si>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</si>
  <si>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</si>
  <si>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>Indicadores</t>
  </si>
  <si>
    <t>Estoque recuperado início do Período 01-01-2025</t>
  </si>
  <si>
    <t>Estoque recuperado final do Período 31-12-2025</t>
  </si>
  <si>
    <t>Variação Emprego Absoluta de 01-01-2025 a 31-12-2025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</si>
  <si>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</si>
  <si>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</si>
  <si>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</si>
  <si>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</si>
  <si>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</si>
  <si>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</si>
  <si>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</si>
  <si>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</si>
  <si>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</si>
  <si>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FGTS*</t>
  </si>
  <si>
    <t>*Ajustado, de acordo com a nova Lei Federal nº 13.932/2019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</si>
  <si>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</si>
  <si>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</si>
  <si>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</si>
  <si>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</si>
  <si>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</si>
  <si>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</si>
  <si>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</si>
  <si>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</si>
  <si>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</si>
  <si>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</si>
  <si>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</si>
  <si>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</si>
  <si>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</si>
  <si>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</si>
  <si>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</si>
  <si>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</si>
  <si>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</si>
  <si>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r>
      <rPr>
        <sz val="10"/>
        <rFont val="Arial"/>
        <family val="2"/>
        <charset val="1"/>
      </rPr>
      <t>Tributos – PIS/COFINS –</t>
    </r>
    <r>
      <rPr>
        <sz val="10"/>
        <color rgb="FFC9211E"/>
        <rFont val="Arial"/>
        <family val="2"/>
        <charset val="1"/>
      </rPr>
      <t xml:space="preserve"> Lucro Presumido</t>
    </r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</si>
  <si>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</si>
  <si>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</si>
  <si>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</si>
  <si>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</si>
  <si>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</si>
  <si>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</si>
  <si>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</si>
  <si>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</si>
  <si>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0"/>
        <color rgb="FF000000"/>
        <rFont val="Arial"/>
        <family val="2"/>
        <charset val="1"/>
      </rPr>
      <t>J</t>
    </r>
    <r>
      <rPr>
        <vertAlign val="subscript"/>
        <sz val="10"/>
        <color rgb="FF000000"/>
        <rFont val="Arial"/>
        <family val="2"/>
        <charset val="1"/>
      </rPr>
      <t>m</t>
    </r>
    <r>
      <rPr>
        <sz val="10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</si>
  <si>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</si>
  <si>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</si>
  <si>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0"/>
        <color rgb="FF000000"/>
        <rFont val="Arial"/>
        <family val="2"/>
        <charset val="1"/>
      </rPr>
      <t>V</t>
    </r>
    <r>
      <rPr>
        <vertAlign val="subscript"/>
        <sz val="10"/>
        <color rgb="FF000000"/>
        <rFont val="Arial"/>
        <family val="2"/>
        <charset val="1"/>
      </rPr>
      <t>0</t>
    </r>
    <r>
      <rPr>
        <sz val="10"/>
        <color rgb="FF000000"/>
        <rFont val="Arial"/>
        <family val="2"/>
        <charset val="1"/>
      </rPr>
      <t xml:space="preserve"> = valor inicial do bem</t>
    </r>
  </si>
  <si>
    <r>
      <rPr>
        <sz val="10"/>
        <color rgb="FF000000"/>
        <rFont val="Arial"/>
        <family val="2"/>
        <charset val="1"/>
      </rPr>
      <t>V</t>
    </r>
    <r>
      <rPr>
        <vertAlign val="subscript"/>
        <sz val="10"/>
        <color rgb="FF000000"/>
        <rFont val="Arial"/>
        <family val="2"/>
        <charset val="1"/>
      </rPr>
      <t>r</t>
    </r>
    <r>
      <rPr>
        <sz val="10"/>
        <color rgb="FF000000"/>
        <rFont val="Arial"/>
        <family val="2"/>
        <charset val="1"/>
      </rPr>
      <t xml:space="preserve"> = valor residual do bem</t>
    </r>
  </si>
  <si>
    <t>n = vida útil do bem em 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</si>
</sst>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* #,##0.00\ ;* \(#,##0.00\);* \-#\ ;@\ "/>
    <numFmt numFmtId="165" formatCode="&quot;R$ &quot;#,##0.00"/>
    <numFmt numFmtId="166" formatCode="[$R$-416]\ #,##0.00;[Red]\-[$R$-416]\ #,##0.00"/>
    <numFmt numFmtId="167" formatCode="&quot;R$ &quot;#,##0.00\ ;&quot;(R$ &quot;#,##0.00\)"/>
    <numFmt numFmtId="168" formatCode="* #,##0\ ;* \(#,##0\);* \-#\ ;@\ "/>
    <numFmt numFmtId="169" formatCode="* #,##0.00\ ;\-* #,##0.00\ ;* \-#\ ;@\ "/>
    <numFmt numFmtId="170" formatCode="* #,##0.000\ ;* \(#,##0.000\);* \-#\ ;@\ "/>
    <numFmt numFmtId="171" formatCode="#,##0.0000"/>
    <numFmt numFmtId="172" formatCode="* #,##0.00\ ;* \(#,##0.00\);* \-#.00\ ;@\ "/>
    <numFmt numFmtId="173" formatCode="0.0000"/>
  </numFmts>
  <fonts count="28">
    <font>
      <sz val="10"/>
      <name val="Arial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4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u/>
      <sz val="10"/>
      <color rgb="FF000000"/>
      <name val="Arial"/>
      <family val="2"/>
      <charset val="1"/>
    </font>
    <font>
      <b/>
      <i/>
      <sz val="7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9"/>
      <name val="Arial"/>
      <family val="2"/>
      <charset val="1"/>
    </font>
    <font>
      <b/>
      <u/>
      <sz val="9"/>
      <name val="Arial"/>
      <family val="2"/>
      <charset val="1"/>
    </font>
    <font>
      <b/>
      <sz val="10.5"/>
      <color rgb="FF000000"/>
      <name val="Arial"/>
      <family val="2"/>
      <charset val="1"/>
    </font>
    <font>
      <sz val="10"/>
      <color rgb="FFC9211E"/>
      <name val="Arial"/>
      <family val="2"/>
      <charset val="1"/>
    </font>
    <font>
      <sz val="9"/>
      <color rgb="FFC9211E"/>
      <name val="Tahoma"/>
      <family val="2"/>
      <charset val="1"/>
    </font>
    <font>
      <b/>
      <sz val="10"/>
      <color rgb="FFC9211E"/>
      <name val="Arial"/>
      <family val="2"/>
      <charset val="1"/>
    </font>
    <font>
      <u/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sz val="9"/>
      <color rgb="FF000000"/>
      <name val="Tahoma"/>
      <family val="2"/>
      <charset val="1"/>
    </font>
    <font>
      <sz val="8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10"/>
      <name val="CIDFont+F1"/>
      <charset val="1"/>
    </font>
    <font>
      <sz val="9"/>
      <color rgb="FF000000"/>
      <name val="Segoe UI"/>
      <family val="2"/>
      <charset val="1"/>
    </font>
    <font>
      <vertAlign val="subscript"/>
      <sz val="10"/>
      <color rgb="FF000000"/>
      <name val="Arial"/>
      <family val="2"/>
      <charset val="1"/>
    </font>
    <font>
      <b/>
      <sz val="9"/>
      <color rgb="FF000000"/>
      <name val="Tahoma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D7"/>
      </patternFill>
    </fill>
    <fill>
      <patternFill patternType="solid">
        <fgColor rgb="FF00FFF3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FFFFA6"/>
        <bgColor rgb="FFFFFFD7"/>
      </patternFill>
    </fill>
    <fill>
      <patternFill patternType="solid">
        <fgColor rgb="FFDDDDDD"/>
        <bgColor rgb="FFD9D9D9"/>
      </patternFill>
    </fill>
    <fill>
      <patternFill patternType="solid">
        <fgColor rgb="FFCCCCCC"/>
        <bgColor rgb="FFD9D9D9"/>
      </patternFill>
    </fill>
    <fill>
      <patternFill patternType="solid">
        <fgColor rgb="FFFFFFD7"/>
        <bgColor rgb="FFFFFFFF"/>
      </patternFill>
    </fill>
    <fill>
      <patternFill patternType="solid">
        <fgColor rgb="FFFFBF00"/>
        <bgColor rgb="FFFF9900"/>
      </patternFill>
    </fill>
    <fill>
      <patternFill patternType="solid">
        <fgColor rgb="FFD9D9D9"/>
        <bgColor rgb="FFDDDDDD"/>
      </patternFill>
    </fill>
    <fill>
      <patternFill patternType="solid">
        <fgColor rgb="FFA6A6A6"/>
        <bgColor rgb="FF9999FF"/>
      </patternFill>
    </fill>
    <fill>
      <patternFill patternType="solid">
        <fgColor rgb="FFEEECE1"/>
        <bgColor rgb="FFDDDDDD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4" fontId="2" fillId="0" borderId="0" applyBorder="0" applyProtection="0"/>
    <xf numFmtId="9" fontId="2" fillId="0" borderId="0" applyBorder="0" applyProtection="0"/>
    <xf numFmtId="0" fontId="18" fillId="0" borderId="0" applyBorder="0" applyProtection="0"/>
  </cellStyleXfs>
  <cellXfs count="298">
    <xf numFmtId="0" fontId="0" fillId="0" borderId="0" xfId="0"/>
    <xf numFmtId="0" fontId="1" fillId="2" borderId="0" xfId="0" applyFont="1" applyFill="1" applyAlignment="1">
      <alignment vertical="center"/>
    </xf>
    <xf numFmtId="164" fontId="1" fillId="2" borderId="0" xfId="1" applyFont="1" applyFill="1" applyBorder="1" applyAlignment="1" applyProtection="1">
      <alignment vertical="center"/>
    </xf>
    <xf numFmtId="4" fontId="4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164" fontId="5" fillId="2" borderId="0" xfId="1" applyFont="1" applyFill="1" applyBorder="1" applyAlignment="1" applyProtection="1">
      <alignment vertical="center"/>
    </xf>
    <xf numFmtId="0" fontId="5" fillId="2" borderId="0" xfId="0" applyFont="1" applyFill="1" applyAlignment="1">
      <alignment vertical="center"/>
    </xf>
    <xf numFmtId="0" fontId="1" fillId="2" borderId="3" xfId="0" applyFont="1" applyFill="1" applyBorder="1" applyAlignment="1">
      <alignment vertical="center"/>
    </xf>
    <xf numFmtId="164" fontId="1" fillId="2" borderId="4" xfId="1" applyFont="1" applyFill="1" applyBorder="1" applyAlignment="1" applyProtection="1">
      <alignment vertical="center"/>
    </xf>
    <xf numFmtId="164" fontId="8" fillId="2" borderId="7" xfId="1" applyFont="1" applyFill="1" applyBorder="1" applyAlignment="1" applyProtection="1">
      <alignment vertical="center"/>
    </xf>
    <xf numFmtId="164" fontId="8" fillId="2" borderId="8" xfId="1" applyFont="1" applyFill="1" applyBorder="1" applyAlignment="1" applyProtection="1">
      <alignment horizontal="center" vertical="center"/>
    </xf>
    <xf numFmtId="165" fontId="8" fillId="2" borderId="10" xfId="0" applyNumberFormat="1" applyFont="1" applyFill="1" applyBorder="1" applyAlignment="1">
      <alignment vertical="center"/>
    </xf>
    <xf numFmtId="10" fontId="8" fillId="2" borderId="11" xfId="2" applyNumberFormat="1" applyFont="1" applyFill="1" applyBorder="1" applyAlignment="1" applyProtection="1">
      <alignment vertical="center"/>
    </xf>
    <xf numFmtId="164" fontId="8" fillId="2" borderId="0" xfId="1" applyFont="1" applyFill="1" applyBorder="1" applyAlignment="1" applyProtection="1">
      <alignment vertical="center"/>
    </xf>
    <xf numFmtId="0" fontId="8" fillId="2" borderId="0" xfId="0" applyFont="1" applyFill="1" applyAlignment="1">
      <alignment vertical="center"/>
    </xf>
    <xf numFmtId="165" fontId="1" fillId="2" borderId="10" xfId="0" applyNumberFormat="1" applyFont="1" applyFill="1" applyBorder="1" applyAlignment="1">
      <alignment vertical="center"/>
    </xf>
    <xf numFmtId="10" fontId="1" fillId="2" borderId="11" xfId="2" applyNumberFormat="1" applyFont="1" applyFill="1" applyBorder="1" applyAlignment="1" applyProtection="1">
      <alignment vertical="center"/>
    </xf>
    <xf numFmtId="165" fontId="9" fillId="2" borderId="10" xfId="0" applyNumberFormat="1" applyFont="1" applyFill="1" applyBorder="1" applyAlignment="1">
      <alignment vertical="center"/>
    </xf>
    <xf numFmtId="166" fontId="1" fillId="2" borderId="10" xfId="0" applyNumberFormat="1" applyFont="1" applyFill="1" applyBorder="1" applyAlignment="1">
      <alignment vertical="center"/>
    </xf>
    <xf numFmtId="165" fontId="8" fillId="2" borderId="12" xfId="0" applyNumberFormat="1" applyFont="1" applyFill="1" applyBorder="1" applyAlignment="1">
      <alignment vertical="center"/>
    </xf>
    <xf numFmtId="164" fontId="8" fillId="3" borderId="13" xfId="1" applyFont="1" applyFill="1" applyBorder="1" applyAlignment="1" applyProtection="1">
      <alignment horizontal="left" vertical="center"/>
    </xf>
    <xf numFmtId="4" fontId="8" fillId="3" borderId="14" xfId="0" applyNumberFormat="1" applyFont="1" applyFill="1" applyBorder="1" applyAlignment="1">
      <alignment horizontal="center" vertical="center"/>
    </xf>
    <xf numFmtId="164" fontId="8" fillId="3" borderId="14" xfId="1" applyFont="1" applyFill="1" applyBorder="1" applyAlignment="1" applyProtection="1">
      <alignment vertical="center"/>
    </xf>
    <xf numFmtId="167" fontId="8" fillId="3" borderId="15" xfId="0" applyNumberFormat="1" applyFont="1" applyFill="1" applyBorder="1" applyAlignment="1">
      <alignment vertical="center"/>
    </xf>
    <xf numFmtId="9" fontId="8" fillId="3" borderId="16" xfId="2" applyFont="1" applyFill="1" applyBorder="1" applyAlignment="1" applyProtection="1">
      <alignment vertical="center"/>
    </xf>
    <xf numFmtId="164" fontId="8" fillId="2" borderId="18" xfId="1" applyFont="1" applyFill="1" applyBorder="1" applyAlignment="1" applyProtection="1">
      <alignment horizontal="right" vertical="center"/>
    </xf>
    <xf numFmtId="1" fontId="1" fillId="2" borderId="8" xfId="1" applyNumberFormat="1" applyFont="1" applyFill="1" applyBorder="1" applyAlignment="1" applyProtection="1">
      <alignment horizontal="center" vertical="center"/>
    </xf>
    <xf numFmtId="1" fontId="1" fillId="2" borderId="19" xfId="1" applyNumberFormat="1" applyFont="1" applyFill="1" applyBorder="1" applyAlignment="1" applyProtection="1">
      <alignment horizontal="center" vertical="center"/>
    </xf>
    <xf numFmtId="1" fontId="1" fillId="2" borderId="21" xfId="1" applyNumberFormat="1" applyFont="1" applyFill="1" applyBorder="1" applyAlignment="1" applyProtection="1">
      <alignment horizontal="center" vertical="center"/>
    </xf>
    <xf numFmtId="1" fontId="1" fillId="5" borderId="22" xfId="0" applyNumberFormat="1" applyFont="1" applyFill="1" applyBorder="1" applyAlignment="1">
      <alignment horizontal="center" vertical="center"/>
    </xf>
    <xf numFmtId="164" fontId="8" fillId="2" borderId="3" xfId="1" applyFont="1" applyFill="1" applyBorder="1" applyAlignment="1" applyProtection="1">
      <alignment vertical="center"/>
    </xf>
    <xf numFmtId="4" fontId="8" fillId="2" borderId="0" xfId="0" applyNumberFormat="1" applyFont="1" applyFill="1" applyAlignment="1">
      <alignment vertical="center"/>
    </xf>
    <xf numFmtId="168" fontId="1" fillId="2" borderId="0" xfId="1" applyNumberFormat="1" applyFont="1" applyFill="1" applyBorder="1" applyAlignment="1" applyProtection="1">
      <alignment horizontal="center" vertical="center"/>
    </xf>
    <xf numFmtId="164" fontId="8" fillId="2" borderId="13" xfId="1" applyFont="1" applyFill="1" applyBorder="1" applyAlignment="1" applyProtection="1">
      <alignment vertical="center"/>
    </xf>
    <xf numFmtId="9" fontId="8" fillId="2" borderId="24" xfId="2" applyFont="1" applyFill="1" applyBorder="1" applyAlignment="1" applyProtection="1">
      <alignment vertical="center"/>
    </xf>
    <xf numFmtId="168" fontId="8" fillId="2" borderId="0" xfId="1" applyNumberFormat="1" applyFont="1" applyFill="1" applyBorder="1" applyAlignment="1" applyProtection="1">
      <alignment horizontal="center" vertical="center"/>
    </xf>
    <xf numFmtId="9" fontId="8" fillId="2" borderId="0" xfId="2" applyFont="1" applyFill="1" applyBorder="1" applyAlignment="1" applyProtection="1">
      <alignment vertical="center"/>
    </xf>
    <xf numFmtId="0" fontId="8" fillId="3" borderId="0" xfId="0" applyFont="1" applyFill="1" applyAlignment="1">
      <alignment vertical="center"/>
    </xf>
    <xf numFmtId="0" fontId="1" fillId="2" borderId="25" xfId="0" applyFont="1" applyFill="1" applyBorder="1" applyAlignment="1">
      <alignment vertical="center"/>
    </xf>
    <xf numFmtId="0" fontId="1" fillId="6" borderId="26" xfId="0" applyFont="1" applyFill="1" applyBorder="1" applyAlignment="1">
      <alignment vertical="center"/>
    </xf>
    <xf numFmtId="0" fontId="1" fillId="2" borderId="26" xfId="0" applyFont="1" applyFill="1" applyBorder="1" applyAlignment="1">
      <alignment vertical="center"/>
    </xf>
    <xf numFmtId="164" fontId="1" fillId="2" borderId="26" xfId="1" applyFont="1" applyFill="1" applyBorder="1" applyAlignment="1" applyProtection="1">
      <alignment vertical="center"/>
    </xf>
    <xf numFmtId="164" fontId="10" fillId="2" borderId="26" xfId="1" applyFont="1" applyFill="1" applyBorder="1" applyAlignment="1" applyProtection="1">
      <alignment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64" fontId="11" fillId="2" borderId="27" xfId="1" applyFont="1" applyFill="1" applyBorder="1" applyAlignment="1" applyProtection="1">
      <alignment horizontal="center" vertical="center"/>
    </xf>
    <xf numFmtId="164" fontId="12" fillId="2" borderId="16" xfId="1" applyFont="1" applyFill="1" applyBorder="1" applyAlignment="1" applyProtection="1">
      <alignment horizontal="center" vertical="center"/>
    </xf>
    <xf numFmtId="0" fontId="1" fillId="2" borderId="28" xfId="0" applyFont="1" applyFill="1" applyBorder="1" applyAlignment="1">
      <alignment vertical="center"/>
    </xf>
    <xf numFmtId="0" fontId="1" fillId="2" borderId="28" xfId="0" applyFont="1" applyFill="1" applyBorder="1" applyAlignment="1">
      <alignment horizontal="center" vertical="center"/>
    </xf>
    <xf numFmtId="164" fontId="1" fillId="2" borderId="28" xfId="1" applyFont="1" applyFill="1" applyBorder="1" applyAlignment="1" applyProtection="1">
      <alignment horizontal="left" vertical="center"/>
    </xf>
    <xf numFmtId="164" fontId="1" fillId="2" borderId="28" xfId="1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1" fontId="2" fillId="2" borderId="10" xfId="0" applyNumberFormat="1" applyFont="1" applyFill="1" applyBorder="1" applyAlignment="1">
      <alignment horizontal="center" vertical="center"/>
    </xf>
    <xf numFmtId="164" fontId="1" fillId="2" borderId="10" xfId="1" applyFont="1" applyFill="1" applyBorder="1" applyAlignment="1" applyProtection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8" fillId="2" borderId="0" xfId="1" applyFont="1" applyFill="1" applyBorder="1" applyAlignment="1" applyProtection="1">
      <alignment horizontal="center" vertical="center"/>
    </xf>
    <xf numFmtId="164" fontId="8" fillId="2" borderId="29" xfId="1" applyFont="1" applyFill="1" applyBorder="1" applyAlignment="1" applyProtection="1">
      <alignment horizontal="center" vertical="center"/>
    </xf>
    <xf numFmtId="1" fontId="1" fillId="5" borderId="26" xfId="0" applyNumberFormat="1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vertical="center"/>
    </xf>
    <xf numFmtId="0" fontId="1" fillId="2" borderId="31" xfId="0" applyFont="1" applyFill="1" applyBorder="1" applyAlignment="1">
      <alignment vertical="center"/>
    </xf>
    <xf numFmtId="164" fontId="1" fillId="2" borderId="31" xfId="1" applyFont="1" applyFill="1" applyBorder="1" applyAlignment="1" applyProtection="1">
      <alignment horizontal="right" vertical="center"/>
    </xf>
    <xf numFmtId="164" fontId="1" fillId="2" borderId="10" xfId="1" applyFont="1" applyFill="1" applyBorder="1" applyAlignment="1" applyProtection="1">
      <alignment vertical="center"/>
    </xf>
    <xf numFmtId="164" fontId="8" fillId="5" borderId="24" xfId="1" applyFont="1" applyFill="1" applyBorder="1" applyAlignment="1" applyProtection="1">
      <alignment horizontal="center" vertical="center"/>
    </xf>
    <xf numFmtId="0" fontId="1" fillId="0" borderId="26" xfId="0" applyFont="1" applyBorder="1" applyAlignment="1">
      <alignment wrapText="1"/>
    </xf>
    <xf numFmtId="0" fontId="1" fillId="6" borderId="26" xfId="0" applyFont="1" applyFill="1" applyBorder="1" applyAlignment="1">
      <alignment horizontal="left" wrapText="1"/>
    </xf>
    <xf numFmtId="0" fontId="8" fillId="2" borderId="10" xfId="0" applyFont="1" applyFill="1" applyBorder="1" applyAlignment="1">
      <alignment vertical="center"/>
    </xf>
    <xf numFmtId="164" fontId="8" fillId="2" borderId="10" xfId="1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164" fontId="8" fillId="2" borderId="32" xfId="1" applyFont="1" applyFill="1" applyBorder="1" applyAlignment="1" applyProtection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164" fontId="1" fillId="2" borderId="33" xfId="1" applyFont="1" applyFill="1" applyBorder="1" applyAlignment="1" applyProtection="1">
      <alignment vertical="center"/>
    </xf>
    <xf numFmtId="164" fontId="8" fillId="5" borderId="5" xfId="1" applyFont="1" applyFill="1" applyBorder="1" applyAlignment="1" applyProtection="1">
      <alignment horizontal="center" vertical="center"/>
    </xf>
    <xf numFmtId="164" fontId="1" fillId="2" borderId="0" xfId="1" applyFont="1" applyFill="1" applyBorder="1" applyAlignment="1" applyProtection="1">
      <alignment horizontal="right" vertical="center"/>
    </xf>
    <xf numFmtId="164" fontId="1" fillId="2" borderId="0" xfId="1" applyFont="1" applyFill="1" applyBorder="1" applyAlignment="1" applyProtection="1">
      <alignment horizontal="center" vertical="center"/>
    </xf>
    <xf numFmtId="0" fontId="1" fillId="2" borderId="34" xfId="0" applyFont="1" applyFill="1" applyBorder="1" applyAlignment="1">
      <alignment vertical="center"/>
    </xf>
    <xf numFmtId="164" fontId="1" fillId="2" borderId="34" xfId="1" applyFont="1" applyFill="1" applyBorder="1" applyAlignment="1" applyProtection="1">
      <alignment horizontal="right" vertical="center"/>
    </xf>
    <xf numFmtId="164" fontId="1" fillId="2" borderId="34" xfId="1" applyFont="1" applyFill="1" applyBorder="1" applyAlignment="1" applyProtection="1">
      <alignment vertical="center"/>
    </xf>
    <xf numFmtId="164" fontId="8" fillId="2" borderId="34" xfId="1" applyFont="1" applyFill="1" applyBorder="1" applyAlignment="1" applyProtection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" fillId="7" borderId="26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8" borderId="10" xfId="0" applyFont="1" applyFill="1" applyBorder="1" applyAlignment="1">
      <alignment vertical="center"/>
    </xf>
    <xf numFmtId="168" fontId="1" fillId="8" borderId="10" xfId="1" applyNumberFormat="1" applyFont="1" applyFill="1" applyBorder="1" applyAlignment="1" applyProtection="1">
      <alignment horizontal="center" vertical="center"/>
    </xf>
    <xf numFmtId="164" fontId="1" fillId="8" borderId="0" xfId="1" applyFont="1" applyFill="1" applyBorder="1" applyAlignment="1" applyProtection="1">
      <alignment vertical="center"/>
    </xf>
    <xf numFmtId="0" fontId="1" fillId="8" borderId="26" xfId="0" applyFont="1" applyFill="1" applyBorder="1" applyAlignment="1">
      <alignment vertical="center"/>
    </xf>
    <xf numFmtId="0" fontId="1" fillId="8" borderId="0" xfId="0" applyFont="1" applyFill="1" applyAlignment="1">
      <alignment vertical="center"/>
    </xf>
    <xf numFmtId="168" fontId="1" fillId="2" borderId="10" xfId="1" applyNumberFormat="1" applyFont="1" applyFill="1" applyBorder="1" applyAlignment="1" applyProtection="1">
      <alignment vertical="center"/>
    </xf>
    <xf numFmtId="0" fontId="1" fillId="8" borderId="35" xfId="0" applyFont="1" applyFill="1" applyBorder="1" applyAlignment="1">
      <alignment vertical="center"/>
    </xf>
    <xf numFmtId="0" fontId="1" fillId="8" borderId="31" xfId="0" applyFont="1" applyFill="1" applyBorder="1" applyAlignment="1">
      <alignment vertical="center"/>
    </xf>
    <xf numFmtId="164" fontId="8" fillId="5" borderId="5" xfId="1" applyFont="1" applyFill="1" applyBorder="1" applyAlignment="1" applyProtection="1">
      <alignment vertical="center"/>
    </xf>
    <xf numFmtId="164" fontId="1" fillId="8" borderId="10" xfId="1" applyFont="1" applyFill="1" applyBorder="1" applyAlignment="1" applyProtection="1">
      <alignment horizontal="center" vertical="center"/>
    </xf>
    <xf numFmtId="3" fontId="1" fillId="8" borderId="10" xfId="1" applyNumberFormat="1" applyFont="1" applyFill="1" applyBorder="1" applyAlignment="1" applyProtection="1">
      <alignment horizontal="right" vertical="center"/>
    </xf>
    <xf numFmtId="0" fontId="8" fillId="3" borderId="13" xfId="0" applyFont="1" applyFill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164" fontId="8" fillId="3" borderId="24" xfId="1" applyFont="1" applyFill="1" applyBorder="1" applyAlignment="1" applyProtection="1">
      <alignment vertical="center"/>
    </xf>
    <xf numFmtId="164" fontId="8" fillId="3" borderId="5" xfId="1" applyFont="1" applyFill="1" applyBorder="1" applyAlignment="1" applyProtection="1">
      <alignment vertical="center"/>
    </xf>
    <xf numFmtId="0" fontId="1" fillId="3" borderId="0" xfId="0" applyFont="1" applyFill="1" applyAlignment="1">
      <alignment vertical="center"/>
    </xf>
    <xf numFmtId="0" fontId="11" fillId="2" borderId="27" xfId="0" applyFont="1" applyFill="1" applyBorder="1" applyAlignment="1">
      <alignment horizontal="center" vertical="center" wrapText="1"/>
    </xf>
    <xf numFmtId="1" fontId="1" fillId="2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164" fontId="1" fillId="2" borderId="0" xfId="1" applyFont="1" applyFill="1" applyBorder="1" applyProtection="1"/>
    <xf numFmtId="0" fontId="1" fillId="2" borderId="0" xfId="0" applyFont="1" applyFill="1"/>
    <xf numFmtId="1" fontId="17" fillId="2" borderId="10" xfId="0" applyNumberFormat="1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vertical="center"/>
    </xf>
    <xf numFmtId="164" fontId="1" fillId="3" borderId="14" xfId="1" applyFont="1" applyFill="1" applyBorder="1" applyAlignment="1" applyProtection="1">
      <alignment vertical="center"/>
    </xf>
    <xf numFmtId="164" fontId="1" fillId="3" borderId="24" xfId="1" applyFont="1" applyFill="1" applyBorder="1" applyAlignment="1" applyProtection="1">
      <alignment vertical="center"/>
    </xf>
    <xf numFmtId="164" fontId="8" fillId="3" borderId="5" xfId="1" applyFont="1" applyFill="1" applyBorder="1" applyAlignment="1" applyProtection="1">
      <alignment horizontal="center" vertical="center"/>
    </xf>
    <xf numFmtId="0" fontId="9" fillId="2" borderId="0" xfId="3" applyFont="1" applyFill="1" applyBorder="1" applyAlignment="1" applyProtection="1">
      <alignment vertical="center"/>
    </xf>
    <xf numFmtId="0" fontId="8" fillId="9" borderId="0" xfId="0" applyFont="1" applyFill="1" applyAlignment="1">
      <alignment vertical="center"/>
    </xf>
    <xf numFmtId="0" fontId="1" fillId="2" borderId="0" xfId="3" applyFont="1" applyFill="1" applyBorder="1" applyAlignment="1" applyProtection="1">
      <alignment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164" fontId="11" fillId="2" borderId="36" xfId="1" applyFont="1" applyFill="1" applyBorder="1" applyAlignment="1" applyProtection="1">
      <alignment horizontal="center" vertical="center"/>
    </xf>
    <xf numFmtId="164" fontId="11" fillId="2" borderId="0" xfId="1" applyFont="1" applyFill="1" applyBorder="1" applyAlignment="1" applyProtection="1">
      <alignment horizontal="center" vertical="center"/>
    </xf>
    <xf numFmtId="164" fontId="1" fillId="6" borderId="10" xfId="1" applyFont="1" applyFill="1" applyBorder="1" applyAlignment="1" applyProtection="1">
      <alignment horizontal="center" vertical="center"/>
    </xf>
    <xf numFmtId="169" fontId="1" fillId="2" borderId="0" xfId="0" applyNumberFormat="1" applyFont="1" applyFill="1" applyAlignment="1">
      <alignment vertical="center"/>
    </xf>
    <xf numFmtId="0" fontId="8" fillId="2" borderId="37" xfId="0" applyFont="1" applyFill="1" applyBorder="1" applyAlignment="1">
      <alignment vertical="center"/>
    </xf>
    <xf numFmtId="0" fontId="8" fillId="2" borderId="37" xfId="0" applyFont="1" applyFill="1" applyBorder="1" applyAlignment="1">
      <alignment horizontal="center" vertical="center"/>
    </xf>
    <xf numFmtId="164" fontId="8" fillId="2" borderId="37" xfId="1" applyFont="1" applyFill="1" applyBorder="1" applyAlignment="1" applyProtection="1">
      <alignment horizontal="center" vertical="center"/>
    </xf>
    <xf numFmtId="164" fontId="19" fillId="6" borderId="28" xfId="1" applyFont="1" applyFill="1" applyBorder="1" applyAlignment="1" applyProtection="1">
      <alignment horizontal="center" vertical="center"/>
    </xf>
    <xf numFmtId="164" fontId="15" fillId="2" borderId="0" xfId="1" applyFont="1" applyFill="1" applyBorder="1" applyAlignment="1" applyProtection="1">
      <alignment horizontal="left" vertical="center"/>
    </xf>
    <xf numFmtId="0" fontId="20" fillId="2" borderId="0" xfId="0" applyFont="1" applyFill="1" applyAlignment="1">
      <alignment vertical="center"/>
    </xf>
    <xf numFmtId="0" fontId="8" fillId="2" borderId="26" xfId="0" applyFont="1" applyFill="1" applyBorder="1" applyAlignment="1">
      <alignment horizontal="center" vertical="center"/>
    </xf>
    <xf numFmtId="164" fontId="8" fillId="2" borderId="26" xfId="1" applyFont="1" applyFill="1" applyBorder="1" applyAlignment="1" applyProtection="1">
      <alignment horizontal="center" vertical="center"/>
    </xf>
    <xf numFmtId="164" fontId="8" fillId="8" borderId="29" xfId="1" applyFont="1" applyFill="1" applyBorder="1" applyAlignment="1" applyProtection="1">
      <alignment horizontal="center" vertical="center"/>
    </xf>
    <xf numFmtId="164" fontId="1" fillId="6" borderId="28" xfId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1" fontId="1" fillId="5" borderId="10" xfId="0" applyNumberFormat="1" applyFont="1" applyFill="1" applyBorder="1" applyAlignment="1">
      <alignment horizontal="center" vertical="center"/>
    </xf>
    <xf numFmtId="164" fontId="8" fillId="5" borderId="10" xfId="1" applyFont="1" applyFill="1" applyBorder="1" applyAlignment="1" applyProtection="1">
      <alignment horizontal="center" vertical="center"/>
    </xf>
    <xf numFmtId="164" fontId="8" fillId="5" borderId="29" xfId="1" applyFont="1" applyFill="1" applyBorder="1" applyAlignment="1" applyProtection="1">
      <alignment horizontal="center" vertical="center"/>
    </xf>
    <xf numFmtId="0" fontId="21" fillId="2" borderId="0" xfId="0" applyFont="1" applyFill="1" applyAlignment="1">
      <alignment horizontal="left" vertical="center" wrapText="1"/>
    </xf>
    <xf numFmtId="0" fontId="17" fillId="2" borderId="10" xfId="0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" fontId="8" fillId="5" borderId="10" xfId="0" applyNumberFormat="1" applyFont="1" applyFill="1" applyBorder="1" applyAlignment="1">
      <alignment horizontal="center" vertical="center"/>
    </xf>
    <xf numFmtId="1" fontId="8" fillId="8" borderId="10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Alignment="1">
      <alignment vertical="center"/>
    </xf>
    <xf numFmtId="3" fontId="1" fillId="2" borderId="10" xfId="0" applyNumberFormat="1" applyFont="1" applyFill="1" applyBorder="1" applyAlignment="1">
      <alignment vertical="center"/>
    </xf>
    <xf numFmtId="4" fontId="1" fillId="2" borderId="28" xfId="0" applyNumberFormat="1" applyFont="1" applyFill="1" applyBorder="1" applyAlignment="1">
      <alignment horizontal="center" vertical="center"/>
    </xf>
    <xf numFmtId="4" fontId="8" fillId="2" borderId="28" xfId="1" applyNumberFormat="1" applyFont="1" applyFill="1" applyBorder="1" applyAlignment="1" applyProtection="1">
      <alignment horizontal="right" vertical="center"/>
    </xf>
    <xf numFmtId="168" fontId="1" fillId="2" borderId="10" xfId="1" applyNumberFormat="1" applyFont="1" applyFill="1" applyBorder="1" applyAlignment="1" applyProtection="1">
      <alignment horizontal="center" vertical="center"/>
    </xf>
    <xf numFmtId="170" fontId="1" fillId="2" borderId="28" xfId="1" applyNumberFormat="1" applyFont="1" applyFill="1" applyBorder="1" applyAlignment="1" applyProtection="1">
      <alignment horizontal="center" vertical="center"/>
    </xf>
    <xf numFmtId="4" fontId="1" fillId="2" borderId="10" xfId="0" applyNumberFormat="1" applyFont="1" applyFill="1" applyBorder="1" applyAlignment="1">
      <alignment horizontal="center" vertical="center"/>
    </xf>
    <xf numFmtId="170" fontId="1" fillId="2" borderId="10" xfId="1" applyNumberFormat="1" applyFont="1" applyFill="1" applyBorder="1" applyAlignment="1" applyProtection="1">
      <alignment horizontal="center" vertical="center"/>
    </xf>
    <xf numFmtId="4" fontId="1" fillId="2" borderId="10" xfId="1" applyNumberFormat="1" applyFont="1" applyFill="1" applyBorder="1" applyAlignment="1" applyProtection="1">
      <alignment horizontal="right" vertical="center"/>
    </xf>
    <xf numFmtId="0" fontId="1" fillId="2" borderId="38" xfId="0" applyFont="1" applyFill="1" applyBorder="1" applyAlignment="1">
      <alignment horizontal="center" vertical="center"/>
    </xf>
    <xf numFmtId="3" fontId="1" fillId="2" borderId="10" xfId="0" applyNumberFormat="1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vertical="center"/>
    </xf>
    <xf numFmtId="0" fontId="1" fillId="9" borderId="14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164" fontId="1" fillId="2" borderId="14" xfId="1" applyFont="1" applyFill="1" applyBorder="1" applyAlignment="1" applyProtection="1">
      <alignment vertical="center"/>
    </xf>
    <xf numFmtId="164" fontId="1" fillId="2" borderId="24" xfId="1" applyFont="1" applyFill="1" applyBorder="1" applyAlignment="1" applyProtection="1">
      <alignment vertical="center"/>
    </xf>
    <xf numFmtId="164" fontId="8" fillId="9" borderId="5" xfId="1" applyFont="1" applyFill="1" applyBorder="1" applyAlignment="1" applyProtection="1">
      <alignment horizontal="center" vertical="center"/>
    </xf>
    <xf numFmtId="1" fontId="1" fillId="2" borderId="28" xfId="0" applyNumberFormat="1" applyFont="1" applyFill="1" applyBorder="1" applyAlignment="1">
      <alignment horizontal="center" vertical="center"/>
    </xf>
    <xf numFmtId="1" fontId="1" fillId="8" borderId="10" xfId="0" applyNumberFormat="1" applyFont="1" applyFill="1" applyBorder="1" applyAlignment="1">
      <alignment horizontal="center" vertical="center"/>
    </xf>
    <xf numFmtId="164" fontId="8" fillId="8" borderId="5" xfId="1" applyFont="1" applyFill="1" applyBorder="1" applyAlignment="1" applyProtection="1">
      <alignment horizontal="center" vertical="center"/>
    </xf>
    <xf numFmtId="164" fontId="8" fillId="8" borderId="24" xfId="1" applyFont="1" applyFill="1" applyBorder="1" applyAlignment="1" applyProtection="1">
      <alignment horizontal="center" vertical="center"/>
    </xf>
    <xf numFmtId="4" fontId="1" fillId="2" borderId="28" xfId="1" applyNumberFormat="1" applyFont="1" applyFill="1" applyBorder="1" applyAlignment="1" applyProtection="1">
      <alignment horizontal="right" vertical="center"/>
    </xf>
    <xf numFmtId="168" fontId="8" fillId="2" borderId="10" xfId="1" applyNumberFormat="1" applyFont="1" applyFill="1" applyBorder="1" applyAlignment="1" applyProtection="1">
      <alignment horizontal="center" vertical="center"/>
    </xf>
    <xf numFmtId="170" fontId="8" fillId="2" borderId="10" xfId="1" applyNumberFormat="1" applyFont="1" applyFill="1" applyBorder="1" applyAlignment="1" applyProtection="1">
      <alignment horizontal="center" vertical="center"/>
    </xf>
    <xf numFmtId="171" fontId="1" fillId="2" borderId="10" xfId="1" applyNumberFormat="1" applyFont="1" applyFill="1" applyBorder="1" applyAlignment="1" applyProtection="1">
      <alignment horizontal="right" vertical="center"/>
    </xf>
    <xf numFmtId="0" fontId="1" fillId="8" borderId="28" xfId="0" applyFont="1" applyFill="1" applyBorder="1" applyAlignment="1">
      <alignment vertical="center"/>
    </xf>
    <xf numFmtId="0" fontId="1" fillId="8" borderId="28" xfId="0" applyFont="1" applyFill="1" applyBorder="1" applyAlignment="1">
      <alignment horizontal="center" vertical="center"/>
    </xf>
    <xf numFmtId="1" fontId="1" fillId="8" borderId="28" xfId="0" applyNumberFormat="1" applyFont="1" applyFill="1" applyBorder="1" applyAlignment="1">
      <alignment horizontal="center" vertical="center"/>
    </xf>
    <xf numFmtId="164" fontId="1" fillId="8" borderId="28" xfId="1" applyFont="1" applyFill="1" applyBorder="1" applyAlignment="1" applyProtection="1">
      <alignment horizontal="center" vertical="center"/>
    </xf>
    <xf numFmtId="164" fontId="8" fillId="8" borderId="37" xfId="1" applyFont="1" applyFill="1" applyBorder="1" applyAlignment="1" applyProtection="1">
      <alignment horizontal="center" vertical="center"/>
    </xf>
    <xf numFmtId="164" fontId="8" fillId="8" borderId="10" xfId="1" applyFont="1" applyFill="1" applyBorder="1" applyAlignment="1" applyProtection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164" fontId="8" fillId="2" borderId="5" xfId="1" applyFont="1" applyFill="1" applyBorder="1" applyAlignment="1" applyProtection="1">
      <alignment horizontal="center" vertical="center"/>
    </xf>
    <xf numFmtId="172" fontId="1" fillId="2" borderId="10" xfId="1" applyNumberFormat="1" applyFont="1" applyFill="1" applyBorder="1" applyAlignment="1" applyProtection="1">
      <alignment vertical="center"/>
    </xf>
    <xf numFmtId="171" fontId="1" fillId="2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13" fontId="1" fillId="2" borderId="10" xfId="0" applyNumberFormat="1" applyFont="1" applyFill="1" applyBorder="1" applyAlignment="1">
      <alignment horizontal="center" vertical="center"/>
    </xf>
    <xf numFmtId="164" fontId="22" fillId="2" borderId="0" xfId="1" applyFont="1" applyFill="1" applyBorder="1" applyAlignment="1" applyProtection="1">
      <alignment horizontal="center" vertical="center"/>
    </xf>
    <xf numFmtId="0" fontId="8" fillId="4" borderId="13" xfId="0" applyFont="1" applyFill="1" applyBorder="1" applyAlignment="1">
      <alignment vertical="center"/>
    </xf>
    <xf numFmtId="164" fontId="8" fillId="4" borderId="5" xfId="1" applyFont="1" applyFill="1" applyBorder="1" applyAlignment="1" applyProtection="1">
      <alignment vertical="center"/>
    </xf>
    <xf numFmtId="0" fontId="8" fillId="3" borderId="5" xfId="0" applyFont="1" applyFill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10" fontId="1" fillId="0" borderId="19" xfId="0" applyNumberFormat="1" applyFont="1" applyBorder="1" applyAlignment="1">
      <alignment horizontal="right" vertical="center"/>
    </xf>
    <xf numFmtId="10" fontId="8" fillId="0" borderId="19" xfId="0" applyNumberFormat="1" applyFont="1" applyBorder="1" applyAlignment="1">
      <alignment horizontal="right" vertical="center"/>
    </xf>
    <xf numFmtId="0" fontId="1" fillId="10" borderId="9" xfId="0" applyFont="1" applyFill="1" applyBorder="1" applyAlignment="1">
      <alignment horizontal="center" vertical="center"/>
    </xf>
    <xf numFmtId="10" fontId="8" fillId="10" borderId="19" xfId="0" applyNumberFormat="1" applyFont="1" applyFill="1" applyBorder="1" applyAlignment="1">
      <alignment horizontal="right" vertical="center"/>
    </xf>
    <xf numFmtId="10" fontId="2" fillId="0" borderId="0" xfId="0" applyNumberFormat="1" applyFont="1"/>
    <xf numFmtId="9" fontId="1" fillId="0" borderId="0" xfId="2" applyFont="1" applyBorder="1" applyAlignment="1" applyProtection="1">
      <alignment horizontal="right" vertical="center"/>
    </xf>
    <xf numFmtId="0" fontId="1" fillId="11" borderId="39" xfId="0" applyFont="1" applyFill="1" applyBorder="1" applyAlignment="1">
      <alignment horizontal="left" vertical="center"/>
    </xf>
    <xf numFmtId="10" fontId="8" fillId="11" borderId="4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right" vertical="center"/>
    </xf>
    <xf numFmtId="10" fontId="8" fillId="0" borderId="0" xfId="0" applyNumberFormat="1" applyFont="1" applyAlignment="1">
      <alignment horizontal="right" vertical="center"/>
    </xf>
    <xf numFmtId="0" fontId="8" fillId="4" borderId="1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1" fillId="0" borderId="0" xfId="0" applyFont="1"/>
    <xf numFmtId="0" fontId="2" fillId="4" borderId="2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10" fontId="8" fillId="0" borderId="19" xfId="2" applyNumberFormat="1" applyFont="1" applyBorder="1" applyAlignment="1" applyProtection="1">
      <alignment horizontal="center"/>
    </xf>
    <xf numFmtId="173" fontId="19" fillId="0" borderId="19" xfId="0" applyNumberFormat="1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9" fontId="8" fillId="0" borderId="19" xfId="2" applyFont="1" applyBorder="1" applyAlignment="1" applyProtection="1">
      <alignment horizontal="center"/>
    </xf>
    <xf numFmtId="9" fontId="19" fillId="0" borderId="44" xfId="2" applyFont="1" applyBorder="1" applyAlignment="1" applyProtection="1">
      <alignment horizontal="center"/>
    </xf>
    <xf numFmtId="0" fontId="8" fillId="0" borderId="3" xfId="0" applyFont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19" fillId="0" borderId="3" xfId="0" applyFont="1" applyBorder="1" applyAlignment="1">
      <alignment horizontal="left" vertical="center"/>
    </xf>
    <xf numFmtId="0" fontId="2" fillId="0" borderId="3" xfId="0" applyFont="1" applyBorder="1"/>
    <xf numFmtId="9" fontId="2" fillId="0" borderId="9" xfId="2" applyBorder="1" applyAlignment="1" applyProtection="1">
      <alignment horizontal="center"/>
    </xf>
    <xf numFmtId="9" fontId="2" fillId="0" borderId="10" xfId="2" applyBorder="1" applyAlignment="1" applyProtection="1">
      <alignment horizontal="center"/>
    </xf>
    <xf numFmtId="9" fontId="2" fillId="0" borderId="19" xfId="2" applyBorder="1" applyAlignment="1" applyProtection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10" fontId="2" fillId="4" borderId="8" xfId="0" applyNumberFormat="1" applyFont="1" applyFill="1" applyBorder="1" applyAlignment="1">
      <alignment horizontal="center" vertical="center"/>
    </xf>
    <xf numFmtId="10" fontId="2" fillId="0" borderId="38" xfId="2" applyNumberFormat="1" applyBorder="1" applyAlignment="1" applyProtection="1">
      <alignment horizontal="center"/>
    </xf>
    <xf numFmtId="10" fontId="2" fillId="0" borderId="10" xfId="2" applyNumberFormat="1" applyBorder="1" applyAlignment="1" applyProtection="1">
      <alignment horizontal="center"/>
    </xf>
    <xf numFmtId="10" fontId="2" fillId="0" borderId="19" xfId="2" applyNumberFormat="1" applyBorder="1" applyAlignment="1" applyProtection="1">
      <alignment horizont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10" fontId="2" fillId="4" borderId="19" xfId="0" applyNumberFormat="1" applyFont="1" applyFill="1" applyBorder="1" applyAlignment="1">
      <alignment horizontal="center" vertical="center"/>
    </xf>
    <xf numFmtId="10" fontId="2" fillId="0" borderId="19" xfId="0" applyNumberFormat="1" applyFont="1" applyBorder="1" applyAlignment="1">
      <alignment horizontal="center" vertical="center"/>
    </xf>
    <xf numFmtId="10" fontId="2" fillId="4" borderId="10" xfId="2" applyNumberFormat="1" applyFill="1" applyBorder="1" applyAlignment="1" applyProtection="1">
      <alignment horizontal="center"/>
    </xf>
    <xf numFmtId="0" fontId="2" fillId="0" borderId="38" xfId="0" applyFont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39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10" fontId="2" fillId="4" borderId="40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vertical="center"/>
    </xf>
    <xf numFmtId="2" fontId="2" fillId="0" borderId="0" xfId="0" applyNumberFormat="1" applyFont="1" applyAlignment="1">
      <alignment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47" xfId="0" applyFont="1" applyBorder="1" applyAlignment="1">
      <alignment horizontal="left" vertical="center"/>
    </xf>
    <xf numFmtId="0" fontId="2" fillId="0" borderId="48" xfId="0" applyFont="1" applyBorder="1" applyAlignment="1">
      <alignment horizontal="center" vertical="center"/>
    </xf>
    <xf numFmtId="0" fontId="19" fillId="10" borderId="13" xfId="0" applyFont="1" applyFill="1" applyBorder="1" applyAlignment="1">
      <alignment vertical="center" wrapText="1"/>
    </xf>
    <xf numFmtId="0" fontId="2" fillId="10" borderId="14" xfId="0" applyFont="1" applyFill="1" applyBorder="1" applyAlignment="1">
      <alignment vertical="center"/>
    </xf>
    <xf numFmtId="10" fontId="19" fillId="10" borderId="24" xfId="0" applyNumberFormat="1" applyFont="1" applyFill="1" applyBorder="1" applyAlignment="1">
      <alignment horizontal="center" vertical="center" wrapText="1"/>
    </xf>
    <xf numFmtId="10" fontId="2" fillId="0" borderId="39" xfId="2" applyNumberFormat="1" applyBorder="1" applyAlignment="1" applyProtection="1">
      <alignment horizontal="center"/>
    </xf>
    <xf numFmtId="10" fontId="2" fillId="0" borderId="12" xfId="2" applyNumberFormat="1" applyBorder="1" applyAlignment="1" applyProtection="1">
      <alignment horizontal="center"/>
    </xf>
    <xf numFmtId="10" fontId="2" fillId="0" borderId="40" xfId="2" applyNumberFormat="1" applyBorder="1" applyAlignment="1" applyProtection="1">
      <alignment horizontal="center"/>
    </xf>
    <xf numFmtId="0" fontId="8" fillId="0" borderId="9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9" fillId="10" borderId="1" xfId="0" applyFont="1" applyFill="1" applyBorder="1" applyAlignment="1">
      <alignment horizontal="center"/>
    </xf>
    <xf numFmtId="0" fontId="2" fillId="0" borderId="49" xfId="0" applyFont="1" applyBorder="1"/>
    <xf numFmtId="0" fontId="1" fillId="0" borderId="49" xfId="0" applyFont="1" applyBorder="1" applyAlignment="1">
      <alignment horizontal="justify"/>
    </xf>
    <xf numFmtId="0" fontId="1" fillId="0" borderId="50" xfId="0" applyFont="1" applyBorder="1" applyAlignment="1">
      <alignment horizontal="justify"/>
    </xf>
    <xf numFmtId="0" fontId="3" fillId="3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64" fontId="7" fillId="5" borderId="5" xfId="1" applyFont="1" applyFill="1" applyBorder="1" applyAlignment="1" applyProtection="1">
      <alignment horizontal="center" vertical="center"/>
    </xf>
    <xf numFmtId="164" fontId="8" fillId="2" borderId="6" xfId="1" applyFont="1" applyFill="1" applyBorder="1" applyAlignment="1" applyProtection="1">
      <alignment horizontal="center" vertical="center"/>
    </xf>
    <xf numFmtId="164" fontId="8" fillId="2" borderId="9" xfId="1" applyFont="1" applyFill="1" applyBorder="1" applyAlignment="1" applyProtection="1">
      <alignment horizontal="left" vertical="center"/>
    </xf>
    <xf numFmtId="164" fontId="1" fillId="2" borderId="9" xfId="1" applyFont="1" applyFill="1" applyBorder="1" applyAlignment="1" applyProtection="1">
      <alignment horizontal="left" vertical="center"/>
    </xf>
    <xf numFmtId="164" fontId="9" fillId="2" borderId="9" xfId="1" applyFont="1" applyFill="1" applyBorder="1" applyAlignment="1" applyProtection="1">
      <alignment horizontal="left" vertical="center"/>
    </xf>
    <xf numFmtId="164" fontId="7" fillId="2" borderId="5" xfId="1" applyFont="1" applyFill="1" applyBorder="1" applyAlignment="1" applyProtection="1">
      <alignment horizontal="center" vertical="center"/>
    </xf>
    <xf numFmtId="164" fontId="8" fillId="2" borderId="17" xfId="1" applyFont="1" applyFill="1" applyBorder="1" applyAlignment="1" applyProtection="1">
      <alignment horizontal="center" vertical="center"/>
    </xf>
    <xf numFmtId="164" fontId="1" fillId="2" borderId="6" xfId="1" applyFont="1" applyFill="1" applyBorder="1" applyAlignment="1" applyProtection="1">
      <alignment horizontal="center" vertical="center"/>
    </xf>
    <xf numFmtId="164" fontId="1" fillId="2" borderId="9" xfId="1" applyFont="1" applyFill="1" applyBorder="1" applyAlignment="1" applyProtection="1">
      <alignment horizontal="center" vertical="center"/>
    </xf>
    <xf numFmtId="164" fontId="1" fillId="2" borderId="20" xfId="1" applyFont="1" applyFill="1" applyBorder="1" applyAlignment="1" applyProtection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 wrapText="1"/>
    </xf>
    <xf numFmtId="164" fontId="2" fillId="0" borderId="0" xfId="1" applyBorder="1" applyAlignment="1" applyProtection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4" fontId="23" fillId="2" borderId="0" xfId="0" applyNumberFormat="1" applyFont="1" applyFill="1" applyAlignment="1">
      <alignment horizontal="center" vertical="center" wrapText="1"/>
    </xf>
    <xf numFmtId="3" fontId="23" fillId="2" borderId="0" xfId="0" applyNumberFormat="1" applyFont="1" applyFill="1" applyAlignment="1">
      <alignment horizontal="center" vertical="center" wrapText="1"/>
    </xf>
    <xf numFmtId="164" fontId="23" fillId="2" borderId="0" xfId="1" applyFont="1" applyFill="1" applyBorder="1" applyAlignment="1" applyProtection="1">
      <alignment horizontal="center" vertical="center"/>
    </xf>
    <xf numFmtId="0" fontId="19" fillId="10" borderId="5" xfId="0" applyFont="1" applyFill="1" applyBorder="1" applyAlignment="1">
      <alignment horizontal="center" vertical="center"/>
    </xf>
    <xf numFmtId="0" fontId="19" fillId="10" borderId="6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/>
    </xf>
    <xf numFmtId="0" fontId="19" fillId="10" borderId="5" xfId="0" applyFont="1" applyFill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9" fontId="19" fillId="0" borderId="4" xfId="2" applyFont="1" applyBorder="1" applyAlignment="1" applyProtection="1">
      <alignment horizontal="center"/>
    </xf>
    <xf numFmtId="0" fontId="19" fillId="10" borderId="13" xfId="0" applyFont="1" applyFill="1" applyBorder="1" applyAlignment="1">
      <alignment horizontal="center" vertical="center"/>
    </xf>
    <xf numFmtId="0" fontId="8" fillId="12" borderId="45" xfId="0" applyFont="1" applyFill="1" applyBorder="1" applyAlignment="1">
      <alignment horizontal="center" vertical="center"/>
    </xf>
    <xf numFmtId="2" fontId="1" fillId="12" borderId="10" xfId="0" applyNumberFormat="1" applyFont="1" applyFill="1" applyBorder="1" applyAlignment="1">
      <alignment horizontal="center" vertical="center"/>
    </xf>
    <xf numFmtId="2" fontId="1" fillId="12" borderId="12" xfId="0" applyNumberFormat="1" applyFont="1" applyFill="1" applyBorder="1" applyAlignment="1">
      <alignment horizontal="center" vertical="center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3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D7"/>
      <rgbColor rgb="FFDDDDD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EECE1"/>
      <rgbColor rgb="FFFFFFA6"/>
      <rgbColor rgb="FF99CCFF"/>
      <rgbColor rgb="FFFF99CC"/>
      <rgbColor rgb="FFCC99FF"/>
      <rgbColor rgb="FFFFCC99"/>
      <rgbColor rgb="FF3366FF"/>
      <rgbColor rgb="FF33CCCC"/>
      <rgbColor rgb="FF99CC00"/>
      <rgbColor rgb="FFFFBF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1892160</xdr:colOff>
      <xdr:row>0</xdr:row>
      <xdr:rowOff>54360</xdr:rowOff>
    </xdr:from>
    <xdr:to>
      <xdr:col>0</xdr:col>
      <xdr:colOff>2543400</xdr:colOff>
      <xdr:row>4</xdr:row>
      <xdr:rowOff>76680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alphaModFix amt="0"/>
        </a:blip>
        <a:srcRect l="-163" t="-131" r="-163" b="-131"/>
        <a:stretch/>
      </xdr:blipFill>
      <xdr:spPr>
        <a:xfrm>
          <a:off x="1892160" y="54360"/>
          <a:ext cx="651240" cy="822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133200</xdr:colOff>
      <xdr:row>99</xdr:row>
      <xdr:rowOff>36360</xdr:rowOff>
    </xdr:from>
    <xdr:to>
      <xdr:col>0</xdr:col>
      <xdr:colOff>1409400</xdr:colOff>
      <xdr:row>101</xdr:row>
      <xdr:rowOff>64080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15906600"/>
          <a:ext cx="1276200" cy="3528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85680</xdr:colOff>
      <xdr:row>102</xdr:row>
      <xdr:rowOff>12960</xdr:rowOff>
    </xdr:from>
    <xdr:to>
      <xdr:col>0</xdr:col>
      <xdr:colOff>2114280</xdr:colOff>
      <xdr:row>104</xdr:row>
      <xdr:rowOff>49680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6371000"/>
          <a:ext cx="2028600" cy="3618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L563"/>
  <sheetViews>
    <sheetView tabSelected="1" zoomScale="120" zoomScaleNormal="120" workbookViewId="0">
      <selection activeCell="E54" sqref="E54"/>
    </sheetView>
  </sheetViews>
  <sheetFormatPr defaultColWidth="9.28515625" defaultRowHeight="12.75"/>
  <cols>
    <col min="1" max="1" width="46.5703125" style="1" customWidth="1"/>
    <col min="2" max="2" width="13.7109375" style="1" customWidth="1"/>
    <col min="3" max="3" width="15.28515625" style="1" customWidth="1"/>
    <col min="4" max="4" width="14.7109375" style="2" customWidth="1"/>
    <col min="5" max="5" width="16.140625" style="2" customWidth="1"/>
    <col min="6" max="6" width="13.140625" style="2" customWidth="1"/>
    <col min="7" max="7" width="28.140625" style="2" customWidth="1"/>
    <col min="8" max="8" width="9.140625" style="1" customWidth="1"/>
    <col min="9" max="9" width="14.5703125" style="1" customWidth="1"/>
    <col min="10" max="10" width="13.42578125" style="1" customWidth="1"/>
    <col min="11" max="64" width="9.140625" style="1" customWidth="1"/>
  </cols>
  <sheetData>
    <row r="1" spans="1:7" ht="15.75" customHeight="1">
      <c r="A1" s="257" t="s">
        <v>0</v>
      </c>
      <c r="B1" s="257"/>
      <c r="C1" s="257"/>
      <c r="D1" s="257"/>
      <c r="E1" s="257"/>
      <c r="F1" s="257"/>
    </row>
    <row r="2" spans="1:7" ht="15.75" customHeight="1">
      <c r="A2" s="257"/>
      <c r="B2" s="257"/>
      <c r="C2" s="257"/>
      <c r="D2" s="257"/>
      <c r="E2" s="257"/>
      <c r="F2" s="257"/>
    </row>
    <row r="3" spans="1:7" ht="15.75" customHeight="1">
      <c r="A3" s="257"/>
      <c r="B3" s="257"/>
      <c r="C3" s="257"/>
      <c r="D3" s="257"/>
      <c r="E3" s="257"/>
      <c r="F3" s="257"/>
    </row>
    <row r="4" spans="1:7" ht="15.75" customHeight="1">
      <c r="A4" s="257"/>
      <c r="B4" s="257"/>
      <c r="C4" s="257"/>
      <c r="D4" s="257"/>
      <c r="E4" s="257"/>
      <c r="F4" s="257"/>
    </row>
    <row r="5" spans="1:7" ht="15.75" customHeight="1">
      <c r="A5" s="257"/>
      <c r="B5" s="257"/>
      <c r="C5" s="257"/>
      <c r="D5" s="257"/>
      <c r="E5" s="257"/>
      <c r="F5" s="257"/>
    </row>
    <row r="6" spans="1:7" ht="15.75" customHeight="1">
      <c r="A6" s="3"/>
      <c r="B6" s="4"/>
      <c r="C6" s="4"/>
      <c r="D6" s="4"/>
      <c r="E6" s="4"/>
      <c r="F6" s="4"/>
    </row>
    <row r="7" spans="1:7" s="6" customFormat="1" ht="18">
      <c r="A7" s="258" t="s">
        <v>1</v>
      </c>
      <c r="B7" s="258"/>
      <c r="C7" s="258"/>
      <c r="D7" s="258"/>
      <c r="E7" s="258"/>
      <c r="F7" s="258"/>
      <c r="G7" s="5"/>
    </row>
    <row r="8" spans="1:7" s="6" customFormat="1" ht="27.4" customHeight="1">
      <c r="A8" s="259" t="s">
        <v>2</v>
      </c>
      <c r="B8" s="259"/>
      <c r="C8" s="259"/>
      <c r="D8" s="259"/>
      <c r="E8" s="259"/>
      <c r="F8" s="259"/>
      <c r="G8" s="5"/>
    </row>
    <row r="9" spans="1:7" ht="10.9" customHeight="1">
      <c r="A9" s="7"/>
      <c r="B9" s="4"/>
      <c r="C9" s="4"/>
      <c r="F9" s="8"/>
    </row>
    <row r="10" spans="1:7" ht="15.75" customHeight="1">
      <c r="A10" s="260" t="s">
        <v>3</v>
      </c>
      <c r="B10" s="260"/>
      <c r="C10" s="260"/>
      <c r="D10" s="260"/>
      <c r="E10" s="260"/>
      <c r="F10" s="260"/>
    </row>
    <row r="11" spans="1:7" ht="15.75" customHeight="1">
      <c r="A11" s="261" t="s">
        <v>4</v>
      </c>
      <c r="B11" s="261"/>
      <c r="C11" s="261"/>
      <c r="D11" s="261"/>
      <c r="E11" s="9" t="s">
        <v>5</v>
      </c>
      <c r="F11" s="10" t="s">
        <v>6</v>
      </c>
    </row>
    <row r="12" spans="1:7" s="14" customFormat="1" ht="15.75" customHeight="1">
      <c r="A12" s="262" t="str">
        <f>A76</f>
        <v>1. Mão-de-obra</v>
      </c>
      <c r="B12" s="262"/>
      <c r="C12" s="262"/>
      <c r="D12" s="262"/>
      <c r="E12" s="11">
        <f>F190</f>
        <v>246388.97786796105</v>
      </c>
      <c r="F12" s="12">
        <f t="shared" ref="F12:F43" si="0">IFERROR(E12/$E$44,0)</f>
        <v>0.42535961689663498</v>
      </c>
      <c r="G12" s="13"/>
    </row>
    <row r="13" spans="1:7" ht="15.75" customHeight="1">
      <c r="A13" s="263" t="str">
        <f>A78</f>
        <v>1.1. Auxiliar Administrativo</v>
      </c>
      <c r="B13" s="263"/>
      <c r="C13" s="263"/>
      <c r="D13" s="263"/>
      <c r="E13" s="15">
        <f>F88</f>
        <v>3940.2470104550002</v>
      </c>
      <c r="F13" s="16">
        <f t="shared" si="0"/>
        <v>6.8023414575932219E-3</v>
      </c>
    </row>
    <row r="14" spans="1:7" ht="15.75" customHeight="1">
      <c r="A14" s="263" t="str">
        <f>A90</f>
        <v>1.2. Técnico Supervisor</v>
      </c>
      <c r="B14" s="263"/>
      <c r="C14" s="263"/>
      <c r="D14" s="263"/>
      <c r="E14" s="15">
        <f>F100</f>
        <v>7836.6837150000001</v>
      </c>
      <c r="F14" s="16">
        <f t="shared" si="0"/>
        <v>1.3529049925840675E-2</v>
      </c>
    </row>
    <row r="15" spans="1:7" ht="15.75" customHeight="1">
      <c r="A15" s="263" t="str">
        <f>A102</f>
        <v>1.3. Gari Ajudante</v>
      </c>
      <c r="B15" s="263"/>
      <c r="C15" s="263"/>
      <c r="D15" s="263"/>
      <c r="E15" s="15">
        <f>F112</f>
        <v>18804.093549388002</v>
      </c>
      <c r="F15" s="16">
        <f t="shared" si="0"/>
        <v>3.2462905189462384E-2</v>
      </c>
    </row>
    <row r="16" spans="1:7" ht="15.75" customHeight="1">
      <c r="A16" s="263" t="str">
        <f>A114</f>
        <v>1.4. Gari Varredor</v>
      </c>
      <c r="B16" s="263"/>
      <c r="C16" s="263"/>
      <c r="D16" s="263"/>
      <c r="E16" s="15">
        <f>F124</f>
        <v>79917.397584899009</v>
      </c>
      <c r="F16" s="16">
        <f t="shared" si="0"/>
        <v>0.13796734705521513</v>
      </c>
    </row>
    <row r="17" spans="1:7" ht="15.75" customHeight="1">
      <c r="A17" s="263" t="str">
        <f>A126</f>
        <v>1.5. Roçador</v>
      </c>
      <c r="B17" s="263"/>
      <c r="C17" s="263"/>
      <c r="D17" s="263"/>
      <c r="E17" s="15">
        <f>F136</f>
        <v>56412.280648164007</v>
      </c>
      <c r="F17" s="16">
        <f t="shared" si="0"/>
        <v>9.7388715568387157E-2</v>
      </c>
    </row>
    <row r="18" spans="1:7" ht="15.75" customHeight="1">
      <c r="A18" s="263" t="str">
        <f>A138</f>
        <v>1.6. Motoristas Operadores</v>
      </c>
      <c r="B18" s="263"/>
      <c r="C18" s="263"/>
      <c r="D18" s="263"/>
      <c r="E18" s="15">
        <f>F148</f>
        <v>14249.037359760001</v>
      </c>
      <c r="F18" s="16">
        <f t="shared" si="0"/>
        <v>2.4599172921369081E-2</v>
      </c>
    </row>
    <row r="19" spans="1:7" ht="15.75" customHeight="1">
      <c r="A19" s="263" t="str">
        <f>A150</f>
        <v>1.7. Motoristas Caminhão/Caminhonete</v>
      </c>
      <c r="B19" s="263"/>
      <c r="C19" s="263"/>
      <c r="D19" s="263"/>
      <c r="E19" s="15">
        <f>F160</f>
        <v>39903.352000295003</v>
      </c>
      <c r="F19" s="16">
        <f t="shared" si="0"/>
        <v>6.8888124244068136E-2</v>
      </c>
    </row>
    <row r="20" spans="1:7" ht="15.75" customHeight="1">
      <c r="A20" s="263" t="str">
        <f>A162</f>
        <v>1.8. Vale Transporte</v>
      </c>
      <c r="B20" s="263"/>
      <c r="C20" s="263"/>
      <c r="D20" s="263"/>
      <c r="E20" s="15">
        <f>F174</f>
        <v>6826.4309999999987</v>
      </c>
      <c r="F20" s="16">
        <f t="shared" si="0"/>
        <v>1.1784975529576603E-2</v>
      </c>
    </row>
    <row r="21" spans="1:7" ht="15.75" customHeight="1">
      <c r="A21" s="263" t="str">
        <f>A177</f>
        <v>1.9. Auxílio Alimentação (mensal)</v>
      </c>
      <c r="B21" s="263"/>
      <c r="C21" s="263"/>
      <c r="D21" s="263"/>
      <c r="E21" s="15">
        <f>F188</f>
        <v>18499.455000000002</v>
      </c>
      <c r="F21" s="16">
        <f t="shared" si="0"/>
        <v>3.1936985005122528E-2</v>
      </c>
    </row>
    <row r="22" spans="1:7" s="14" customFormat="1" ht="15.75" customHeight="1">
      <c r="A22" s="262" t="str">
        <f>A192</f>
        <v>2. Uniformes e Equipamentos de Proteção Individual</v>
      </c>
      <c r="B22" s="262"/>
      <c r="C22" s="262"/>
      <c r="D22" s="262"/>
      <c r="E22" s="11">
        <f>+F249</f>
        <v>13477.876666666669</v>
      </c>
      <c r="F22" s="12">
        <f t="shared" si="0"/>
        <v>2.3267860864237579E-2</v>
      </c>
      <c r="G22" s="13"/>
    </row>
    <row r="23" spans="1:7" s="14" customFormat="1" ht="15.75" customHeight="1">
      <c r="A23" s="262" t="str">
        <f>A251</f>
        <v>3. Veículos e Equipamentos</v>
      </c>
      <c r="B23" s="262"/>
      <c r="C23" s="262"/>
      <c r="D23" s="262"/>
      <c r="E23" s="11">
        <f>F497</f>
        <v>192047.01602267599</v>
      </c>
      <c r="F23" s="12">
        <f t="shared" si="0"/>
        <v>0.33154504665108941</v>
      </c>
      <c r="G23" s="13"/>
    </row>
    <row r="24" spans="1:7" ht="15.75" customHeight="1">
      <c r="A24" s="264" t="str">
        <f>A253</f>
        <v>3.1. Caminhões e equipamentos acoplados</v>
      </c>
      <c r="B24" s="264"/>
      <c r="C24" s="264"/>
      <c r="D24" s="264"/>
      <c r="E24" s="17">
        <f>F373</f>
        <v>140179.99656867646</v>
      </c>
      <c r="F24" s="16">
        <f t="shared" si="0"/>
        <v>0.24200315352165497</v>
      </c>
    </row>
    <row r="25" spans="1:7" ht="15.75" customHeight="1">
      <c r="A25" s="263" t="str">
        <f>A255</f>
        <v>3.1.1 Depreciação</v>
      </c>
      <c r="B25" s="263"/>
      <c r="C25" s="263"/>
      <c r="D25" s="263"/>
      <c r="E25" s="18">
        <f>F291</f>
        <v>23733.939083333338</v>
      </c>
      <c r="F25" s="16">
        <f t="shared" si="0"/>
        <v>4.0973664176426186E-2</v>
      </c>
    </row>
    <row r="26" spans="1:7" ht="15.75" customHeight="1">
      <c r="A26" s="263" t="str">
        <f>A293</f>
        <v>3.1.2 Remuneração do Capital</v>
      </c>
      <c r="B26" s="263"/>
      <c r="C26" s="263"/>
      <c r="D26" s="263"/>
      <c r="E26" s="15">
        <f>F328</f>
        <v>36025.701710833338</v>
      </c>
      <c r="F26" s="16">
        <f t="shared" si="0"/>
        <v>6.2193848161359422E-2</v>
      </c>
    </row>
    <row r="27" spans="1:7" ht="15.75" customHeight="1">
      <c r="A27" s="263" t="str">
        <f>A331</f>
        <v>3.1.3. Impostos e Seguros</v>
      </c>
      <c r="B27" s="263"/>
      <c r="C27" s="263"/>
      <c r="D27" s="263"/>
      <c r="E27" s="15">
        <f>F337</f>
        <v>5056.6808333333329</v>
      </c>
      <c r="F27" s="16">
        <f t="shared" si="0"/>
        <v>8.7297241972726838E-3</v>
      </c>
    </row>
    <row r="28" spans="1:7" ht="15.75" customHeight="1">
      <c r="A28" s="263" t="str">
        <f>A339</f>
        <v>3.1.4. Consumos</v>
      </c>
      <c r="B28" s="263"/>
      <c r="C28" s="263"/>
      <c r="D28" s="263"/>
      <c r="E28" s="15">
        <f>F356</f>
        <v>54907.534</v>
      </c>
      <c r="F28" s="16">
        <f t="shared" si="0"/>
        <v>9.4790959518875312E-2</v>
      </c>
    </row>
    <row r="29" spans="1:7" ht="15.75" customHeight="1">
      <c r="A29" s="263" t="str">
        <f>A358</f>
        <v>3.1.5. Manutenção</v>
      </c>
      <c r="B29" s="263"/>
      <c r="C29" s="263"/>
      <c r="D29" s="263"/>
      <c r="E29" s="15">
        <f>F363</f>
        <v>17160</v>
      </c>
      <c r="F29" s="16">
        <f t="shared" si="0"/>
        <v>2.9624584220881243E-2</v>
      </c>
    </row>
    <row r="30" spans="1:7" ht="15.75" customHeight="1">
      <c r="A30" s="263" t="str">
        <f>A365</f>
        <v>3.1.6. Pneus</v>
      </c>
      <c r="B30" s="263"/>
      <c r="C30" s="263"/>
      <c r="D30" s="263"/>
      <c r="E30" s="15">
        <f>F372</f>
        <v>3296.1409411764707</v>
      </c>
      <c r="F30" s="16">
        <f t="shared" si="0"/>
        <v>5.690373246840158E-3</v>
      </c>
    </row>
    <row r="31" spans="1:7" ht="15.75" customHeight="1">
      <c r="A31" s="264" t="str">
        <f>A375</f>
        <v>3.2. Veículo Leve camionete</v>
      </c>
      <c r="B31" s="264"/>
      <c r="C31" s="264"/>
      <c r="D31" s="264"/>
      <c r="E31" s="17">
        <f>F445</f>
        <v>17646.813364559526</v>
      </c>
      <c r="F31" s="16">
        <f t="shared" si="0"/>
        <v>3.0465006337329043E-2</v>
      </c>
    </row>
    <row r="32" spans="1:7" ht="15.75" customHeight="1">
      <c r="A32" s="263" t="str">
        <f>A377</f>
        <v>3.2.1 Depreciação</v>
      </c>
      <c r="B32" s="263"/>
      <c r="C32" s="263"/>
      <c r="D32" s="263"/>
      <c r="E32" s="15">
        <f>F395</f>
        <v>2628.4649750000003</v>
      </c>
      <c r="F32" s="16">
        <f t="shared" si="0"/>
        <v>4.5377145701354319E-3</v>
      </c>
    </row>
    <row r="33" spans="1:7" ht="15.75" customHeight="1">
      <c r="A33" s="263" t="str">
        <f>A397</f>
        <v>3.2.2 Remuneração do Capital</v>
      </c>
      <c r="B33" s="263"/>
      <c r="C33" s="263"/>
      <c r="D33" s="263"/>
      <c r="E33" s="15">
        <f>F415</f>
        <v>3989.7420657500006</v>
      </c>
      <c r="F33" s="16">
        <f t="shared" si="0"/>
        <v>6.8877884525876225E-3</v>
      </c>
    </row>
    <row r="34" spans="1:7" ht="15.75" customHeight="1">
      <c r="A34" s="263" t="str">
        <f>A417</f>
        <v>3.2.3. Impostos e Seguros</v>
      </c>
      <c r="B34" s="263"/>
      <c r="C34" s="263"/>
      <c r="D34" s="263"/>
      <c r="E34" s="15">
        <f>F423</f>
        <v>1841.4666666666665</v>
      </c>
      <c r="F34" s="16">
        <f t="shared" si="0"/>
        <v>3.1790608599424302E-3</v>
      </c>
    </row>
    <row r="35" spans="1:7" ht="15.75" customHeight="1">
      <c r="A35" s="263" t="str">
        <f>A425</f>
        <v>3.2.4. Consumos</v>
      </c>
      <c r="B35" s="263"/>
      <c r="C35" s="263"/>
      <c r="D35" s="263"/>
      <c r="E35" s="15">
        <f>F433</f>
        <v>8209.1428571428587</v>
      </c>
      <c r="F35" s="16">
        <f t="shared" si="0"/>
        <v>1.4172053843395937E-2</v>
      </c>
    </row>
    <row r="36" spans="1:7" ht="15.75" customHeight="1">
      <c r="A36" s="263" t="str">
        <f>A435</f>
        <v>3.2.5. Manutenção</v>
      </c>
      <c r="B36" s="263"/>
      <c r="C36" s="263"/>
      <c r="D36" s="263"/>
      <c r="E36" s="15">
        <f>F438</f>
        <v>528</v>
      </c>
      <c r="F36" s="16">
        <f t="shared" si="0"/>
        <v>9.1152566833480747E-4</v>
      </c>
    </row>
    <row r="37" spans="1:7" ht="15.75" customHeight="1">
      <c r="A37" s="263" t="str">
        <f>A440</f>
        <v>3.2.6. Pneus</v>
      </c>
      <c r="B37" s="263"/>
      <c r="C37" s="263"/>
      <c r="D37" s="263"/>
      <c r="E37" s="15">
        <f>F444</f>
        <v>449.99680000000001</v>
      </c>
      <c r="F37" s="16">
        <f t="shared" si="0"/>
        <v>7.7686294293281193E-4</v>
      </c>
    </row>
    <row r="38" spans="1:7" ht="15.75" customHeight="1">
      <c r="A38" s="264" t="str">
        <f>A447</f>
        <v>3.3. Equipamentos – Roçadeira e Soprador</v>
      </c>
      <c r="B38" s="264"/>
      <c r="C38" s="264"/>
      <c r="D38" s="264"/>
      <c r="E38" s="17">
        <f>F495</f>
        <v>34220.206089439998</v>
      </c>
      <c r="F38" s="16">
        <f t="shared" si="0"/>
        <v>5.9076886792105383E-2</v>
      </c>
    </row>
    <row r="39" spans="1:7" ht="15.75" customHeight="1">
      <c r="A39" s="263" t="str">
        <f>A449</f>
        <v>3.3.1 Depreciação</v>
      </c>
      <c r="B39" s="263"/>
      <c r="C39" s="263"/>
      <c r="D39" s="263"/>
      <c r="E39" s="15">
        <f>F462</f>
        <v>208.669152</v>
      </c>
      <c r="F39" s="16">
        <f t="shared" si="0"/>
        <v>3.6024107620768466E-4</v>
      </c>
    </row>
    <row r="40" spans="1:7" ht="15.75" customHeight="1">
      <c r="A40" s="263" t="str">
        <f>A464</f>
        <v>3.3.2 Remuneração do Capital</v>
      </c>
      <c r="B40" s="263"/>
      <c r="C40" s="263"/>
      <c r="D40" s="263"/>
      <c r="E40" s="15">
        <f>F477</f>
        <v>203.90813743999999</v>
      </c>
      <c r="F40" s="16">
        <f t="shared" si="0"/>
        <v>3.5202178268731394E-4</v>
      </c>
    </row>
    <row r="41" spans="1:7" ht="15.75" customHeight="1">
      <c r="A41" s="263" t="str">
        <f>A479</f>
        <v>3.3.3. Consumos</v>
      </c>
      <c r="B41" s="263"/>
      <c r="C41" s="263"/>
      <c r="D41" s="263"/>
      <c r="E41" s="15">
        <f>F494</f>
        <v>33807.628799999999</v>
      </c>
      <c r="F41" s="16">
        <f t="shared" si="0"/>
        <v>5.8364623933210381E-2</v>
      </c>
    </row>
    <row r="42" spans="1:7" s="14" customFormat="1" ht="15.75" customHeight="1">
      <c r="A42" s="262" t="str">
        <f>A499</f>
        <v>4. Ferramentas e Materiais de Consumo</v>
      </c>
      <c r="B42" s="262"/>
      <c r="C42" s="262"/>
      <c r="D42" s="262"/>
      <c r="E42" s="11">
        <f>+F518</f>
        <v>2078.3200000000002</v>
      </c>
      <c r="F42" s="12">
        <f t="shared" si="0"/>
        <v>3.587958384495449E-3</v>
      </c>
      <c r="G42" s="13"/>
    </row>
    <row r="43" spans="1:7" s="14" customFormat="1" ht="15.75" customHeight="1">
      <c r="A43" s="262" t="str">
        <f>A523</f>
        <v>5. Benefícios e Despesas Indiretas - BDI</v>
      </c>
      <c r="B43" s="262"/>
      <c r="C43" s="262"/>
      <c r="D43" s="262"/>
      <c r="E43" s="19">
        <f>+F529</f>
        <v>125256.44537476009</v>
      </c>
      <c r="F43" s="12">
        <f t="shared" si="0"/>
        <v>0.21623951720354259</v>
      </c>
      <c r="G43" s="13"/>
    </row>
    <row r="44" spans="1:7" ht="15.75" customHeight="1">
      <c r="A44" s="20" t="s">
        <v>7</v>
      </c>
      <c r="B44" s="21"/>
      <c r="C44" s="22"/>
      <c r="D44" s="22"/>
      <c r="E44" s="23">
        <f>E12+E22+E23+E42+E43</f>
        <v>579248.6359320638</v>
      </c>
      <c r="F44" s="24">
        <f>F12+F22+F23+F42+F43</f>
        <v>1</v>
      </c>
    </row>
    <row r="46" spans="1:7" ht="15" customHeight="1">
      <c r="A46" s="265" t="s">
        <v>8</v>
      </c>
      <c r="B46" s="265"/>
      <c r="C46" s="265"/>
      <c r="D46" s="265"/>
      <c r="E46" s="265"/>
    </row>
    <row r="47" spans="1:7" ht="15" customHeight="1">
      <c r="A47" s="266" t="s">
        <v>9</v>
      </c>
      <c r="B47" s="266"/>
      <c r="C47" s="266"/>
      <c r="D47" s="266"/>
      <c r="E47" s="25" t="s">
        <v>10</v>
      </c>
    </row>
    <row r="48" spans="1:7" ht="15" customHeight="1">
      <c r="A48" s="267" t="str">
        <f>+A78</f>
        <v>1.1. Auxiliar Administrativo</v>
      </c>
      <c r="B48" s="267"/>
      <c r="C48" s="267"/>
      <c r="D48" s="267"/>
      <c r="E48" s="26">
        <v>1</v>
      </c>
    </row>
    <row r="49" spans="1:6" ht="15" customHeight="1">
      <c r="A49" s="268" t="str">
        <f>A90</f>
        <v>1.2. Técnico Supervisor</v>
      </c>
      <c r="B49" s="268"/>
      <c r="C49" s="268"/>
      <c r="D49" s="268"/>
      <c r="E49" s="27">
        <v>1</v>
      </c>
    </row>
    <row r="50" spans="1:6" ht="15" customHeight="1">
      <c r="A50" s="268" t="str">
        <f>A102</f>
        <v>1.3. Gari Ajudante</v>
      </c>
      <c r="B50" s="268"/>
      <c r="C50" s="268"/>
      <c r="D50" s="268"/>
      <c r="E50" s="27">
        <v>4</v>
      </c>
    </row>
    <row r="51" spans="1:6" ht="15" customHeight="1">
      <c r="A51" s="268" t="str">
        <f>A114</f>
        <v>1.4. Gari Varredor</v>
      </c>
      <c r="B51" s="268"/>
      <c r="C51" s="268"/>
      <c r="D51" s="268"/>
      <c r="E51" s="27">
        <v>17</v>
      </c>
    </row>
    <row r="52" spans="1:6" ht="15" customHeight="1">
      <c r="A52" s="268" t="str">
        <f>A126</f>
        <v>1.5. Roçador</v>
      </c>
      <c r="B52" s="268"/>
      <c r="C52" s="268"/>
      <c r="D52" s="268"/>
      <c r="E52" s="27">
        <v>12</v>
      </c>
    </row>
    <row r="53" spans="1:6" ht="15" customHeight="1">
      <c r="A53" s="268" t="str">
        <f>A138</f>
        <v>1.6. Motoristas Operadores</v>
      </c>
      <c r="B53" s="268"/>
      <c r="C53" s="268"/>
      <c r="D53" s="268"/>
      <c r="E53" s="27">
        <v>2</v>
      </c>
    </row>
    <row r="54" spans="1:6" ht="15" customHeight="1">
      <c r="A54" s="269" t="str">
        <f>A150</f>
        <v>1.7. Motoristas Caminhão/Caminhonete</v>
      </c>
      <c r="B54" s="269"/>
      <c r="C54" s="269"/>
      <c r="D54" s="269"/>
      <c r="E54" s="28">
        <v>7</v>
      </c>
    </row>
    <row r="55" spans="1:6" ht="15" customHeight="1">
      <c r="A55" s="266" t="s">
        <v>11</v>
      </c>
      <c r="B55" s="266"/>
      <c r="C55" s="266"/>
      <c r="D55" s="266"/>
      <c r="E55" s="29">
        <f>E48+E49+E50+E51+E52+E53+E54</f>
        <v>44</v>
      </c>
    </row>
    <row r="56" spans="1:6" ht="15" customHeight="1">
      <c r="A56" s="30"/>
      <c r="B56" s="31"/>
      <c r="C56" s="2"/>
      <c r="E56" s="8"/>
    </row>
    <row r="57" spans="1:6" ht="15" customHeight="1">
      <c r="A57" s="270" t="s">
        <v>12</v>
      </c>
      <c r="B57" s="270"/>
      <c r="C57" s="270"/>
      <c r="D57" s="270"/>
      <c r="E57" s="25" t="s">
        <v>10</v>
      </c>
      <c r="F57" s="1"/>
    </row>
    <row r="58" spans="1:6" ht="15" customHeight="1">
      <c r="A58" s="268" t="s">
        <v>13</v>
      </c>
      <c r="B58" s="268"/>
      <c r="C58" s="268"/>
      <c r="D58" s="268"/>
      <c r="E58" s="26">
        <v>4</v>
      </c>
      <c r="F58" s="1"/>
    </row>
    <row r="59" spans="1:6" ht="15" customHeight="1">
      <c r="A59" s="268" t="s">
        <v>14</v>
      </c>
      <c r="B59" s="268"/>
      <c r="C59" s="268"/>
      <c r="D59" s="268"/>
      <c r="E59" s="27">
        <v>1</v>
      </c>
      <c r="F59" s="1"/>
    </row>
    <row r="60" spans="1:6" ht="15" customHeight="1">
      <c r="A60" s="268" t="s">
        <v>15</v>
      </c>
      <c r="B60" s="268"/>
      <c r="C60" s="268"/>
      <c r="D60" s="268"/>
      <c r="E60" s="27">
        <v>1</v>
      </c>
      <c r="F60" s="1"/>
    </row>
    <row r="61" spans="1:6" ht="15" customHeight="1">
      <c r="A61" s="268" t="s">
        <v>16</v>
      </c>
      <c r="B61" s="268"/>
      <c r="C61" s="268"/>
      <c r="D61" s="268"/>
      <c r="E61" s="27">
        <v>1</v>
      </c>
      <c r="F61" s="1"/>
    </row>
    <row r="62" spans="1:6" ht="15" customHeight="1">
      <c r="A62" s="269" t="s">
        <v>17</v>
      </c>
      <c r="B62" s="269"/>
      <c r="C62" s="269"/>
      <c r="D62" s="269"/>
      <c r="E62" s="28">
        <v>3</v>
      </c>
      <c r="F62" s="1"/>
    </row>
    <row r="63" spans="1:6" ht="15" customHeight="1">
      <c r="A63" s="266" t="s">
        <v>18</v>
      </c>
      <c r="B63" s="266"/>
      <c r="C63" s="266"/>
      <c r="D63" s="266"/>
      <c r="E63" s="29">
        <f>SUM(E58:E62)</f>
        <v>10</v>
      </c>
    </row>
    <row r="64" spans="1:6" ht="15" customHeight="1">
      <c r="A64" s="30"/>
      <c r="B64" s="31"/>
      <c r="C64" s="2"/>
      <c r="E64" s="8"/>
    </row>
    <row r="65" spans="1:7" ht="15" customHeight="1">
      <c r="A65" s="270" t="s">
        <v>19</v>
      </c>
      <c r="B65" s="270"/>
      <c r="C65" s="270"/>
      <c r="D65" s="270"/>
      <c r="E65" s="25" t="s">
        <v>10</v>
      </c>
      <c r="F65" s="1"/>
    </row>
    <row r="66" spans="1:7" ht="15" customHeight="1">
      <c r="A66" s="268" t="s">
        <v>20</v>
      </c>
      <c r="B66" s="268"/>
      <c r="C66" s="268"/>
      <c r="D66" s="268"/>
      <c r="E66" s="27">
        <v>12</v>
      </c>
      <c r="F66" s="1"/>
    </row>
    <row r="67" spans="1:7" ht="15" customHeight="1">
      <c r="A67" s="269" t="s">
        <v>21</v>
      </c>
      <c r="B67" s="269"/>
      <c r="C67" s="269"/>
      <c r="D67" s="269"/>
      <c r="E67" s="28">
        <v>6</v>
      </c>
      <c r="F67" s="1"/>
    </row>
    <row r="68" spans="1:7" ht="15" customHeight="1">
      <c r="A68" s="266" t="s">
        <v>22</v>
      </c>
      <c r="B68" s="266"/>
      <c r="C68" s="266"/>
      <c r="D68" s="266"/>
      <c r="E68" s="29">
        <f>SUM(E66:E67)</f>
        <v>18</v>
      </c>
      <c r="F68" s="1"/>
    </row>
    <row r="69" spans="1:7">
      <c r="A69" s="2"/>
      <c r="B69" s="2"/>
      <c r="C69" s="2"/>
      <c r="D69" s="1"/>
      <c r="E69" s="32"/>
      <c r="F69" s="1"/>
    </row>
    <row r="70" spans="1:7" s="14" customFormat="1" ht="15.75" customHeight="1">
      <c r="A70" s="33" t="s">
        <v>23</v>
      </c>
      <c r="B70" s="34">
        <v>1</v>
      </c>
      <c r="C70" s="13"/>
      <c r="E70" s="35"/>
      <c r="G70" s="13"/>
    </row>
    <row r="71" spans="1:7" s="14" customFormat="1" ht="15.75" customHeight="1">
      <c r="A71" s="13"/>
      <c r="B71" s="36"/>
      <c r="C71" s="13"/>
      <c r="E71" s="35"/>
      <c r="G71" s="13"/>
    </row>
    <row r="72" spans="1:7" s="14" customFormat="1" ht="15.75" customHeight="1">
      <c r="A72" s="13"/>
      <c r="B72" s="36"/>
      <c r="C72" s="13"/>
      <c r="E72" s="35"/>
      <c r="G72" s="13"/>
    </row>
    <row r="73" spans="1:7" s="14" customFormat="1" ht="15.75" customHeight="1">
      <c r="A73" s="271"/>
      <c r="B73" s="271"/>
      <c r="C73" s="271"/>
      <c r="D73" s="271"/>
      <c r="E73" s="271"/>
      <c r="F73" s="271"/>
      <c r="G73" s="13"/>
    </row>
    <row r="74" spans="1:7" ht="15.75" customHeight="1">
      <c r="A74" s="272"/>
      <c r="B74" s="272"/>
      <c r="C74" s="272"/>
      <c r="D74" s="272"/>
      <c r="E74" s="272"/>
      <c r="F74" s="272"/>
    </row>
    <row r="75" spans="1:7" ht="15.75" customHeight="1">
      <c r="A75" s="272"/>
      <c r="B75" s="272"/>
      <c r="C75" s="272"/>
      <c r="D75" s="272"/>
      <c r="E75" s="272"/>
      <c r="F75" s="272"/>
    </row>
    <row r="76" spans="1:7" ht="13.15" customHeight="1">
      <c r="A76" s="37" t="s">
        <v>24</v>
      </c>
    </row>
    <row r="77" spans="1:7" ht="11.25" customHeight="1"/>
    <row r="78" spans="1:7" ht="13.9" customHeight="1">
      <c r="A78" s="38" t="s">
        <v>25</v>
      </c>
      <c r="B78" s="39" t="s">
        <v>26</v>
      </c>
      <c r="C78" s="40" t="s">
        <v>27</v>
      </c>
      <c r="D78" s="41" t="s">
        <v>28</v>
      </c>
      <c r="E78" s="42" t="s">
        <v>29</v>
      </c>
    </row>
    <row r="79" spans="1:7" ht="13.9" customHeight="1">
      <c r="A79" s="43" t="s">
        <v>30</v>
      </c>
      <c r="B79" s="44" t="s">
        <v>31</v>
      </c>
      <c r="C79" s="44" t="s">
        <v>10</v>
      </c>
      <c r="D79" s="45" t="s">
        <v>32</v>
      </c>
      <c r="E79" s="45" t="s">
        <v>33</v>
      </c>
      <c r="F79" s="46" t="s">
        <v>34</v>
      </c>
    </row>
    <row r="80" spans="1:7" ht="13.15" customHeight="1">
      <c r="A80" s="47" t="s">
        <v>35</v>
      </c>
      <c r="B80" s="48" t="s">
        <v>36</v>
      </c>
      <c r="C80" s="48">
        <v>1</v>
      </c>
      <c r="D80" s="49">
        <v>2307.83</v>
      </c>
      <c r="E80" s="50">
        <f>C80*D80</f>
        <v>2307.83</v>
      </c>
    </row>
    <row r="81" spans="1:6">
      <c r="A81" s="47" t="s">
        <v>37</v>
      </c>
      <c r="B81" s="48" t="s">
        <v>36</v>
      </c>
      <c r="C81" s="48">
        <v>1</v>
      </c>
      <c r="D81" s="50">
        <v>1621</v>
      </c>
      <c r="E81" s="50"/>
    </row>
    <row r="82" spans="1:6">
      <c r="A82" s="51" t="s">
        <v>38</v>
      </c>
      <c r="B82" s="52"/>
      <c r="C82" s="53">
        <v>0</v>
      </c>
      <c r="D82" s="54"/>
      <c r="E82" s="54"/>
    </row>
    <row r="83" spans="1:6">
      <c r="A83" s="51" t="s">
        <v>39</v>
      </c>
      <c r="B83" s="52" t="s">
        <v>6</v>
      </c>
      <c r="C83" s="55">
        <v>0</v>
      </c>
      <c r="D83" s="54">
        <f>IF(C82=2,SUM(E80:E81),IF(C82=1,(SUM(E80:E81))*D81/D80,0))</f>
        <v>0</v>
      </c>
      <c r="E83" s="54">
        <f>C83*D83/100</f>
        <v>0</v>
      </c>
    </row>
    <row r="84" spans="1:6">
      <c r="A84" s="56" t="s">
        <v>40</v>
      </c>
      <c r="B84" s="57"/>
      <c r="C84" s="58">
        <v>0</v>
      </c>
      <c r="D84" s="59"/>
      <c r="E84" s="60">
        <f>SUM(E80:E83)</f>
        <v>2307.83</v>
      </c>
    </row>
    <row r="85" spans="1:6">
      <c r="A85" s="51" t="s">
        <v>41</v>
      </c>
      <c r="B85" s="52" t="s">
        <v>6</v>
      </c>
      <c r="C85" s="54">
        <f>'2.Tabelas Auxiliares'!$D$33*100</f>
        <v>70.733850000000004</v>
      </c>
      <c r="D85" s="54">
        <f>E84</f>
        <v>2307.83</v>
      </c>
      <c r="E85" s="54">
        <f>D85*C85/100</f>
        <v>1632.4170104550001</v>
      </c>
    </row>
    <row r="86" spans="1:6">
      <c r="A86" s="56" t="s">
        <v>42</v>
      </c>
      <c r="B86" s="57"/>
      <c r="C86" s="57"/>
      <c r="D86" s="59"/>
      <c r="E86" s="60">
        <f>E84+E85</f>
        <v>3940.2470104550002</v>
      </c>
    </row>
    <row r="87" spans="1:6">
      <c r="A87" s="51" t="s">
        <v>43</v>
      </c>
      <c r="B87" s="52" t="s">
        <v>44</v>
      </c>
      <c r="C87" s="61">
        <f>E48</f>
        <v>1</v>
      </c>
      <c r="D87" s="54">
        <f>E86</f>
        <v>3940.2470104550002</v>
      </c>
      <c r="E87" s="54">
        <f>C87*D87</f>
        <v>3940.2470104550002</v>
      </c>
    </row>
    <row r="88" spans="1:6" ht="13.9" customHeight="1">
      <c r="A88" s="62"/>
      <c r="B88" s="63"/>
      <c r="C88" s="63"/>
      <c r="D88" s="64" t="s">
        <v>45</v>
      </c>
      <c r="E88" s="65">
        <f>$B$70</f>
        <v>1</v>
      </c>
      <c r="F88" s="66">
        <f>E87*E88</f>
        <v>3940.2470104550002</v>
      </c>
    </row>
    <row r="89" spans="1:6" ht="11.25" customHeight="1"/>
    <row r="90" spans="1:6" ht="63.75">
      <c r="A90" s="1" t="s">
        <v>46</v>
      </c>
      <c r="B90" s="67" t="s">
        <v>47</v>
      </c>
      <c r="C90" s="68" t="s">
        <v>48</v>
      </c>
      <c r="D90" s="41" t="s">
        <v>28</v>
      </c>
      <c r="E90" s="42" t="s">
        <v>29</v>
      </c>
    </row>
    <row r="91" spans="1:6">
      <c r="A91" s="43" t="s">
        <v>30</v>
      </c>
      <c r="B91" s="44" t="s">
        <v>31</v>
      </c>
      <c r="C91" s="44" t="s">
        <v>10</v>
      </c>
      <c r="D91" s="45" t="s">
        <v>32</v>
      </c>
      <c r="E91" s="45" t="s">
        <v>33</v>
      </c>
      <c r="F91" s="46" t="s">
        <v>34</v>
      </c>
    </row>
    <row r="92" spans="1:6">
      <c r="A92" s="47" t="s">
        <v>35</v>
      </c>
      <c r="B92" s="48" t="s">
        <v>36</v>
      </c>
      <c r="C92" s="48">
        <v>1</v>
      </c>
      <c r="D92" s="50">
        <v>3825</v>
      </c>
      <c r="E92" s="50">
        <f>C92*D92</f>
        <v>3825</v>
      </c>
    </row>
    <row r="93" spans="1:6">
      <c r="A93" s="47" t="s">
        <v>37</v>
      </c>
      <c r="B93" s="48" t="s">
        <v>36</v>
      </c>
      <c r="C93" s="48">
        <v>1</v>
      </c>
      <c r="D93" s="50">
        <v>1621</v>
      </c>
      <c r="E93" s="50"/>
    </row>
    <row r="94" spans="1:6">
      <c r="A94" s="51" t="s">
        <v>38</v>
      </c>
      <c r="B94" s="52"/>
      <c r="C94" s="53">
        <v>2</v>
      </c>
      <c r="D94" s="54"/>
      <c r="E94" s="54"/>
    </row>
    <row r="95" spans="1:6">
      <c r="A95" s="51" t="s">
        <v>39</v>
      </c>
      <c r="B95" s="52" t="s">
        <v>6</v>
      </c>
      <c r="C95" s="55">
        <v>20</v>
      </c>
      <c r="D95" s="54">
        <f>IF(C94=2,SUM(E92:E93),IF(C94=1,(SUM(E92:E93))*D93/D92,0))</f>
        <v>3825</v>
      </c>
      <c r="E95" s="54">
        <f>C95*D95/100</f>
        <v>765</v>
      </c>
    </row>
    <row r="96" spans="1:6">
      <c r="A96" s="69" t="s">
        <v>40</v>
      </c>
      <c r="B96" s="57"/>
      <c r="C96" s="57"/>
      <c r="D96" s="59"/>
      <c r="E96" s="70">
        <f>SUM(E92:E95)</f>
        <v>4590</v>
      </c>
      <c r="F96" s="13"/>
    </row>
    <row r="97" spans="1:6">
      <c r="A97" s="51" t="s">
        <v>41</v>
      </c>
      <c r="B97" s="52" t="s">
        <v>6</v>
      </c>
      <c r="C97" s="54">
        <f>'2.Tabelas Auxiliares'!$D$33*100</f>
        <v>70.733850000000004</v>
      </c>
      <c r="D97" s="54">
        <f>E96</f>
        <v>4590</v>
      </c>
      <c r="E97" s="54">
        <f>D97*C97/100</f>
        <v>3246.6837150000001</v>
      </c>
    </row>
    <row r="98" spans="1:6">
      <c r="A98" s="69" t="s">
        <v>49</v>
      </c>
      <c r="B98" s="71"/>
      <c r="C98" s="71"/>
      <c r="D98" s="72"/>
      <c r="E98" s="70">
        <f>E96+E97</f>
        <v>7836.6837150000001</v>
      </c>
      <c r="F98" s="13"/>
    </row>
    <row r="99" spans="1:6">
      <c r="A99" s="51" t="s">
        <v>43</v>
      </c>
      <c r="B99" s="52" t="s">
        <v>44</v>
      </c>
      <c r="C99" s="61">
        <f>E49</f>
        <v>1</v>
      </c>
      <c r="D99" s="54">
        <f>E98</f>
        <v>7836.6837150000001</v>
      </c>
      <c r="E99" s="54">
        <f>C99*D99</f>
        <v>7836.6837150000001</v>
      </c>
    </row>
    <row r="100" spans="1:6">
      <c r="A100" s="62" t="s">
        <v>50</v>
      </c>
      <c r="B100" s="73"/>
      <c r="C100" s="73"/>
      <c r="D100" s="64" t="s">
        <v>45</v>
      </c>
      <c r="E100" s="74">
        <v>1</v>
      </c>
      <c r="F100" s="75">
        <f>E99*E100</f>
        <v>7836.6837150000001</v>
      </c>
    </row>
    <row r="101" spans="1:6">
      <c r="B101" s="58"/>
      <c r="C101" s="58"/>
      <c r="D101" s="76"/>
      <c r="F101" s="59"/>
    </row>
    <row r="102" spans="1:6">
      <c r="A102" s="1" t="s">
        <v>51</v>
      </c>
      <c r="B102" s="39" t="s">
        <v>52</v>
      </c>
      <c r="C102" s="40" t="s">
        <v>27</v>
      </c>
      <c r="D102" s="41" t="s">
        <v>28</v>
      </c>
      <c r="E102" s="42" t="s">
        <v>29</v>
      </c>
    </row>
    <row r="103" spans="1:6">
      <c r="A103" s="43" t="s">
        <v>30</v>
      </c>
      <c r="B103" s="44" t="s">
        <v>31</v>
      </c>
      <c r="C103" s="44" t="s">
        <v>10</v>
      </c>
      <c r="D103" s="45" t="s">
        <v>32</v>
      </c>
      <c r="E103" s="45" t="s">
        <v>33</v>
      </c>
      <c r="F103" s="46" t="s">
        <v>34</v>
      </c>
    </row>
    <row r="104" spans="1:6">
      <c r="A104" s="47" t="s">
        <v>53</v>
      </c>
      <c r="B104" s="48" t="s">
        <v>36</v>
      </c>
      <c r="C104" s="48">
        <v>1</v>
      </c>
      <c r="D104" s="50">
        <v>1966.73</v>
      </c>
      <c r="E104" s="50">
        <f>C104*D104</f>
        <v>1966.73</v>
      </c>
    </row>
    <row r="105" spans="1:6">
      <c r="A105" s="47" t="s">
        <v>37</v>
      </c>
      <c r="B105" s="48" t="s">
        <v>36</v>
      </c>
      <c r="C105" s="48">
        <v>1</v>
      </c>
      <c r="D105" s="50">
        <v>1621</v>
      </c>
      <c r="E105" s="50"/>
    </row>
    <row r="106" spans="1:6">
      <c r="A106" s="51" t="s">
        <v>38</v>
      </c>
      <c r="B106" s="52"/>
      <c r="C106" s="53">
        <v>2</v>
      </c>
      <c r="D106" s="54"/>
      <c r="E106" s="54"/>
    </row>
    <row r="107" spans="1:6">
      <c r="A107" s="51" t="s">
        <v>54</v>
      </c>
      <c r="B107" s="52" t="s">
        <v>6</v>
      </c>
      <c r="C107" s="55">
        <v>40</v>
      </c>
      <c r="D107" s="54">
        <f>IF(C106=2,SUM(E104:E105),IF(C106=1,(SUM(E104:E105))*D105/D104,0))</f>
        <v>1966.73</v>
      </c>
      <c r="E107" s="54">
        <f>C107*D107/100</f>
        <v>786.69200000000001</v>
      </c>
    </row>
    <row r="108" spans="1:6">
      <c r="A108" s="56" t="s">
        <v>40</v>
      </c>
      <c r="B108" s="57"/>
      <c r="C108" s="57"/>
      <c r="D108" s="59"/>
      <c r="E108" s="60">
        <f>SUM(E104:E107)</f>
        <v>2753.422</v>
      </c>
    </row>
    <row r="109" spans="1:6">
      <c r="A109" s="51" t="s">
        <v>41</v>
      </c>
      <c r="B109" s="52" t="s">
        <v>6</v>
      </c>
      <c r="C109" s="54">
        <f>'2.Tabelas Auxiliares'!$D$33*100</f>
        <v>70.733850000000004</v>
      </c>
      <c r="D109" s="54">
        <f>E108</f>
        <v>2753.422</v>
      </c>
      <c r="E109" s="54">
        <f>D109*C109/100</f>
        <v>1947.6013873470001</v>
      </c>
    </row>
    <row r="110" spans="1:6">
      <c r="A110" s="56" t="s">
        <v>55</v>
      </c>
      <c r="B110" s="57"/>
      <c r="C110" s="57"/>
      <c r="D110" s="59"/>
      <c r="E110" s="60">
        <f>E108+E109</f>
        <v>4701.0233873470006</v>
      </c>
    </row>
    <row r="111" spans="1:6">
      <c r="A111" s="51" t="s">
        <v>43</v>
      </c>
      <c r="B111" s="52" t="s">
        <v>44</v>
      </c>
      <c r="C111" s="61">
        <f>E50</f>
        <v>4</v>
      </c>
      <c r="D111" s="54">
        <f>E110</f>
        <v>4701.0233873470006</v>
      </c>
      <c r="E111" s="54">
        <f>C111*D111</f>
        <v>18804.093549388002</v>
      </c>
    </row>
    <row r="112" spans="1:6">
      <c r="A112" s="62"/>
      <c r="B112" s="63"/>
      <c r="C112" s="63"/>
      <c r="D112" s="64" t="s">
        <v>45</v>
      </c>
      <c r="E112" s="65">
        <f>$B$70</f>
        <v>1</v>
      </c>
      <c r="F112" s="66">
        <f>E111*E112</f>
        <v>18804.093549388002</v>
      </c>
    </row>
    <row r="113" spans="1:6">
      <c r="B113" s="58"/>
      <c r="C113" s="58"/>
      <c r="D113" s="77"/>
      <c r="E113" s="77"/>
    </row>
    <row r="114" spans="1:6">
      <c r="A114" s="38" t="s">
        <v>56</v>
      </c>
      <c r="B114" s="39" t="s">
        <v>52</v>
      </c>
      <c r="C114" s="40" t="s">
        <v>27</v>
      </c>
      <c r="D114" s="41" t="s">
        <v>28</v>
      </c>
      <c r="E114" s="42" t="s">
        <v>29</v>
      </c>
    </row>
    <row r="115" spans="1:6">
      <c r="A115" s="43" t="s">
        <v>30</v>
      </c>
      <c r="B115" s="44" t="s">
        <v>31</v>
      </c>
      <c r="C115" s="44" t="s">
        <v>10</v>
      </c>
      <c r="D115" s="45" t="s">
        <v>32</v>
      </c>
      <c r="E115" s="45" t="s">
        <v>33</v>
      </c>
      <c r="F115" s="46" t="s">
        <v>34</v>
      </c>
    </row>
    <row r="116" spans="1:6">
      <c r="A116" s="47" t="s">
        <v>53</v>
      </c>
      <c r="B116" s="48" t="s">
        <v>36</v>
      </c>
      <c r="C116" s="48">
        <v>1</v>
      </c>
      <c r="D116" s="50">
        <v>1966.73</v>
      </c>
      <c r="E116" s="50">
        <f>C116*D116</f>
        <v>1966.73</v>
      </c>
    </row>
    <row r="117" spans="1:6">
      <c r="A117" s="47" t="s">
        <v>37</v>
      </c>
      <c r="B117" s="48" t="s">
        <v>36</v>
      </c>
      <c r="C117" s="48">
        <v>1</v>
      </c>
      <c r="D117" s="50">
        <v>1621</v>
      </c>
      <c r="E117" s="50"/>
    </row>
    <row r="118" spans="1:6">
      <c r="A118" s="51" t="s">
        <v>38</v>
      </c>
      <c r="B118" s="52"/>
      <c r="C118" s="53">
        <v>2</v>
      </c>
      <c r="D118" s="54"/>
      <c r="E118" s="54"/>
    </row>
    <row r="119" spans="1:6">
      <c r="A119" s="51" t="s">
        <v>54</v>
      </c>
      <c r="B119" s="52" t="s">
        <v>6</v>
      </c>
      <c r="C119" s="55">
        <v>40</v>
      </c>
      <c r="D119" s="54">
        <f>IF(C118=2,SUM(E116:E117),IF(C118=1,(SUM(E116:E117))*D117/D116,0))</f>
        <v>1966.73</v>
      </c>
      <c r="E119" s="54">
        <f>C119*D119/100</f>
        <v>786.69200000000001</v>
      </c>
    </row>
    <row r="120" spans="1:6">
      <c r="A120" s="56" t="s">
        <v>40</v>
      </c>
      <c r="B120" s="57"/>
      <c r="C120" s="57"/>
      <c r="D120" s="59"/>
      <c r="E120" s="60">
        <f>SUM(E116:E119)</f>
        <v>2753.422</v>
      </c>
    </row>
    <row r="121" spans="1:6">
      <c r="A121" s="51" t="s">
        <v>41</v>
      </c>
      <c r="B121" s="52" t="s">
        <v>6</v>
      </c>
      <c r="C121" s="54">
        <f>'2.Tabelas Auxiliares'!$D$33*100</f>
        <v>70.733850000000004</v>
      </c>
      <c r="D121" s="54">
        <f>E120</f>
        <v>2753.422</v>
      </c>
      <c r="E121" s="54">
        <f>D121*C121/100</f>
        <v>1947.6013873470001</v>
      </c>
    </row>
    <row r="122" spans="1:6">
      <c r="A122" s="56" t="s">
        <v>55</v>
      </c>
      <c r="B122" s="57"/>
      <c r="C122" s="57"/>
      <c r="D122" s="59"/>
      <c r="E122" s="60">
        <f>E120+E121</f>
        <v>4701.0233873470006</v>
      </c>
    </row>
    <row r="123" spans="1:6">
      <c r="A123" s="51" t="s">
        <v>43</v>
      </c>
      <c r="B123" s="52" t="s">
        <v>44</v>
      </c>
      <c r="C123" s="61">
        <f>E51</f>
        <v>17</v>
      </c>
      <c r="D123" s="54">
        <f>E122</f>
        <v>4701.0233873470006</v>
      </c>
      <c r="E123" s="54">
        <f>C123*D123</f>
        <v>79917.397584899009</v>
      </c>
    </row>
    <row r="124" spans="1:6" ht="12.75" customHeight="1">
      <c r="A124" s="62"/>
      <c r="B124" s="63"/>
      <c r="C124" s="63"/>
      <c r="D124" s="64" t="s">
        <v>45</v>
      </c>
      <c r="E124" s="65">
        <f>$B$70</f>
        <v>1</v>
      </c>
      <c r="F124" s="66">
        <f>E123*E124</f>
        <v>79917.397584899009</v>
      </c>
    </row>
    <row r="125" spans="1:6">
      <c r="A125" s="78"/>
      <c r="B125" s="78"/>
      <c r="C125" s="78"/>
      <c r="D125" s="79"/>
      <c r="E125" s="80"/>
      <c r="F125" s="81"/>
    </row>
    <row r="126" spans="1:6">
      <c r="A126" s="38" t="s">
        <v>57</v>
      </c>
      <c r="B126" s="39" t="s">
        <v>58</v>
      </c>
      <c r="C126" s="40" t="s">
        <v>27</v>
      </c>
      <c r="D126" s="41" t="s">
        <v>28</v>
      </c>
      <c r="E126" s="42" t="s">
        <v>29</v>
      </c>
    </row>
    <row r="127" spans="1:6">
      <c r="A127" s="43" t="s">
        <v>30</v>
      </c>
      <c r="B127" s="44" t="s">
        <v>31</v>
      </c>
      <c r="C127" s="44" t="s">
        <v>10</v>
      </c>
      <c r="D127" s="45" t="s">
        <v>32</v>
      </c>
      <c r="E127" s="45" t="s">
        <v>33</v>
      </c>
      <c r="F127" s="46" t="s">
        <v>34</v>
      </c>
    </row>
    <row r="128" spans="1:6">
      <c r="A128" s="47" t="s">
        <v>35</v>
      </c>
      <c r="B128" s="48" t="s">
        <v>36</v>
      </c>
      <c r="C128" s="48">
        <v>1</v>
      </c>
      <c r="D128" s="50">
        <v>1966.73</v>
      </c>
      <c r="E128" s="50">
        <f>C128*D128</f>
        <v>1966.73</v>
      </c>
    </row>
    <row r="129" spans="1:6">
      <c r="A129" s="47" t="s">
        <v>37</v>
      </c>
      <c r="B129" s="48" t="s">
        <v>36</v>
      </c>
      <c r="C129" s="48">
        <v>1</v>
      </c>
      <c r="D129" s="50">
        <v>1621</v>
      </c>
      <c r="E129" s="50"/>
    </row>
    <row r="130" spans="1:6">
      <c r="A130" s="51" t="s">
        <v>38</v>
      </c>
      <c r="B130" s="52"/>
      <c r="C130" s="53">
        <v>2</v>
      </c>
      <c r="D130" s="54"/>
      <c r="E130" s="54"/>
    </row>
    <row r="131" spans="1:6">
      <c r="A131" s="51" t="s">
        <v>54</v>
      </c>
      <c r="B131" s="52" t="s">
        <v>6</v>
      </c>
      <c r="C131" s="55">
        <v>40</v>
      </c>
      <c r="D131" s="54">
        <f>IF(C130=2,SUM(E128:E129),IF(C130=1,(SUM(E128:E129))*D129/D128,0))</f>
        <v>1966.73</v>
      </c>
      <c r="E131" s="54">
        <f>C131*D131/100</f>
        <v>786.69200000000001</v>
      </c>
    </row>
    <row r="132" spans="1:6" ht="13.5">
      <c r="A132" s="56" t="s">
        <v>40</v>
      </c>
      <c r="B132" s="57"/>
      <c r="C132" s="82"/>
      <c r="D132" s="59"/>
      <c r="E132" s="60">
        <f>SUM(E128:E131)</f>
        <v>2753.422</v>
      </c>
    </row>
    <row r="133" spans="1:6">
      <c r="A133" s="51" t="s">
        <v>41</v>
      </c>
      <c r="B133" s="52" t="s">
        <v>6</v>
      </c>
      <c r="C133" s="54">
        <f>'2.Tabelas Auxiliares'!$D$33*100</f>
        <v>70.733850000000004</v>
      </c>
      <c r="D133" s="54">
        <f>E132</f>
        <v>2753.422</v>
      </c>
      <c r="E133" s="54">
        <f>D133*C133/100</f>
        <v>1947.6013873470001</v>
      </c>
    </row>
    <row r="134" spans="1:6">
      <c r="A134" s="56" t="s">
        <v>59</v>
      </c>
      <c r="B134" s="57"/>
      <c r="C134" s="57"/>
      <c r="D134" s="59"/>
      <c r="E134" s="60">
        <f>E132+E133</f>
        <v>4701.0233873470006</v>
      </c>
    </row>
    <row r="135" spans="1:6">
      <c r="A135" s="51" t="s">
        <v>43</v>
      </c>
      <c r="B135" s="52" t="s">
        <v>44</v>
      </c>
      <c r="C135" s="61">
        <f>E52</f>
        <v>12</v>
      </c>
      <c r="D135" s="54">
        <f>E134</f>
        <v>4701.0233873470006</v>
      </c>
      <c r="E135" s="54">
        <f>C135*D135</f>
        <v>56412.280648164007</v>
      </c>
    </row>
    <row r="136" spans="1:6" ht="11.25" customHeight="1">
      <c r="A136" s="62"/>
      <c r="B136" s="63"/>
      <c r="C136" s="63"/>
      <c r="D136" s="64" t="s">
        <v>45</v>
      </c>
      <c r="E136" s="65">
        <f>$B$70</f>
        <v>1</v>
      </c>
      <c r="F136" s="66">
        <f>E135*E136</f>
        <v>56412.280648164007</v>
      </c>
    </row>
    <row r="137" spans="1:6" ht="11.25" customHeight="1"/>
    <row r="138" spans="1:6">
      <c r="A138" s="38" t="s">
        <v>60</v>
      </c>
      <c r="B138" s="40" t="s">
        <v>61</v>
      </c>
      <c r="C138" s="83" t="s">
        <v>62</v>
      </c>
      <c r="D138" s="41" t="s">
        <v>28</v>
      </c>
      <c r="E138" s="42" t="s">
        <v>63</v>
      </c>
    </row>
    <row r="139" spans="1:6">
      <c r="A139" s="43" t="s">
        <v>30</v>
      </c>
      <c r="B139" s="44" t="s">
        <v>31</v>
      </c>
      <c r="C139" s="44" t="s">
        <v>10</v>
      </c>
      <c r="D139" s="45" t="s">
        <v>32</v>
      </c>
      <c r="E139" s="45" t="s">
        <v>33</v>
      </c>
      <c r="F139" s="46" t="s">
        <v>34</v>
      </c>
    </row>
    <row r="140" spans="1:6">
      <c r="A140" s="47" t="s">
        <v>64</v>
      </c>
      <c r="B140" s="48" t="s">
        <v>36</v>
      </c>
      <c r="C140" s="48">
        <v>1</v>
      </c>
      <c r="D140" s="50">
        <v>3524.48</v>
      </c>
      <c r="E140" s="50">
        <f>C140*D140</f>
        <v>3524.48</v>
      </c>
    </row>
    <row r="141" spans="1:6">
      <c r="A141" s="47" t="s">
        <v>37</v>
      </c>
      <c r="B141" s="48" t="s">
        <v>36</v>
      </c>
      <c r="C141" s="48">
        <v>1</v>
      </c>
      <c r="D141" s="50">
        <v>1621</v>
      </c>
      <c r="E141" s="50"/>
    </row>
    <row r="142" spans="1:6">
      <c r="A142" s="51" t="s">
        <v>65</v>
      </c>
      <c r="B142" s="52"/>
      <c r="C142" s="53">
        <v>1</v>
      </c>
      <c r="D142" s="54"/>
      <c r="E142" s="54"/>
    </row>
    <row r="143" spans="1:6">
      <c r="A143" s="51" t="s">
        <v>54</v>
      </c>
      <c r="B143" s="52" t="s">
        <v>6</v>
      </c>
      <c r="C143" s="55">
        <v>40</v>
      </c>
      <c r="D143" s="54">
        <f>IF(C142=2,SUM(E140:E141),IF(C142=1,(SUM(E140:E141))*D141/D140,0))</f>
        <v>1621</v>
      </c>
      <c r="E143" s="54">
        <f>C143*D143/100</f>
        <v>648.4</v>
      </c>
    </row>
    <row r="144" spans="1:6" ht="13.5">
      <c r="A144" s="56" t="s">
        <v>40</v>
      </c>
      <c r="B144" s="57"/>
      <c r="C144" s="82"/>
      <c r="D144" s="59"/>
      <c r="E144" s="60">
        <f>SUM(E140:E143)</f>
        <v>4172.88</v>
      </c>
    </row>
    <row r="145" spans="1:6">
      <c r="A145" s="51" t="s">
        <v>41</v>
      </c>
      <c r="B145" s="52" t="s">
        <v>6</v>
      </c>
      <c r="C145" s="54">
        <f>'2.Tabelas Auxiliares'!$D$33*100</f>
        <v>70.733850000000004</v>
      </c>
      <c r="D145" s="54">
        <f>E144</f>
        <v>4172.88</v>
      </c>
      <c r="E145" s="54">
        <f>D145*C145/100</f>
        <v>2951.6386798800004</v>
      </c>
    </row>
    <row r="146" spans="1:6">
      <c r="A146" s="56" t="s">
        <v>66</v>
      </c>
      <c r="B146" s="57"/>
      <c r="C146" s="57"/>
      <c r="D146" s="59"/>
      <c r="E146" s="60">
        <f>E144+E145</f>
        <v>7124.5186798800005</v>
      </c>
    </row>
    <row r="147" spans="1:6">
      <c r="A147" s="51" t="s">
        <v>43</v>
      </c>
      <c r="B147" s="52" t="s">
        <v>44</v>
      </c>
      <c r="C147" s="61">
        <f>E53</f>
        <v>2</v>
      </c>
      <c r="D147" s="54">
        <f>E146</f>
        <v>7124.5186798800005</v>
      </c>
      <c r="E147" s="54">
        <f>C147*D147</f>
        <v>14249.037359760001</v>
      </c>
    </row>
    <row r="148" spans="1:6" ht="11.25" customHeight="1">
      <c r="A148" s="51" t="s">
        <v>67</v>
      </c>
      <c r="B148" s="63"/>
      <c r="C148" s="63"/>
      <c r="D148" s="64" t="s">
        <v>45</v>
      </c>
      <c r="E148" s="65">
        <f>$B$70</f>
        <v>1</v>
      </c>
      <c r="F148" s="66">
        <f>E147*E148</f>
        <v>14249.037359760001</v>
      </c>
    </row>
    <row r="149" spans="1:6" ht="11.25" customHeight="1"/>
    <row r="150" spans="1:6">
      <c r="A150" s="38" t="s">
        <v>68</v>
      </c>
      <c r="B150" s="40" t="s">
        <v>61</v>
      </c>
      <c r="C150" s="83" t="s">
        <v>62</v>
      </c>
      <c r="D150" s="41" t="s">
        <v>28</v>
      </c>
      <c r="E150" s="42" t="s">
        <v>63</v>
      </c>
    </row>
    <row r="151" spans="1:6">
      <c r="A151" s="43" t="s">
        <v>30</v>
      </c>
      <c r="B151" s="44" t="s">
        <v>31</v>
      </c>
      <c r="C151" s="44" t="s">
        <v>10</v>
      </c>
      <c r="D151" s="45" t="s">
        <v>32</v>
      </c>
      <c r="E151" s="45" t="s">
        <v>33</v>
      </c>
      <c r="F151" s="46" t="s">
        <v>34</v>
      </c>
    </row>
    <row r="152" spans="1:6">
      <c r="A152" s="47" t="s">
        <v>69</v>
      </c>
      <c r="B152" s="48" t="s">
        <v>36</v>
      </c>
      <c r="C152" s="48">
        <v>1</v>
      </c>
      <c r="D152" s="50">
        <v>3014.61</v>
      </c>
      <c r="E152" s="50">
        <f>C152*D152</f>
        <v>3014.61</v>
      </c>
    </row>
    <row r="153" spans="1:6">
      <c r="A153" s="47" t="s">
        <v>37</v>
      </c>
      <c r="B153" s="48" t="s">
        <v>36</v>
      </c>
      <c r="C153" s="48">
        <v>1</v>
      </c>
      <c r="D153" s="50">
        <v>1621</v>
      </c>
      <c r="E153" s="50"/>
    </row>
    <row r="154" spans="1:6">
      <c r="A154" s="51" t="s">
        <v>65</v>
      </c>
      <c r="B154" s="52"/>
      <c r="C154" s="53">
        <v>1</v>
      </c>
      <c r="D154" s="54"/>
      <c r="E154" s="54"/>
    </row>
    <row r="155" spans="1:6">
      <c r="A155" s="51" t="s">
        <v>54</v>
      </c>
      <c r="B155" s="52" t="s">
        <v>6</v>
      </c>
      <c r="C155" s="55">
        <v>20</v>
      </c>
      <c r="D155" s="54">
        <f>IF(C154=2,SUM(E152:E153),IF(C154=1,(SUM(E152:E153))*D153/D152,0))</f>
        <v>1621</v>
      </c>
      <c r="E155" s="54">
        <f>C155*D155/100</f>
        <v>324.2</v>
      </c>
    </row>
    <row r="156" spans="1:6" ht="13.5">
      <c r="A156" s="56" t="s">
        <v>40</v>
      </c>
      <c r="B156" s="57"/>
      <c r="C156" s="82"/>
      <c r="D156" s="59"/>
      <c r="E156" s="60">
        <f>SUM(E152:E155)</f>
        <v>3338.81</v>
      </c>
    </row>
    <row r="157" spans="1:6">
      <c r="A157" s="51" t="s">
        <v>41</v>
      </c>
      <c r="B157" s="52" t="s">
        <v>6</v>
      </c>
      <c r="C157" s="54">
        <f>'2.Tabelas Auxiliares'!$D$33*100</f>
        <v>70.733850000000004</v>
      </c>
      <c r="D157" s="54">
        <f>E156</f>
        <v>3338.81</v>
      </c>
      <c r="E157" s="54">
        <f>D157*C157/100</f>
        <v>2361.668857185</v>
      </c>
    </row>
    <row r="158" spans="1:6">
      <c r="A158" s="56" t="s">
        <v>70</v>
      </c>
      <c r="B158" s="57"/>
      <c r="C158" s="57"/>
      <c r="D158" s="59"/>
      <c r="E158" s="60">
        <f>E156+E157</f>
        <v>5700.4788571850004</v>
      </c>
    </row>
    <row r="159" spans="1:6">
      <c r="A159" s="51" t="s">
        <v>43</v>
      </c>
      <c r="B159" s="52" t="s">
        <v>44</v>
      </c>
      <c r="C159" s="61">
        <f>E54</f>
        <v>7</v>
      </c>
      <c r="D159" s="54">
        <f>E158</f>
        <v>5700.4788571850004</v>
      </c>
      <c r="E159" s="54">
        <f>C159*D159</f>
        <v>39903.352000295003</v>
      </c>
    </row>
    <row r="160" spans="1:6" ht="11.25" customHeight="1">
      <c r="A160" s="51" t="s">
        <v>71</v>
      </c>
      <c r="B160" s="63"/>
      <c r="C160" s="63"/>
      <c r="D160" s="64" t="s">
        <v>45</v>
      </c>
      <c r="E160" s="65">
        <v>1</v>
      </c>
      <c r="F160" s="66">
        <f>SUM(E159*E160)</f>
        <v>39903.352000295003</v>
      </c>
    </row>
    <row r="161" spans="1:7" ht="11.25" customHeight="1"/>
    <row r="162" spans="1:7">
      <c r="A162" s="1" t="s">
        <v>72</v>
      </c>
      <c r="B162" s="84"/>
      <c r="D162" s="1"/>
      <c r="E162" s="1"/>
      <c r="G162" s="1"/>
    </row>
    <row r="163" spans="1:7">
      <c r="A163" s="43" t="s">
        <v>30</v>
      </c>
      <c r="B163" s="44" t="s">
        <v>31</v>
      </c>
      <c r="C163" s="44" t="s">
        <v>73</v>
      </c>
      <c r="D163" s="45" t="s">
        <v>32</v>
      </c>
      <c r="E163" s="45" t="s">
        <v>33</v>
      </c>
      <c r="F163" s="46" t="s">
        <v>34</v>
      </c>
      <c r="G163" s="1"/>
    </row>
    <row r="164" spans="1:7">
      <c r="A164" s="85" t="s">
        <v>74</v>
      </c>
      <c r="B164" s="52" t="s">
        <v>75</v>
      </c>
      <c r="C164" s="86">
        <v>1</v>
      </c>
      <c r="D164" s="87">
        <v>6.6</v>
      </c>
      <c r="E164" s="54"/>
      <c r="G164" s="1"/>
    </row>
    <row r="165" spans="1:7">
      <c r="A165" s="85" t="s">
        <v>76</v>
      </c>
      <c r="B165" s="52" t="s">
        <v>77</v>
      </c>
      <c r="C165" s="88">
        <v>22</v>
      </c>
      <c r="D165" s="54"/>
      <c r="E165" s="54"/>
      <c r="G165" s="1"/>
    </row>
    <row r="166" spans="1:7">
      <c r="A166" s="85" t="s">
        <v>78</v>
      </c>
      <c r="B166" s="52" t="s">
        <v>77</v>
      </c>
      <c r="C166" s="89">
        <f>C165*2</f>
        <v>44</v>
      </c>
      <c r="D166" s="54"/>
      <c r="E166" s="54"/>
      <c r="G166" s="1"/>
    </row>
    <row r="167" spans="1:7">
      <c r="A167" s="51" t="str">
        <f t="shared" ref="A167:A173" si="1">A48</f>
        <v>1.1. Auxiliar Administrativo</v>
      </c>
      <c r="B167" s="52" t="s">
        <v>79</v>
      </c>
      <c r="C167" s="90">
        <f t="shared" ref="C167:C173" si="2">E48</f>
        <v>1</v>
      </c>
      <c r="D167" s="50">
        <f>(((D164*C166)-(0.06*E80)))</f>
        <v>151.93019999999999</v>
      </c>
      <c r="E167" s="50">
        <f>C167*D167</f>
        <v>151.93019999999999</v>
      </c>
      <c r="G167" s="1"/>
    </row>
    <row r="168" spans="1:7">
      <c r="A168" s="51" t="str">
        <f t="shared" si="1"/>
        <v>1.2. Técnico Supervisor</v>
      </c>
      <c r="B168" s="48" t="s">
        <v>79</v>
      </c>
      <c r="C168" s="90">
        <f t="shared" si="2"/>
        <v>1</v>
      </c>
      <c r="D168" s="50">
        <f>(((D164*C166)-(0.06*E92)))</f>
        <v>60.899999999999977</v>
      </c>
      <c r="E168" s="50">
        <f t="shared" ref="E168:E173" si="3">IFERROR(C168*D168,"-")</f>
        <v>60.899999999999977</v>
      </c>
      <c r="G168" s="1"/>
    </row>
    <row r="169" spans="1:7">
      <c r="A169" s="51" t="str">
        <f t="shared" si="1"/>
        <v>1.3. Gari Ajudante</v>
      </c>
      <c r="B169" s="48" t="s">
        <v>79</v>
      </c>
      <c r="C169" s="90">
        <f t="shared" si="2"/>
        <v>4</v>
      </c>
      <c r="D169" s="50">
        <f>(((D164*C166)-(0.06*E104)))</f>
        <v>172.39619999999996</v>
      </c>
      <c r="E169" s="50">
        <f t="shared" si="3"/>
        <v>689.58479999999986</v>
      </c>
      <c r="G169" s="1"/>
    </row>
    <row r="170" spans="1:7">
      <c r="A170" s="51" t="str">
        <f t="shared" si="1"/>
        <v>1.4. Gari Varredor</v>
      </c>
      <c r="B170" s="48" t="s">
        <v>79</v>
      </c>
      <c r="C170" s="90">
        <f t="shared" si="2"/>
        <v>17</v>
      </c>
      <c r="D170" s="50">
        <f>(((D164*C166)-(0.06*E116)))</f>
        <v>172.39619999999996</v>
      </c>
      <c r="E170" s="50">
        <f t="shared" si="3"/>
        <v>2930.7353999999996</v>
      </c>
      <c r="G170" s="1"/>
    </row>
    <row r="171" spans="1:7">
      <c r="A171" s="51" t="str">
        <f t="shared" si="1"/>
        <v>1.5. Roçador</v>
      </c>
      <c r="B171" s="48" t="s">
        <v>79</v>
      </c>
      <c r="C171" s="90">
        <f t="shared" si="2"/>
        <v>12</v>
      </c>
      <c r="D171" s="50">
        <f>(((D164*C166)-(0.06*E128)))</f>
        <v>172.39619999999996</v>
      </c>
      <c r="E171" s="50">
        <f t="shared" si="3"/>
        <v>2068.7543999999998</v>
      </c>
      <c r="G171" s="1"/>
    </row>
    <row r="172" spans="1:7">
      <c r="A172" s="51" t="str">
        <f t="shared" si="1"/>
        <v>1.6. Motoristas Operadores</v>
      </c>
      <c r="B172" s="48" t="s">
        <v>79</v>
      </c>
      <c r="C172" s="90">
        <f t="shared" si="2"/>
        <v>2</v>
      </c>
      <c r="D172" s="50">
        <f>(((D164*C166)-(0.06*E140)))</f>
        <v>78.93119999999999</v>
      </c>
      <c r="E172" s="50">
        <f t="shared" si="3"/>
        <v>157.86239999999998</v>
      </c>
      <c r="G172" s="1"/>
    </row>
    <row r="173" spans="1:7">
      <c r="A173" s="51" t="str">
        <f t="shared" si="1"/>
        <v>1.7. Motoristas Caminhão/Caminhonete</v>
      </c>
      <c r="B173" s="48" t="s">
        <v>79</v>
      </c>
      <c r="C173" s="90">
        <f t="shared" si="2"/>
        <v>7</v>
      </c>
      <c r="D173" s="50">
        <f>(((D164*C166)-(0.06*E152)))</f>
        <v>109.52339999999998</v>
      </c>
      <c r="E173" s="50">
        <f t="shared" si="3"/>
        <v>766.66379999999981</v>
      </c>
      <c r="G173" s="1"/>
    </row>
    <row r="174" spans="1:7">
      <c r="A174" s="91" t="s">
        <v>80</v>
      </c>
      <c r="B174" s="92"/>
      <c r="C174" s="92"/>
      <c r="D174" s="64" t="s">
        <v>45</v>
      </c>
      <c r="E174" s="65">
        <v>1</v>
      </c>
      <c r="F174" s="93">
        <f>SUM(E167:E173)*E174</f>
        <v>6826.4309999999987</v>
      </c>
      <c r="G174" s="1"/>
    </row>
    <row r="175" spans="1:7" ht="11.25" customHeight="1">
      <c r="G175" s="1"/>
    </row>
    <row r="176" spans="1:7">
      <c r="G176" s="1"/>
    </row>
    <row r="177" spans="1:7">
      <c r="A177" s="1" t="s">
        <v>81</v>
      </c>
      <c r="F177" s="13"/>
      <c r="G177" s="1"/>
    </row>
    <row r="178" spans="1:7">
      <c r="A178" s="43" t="s">
        <v>30</v>
      </c>
      <c r="B178" s="44" t="s">
        <v>31</v>
      </c>
      <c r="C178" s="44" t="s">
        <v>10</v>
      </c>
      <c r="D178" s="45" t="s">
        <v>32</v>
      </c>
      <c r="E178" s="45" t="s">
        <v>33</v>
      </c>
      <c r="F178" s="46" t="s">
        <v>34</v>
      </c>
      <c r="G178" s="1"/>
    </row>
    <row r="179" spans="1:7">
      <c r="A179" s="85" t="s">
        <v>82</v>
      </c>
      <c r="B179" s="52" t="s">
        <v>75</v>
      </c>
      <c r="C179" s="90">
        <v>1</v>
      </c>
      <c r="D179" s="94">
        <v>27.15</v>
      </c>
      <c r="E179" s="65"/>
      <c r="F179" s="13"/>
      <c r="G179" s="1"/>
    </row>
    <row r="180" spans="1:7">
      <c r="A180" s="85" t="s">
        <v>83</v>
      </c>
      <c r="B180" s="52" t="s">
        <v>84</v>
      </c>
      <c r="C180" s="90">
        <v>1</v>
      </c>
      <c r="D180" s="95">
        <v>22</v>
      </c>
      <c r="E180" s="65"/>
      <c r="F180" s="13"/>
      <c r="G180" s="1"/>
    </row>
    <row r="181" spans="1:7">
      <c r="A181" s="51" t="str">
        <f t="shared" ref="A181:A187" si="4">A48</f>
        <v>1.1. Auxiliar Administrativo</v>
      </c>
      <c r="B181" s="52" t="s">
        <v>84</v>
      </c>
      <c r="C181" s="90">
        <f t="shared" ref="C181:C187" si="5">E48</f>
        <v>1</v>
      </c>
      <c r="D181" s="54">
        <f>($D$180*$D$179)-(($D$180*$D$179)*19%)</f>
        <v>483.81299999999999</v>
      </c>
      <c r="E181" s="65">
        <f>C181*D181</f>
        <v>483.81299999999999</v>
      </c>
      <c r="F181" s="13"/>
      <c r="G181" s="1"/>
    </row>
    <row r="182" spans="1:7">
      <c r="A182" s="51" t="str">
        <f t="shared" si="4"/>
        <v>1.2. Técnico Supervisor</v>
      </c>
      <c r="B182" s="52" t="s">
        <v>84</v>
      </c>
      <c r="C182" s="90">
        <f t="shared" si="5"/>
        <v>1</v>
      </c>
      <c r="D182" s="54">
        <f>($D$180*$D$179)-(($D$180*$D$179)*19%)</f>
        <v>483.81299999999999</v>
      </c>
      <c r="E182" s="65">
        <f>(C182*D182)*E100</f>
        <v>483.81299999999999</v>
      </c>
      <c r="F182" s="13"/>
      <c r="G182" s="1"/>
    </row>
    <row r="183" spans="1:7">
      <c r="A183" s="51" t="str">
        <f t="shared" si="4"/>
        <v>1.3. Gari Ajudante</v>
      </c>
      <c r="B183" s="52" t="s">
        <v>84</v>
      </c>
      <c r="C183" s="90">
        <f t="shared" si="5"/>
        <v>4</v>
      </c>
      <c r="D183" s="54">
        <f>($D$180*$D$179)-(($D$180*$D$179)*19%)</f>
        <v>483.81299999999999</v>
      </c>
      <c r="E183" s="65">
        <f>C183*D183</f>
        <v>1935.252</v>
      </c>
      <c r="F183" s="13"/>
      <c r="G183" s="1"/>
    </row>
    <row r="184" spans="1:7">
      <c r="A184" s="51" t="str">
        <f t="shared" si="4"/>
        <v>1.4. Gari Varredor</v>
      </c>
      <c r="B184" s="52" t="s">
        <v>84</v>
      </c>
      <c r="C184" s="90">
        <f t="shared" si="5"/>
        <v>17</v>
      </c>
      <c r="D184" s="54">
        <f>($D$180*$D$179)-(($D$180*$D$179)*19%)</f>
        <v>483.81299999999999</v>
      </c>
      <c r="E184" s="65">
        <f>C184*D184</f>
        <v>8224.8209999999999</v>
      </c>
      <c r="F184" s="13"/>
      <c r="G184" s="1"/>
    </row>
    <row r="185" spans="1:7">
      <c r="A185" s="51" t="str">
        <f t="shared" si="4"/>
        <v>1.5. Roçador</v>
      </c>
      <c r="B185" s="52" t="s">
        <v>84</v>
      </c>
      <c r="C185" s="90">
        <f t="shared" si="5"/>
        <v>12</v>
      </c>
      <c r="D185" s="54">
        <f>($D$180*$D$179)-(($D$180*$D$179)*19%)</f>
        <v>483.81299999999999</v>
      </c>
      <c r="E185" s="65">
        <f>C185*D185</f>
        <v>5805.7559999999994</v>
      </c>
      <c r="F185" s="13"/>
      <c r="G185" s="1"/>
    </row>
    <row r="186" spans="1:7">
      <c r="A186" s="51" t="str">
        <f t="shared" si="4"/>
        <v>1.6. Motoristas Operadores</v>
      </c>
      <c r="B186" s="52" t="s">
        <v>84</v>
      </c>
      <c r="C186" s="90">
        <f t="shared" si="5"/>
        <v>2</v>
      </c>
      <c r="D186" s="54">
        <f>175-1</f>
        <v>174</v>
      </c>
      <c r="E186" s="65">
        <f>C186*D186</f>
        <v>348</v>
      </c>
      <c r="F186" s="13"/>
      <c r="G186" s="1"/>
    </row>
    <row r="187" spans="1:7">
      <c r="A187" s="51" t="str">
        <f t="shared" si="4"/>
        <v>1.7. Motoristas Caminhão/Caminhonete</v>
      </c>
      <c r="B187" s="52" t="s">
        <v>84</v>
      </c>
      <c r="C187" s="90">
        <f t="shared" si="5"/>
        <v>7</v>
      </c>
      <c r="D187" s="54">
        <f>175-1</f>
        <v>174</v>
      </c>
      <c r="E187" s="65">
        <f>C187*D187</f>
        <v>1218</v>
      </c>
      <c r="F187" s="13"/>
      <c r="G187" s="1"/>
    </row>
    <row r="188" spans="1:7">
      <c r="A188" s="91" t="s">
        <v>85</v>
      </c>
      <c r="B188" s="92"/>
      <c r="C188" s="92"/>
      <c r="D188" s="64" t="s">
        <v>45</v>
      </c>
      <c r="E188" s="65">
        <f>$B$70</f>
        <v>1</v>
      </c>
      <c r="F188" s="93">
        <f>SUM(E181:E187)*E188</f>
        <v>18499.455000000002</v>
      </c>
      <c r="G188" s="1"/>
    </row>
    <row r="189" spans="1:7">
      <c r="G189" s="1"/>
    </row>
    <row r="190" spans="1:7">
      <c r="A190" s="96" t="s">
        <v>86</v>
      </c>
      <c r="B190" s="97"/>
      <c r="C190" s="97"/>
      <c r="D190" s="22"/>
      <c r="E190" s="98"/>
      <c r="F190" s="99">
        <f>F88+F100+F112+F124+F136+F148+F160+F174+F188</f>
        <v>246388.97786796105</v>
      </c>
      <c r="G190" s="1"/>
    </row>
    <row r="191" spans="1:7">
      <c r="A191" s="100"/>
      <c r="B191" s="100"/>
    </row>
    <row r="192" spans="1:7">
      <c r="A192" s="37" t="s">
        <v>87</v>
      </c>
      <c r="B192" s="100"/>
      <c r="G192" s="1"/>
    </row>
    <row r="193" spans="1:7" ht="11.25" customHeight="1">
      <c r="G193" s="1"/>
    </row>
    <row r="194" spans="1:7" ht="13.9" customHeight="1">
      <c r="A194" s="1" t="s">
        <v>88</v>
      </c>
      <c r="G194" s="1"/>
    </row>
    <row r="195" spans="1:7" ht="11.25" customHeight="1">
      <c r="G195" s="1"/>
    </row>
    <row r="196" spans="1:7" ht="27.75" customHeight="1">
      <c r="A196" s="43" t="s">
        <v>30</v>
      </c>
      <c r="B196" s="44" t="s">
        <v>31</v>
      </c>
      <c r="C196" s="101" t="s">
        <v>89</v>
      </c>
      <c r="D196" s="101" t="s">
        <v>90</v>
      </c>
      <c r="E196" s="45" t="s">
        <v>91</v>
      </c>
      <c r="F196" s="46" t="s">
        <v>34</v>
      </c>
      <c r="G196" s="1"/>
    </row>
    <row r="197" spans="1:7">
      <c r="A197" s="47" t="s">
        <v>92</v>
      </c>
      <c r="B197" s="48" t="s">
        <v>84</v>
      </c>
      <c r="C197" s="102">
        <v>2</v>
      </c>
      <c r="D197" s="50">
        <v>59.25</v>
      </c>
      <c r="E197" s="50">
        <f t="shared" ref="E197:E214" si="6">(C197*D197)/12</f>
        <v>9.875</v>
      </c>
      <c r="G197" s="1"/>
    </row>
    <row r="198" spans="1:7" ht="13.15" customHeight="1">
      <c r="A198" s="51" t="s">
        <v>93</v>
      </c>
      <c r="B198" s="52" t="s">
        <v>84</v>
      </c>
      <c r="C198" s="102">
        <v>4</v>
      </c>
      <c r="D198" s="50">
        <v>35.17</v>
      </c>
      <c r="E198" s="50">
        <f t="shared" si="6"/>
        <v>11.723333333333334</v>
      </c>
      <c r="G198" s="1"/>
    </row>
    <row r="199" spans="1:7">
      <c r="A199" s="51" t="s">
        <v>94</v>
      </c>
      <c r="B199" s="52" t="s">
        <v>84</v>
      </c>
      <c r="C199" s="102">
        <v>4</v>
      </c>
      <c r="D199" s="50">
        <v>31.3</v>
      </c>
      <c r="E199" s="50">
        <f t="shared" si="6"/>
        <v>10.433333333333334</v>
      </c>
      <c r="G199" s="1"/>
    </row>
    <row r="200" spans="1:7">
      <c r="A200" s="51" t="s">
        <v>95</v>
      </c>
      <c r="B200" s="52" t="s">
        <v>84</v>
      </c>
      <c r="C200" s="102">
        <v>4</v>
      </c>
      <c r="D200" s="50">
        <v>52.62</v>
      </c>
      <c r="E200" s="50">
        <f t="shared" si="6"/>
        <v>17.54</v>
      </c>
      <c r="G200" s="1"/>
    </row>
    <row r="201" spans="1:7" ht="13.15" customHeight="1">
      <c r="A201" s="51" t="s">
        <v>96</v>
      </c>
      <c r="B201" s="52" t="s">
        <v>84</v>
      </c>
      <c r="C201" s="102">
        <v>4</v>
      </c>
      <c r="D201" s="50">
        <v>11.09</v>
      </c>
      <c r="E201" s="50">
        <f t="shared" si="6"/>
        <v>3.6966666666666668</v>
      </c>
      <c r="G201" s="1"/>
    </row>
    <row r="202" spans="1:7" ht="13.9" customHeight="1">
      <c r="A202" s="51" t="s">
        <v>97</v>
      </c>
      <c r="B202" s="52" t="s">
        <v>98</v>
      </c>
      <c r="C202" s="102">
        <v>2</v>
      </c>
      <c r="D202" s="50">
        <v>61.81</v>
      </c>
      <c r="E202" s="50">
        <f t="shared" si="6"/>
        <v>10.301666666666668</v>
      </c>
      <c r="G202" s="1"/>
    </row>
    <row r="203" spans="1:7" ht="13.15" customHeight="1">
      <c r="A203" s="51" t="s">
        <v>99</v>
      </c>
      <c r="B203" s="52" t="s">
        <v>98</v>
      </c>
      <c r="C203" s="102">
        <v>12</v>
      </c>
      <c r="D203" s="50">
        <v>16.71</v>
      </c>
      <c r="E203" s="50">
        <f t="shared" si="6"/>
        <v>16.71</v>
      </c>
    </row>
    <row r="204" spans="1:7">
      <c r="A204" s="51" t="s">
        <v>100</v>
      </c>
      <c r="B204" s="52" t="s">
        <v>84</v>
      </c>
      <c r="C204" s="102">
        <v>2</v>
      </c>
      <c r="D204" s="50">
        <v>50.93</v>
      </c>
      <c r="E204" s="50">
        <f t="shared" si="6"/>
        <v>8.4883333333333333</v>
      </c>
    </row>
    <row r="205" spans="1:7" s="106" customFormat="1">
      <c r="A205" s="103" t="s">
        <v>101</v>
      </c>
      <c r="B205" s="104" t="s">
        <v>84</v>
      </c>
      <c r="C205" s="102">
        <v>2</v>
      </c>
      <c r="D205" s="50">
        <v>20.64</v>
      </c>
      <c r="E205" s="50">
        <f t="shared" si="6"/>
        <v>3.44</v>
      </c>
      <c r="F205" s="105"/>
      <c r="G205" s="105"/>
    </row>
    <row r="206" spans="1:7">
      <c r="A206" s="51" t="s">
        <v>102</v>
      </c>
      <c r="B206" s="52" t="s">
        <v>98</v>
      </c>
      <c r="C206" s="102">
        <v>12</v>
      </c>
      <c r="D206" s="50">
        <v>5.72</v>
      </c>
      <c r="E206" s="50">
        <f t="shared" si="6"/>
        <v>5.72</v>
      </c>
    </row>
    <row r="207" spans="1:7">
      <c r="A207" s="51" t="s">
        <v>103</v>
      </c>
      <c r="B207" s="52" t="s">
        <v>98</v>
      </c>
      <c r="C207" s="102">
        <v>12</v>
      </c>
      <c r="D207" s="50">
        <v>4.62</v>
      </c>
      <c r="E207" s="50">
        <f t="shared" si="6"/>
        <v>4.62</v>
      </c>
    </row>
    <row r="208" spans="1:7" ht="13.15" customHeight="1">
      <c r="A208" s="51" t="s">
        <v>104</v>
      </c>
      <c r="B208" s="52" t="s">
        <v>105</v>
      </c>
      <c r="C208" s="102">
        <v>12</v>
      </c>
      <c r="D208" s="50">
        <v>20.399999999999999</v>
      </c>
      <c r="E208" s="50">
        <f t="shared" si="6"/>
        <v>20.399999999999999</v>
      </c>
    </row>
    <row r="209" spans="1:6" ht="13.15" customHeight="1">
      <c r="A209" s="51" t="s">
        <v>106</v>
      </c>
      <c r="B209" s="52" t="s">
        <v>105</v>
      </c>
      <c r="C209" s="102">
        <v>12</v>
      </c>
      <c r="D209" s="50">
        <v>24.06</v>
      </c>
      <c r="E209" s="50">
        <f t="shared" si="6"/>
        <v>24.06</v>
      </c>
    </row>
    <row r="210" spans="1:6" ht="13.15" customHeight="1">
      <c r="A210" s="51" t="s">
        <v>107</v>
      </c>
      <c r="B210" s="104" t="s">
        <v>84</v>
      </c>
      <c r="C210" s="102">
        <v>6</v>
      </c>
      <c r="D210" s="50">
        <v>6.44</v>
      </c>
      <c r="E210" s="50">
        <f t="shared" si="6"/>
        <v>3.22</v>
      </c>
    </row>
    <row r="211" spans="1:6" ht="13.15" customHeight="1">
      <c r="A211" s="51" t="s">
        <v>108</v>
      </c>
      <c r="B211" s="104" t="s">
        <v>84</v>
      </c>
      <c r="C211" s="102">
        <v>12</v>
      </c>
      <c r="D211" s="50">
        <v>3.9</v>
      </c>
      <c r="E211" s="50">
        <f t="shared" si="6"/>
        <v>3.9</v>
      </c>
    </row>
    <row r="212" spans="1:6" ht="13.15" customHeight="1">
      <c r="A212" s="103" t="s">
        <v>109</v>
      </c>
      <c r="B212" s="104" t="s">
        <v>84</v>
      </c>
      <c r="C212" s="102">
        <v>2</v>
      </c>
      <c r="D212" s="50">
        <v>140.21</v>
      </c>
      <c r="E212" s="50">
        <f t="shared" si="6"/>
        <v>23.368333333333336</v>
      </c>
    </row>
    <row r="213" spans="1:6" ht="13.15" customHeight="1">
      <c r="A213" s="103" t="s">
        <v>110</v>
      </c>
      <c r="B213" s="104" t="s">
        <v>84</v>
      </c>
      <c r="C213" s="102">
        <v>2</v>
      </c>
      <c r="D213" s="50">
        <v>69.150000000000006</v>
      </c>
      <c r="E213" s="50">
        <f t="shared" si="6"/>
        <v>11.525</v>
      </c>
    </row>
    <row r="214" spans="1:6">
      <c r="A214" s="51" t="s">
        <v>111</v>
      </c>
      <c r="B214" s="52" t="s">
        <v>112</v>
      </c>
      <c r="C214" s="102">
        <v>12</v>
      </c>
      <c r="D214" s="50">
        <v>136.94999999999999</v>
      </c>
      <c r="E214" s="50">
        <f t="shared" si="6"/>
        <v>136.94999999999999</v>
      </c>
    </row>
    <row r="215" spans="1:6">
      <c r="A215" s="69" t="s">
        <v>43</v>
      </c>
      <c r="B215" s="52" t="s">
        <v>113</v>
      </c>
      <c r="C215" s="107">
        <f>E50+E51+E52</f>
        <v>33</v>
      </c>
      <c r="D215" s="70">
        <f>SUM(D197:D214)</f>
        <v>750.97</v>
      </c>
      <c r="E215" s="70">
        <f>SUM(E197:E214)</f>
        <v>325.97166666666669</v>
      </c>
    </row>
    <row r="216" spans="1:6">
      <c r="D216" s="76" t="s">
        <v>45</v>
      </c>
      <c r="E216" s="65">
        <f>$B$70</f>
        <v>1</v>
      </c>
      <c r="F216" s="66">
        <f>SUM(C215*E215)*E216</f>
        <v>10757.065000000001</v>
      </c>
    </row>
    <row r="217" spans="1:6" ht="11.25" customHeight="1"/>
    <row r="218" spans="1:6" ht="13.9" customHeight="1">
      <c r="A218" s="1" t="s">
        <v>114</v>
      </c>
    </row>
    <row r="219" spans="1:6" ht="11.25" customHeight="1"/>
    <row r="220" spans="1:6" ht="24">
      <c r="A220" s="43" t="s">
        <v>30</v>
      </c>
      <c r="B220" s="44" t="s">
        <v>31</v>
      </c>
      <c r="C220" s="101" t="s">
        <v>89</v>
      </c>
      <c r="D220" s="101" t="s">
        <v>90</v>
      </c>
      <c r="E220" s="45" t="s">
        <v>91</v>
      </c>
      <c r="F220" s="46" t="s">
        <v>34</v>
      </c>
    </row>
    <row r="221" spans="1:6">
      <c r="A221" s="47" t="s">
        <v>115</v>
      </c>
      <c r="B221" s="48" t="s">
        <v>84</v>
      </c>
      <c r="C221" s="102">
        <v>2</v>
      </c>
      <c r="D221" s="50">
        <f>D197</f>
        <v>59.25</v>
      </c>
      <c r="E221" s="50">
        <f t="shared" ref="E221:E235" si="7">(C221*D221)/12</f>
        <v>9.875</v>
      </c>
    </row>
    <row r="222" spans="1:6">
      <c r="A222" s="51" t="str">
        <f>A198</f>
        <v>Calças</v>
      </c>
      <c r="B222" s="52" t="s">
        <v>84</v>
      </c>
      <c r="C222" s="102">
        <v>2</v>
      </c>
      <c r="D222" s="50">
        <f>D198</f>
        <v>35.17</v>
      </c>
      <c r="E222" s="50">
        <f t="shared" si="7"/>
        <v>5.8616666666666672</v>
      </c>
    </row>
    <row r="223" spans="1:6">
      <c r="A223" s="51" t="str">
        <f>A199</f>
        <v>Camisetas</v>
      </c>
      <c r="B223" s="52" t="s">
        <v>84</v>
      </c>
      <c r="C223" s="102">
        <v>2</v>
      </c>
      <c r="D223" s="50">
        <f>D199</f>
        <v>31.3</v>
      </c>
      <c r="E223" s="50">
        <f t="shared" si="7"/>
        <v>5.2166666666666668</v>
      </c>
    </row>
    <row r="224" spans="1:6">
      <c r="A224" s="51" t="str">
        <f>A201</f>
        <v>Bonés</v>
      </c>
      <c r="B224" s="52" t="s">
        <v>84</v>
      </c>
      <c r="C224" s="102">
        <v>2</v>
      </c>
      <c r="D224" s="50">
        <f>D201</f>
        <v>11.09</v>
      </c>
      <c r="E224" s="50">
        <f t="shared" si="7"/>
        <v>1.8483333333333334</v>
      </c>
    </row>
    <row r="225" spans="1:7">
      <c r="A225" s="51" t="str">
        <f>A202</f>
        <v>Botina c/ biqueira de aço</v>
      </c>
      <c r="B225" s="52" t="s">
        <v>84</v>
      </c>
      <c r="C225" s="102">
        <v>1</v>
      </c>
      <c r="D225" s="50">
        <f>D202</f>
        <v>61.81</v>
      </c>
      <c r="E225" s="50">
        <f t="shared" si="7"/>
        <v>5.1508333333333338</v>
      </c>
    </row>
    <row r="226" spans="1:7">
      <c r="A226" s="51" t="str">
        <f>A204</f>
        <v>Capas de chuva amarela com reflexivo</v>
      </c>
      <c r="B226" s="52" t="s">
        <v>84</v>
      </c>
      <c r="C226" s="102">
        <v>2</v>
      </c>
      <c r="D226" s="50">
        <f>D204</f>
        <v>50.93</v>
      </c>
      <c r="E226" s="50">
        <f t="shared" si="7"/>
        <v>8.4883333333333333</v>
      </c>
    </row>
    <row r="227" spans="1:7">
      <c r="A227" s="51" t="str">
        <f>A205</f>
        <v>Colete reflexivo</v>
      </c>
      <c r="B227" s="52" t="s">
        <v>98</v>
      </c>
      <c r="C227" s="102">
        <v>2</v>
      </c>
      <c r="D227" s="50">
        <f>D205</f>
        <v>20.64</v>
      </c>
      <c r="E227" s="50">
        <f t="shared" si="7"/>
        <v>3.44</v>
      </c>
    </row>
    <row r="228" spans="1:7">
      <c r="A228" s="51" t="str">
        <f>A206</f>
        <v>Luva de proteção</v>
      </c>
      <c r="B228" s="52" t="s">
        <v>98</v>
      </c>
      <c r="C228" s="102">
        <v>12</v>
      </c>
      <c r="D228" s="50">
        <f>D206</f>
        <v>5.72</v>
      </c>
      <c r="E228" s="50">
        <f t="shared" si="7"/>
        <v>5.72</v>
      </c>
    </row>
    <row r="229" spans="1:7">
      <c r="A229" s="51" t="str">
        <f>A210</f>
        <v>Óculos de proteção</v>
      </c>
      <c r="B229" s="52" t="s">
        <v>84</v>
      </c>
      <c r="C229" s="102">
        <v>6</v>
      </c>
      <c r="D229" s="50">
        <f>D210</f>
        <v>6.44</v>
      </c>
      <c r="E229" s="50">
        <f t="shared" si="7"/>
        <v>3.22</v>
      </c>
    </row>
    <row r="230" spans="1:7">
      <c r="A230" s="51" t="str">
        <f>A207</f>
        <v>Mascara respiratória de proteção</v>
      </c>
      <c r="B230" s="52" t="s">
        <v>84</v>
      </c>
      <c r="C230" s="102">
        <v>12</v>
      </c>
      <c r="D230" s="50">
        <f>D207</f>
        <v>4.62</v>
      </c>
      <c r="E230" s="50">
        <f t="shared" si="7"/>
        <v>4.62</v>
      </c>
    </row>
    <row r="231" spans="1:7">
      <c r="A231" s="51" t="str">
        <f>A200</f>
        <v>Abafadores para ruídos</v>
      </c>
      <c r="B231" s="52" t="s">
        <v>84</v>
      </c>
      <c r="C231" s="102">
        <v>4</v>
      </c>
      <c r="D231" s="50">
        <f>D200</f>
        <v>52.62</v>
      </c>
      <c r="E231" s="50">
        <f t="shared" si="7"/>
        <v>17.54</v>
      </c>
    </row>
    <row r="232" spans="1:7">
      <c r="A232" s="51" t="str">
        <f>A211</f>
        <v>Protetores Auriculares</v>
      </c>
      <c r="B232" s="52" t="s">
        <v>84</v>
      </c>
      <c r="C232" s="102">
        <v>12</v>
      </c>
      <c r="D232" s="50">
        <f>D211</f>
        <v>3.9</v>
      </c>
      <c r="E232" s="50">
        <f t="shared" si="7"/>
        <v>3.9</v>
      </c>
    </row>
    <row r="233" spans="1:7">
      <c r="A233" s="51" t="str">
        <f>A209</f>
        <v>Repelente para insetos</v>
      </c>
      <c r="B233" s="52" t="s">
        <v>84</v>
      </c>
      <c r="C233" s="102">
        <v>12</v>
      </c>
      <c r="D233" s="50">
        <f>D209</f>
        <v>24.06</v>
      </c>
      <c r="E233" s="50">
        <f t="shared" si="7"/>
        <v>24.06</v>
      </c>
    </row>
    <row r="234" spans="1:7">
      <c r="A234" s="51" t="str">
        <f>A208</f>
        <v>Protetor solar FPS 30</v>
      </c>
      <c r="B234" s="52" t="s">
        <v>84</v>
      </c>
      <c r="C234" s="102">
        <v>12</v>
      </c>
      <c r="D234" s="50">
        <f>D208</f>
        <v>20.399999999999999</v>
      </c>
      <c r="E234" s="50">
        <f t="shared" si="7"/>
        <v>20.399999999999999</v>
      </c>
    </row>
    <row r="235" spans="1:7">
      <c r="A235" s="51" t="s">
        <v>111</v>
      </c>
      <c r="B235" s="52" t="s">
        <v>112</v>
      </c>
      <c r="C235" s="102">
        <f>C214</f>
        <v>12</v>
      </c>
      <c r="D235" s="50">
        <f>D214</f>
        <v>136.94999999999999</v>
      </c>
      <c r="E235" s="50">
        <f t="shared" si="7"/>
        <v>136.94999999999999</v>
      </c>
      <c r="G235" s="1"/>
    </row>
    <row r="236" spans="1:7">
      <c r="A236" s="69" t="s">
        <v>43</v>
      </c>
      <c r="B236" s="52" t="s">
        <v>113</v>
      </c>
      <c r="C236" s="107">
        <f>E54+E53+E49</f>
        <v>10</v>
      </c>
      <c r="D236" s="70">
        <f>SUM(D221:D235)</f>
        <v>524.9</v>
      </c>
      <c r="E236" s="70">
        <f>SUM(E221:E235)</f>
        <v>256.29083333333335</v>
      </c>
      <c r="G236" s="1"/>
    </row>
    <row r="237" spans="1:7">
      <c r="D237" s="76" t="s">
        <v>45</v>
      </c>
      <c r="E237" s="65">
        <f>$B$70</f>
        <v>1</v>
      </c>
      <c r="F237" s="66">
        <f>(C236*E236)*E237</f>
        <v>2562.9083333333338</v>
      </c>
      <c r="G237" s="1"/>
    </row>
    <row r="238" spans="1:7">
      <c r="D238" s="76"/>
      <c r="F238" s="59"/>
      <c r="G238" s="1"/>
    </row>
    <row r="239" spans="1:7">
      <c r="A239" s="1" t="s">
        <v>116</v>
      </c>
      <c r="G239" s="1"/>
    </row>
    <row r="240" spans="1:7">
      <c r="G240" s="1"/>
    </row>
    <row r="241" spans="1:7" ht="24">
      <c r="A241" s="43" t="s">
        <v>30</v>
      </c>
      <c r="B241" s="44" t="s">
        <v>31</v>
      </c>
      <c r="C241" s="101" t="s">
        <v>89</v>
      </c>
      <c r="D241" s="101" t="s">
        <v>90</v>
      </c>
      <c r="E241" s="45" t="s">
        <v>91</v>
      </c>
      <c r="F241" s="46" t="s">
        <v>34</v>
      </c>
      <c r="G241" s="1"/>
    </row>
    <row r="242" spans="1:7">
      <c r="A242" s="47" t="s">
        <v>117</v>
      </c>
      <c r="B242" s="48" t="s">
        <v>84</v>
      </c>
      <c r="C242" s="102">
        <f>C197</f>
        <v>2</v>
      </c>
      <c r="D242" s="50">
        <f>D197</f>
        <v>59.25</v>
      </c>
      <c r="E242" s="50">
        <f>(C242*D242)/12</f>
        <v>9.875</v>
      </c>
      <c r="G242" s="1"/>
    </row>
    <row r="243" spans="1:7">
      <c r="A243" s="51" t="s">
        <v>93</v>
      </c>
      <c r="B243" s="52" t="s">
        <v>84</v>
      </c>
      <c r="C243" s="102">
        <f>C222</f>
        <v>2</v>
      </c>
      <c r="D243" s="50">
        <f>D198</f>
        <v>35.17</v>
      </c>
      <c r="E243" s="50">
        <f>(C243*D243)/12</f>
        <v>5.8616666666666672</v>
      </c>
    </row>
    <row r="244" spans="1:7">
      <c r="A244" s="51" t="str">
        <f>A223</f>
        <v>Camisetas</v>
      </c>
      <c r="B244" s="52" t="s">
        <v>84</v>
      </c>
      <c r="C244" s="102">
        <f>C223</f>
        <v>2</v>
      </c>
      <c r="D244" s="50">
        <f>D223</f>
        <v>31.3</v>
      </c>
      <c r="E244" s="50">
        <f>(C244*D244)/12</f>
        <v>5.2166666666666668</v>
      </c>
      <c r="G244" s="1"/>
    </row>
    <row r="245" spans="1:7">
      <c r="A245" s="51" t="str">
        <f>A235</f>
        <v>Higienização de uniformes e EPIs</v>
      </c>
      <c r="B245" s="52" t="str">
        <f>B235</f>
        <v>R$ mensal</v>
      </c>
      <c r="C245" s="102">
        <f>C235</f>
        <v>12</v>
      </c>
      <c r="D245" s="50">
        <f>D235</f>
        <v>136.94999999999999</v>
      </c>
      <c r="E245" s="50">
        <f>(C245*D245)/12</f>
        <v>136.94999999999999</v>
      </c>
      <c r="G245" s="1"/>
    </row>
    <row r="246" spans="1:7">
      <c r="A246" s="51" t="s">
        <v>43</v>
      </c>
      <c r="B246" s="52" t="s">
        <v>113</v>
      </c>
      <c r="C246" s="107">
        <f>E48</f>
        <v>1</v>
      </c>
      <c r="D246" s="70">
        <f>SUM(D242:D245)</f>
        <v>262.66999999999996</v>
      </c>
      <c r="E246" s="70">
        <f>SUM(E242:E245)</f>
        <v>157.90333333333331</v>
      </c>
      <c r="G246" s="1"/>
    </row>
    <row r="247" spans="1:7">
      <c r="D247" s="76" t="s">
        <v>45</v>
      </c>
      <c r="E247" s="65">
        <f>$B$70</f>
        <v>1</v>
      </c>
      <c r="F247" s="66">
        <f>(C246*E246)*E247</f>
        <v>157.90333333333331</v>
      </c>
      <c r="G247" s="1"/>
    </row>
    <row r="248" spans="1:7" ht="11.25" customHeight="1">
      <c r="G248" s="1"/>
    </row>
    <row r="249" spans="1:7">
      <c r="A249" s="96" t="s">
        <v>118</v>
      </c>
      <c r="B249" s="108"/>
      <c r="C249" s="108"/>
      <c r="D249" s="109"/>
      <c r="E249" s="110"/>
      <c r="F249" s="111">
        <f>F216+F237+F247</f>
        <v>13477.876666666669</v>
      </c>
      <c r="G249" s="1"/>
    </row>
    <row r="250" spans="1:7" ht="11.25" customHeight="1">
      <c r="G250" s="1"/>
    </row>
    <row r="251" spans="1:7">
      <c r="A251" s="37" t="s">
        <v>119</v>
      </c>
      <c r="G251" s="1"/>
    </row>
    <row r="252" spans="1:7" ht="11.25" customHeight="1">
      <c r="B252" s="112"/>
      <c r="G252" s="1"/>
    </row>
    <row r="253" spans="1:7">
      <c r="A253" s="113" t="s">
        <v>120</v>
      </c>
      <c r="F253" s="59"/>
      <c r="G253" s="1"/>
    </row>
    <row r="254" spans="1:7" ht="11.25" customHeight="1">
      <c r="G254" s="1"/>
    </row>
    <row r="255" spans="1:7">
      <c r="A255" s="114" t="s">
        <v>121</v>
      </c>
      <c r="G255" s="1"/>
    </row>
    <row r="256" spans="1:7">
      <c r="A256" s="115" t="s">
        <v>30</v>
      </c>
      <c r="B256" s="116" t="s">
        <v>31</v>
      </c>
      <c r="C256" s="116" t="s">
        <v>10</v>
      </c>
      <c r="D256" s="117" t="s">
        <v>32</v>
      </c>
      <c r="E256" s="117" t="s">
        <v>33</v>
      </c>
      <c r="F256" s="46" t="s">
        <v>34</v>
      </c>
      <c r="G256" s="1"/>
    </row>
    <row r="257" spans="1:10">
      <c r="A257" s="273" t="str">
        <f>A58</f>
        <v>Caminhão ¾ com 175 cv com Caçamba basculante e Cabine auxiliar (Para 5 pessoas) (Conjunto)</v>
      </c>
      <c r="B257" s="273"/>
      <c r="C257" s="273"/>
      <c r="D257" s="273"/>
      <c r="E257" s="273"/>
      <c r="F257" s="118"/>
      <c r="G257" s="1"/>
    </row>
    <row r="258" spans="1:10">
      <c r="A258" s="51" t="s">
        <v>122</v>
      </c>
      <c r="B258" s="52" t="s">
        <v>84</v>
      </c>
      <c r="C258" s="52">
        <v>1</v>
      </c>
      <c r="D258" s="119">
        <v>450389</v>
      </c>
      <c r="E258" s="54">
        <f>C258*D258</f>
        <v>450389</v>
      </c>
      <c r="G258" s="1"/>
    </row>
    <row r="259" spans="1:10">
      <c r="A259" s="51" t="s">
        <v>123</v>
      </c>
      <c r="B259" s="52" t="s">
        <v>124</v>
      </c>
      <c r="C259" s="52">
        <v>10</v>
      </c>
      <c r="D259" s="54"/>
      <c r="E259" s="54"/>
      <c r="G259" s="1"/>
    </row>
    <row r="260" spans="1:10">
      <c r="A260" s="51" t="s">
        <v>125</v>
      </c>
      <c r="B260" s="52" t="s">
        <v>124</v>
      </c>
      <c r="C260" s="52">
        <v>0</v>
      </c>
      <c r="D260" s="54"/>
      <c r="E260" s="54"/>
      <c r="F260" s="77"/>
      <c r="I260" s="120"/>
      <c r="J260" s="120"/>
    </row>
    <row r="261" spans="1:10">
      <c r="A261" s="51" t="s">
        <v>126</v>
      </c>
      <c r="B261" s="52" t="s">
        <v>6</v>
      </c>
      <c r="C261" s="54">
        <f>IFERROR(VLOOKUP(C259,'2.Tabelas Auxiliares'!A81:C95,2,FALSE()),0)</f>
        <v>65.180000000000007</v>
      </c>
      <c r="D261" s="54">
        <f>D258</f>
        <v>450389</v>
      </c>
      <c r="E261" s="54">
        <f>C261*D261/100</f>
        <v>293563.55020000006</v>
      </c>
    </row>
    <row r="262" spans="1:10">
      <c r="A262" s="121" t="s">
        <v>127</v>
      </c>
      <c r="B262" s="122" t="s">
        <v>36</v>
      </c>
      <c r="C262" s="122">
        <f>C259*12</f>
        <v>120</v>
      </c>
      <c r="D262" s="123">
        <f>IF(C260&lt;=C259,E261,0)</f>
        <v>293563.55020000006</v>
      </c>
      <c r="E262" s="123">
        <f>IFERROR(D262/C262,0)</f>
        <v>2446.3629183333337</v>
      </c>
    </row>
    <row r="263" spans="1:10">
      <c r="A263" s="47" t="s">
        <v>128</v>
      </c>
      <c r="B263" s="48" t="s">
        <v>84</v>
      </c>
      <c r="C263" s="48">
        <v>1</v>
      </c>
      <c r="D263" s="124">
        <f>40000+18900</f>
        <v>58900</v>
      </c>
      <c r="E263" s="50">
        <f>C263*D263</f>
        <v>58900</v>
      </c>
      <c r="F263" s="125"/>
      <c r="G263" s="126"/>
    </row>
    <row r="264" spans="1:10">
      <c r="A264" s="51" t="s">
        <v>129</v>
      </c>
      <c r="B264" s="52" t="s">
        <v>124</v>
      </c>
      <c r="C264" s="52">
        <v>10</v>
      </c>
      <c r="D264" s="54"/>
      <c r="E264" s="54"/>
    </row>
    <row r="265" spans="1:10">
      <c r="A265" s="51" t="s">
        <v>130</v>
      </c>
      <c r="B265" s="52" t="s">
        <v>124</v>
      </c>
      <c r="C265" s="52">
        <v>0</v>
      </c>
      <c r="D265" s="54"/>
      <c r="E265" s="54"/>
      <c r="F265" s="77"/>
      <c r="I265" s="120"/>
      <c r="J265" s="120"/>
    </row>
    <row r="266" spans="1:10">
      <c r="A266" s="51" t="s">
        <v>131</v>
      </c>
      <c r="B266" s="52" t="s">
        <v>6</v>
      </c>
      <c r="C266" s="54">
        <f>IFERROR(VLOOKUP(C264,'2.Tabelas Auxiliares'!A87:C101,2,FALSE()),0)</f>
        <v>65.180000000000007</v>
      </c>
      <c r="D266" s="54">
        <f>D263</f>
        <v>58900</v>
      </c>
      <c r="E266" s="54">
        <f>C266*D266/100</f>
        <v>38391.020000000004</v>
      </c>
    </row>
    <row r="267" spans="1:10">
      <c r="A267" s="69" t="s">
        <v>132</v>
      </c>
      <c r="B267" s="127" t="s">
        <v>36</v>
      </c>
      <c r="C267" s="127">
        <f>C264*12</f>
        <v>120</v>
      </c>
      <c r="D267" s="123">
        <f>IF(C265&lt;=C264,E266,0)</f>
        <v>38391.020000000004</v>
      </c>
      <c r="E267" s="123">
        <f>IFERROR(D267/C267,0)</f>
        <v>319.92516666666671</v>
      </c>
    </row>
    <row r="268" spans="1:10">
      <c r="A268" s="56" t="s">
        <v>133</v>
      </c>
      <c r="B268" s="127" t="s">
        <v>134</v>
      </c>
      <c r="C268" s="127"/>
      <c r="D268" s="128"/>
      <c r="E268" s="60">
        <f>E267+E262</f>
        <v>2766.2880850000006</v>
      </c>
    </row>
    <row r="269" spans="1:10">
      <c r="A269" s="69" t="s">
        <v>135</v>
      </c>
      <c r="B269" s="127" t="s">
        <v>134</v>
      </c>
      <c r="C269" s="61">
        <f>E58</f>
        <v>4</v>
      </c>
      <c r="D269" s="70">
        <f>E268</f>
        <v>2766.2880850000006</v>
      </c>
      <c r="E269" s="129">
        <f>C269*D269</f>
        <v>11065.152340000002</v>
      </c>
    </row>
    <row r="270" spans="1:10">
      <c r="A270" s="273" t="str">
        <f>A59</f>
        <v>Caminhão 4/2 toco com 230 cv e Varredeira mecânica de sucção (Conjunto)</v>
      </c>
      <c r="B270" s="273"/>
      <c r="C270" s="273"/>
      <c r="D270" s="273"/>
      <c r="E270" s="273"/>
    </row>
    <row r="271" spans="1:10">
      <c r="A271" s="51" t="s">
        <v>122</v>
      </c>
      <c r="B271" s="48" t="s">
        <v>84</v>
      </c>
      <c r="C271" s="52">
        <v>1</v>
      </c>
      <c r="D271" s="130">
        <v>501394</v>
      </c>
      <c r="E271" s="54">
        <f>C271*D271</f>
        <v>501394</v>
      </c>
      <c r="G271" s="1"/>
    </row>
    <row r="272" spans="1:10">
      <c r="A272" s="51" t="s">
        <v>123</v>
      </c>
      <c r="B272" s="52" t="s">
        <v>124</v>
      </c>
      <c r="C272" s="52">
        <v>10</v>
      </c>
      <c r="D272" s="54"/>
      <c r="E272" s="54"/>
    </row>
    <row r="273" spans="1:10">
      <c r="A273" s="51" t="s">
        <v>125</v>
      </c>
      <c r="B273" s="52" t="s">
        <v>124</v>
      </c>
      <c r="C273" s="52">
        <v>0</v>
      </c>
      <c r="D273" s="54"/>
      <c r="E273" s="54"/>
      <c r="F273" s="77"/>
      <c r="I273" s="120"/>
      <c r="J273" s="120"/>
    </row>
    <row r="274" spans="1:10">
      <c r="A274" s="51" t="s">
        <v>126</v>
      </c>
      <c r="B274" s="52" t="s">
        <v>6</v>
      </c>
      <c r="C274" s="65">
        <f>IFERROR(VLOOKUP(C272,'2.Tabelas Auxiliares'!A81:C95,2,FALSE()),0)</f>
        <v>65.180000000000007</v>
      </c>
      <c r="D274" s="54">
        <f>D271</f>
        <v>501394</v>
      </c>
      <c r="E274" s="54">
        <f>C274*D274/100</f>
        <v>326808.60920000001</v>
      </c>
    </row>
    <row r="275" spans="1:10">
      <c r="A275" s="69" t="s">
        <v>136</v>
      </c>
      <c r="B275" s="131" t="s">
        <v>36</v>
      </c>
      <c r="C275" s="131">
        <f>C272*12</f>
        <v>120</v>
      </c>
      <c r="D275" s="70">
        <f>IF(C273&lt;=C272,E274,0)</f>
        <v>326808.60920000001</v>
      </c>
      <c r="E275" s="70">
        <f>IFERROR(D275/C275,0)</f>
        <v>2723.4050766666669</v>
      </c>
    </row>
    <row r="276" spans="1:10">
      <c r="A276" s="47" t="s">
        <v>137</v>
      </c>
      <c r="B276" s="48" t="s">
        <v>84</v>
      </c>
      <c r="C276" s="48">
        <v>1</v>
      </c>
      <c r="D276" s="130">
        <v>1420000</v>
      </c>
      <c r="E276" s="50">
        <f>C276*D276</f>
        <v>1420000</v>
      </c>
    </row>
    <row r="277" spans="1:10">
      <c r="A277" s="51" t="s">
        <v>138</v>
      </c>
      <c r="B277" s="52" t="s">
        <v>124</v>
      </c>
      <c r="C277" s="52">
        <v>10</v>
      </c>
      <c r="D277" s="54"/>
      <c r="E277" s="54"/>
    </row>
    <row r="278" spans="1:10">
      <c r="A278" s="51" t="s">
        <v>139</v>
      </c>
      <c r="B278" s="52" t="s">
        <v>124</v>
      </c>
      <c r="C278" s="52">
        <v>0</v>
      </c>
      <c r="D278" s="54"/>
      <c r="E278" s="54"/>
    </row>
    <row r="279" spans="1:10">
      <c r="A279" s="51" t="s">
        <v>140</v>
      </c>
      <c r="B279" s="52" t="s">
        <v>6</v>
      </c>
      <c r="C279" s="54">
        <f>IFERROR(VLOOKUP(C277,'2.Tabelas Auxiliares'!A81:C95,2,FALSE()),0)</f>
        <v>65.180000000000007</v>
      </c>
      <c r="D279" s="54">
        <f>D276</f>
        <v>1420000</v>
      </c>
      <c r="E279" s="54">
        <f>C279*D279/100</f>
        <v>925556.00000000012</v>
      </c>
    </row>
    <row r="280" spans="1:10">
      <c r="A280" s="69" t="s">
        <v>141</v>
      </c>
      <c r="B280" s="131" t="s">
        <v>36</v>
      </c>
      <c r="C280" s="131">
        <f>C277*12</f>
        <v>120</v>
      </c>
      <c r="D280" s="123">
        <f>IF(C278&lt;=C277,E279,0)</f>
        <v>925556.00000000012</v>
      </c>
      <c r="E280" s="123">
        <f>IFERROR(D280/C280,0)</f>
        <v>7712.9666666666681</v>
      </c>
    </row>
    <row r="281" spans="1:10">
      <c r="A281" s="56" t="s">
        <v>142</v>
      </c>
      <c r="B281" s="127" t="s">
        <v>134</v>
      </c>
      <c r="C281" s="127"/>
      <c r="D281" s="128"/>
      <c r="E281" s="60">
        <f>E280+E275</f>
        <v>10436.371743333335</v>
      </c>
    </row>
    <row r="282" spans="1:10">
      <c r="A282" s="69" t="s">
        <v>143</v>
      </c>
      <c r="B282" s="127" t="s">
        <v>134</v>
      </c>
      <c r="C282" s="132">
        <f>E59</f>
        <v>1</v>
      </c>
      <c r="D282" s="70">
        <f>E281</f>
        <v>10436.371743333335</v>
      </c>
      <c r="E282" s="129">
        <f>C282*D282</f>
        <v>10436.371743333335</v>
      </c>
    </row>
    <row r="283" spans="1:10">
      <c r="A283" s="273" t="str">
        <f>A60</f>
        <v>Mini escavadeira – 48.9 HP (Bobcat)</v>
      </c>
      <c r="B283" s="273"/>
      <c r="C283" s="273"/>
      <c r="D283" s="273"/>
      <c r="E283" s="273"/>
    </row>
    <row r="284" spans="1:10">
      <c r="A284" s="51" t="s">
        <v>144</v>
      </c>
      <c r="B284" s="52" t="s">
        <v>84</v>
      </c>
      <c r="C284" s="52">
        <v>1</v>
      </c>
      <c r="D284" s="54">
        <v>411000</v>
      </c>
      <c r="E284" s="54">
        <f>C284*D284</f>
        <v>411000</v>
      </c>
    </row>
    <row r="285" spans="1:10">
      <c r="A285" s="51" t="s">
        <v>123</v>
      </c>
      <c r="B285" s="52" t="s">
        <v>124</v>
      </c>
      <c r="C285" s="52">
        <v>10</v>
      </c>
      <c r="D285" s="54"/>
      <c r="E285" s="54"/>
    </row>
    <row r="286" spans="1:10">
      <c r="A286" s="51" t="s">
        <v>125</v>
      </c>
      <c r="B286" s="52" t="s">
        <v>124</v>
      </c>
      <c r="C286" s="52">
        <v>0</v>
      </c>
      <c r="D286" s="54"/>
      <c r="E286" s="54"/>
    </row>
    <row r="287" spans="1:10">
      <c r="A287" s="51" t="s">
        <v>126</v>
      </c>
      <c r="B287" s="52" t="s">
        <v>6</v>
      </c>
      <c r="C287" s="54">
        <f>IFERROR(VLOOKUP(C285,'2.Tabelas Auxiliares'!A81:C95,2,FALSE()),0)</f>
        <v>65.180000000000007</v>
      </c>
      <c r="D287" s="54">
        <f>D284</f>
        <v>411000</v>
      </c>
      <c r="E287" s="54">
        <f>C287*D287/100</f>
        <v>267889.80000000005</v>
      </c>
    </row>
    <row r="288" spans="1:10">
      <c r="A288" s="121" t="s">
        <v>136</v>
      </c>
      <c r="B288" s="122" t="s">
        <v>36</v>
      </c>
      <c r="C288" s="122">
        <f>C285*12</f>
        <v>120</v>
      </c>
      <c r="D288" s="123">
        <f>IF(C286&lt;=C285,E287,0)</f>
        <v>267889.80000000005</v>
      </c>
      <c r="E288" s="123">
        <f>IFERROR(D288/C288,0)</f>
        <v>2232.4150000000004</v>
      </c>
    </row>
    <row r="289" spans="1:10">
      <c r="A289" s="56" t="s">
        <v>145</v>
      </c>
      <c r="B289" s="127" t="s">
        <v>31</v>
      </c>
      <c r="C289" s="127"/>
      <c r="D289" s="128"/>
      <c r="E289" s="60">
        <f>E288*C290</f>
        <v>2232.4150000000004</v>
      </c>
    </row>
    <row r="290" spans="1:10">
      <c r="A290" s="69" t="s">
        <v>146</v>
      </c>
      <c r="B290" s="127" t="s">
        <v>31</v>
      </c>
      <c r="C290" s="132">
        <f>E60</f>
        <v>1</v>
      </c>
      <c r="D290" s="133">
        <f>E289</f>
        <v>2232.4150000000004</v>
      </c>
      <c r="E290" s="134">
        <f>C290*D290</f>
        <v>2232.4150000000004</v>
      </c>
    </row>
    <row r="291" spans="1:10">
      <c r="A291" s="14"/>
      <c r="B291" s="135"/>
      <c r="C291" s="135"/>
      <c r="D291" s="76" t="s">
        <v>45</v>
      </c>
      <c r="E291" s="65">
        <f>$B$70</f>
        <v>1</v>
      </c>
      <c r="F291" s="75">
        <f>SUM(E269+E282+E290)*E291</f>
        <v>23733.939083333338</v>
      </c>
    </row>
    <row r="292" spans="1:10" ht="11.25" customHeight="1"/>
    <row r="293" spans="1:10">
      <c r="A293" s="114" t="s">
        <v>147</v>
      </c>
    </row>
    <row r="294" spans="1:10">
      <c r="A294" s="43" t="s">
        <v>30</v>
      </c>
      <c r="B294" s="44" t="s">
        <v>31</v>
      </c>
      <c r="C294" s="44" t="s">
        <v>10</v>
      </c>
      <c r="D294" s="45" t="s">
        <v>32</v>
      </c>
      <c r="E294" s="45" t="s">
        <v>33</v>
      </c>
      <c r="F294" s="46" t="s">
        <v>34</v>
      </c>
      <c r="I294" s="120"/>
      <c r="J294" s="120"/>
    </row>
    <row r="295" spans="1:10">
      <c r="A295" s="273" t="str">
        <f>A257</f>
        <v>Caminhão ¾ com 175 cv com Caçamba basculante e Cabine auxiliar (Para 5 pessoas) (Conjunto)</v>
      </c>
      <c r="B295" s="273"/>
      <c r="C295" s="273"/>
      <c r="D295" s="273"/>
      <c r="E295" s="273"/>
      <c r="F295" s="118"/>
      <c r="I295" s="120"/>
      <c r="J295" s="120"/>
    </row>
    <row r="296" spans="1:10">
      <c r="A296" s="47" t="s">
        <v>148</v>
      </c>
      <c r="B296" s="48" t="s">
        <v>84</v>
      </c>
      <c r="C296" s="48">
        <v>1</v>
      </c>
      <c r="D296" s="130">
        <f>D258</f>
        <v>450389</v>
      </c>
      <c r="E296" s="50">
        <f>C296*D296</f>
        <v>450389</v>
      </c>
      <c r="F296" s="77"/>
      <c r="I296" s="120"/>
      <c r="J296" s="120"/>
    </row>
    <row r="297" spans="1:10">
      <c r="A297" s="51" t="s">
        <v>149</v>
      </c>
      <c r="B297" s="52" t="s">
        <v>6</v>
      </c>
      <c r="C297" s="136">
        <v>14</v>
      </c>
      <c r="D297" s="54"/>
      <c r="E297" s="54"/>
      <c r="F297" s="77"/>
      <c r="I297" s="120"/>
      <c r="J297" s="120"/>
    </row>
    <row r="298" spans="1:10">
      <c r="A298" s="51" t="s">
        <v>150</v>
      </c>
      <c r="B298" s="52" t="s">
        <v>75</v>
      </c>
      <c r="C298" s="137">
        <f>IFERROR(IF(C260&lt;=C259,E258-(C261/(100*C259)*C260)*E258,E258-E261),0)</f>
        <v>450389</v>
      </c>
      <c r="D298" s="54"/>
      <c r="E298" s="54"/>
      <c r="F298" s="77"/>
      <c r="I298" s="120"/>
      <c r="J298" s="120"/>
    </row>
    <row r="299" spans="1:10">
      <c r="A299" s="51" t="s">
        <v>151</v>
      </c>
      <c r="B299" s="52" t="s">
        <v>75</v>
      </c>
      <c r="C299" s="54">
        <f>IFERROR(IF(C260&gt;=C259,C298,((((C298)-(E258-E261))*(((C259-C260)+1)/(2*(C259-C260))))+(E258-E261))),0)</f>
        <v>318285.40240999998</v>
      </c>
      <c r="D299" s="54"/>
      <c r="E299" s="54"/>
      <c r="F299" s="77"/>
      <c r="I299" s="120"/>
      <c r="J299" s="120"/>
    </row>
    <row r="300" spans="1:10">
      <c r="A300" s="121" t="s">
        <v>152</v>
      </c>
      <c r="B300" s="122" t="s">
        <v>75</v>
      </c>
      <c r="C300" s="122"/>
      <c r="D300" s="123">
        <f>C297*C299/12/100</f>
        <v>3713.3296947833333</v>
      </c>
      <c r="E300" s="123">
        <f>D300</f>
        <v>3713.3296947833333</v>
      </c>
      <c r="F300" s="77"/>
      <c r="I300" s="120"/>
      <c r="J300" s="120"/>
    </row>
    <row r="301" spans="1:10">
      <c r="A301" s="47" t="str">
        <f>A263</f>
        <v xml:space="preserve">Custo de aquisição Caçamba e Cabine auxiliar </v>
      </c>
      <c r="B301" s="48" t="s">
        <v>84</v>
      </c>
      <c r="C301" s="48">
        <v>1</v>
      </c>
      <c r="D301" s="130">
        <f>D263</f>
        <v>58900</v>
      </c>
      <c r="E301" s="50">
        <f>C301*D301</f>
        <v>58900</v>
      </c>
      <c r="F301" s="77"/>
      <c r="I301" s="120"/>
      <c r="J301" s="120"/>
    </row>
    <row r="302" spans="1:10">
      <c r="A302" s="51" t="s">
        <v>153</v>
      </c>
      <c r="B302" s="52" t="s">
        <v>6</v>
      </c>
      <c r="C302" s="131">
        <f>C297</f>
        <v>14</v>
      </c>
      <c r="D302" s="54"/>
      <c r="E302" s="54"/>
      <c r="F302" s="77"/>
      <c r="I302" s="120"/>
      <c r="J302" s="120"/>
    </row>
    <row r="303" spans="1:10">
      <c r="A303" s="51" t="s">
        <v>154</v>
      </c>
      <c r="B303" s="52" t="s">
        <v>75</v>
      </c>
      <c r="C303" s="137">
        <f>IFERROR(IF(C265&lt;=C264,E263-(C266/(100*C264)*C265)*E263,E263-E266),0)</f>
        <v>58900</v>
      </c>
      <c r="D303" s="54"/>
      <c r="E303" s="54"/>
      <c r="F303" s="77"/>
      <c r="I303" s="120"/>
      <c r="J303" s="120"/>
    </row>
    <row r="304" spans="1:10">
      <c r="A304" s="51" t="s">
        <v>155</v>
      </c>
      <c r="B304" s="52" t="s">
        <v>75</v>
      </c>
      <c r="C304" s="54">
        <f>IFERROR(IF(C265&gt;=C264,C303,((((C303)-(E263-E266))*(((C264-C265)+1)/(2*(C264-C265))))+(E263-E266))),0)</f>
        <v>41624.040999999997</v>
      </c>
      <c r="D304" s="54"/>
      <c r="E304" s="54"/>
      <c r="F304" s="77"/>
      <c r="I304" s="120"/>
      <c r="J304" s="120"/>
    </row>
    <row r="305" spans="1:10">
      <c r="A305" s="69" t="s">
        <v>156</v>
      </c>
      <c r="B305" s="131" t="s">
        <v>75</v>
      </c>
      <c r="C305" s="131"/>
      <c r="D305" s="70">
        <f>C302*C304/12/100</f>
        <v>485.61381166666666</v>
      </c>
      <c r="E305" s="70">
        <f>D305</f>
        <v>485.61381166666666</v>
      </c>
      <c r="F305" s="77"/>
      <c r="I305" s="120"/>
      <c r="J305" s="120"/>
    </row>
    <row r="306" spans="1:10">
      <c r="A306" s="56" t="s">
        <v>157</v>
      </c>
      <c r="B306" s="57" t="s">
        <v>134</v>
      </c>
      <c r="C306" s="57"/>
      <c r="D306" s="59"/>
      <c r="E306" s="60">
        <f>E300+E305</f>
        <v>4198.9435064500003</v>
      </c>
      <c r="F306" s="77"/>
      <c r="I306" s="120"/>
      <c r="J306" s="120"/>
    </row>
    <row r="307" spans="1:10">
      <c r="A307" s="69" t="s">
        <v>158</v>
      </c>
      <c r="B307" s="131" t="s">
        <v>84</v>
      </c>
      <c r="C307" s="138">
        <f>C269</f>
        <v>4</v>
      </c>
      <c r="D307" s="70">
        <f>E306</f>
        <v>4198.9435064500003</v>
      </c>
      <c r="E307" s="134">
        <f>C307*D307</f>
        <v>16795.774025800001</v>
      </c>
      <c r="F307" s="77"/>
      <c r="I307" s="120"/>
      <c r="J307" s="120"/>
    </row>
    <row r="308" spans="1:10">
      <c r="A308" s="273" t="str">
        <f>A270</f>
        <v>Caminhão 4/2 toco com 230 cv e Varredeira mecânica de sucção (Conjunto)</v>
      </c>
      <c r="B308" s="273"/>
      <c r="C308" s="273"/>
      <c r="D308" s="273"/>
      <c r="E308" s="273"/>
      <c r="F308" s="77"/>
      <c r="I308" s="120"/>
      <c r="J308" s="120"/>
    </row>
    <row r="309" spans="1:10">
      <c r="A309" s="47" t="s">
        <v>159</v>
      </c>
      <c r="B309" s="48" t="s">
        <v>84</v>
      </c>
      <c r="C309" s="48">
        <v>1</v>
      </c>
      <c r="D309" s="130">
        <f>D271</f>
        <v>501394</v>
      </c>
      <c r="E309" s="50">
        <f>C309*D309</f>
        <v>501394</v>
      </c>
      <c r="F309" s="77"/>
      <c r="I309" s="120"/>
      <c r="J309" s="120"/>
    </row>
    <row r="310" spans="1:10">
      <c r="A310" s="51" t="s">
        <v>160</v>
      </c>
      <c r="B310" s="52" t="s">
        <v>6</v>
      </c>
      <c r="C310" s="131">
        <f>C297</f>
        <v>14</v>
      </c>
      <c r="D310" s="54"/>
      <c r="E310" s="54"/>
      <c r="F310" s="77"/>
      <c r="I310" s="120"/>
      <c r="J310" s="120"/>
    </row>
    <row r="311" spans="1:10">
      <c r="A311" s="51" t="s">
        <v>150</v>
      </c>
      <c r="B311" s="52" t="s">
        <v>75</v>
      </c>
      <c r="C311" s="137">
        <f>IFERROR(IF(C273&lt;=C272,E271-(C274/(100*C272)*C273)*E271,E271-E274),0)</f>
        <v>501394</v>
      </c>
      <c r="D311" s="54"/>
      <c r="E311" s="54"/>
      <c r="F311" s="77"/>
      <c r="I311" s="120"/>
      <c r="J311" s="120"/>
    </row>
    <row r="312" spans="1:10">
      <c r="A312" s="51" t="s">
        <v>151</v>
      </c>
      <c r="B312" s="52" t="s">
        <v>75</v>
      </c>
      <c r="C312" s="54">
        <f>IFERROR(IF(C273&gt;=C272,C311,((((C311)-(E271-E274))*(((C272-C273)+1)/(2*(C272-C273))))+(E271-E274))),0)</f>
        <v>354330.12586000003</v>
      </c>
      <c r="D312" s="54"/>
      <c r="E312" s="54"/>
      <c r="F312" s="77"/>
      <c r="I312" s="120"/>
      <c r="J312" s="120"/>
    </row>
    <row r="313" spans="1:10">
      <c r="A313" s="121" t="s">
        <v>152</v>
      </c>
      <c r="B313" s="122" t="s">
        <v>75</v>
      </c>
      <c r="C313" s="122"/>
      <c r="D313" s="123">
        <f>C310*C312/12/100</f>
        <v>4133.8514683666672</v>
      </c>
      <c r="E313" s="123">
        <f>D313</f>
        <v>4133.8514683666672</v>
      </c>
      <c r="F313" s="77"/>
      <c r="I313" s="120"/>
      <c r="J313" s="120"/>
    </row>
    <row r="314" spans="1:10">
      <c r="A314" s="47" t="s">
        <v>161</v>
      </c>
      <c r="B314" s="48" t="s">
        <v>84</v>
      </c>
      <c r="C314" s="48">
        <v>1</v>
      </c>
      <c r="D314" s="130">
        <f>D276</f>
        <v>1420000</v>
      </c>
      <c r="E314" s="50">
        <f>C314*D314</f>
        <v>1420000</v>
      </c>
      <c r="F314" s="77"/>
      <c r="I314" s="120"/>
      <c r="J314" s="120"/>
    </row>
    <row r="315" spans="1:10">
      <c r="A315" s="51" t="s">
        <v>153</v>
      </c>
      <c r="B315" s="52" t="s">
        <v>6</v>
      </c>
      <c r="C315" s="131">
        <f>C297</f>
        <v>14</v>
      </c>
      <c r="D315" s="54"/>
      <c r="E315" s="54"/>
      <c r="F315" s="77"/>
      <c r="I315" s="120"/>
      <c r="J315" s="120"/>
    </row>
    <row r="316" spans="1:10">
      <c r="A316" s="51" t="s">
        <v>162</v>
      </c>
      <c r="B316" s="52" t="s">
        <v>75</v>
      </c>
      <c r="C316" s="137">
        <f>D314</f>
        <v>1420000</v>
      </c>
      <c r="D316" s="54"/>
      <c r="E316" s="54"/>
      <c r="F316" s="77"/>
      <c r="I316" s="120"/>
      <c r="J316" s="120"/>
    </row>
    <row r="317" spans="1:10">
      <c r="A317" s="51" t="s">
        <v>163</v>
      </c>
      <c r="B317" s="52" t="s">
        <v>75</v>
      </c>
      <c r="C317" s="54">
        <f>IFERROR(IF(C278&gt;=C277,C316,((((C316)-(E276-E279))*(((C277-C278)+1)/(2*(C277-C278))))+(E276-E279))),0)</f>
        <v>1003499.8</v>
      </c>
      <c r="D317" s="54"/>
      <c r="E317" s="54"/>
      <c r="F317" s="77"/>
      <c r="I317" s="120"/>
      <c r="J317" s="120"/>
    </row>
    <row r="318" spans="1:10">
      <c r="A318" s="69" t="s">
        <v>164</v>
      </c>
      <c r="B318" s="131" t="s">
        <v>75</v>
      </c>
      <c r="C318" s="131"/>
      <c r="D318" s="70">
        <f>C315*C317/12/100</f>
        <v>11707.497666666668</v>
      </c>
      <c r="E318" s="70">
        <f>D318</f>
        <v>11707.497666666668</v>
      </c>
      <c r="F318" s="77"/>
      <c r="I318" s="120"/>
      <c r="J318" s="120"/>
    </row>
    <row r="319" spans="1:10">
      <c r="A319" s="56" t="s">
        <v>165</v>
      </c>
      <c r="B319" s="57" t="s">
        <v>134</v>
      </c>
      <c r="C319" s="57"/>
      <c r="D319" s="59"/>
      <c r="E319" s="60">
        <f>E313+E318</f>
        <v>15841.349135033335</v>
      </c>
      <c r="F319" s="77"/>
      <c r="I319" s="120"/>
      <c r="J319" s="120"/>
    </row>
    <row r="320" spans="1:10">
      <c r="A320" s="69" t="s">
        <v>166</v>
      </c>
      <c r="B320" s="131" t="s">
        <v>84</v>
      </c>
      <c r="C320" s="138">
        <f>C282</f>
        <v>1</v>
      </c>
      <c r="D320" s="70">
        <f>E319</f>
        <v>15841.349135033335</v>
      </c>
      <c r="E320" s="134">
        <f>C320*D320</f>
        <v>15841.349135033335</v>
      </c>
      <c r="F320" s="77"/>
      <c r="I320" s="120"/>
      <c r="J320" s="120"/>
    </row>
    <row r="321" spans="1:10">
      <c r="A321" s="273" t="str">
        <f>A283</f>
        <v>Mini escavadeira – 48.9 HP (Bobcat)</v>
      </c>
      <c r="B321" s="273"/>
      <c r="C321" s="273"/>
      <c r="D321" s="273"/>
      <c r="E321" s="273"/>
      <c r="F321" s="77"/>
      <c r="I321" s="120"/>
      <c r="J321" s="120"/>
    </row>
    <row r="322" spans="1:10">
      <c r="A322" s="47" t="s">
        <v>167</v>
      </c>
      <c r="B322" s="48" t="s">
        <v>84</v>
      </c>
      <c r="C322" s="48">
        <v>1</v>
      </c>
      <c r="D322" s="130">
        <f>D284</f>
        <v>411000</v>
      </c>
      <c r="E322" s="50">
        <f>C322*D322</f>
        <v>411000</v>
      </c>
      <c r="F322" s="77"/>
      <c r="I322" s="120"/>
      <c r="J322" s="120"/>
    </row>
    <row r="323" spans="1:10">
      <c r="A323" s="51" t="s">
        <v>160</v>
      </c>
      <c r="B323" s="52" t="s">
        <v>6</v>
      </c>
      <c r="C323" s="131">
        <f>C297</f>
        <v>14</v>
      </c>
      <c r="D323" s="54"/>
      <c r="E323" s="54"/>
      <c r="F323" s="77"/>
      <c r="I323" s="120"/>
      <c r="J323" s="120"/>
    </row>
    <row r="324" spans="1:10">
      <c r="A324" s="51" t="s">
        <v>150</v>
      </c>
      <c r="B324" s="52" t="s">
        <v>75</v>
      </c>
      <c r="C324" s="137">
        <f>IFERROR(IF(C286&lt;=C285,E284-(C287/(100*C285)*C286)*E284,E284-E287),0)</f>
        <v>411000</v>
      </c>
      <c r="D324" s="54"/>
      <c r="E324" s="54"/>
      <c r="F324" s="77"/>
      <c r="I324" s="120"/>
      <c r="J324" s="120"/>
    </row>
    <row r="325" spans="1:10">
      <c r="A325" s="51" t="s">
        <v>151</v>
      </c>
      <c r="B325" s="52" t="s">
        <v>75</v>
      </c>
      <c r="C325" s="54">
        <f>IFERROR(IF(C286&gt;=C285,C324,((((C324)-(E284-E287))*(((C285-C286)+1)/(2*(C285-C286))))+(E284-E287))),0)</f>
        <v>290449.58999999997</v>
      </c>
      <c r="D325" s="54"/>
      <c r="E325" s="54"/>
      <c r="F325" s="77"/>
      <c r="I325" s="120"/>
      <c r="J325" s="120"/>
    </row>
    <row r="326" spans="1:10">
      <c r="A326" s="121" t="s">
        <v>152</v>
      </c>
      <c r="B326" s="122" t="s">
        <v>75</v>
      </c>
      <c r="C326" s="122"/>
      <c r="D326" s="123">
        <f>C323*C325/12/100</f>
        <v>3388.5785499999997</v>
      </c>
      <c r="E326" s="123">
        <f>D326</f>
        <v>3388.5785499999997</v>
      </c>
      <c r="F326" s="77"/>
      <c r="I326" s="120"/>
      <c r="J326" s="120"/>
    </row>
    <row r="327" spans="1:10">
      <c r="A327" s="69" t="s">
        <v>168</v>
      </c>
      <c r="B327" s="131" t="s">
        <v>84</v>
      </c>
      <c r="C327" s="139">
        <f>C290</f>
        <v>1</v>
      </c>
      <c r="D327" s="70">
        <f>E326</f>
        <v>3388.5785499999997</v>
      </c>
      <c r="E327" s="134">
        <f>C327*D327</f>
        <v>3388.5785499999997</v>
      </c>
      <c r="F327" s="77"/>
      <c r="I327" s="120"/>
      <c r="J327" s="120"/>
    </row>
    <row r="328" spans="1:10">
      <c r="A328" s="135"/>
      <c r="B328" s="135"/>
      <c r="C328" s="135"/>
      <c r="D328" s="76" t="s">
        <v>45</v>
      </c>
      <c r="E328" s="65">
        <f>$B$70</f>
        <v>1</v>
      </c>
      <c r="F328" s="75">
        <f>SUM(E307+E320+E327)*E337</f>
        <v>36025.701710833338</v>
      </c>
      <c r="I328" s="120"/>
      <c r="J328" s="120"/>
    </row>
    <row r="329" spans="1:10" ht="11.25" customHeight="1">
      <c r="I329" s="120"/>
      <c r="J329" s="120"/>
    </row>
    <row r="330" spans="1:10" ht="11.25" customHeight="1">
      <c r="I330" s="120"/>
      <c r="J330" s="120"/>
    </row>
    <row r="331" spans="1:10">
      <c r="A331" s="1" t="s">
        <v>169</v>
      </c>
      <c r="I331" s="120"/>
      <c r="J331" s="120"/>
    </row>
    <row r="332" spans="1:10">
      <c r="A332" s="43" t="s">
        <v>30</v>
      </c>
      <c r="B332" s="44" t="s">
        <v>31</v>
      </c>
      <c r="C332" s="44" t="s">
        <v>10</v>
      </c>
      <c r="D332" s="45" t="s">
        <v>32</v>
      </c>
      <c r="E332" s="45" t="s">
        <v>33</v>
      </c>
      <c r="F332" s="46" t="s">
        <v>34</v>
      </c>
      <c r="I332" s="120"/>
      <c r="J332" s="120"/>
    </row>
    <row r="333" spans="1:10">
      <c r="A333" s="47" t="s">
        <v>170</v>
      </c>
      <c r="B333" s="48" t="s">
        <v>84</v>
      </c>
      <c r="C333" s="50">
        <f>E58+E59</f>
        <v>5</v>
      </c>
      <c r="D333" s="50">
        <f>0.01*((D258*4)+D271)/5</f>
        <v>4605.8999999999996</v>
      </c>
      <c r="E333" s="50">
        <f>C333*D333</f>
        <v>23029.5</v>
      </c>
      <c r="I333" s="120"/>
      <c r="J333" s="120"/>
    </row>
    <row r="334" spans="1:10">
      <c r="A334" s="51" t="s">
        <v>171</v>
      </c>
      <c r="B334" s="52" t="s">
        <v>84</v>
      </c>
      <c r="C334" s="50">
        <f>E58+E59</f>
        <v>5</v>
      </c>
      <c r="D334" s="54">
        <f>314.63+163.92+420</f>
        <v>898.55</v>
      </c>
      <c r="E334" s="54">
        <f>C334*D334</f>
        <v>4492.75</v>
      </c>
      <c r="I334" s="120"/>
      <c r="J334" s="120"/>
    </row>
    <row r="335" spans="1:10">
      <c r="A335" s="51" t="s">
        <v>172</v>
      </c>
      <c r="B335" s="52" t="s">
        <v>84</v>
      </c>
      <c r="C335" s="50">
        <f>E58+E59+E60</f>
        <v>6</v>
      </c>
      <c r="D335" s="54">
        <v>5526.32</v>
      </c>
      <c r="E335" s="54">
        <f>C335*D335</f>
        <v>33157.919999999998</v>
      </c>
      <c r="F335" s="59"/>
      <c r="I335" s="120"/>
      <c r="J335" s="120"/>
    </row>
    <row r="336" spans="1:10">
      <c r="A336" s="69" t="s">
        <v>173</v>
      </c>
      <c r="B336" s="131" t="s">
        <v>36</v>
      </c>
      <c r="C336" s="131">
        <v>12</v>
      </c>
      <c r="D336" s="70">
        <f>SUM(E333:E335)</f>
        <v>60680.17</v>
      </c>
      <c r="E336" s="70">
        <f>D336/C336</f>
        <v>5056.6808333333329</v>
      </c>
      <c r="I336" s="120"/>
      <c r="J336" s="120"/>
    </row>
    <row r="337" spans="1:10">
      <c r="D337" s="76" t="s">
        <v>45</v>
      </c>
      <c r="E337" s="65">
        <v>1</v>
      </c>
      <c r="F337" s="66">
        <f>E336*E337</f>
        <v>5056.6808333333329</v>
      </c>
      <c r="I337" s="120"/>
      <c r="J337" s="120"/>
    </row>
    <row r="338" spans="1:10" ht="11.25" customHeight="1">
      <c r="I338" s="120"/>
      <c r="J338" s="120"/>
    </row>
    <row r="339" spans="1:10">
      <c r="A339" s="1" t="s">
        <v>174</v>
      </c>
      <c r="B339" s="140"/>
      <c r="I339" s="120"/>
      <c r="J339" s="120"/>
    </row>
    <row r="340" spans="1:10">
      <c r="B340" s="140"/>
      <c r="I340" s="120"/>
      <c r="J340" s="120"/>
    </row>
    <row r="341" spans="1:10">
      <c r="A341" s="69" t="s">
        <v>175</v>
      </c>
      <c r="B341" s="141">
        <f>(E58+E59)*2200</f>
        <v>11000</v>
      </c>
      <c r="I341" s="120"/>
      <c r="J341" s="120"/>
    </row>
    <row r="342" spans="1:10">
      <c r="A342" s="14" t="s">
        <v>176</v>
      </c>
      <c r="B342" s="140"/>
      <c r="I342" s="120"/>
      <c r="J342" s="120"/>
    </row>
    <row r="343" spans="1:10">
      <c r="A343" s="69" t="s">
        <v>177</v>
      </c>
      <c r="B343" s="141">
        <f>8*22</f>
        <v>176</v>
      </c>
      <c r="I343" s="120"/>
      <c r="J343" s="120"/>
    </row>
    <row r="344" spans="1:10">
      <c r="A344" s="14" t="s">
        <v>178</v>
      </c>
      <c r="B344" s="140"/>
      <c r="I344" s="120"/>
      <c r="J344" s="120"/>
    </row>
    <row r="345" spans="1:10">
      <c r="A345" s="43" t="s">
        <v>30</v>
      </c>
      <c r="B345" s="44" t="s">
        <v>31</v>
      </c>
      <c r="C345" s="44" t="s">
        <v>179</v>
      </c>
      <c r="D345" s="45" t="s">
        <v>32</v>
      </c>
      <c r="E345" s="45" t="s">
        <v>33</v>
      </c>
      <c r="F345" s="46" t="s">
        <v>34</v>
      </c>
      <c r="I345" s="120"/>
      <c r="J345" s="120"/>
    </row>
    <row r="346" spans="1:10">
      <c r="A346" s="47" t="s">
        <v>180</v>
      </c>
      <c r="B346" s="48" t="s">
        <v>181</v>
      </c>
      <c r="C346" s="142">
        <v>1.6</v>
      </c>
      <c r="D346" s="143">
        <v>6.53</v>
      </c>
      <c r="E346" s="50"/>
      <c r="I346" s="120"/>
      <c r="J346" s="120"/>
    </row>
    <row r="347" spans="1:10">
      <c r="A347" s="51" t="s">
        <v>182</v>
      </c>
      <c r="B347" s="52" t="s">
        <v>183</v>
      </c>
      <c r="C347" s="144">
        <f>B341</f>
        <v>11000</v>
      </c>
      <c r="D347" s="145">
        <f>IFERROR(+D346/C346,"-")</f>
        <v>4.0812499999999998</v>
      </c>
      <c r="E347" s="54">
        <f>IFERROR(C347*D347,"-")</f>
        <v>44893.75</v>
      </c>
      <c r="I347" s="120"/>
      <c r="J347" s="120"/>
    </row>
    <row r="348" spans="1:10">
      <c r="A348" s="51" t="s">
        <v>184</v>
      </c>
      <c r="B348" s="52" t="s">
        <v>185</v>
      </c>
      <c r="C348" s="146">
        <v>6</v>
      </c>
      <c r="D348" s="54">
        <v>34.03</v>
      </c>
      <c r="E348" s="54"/>
      <c r="I348" s="120"/>
      <c r="J348" s="120"/>
    </row>
    <row r="349" spans="1:10">
      <c r="A349" s="51" t="s">
        <v>186</v>
      </c>
      <c r="B349" s="52" t="s">
        <v>183</v>
      </c>
      <c r="C349" s="144">
        <f>C347+2200</f>
        <v>13200</v>
      </c>
      <c r="D349" s="147">
        <f>+C348*D348/1000</f>
        <v>0.20418</v>
      </c>
      <c r="E349" s="54">
        <f>C349*D349</f>
        <v>2695.1759999999999</v>
      </c>
      <c r="I349" s="120"/>
      <c r="J349" s="120"/>
    </row>
    <row r="350" spans="1:10">
      <c r="A350" s="51" t="s">
        <v>187</v>
      </c>
      <c r="B350" s="52" t="s">
        <v>185</v>
      </c>
      <c r="C350" s="146">
        <v>5</v>
      </c>
      <c r="D350" s="54">
        <v>25.5</v>
      </c>
      <c r="E350" s="54"/>
      <c r="I350" s="120"/>
      <c r="J350" s="120"/>
    </row>
    <row r="351" spans="1:10">
      <c r="A351" s="51" t="s">
        <v>188</v>
      </c>
      <c r="B351" s="52" t="s">
        <v>183</v>
      </c>
      <c r="C351" s="144">
        <f>C347+2200</f>
        <v>13200</v>
      </c>
      <c r="D351" s="147">
        <f>+C350*D350/1000</f>
        <v>0.1275</v>
      </c>
      <c r="E351" s="54">
        <f>C351*D351</f>
        <v>1683</v>
      </c>
      <c r="I351" s="120"/>
      <c r="J351" s="120"/>
    </row>
    <row r="352" spans="1:10">
      <c r="A352" s="51" t="s">
        <v>189</v>
      </c>
      <c r="B352" s="52" t="s">
        <v>190</v>
      </c>
      <c r="C352" s="146">
        <v>2</v>
      </c>
      <c r="D352" s="54">
        <f>17.57</f>
        <v>17.57</v>
      </c>
      <c r="E352" s="54"/>
      <c r="I352" s="120"/>
      <c r="J352" s="120"/>
    </row>
    <row r="353" spans="1:10">
      <c r="A353" s="51" t="s">
        <v>191</v>
      </c>
      <c r="B353" s="52" t="s">
        <v>183</v>
      </c>
      <c r="C353" s="144">
        <f>C347+2200</f>
        <v>13200</v>
      </c>
      <c r="D353" s="147">
        <f>+C352*D352/1000</f>
        <v>3.5139999999999998E-2</v>
      </c>
      <c r="E353" s="54">
        <f>C353*D353</f>
        <v>463.84799999999996</v>
      </c>
      <c r="I353" s="120"/>
      <c r="J353" s="120"/>
    </row>
    <row r="354" spans="1:10">
      <c r="A354" s="51" t="s">
        <v>192</v>
      </c>
      <c r="B354" s="52" t="s">
        <v>193</v>
      </c>
      <c r="C354" s="146">
        <v>4.5</v>
      </c>
      <c r="D354" s="54">
        <f>C354*D346</f>
        <v>29.385000000000002</v>
      </c>
      <c r="E354" s="54"/>
      <c r="I354" s="120"/>
      <c r="J354" s="120"/>
    </row>
    <row r="355" spans="1:10">
      <c r="A355" s="69" t="s">
        <v>194</v>
      </c>
      <c r="B355" s="52" t="s">
        <v>195</v>
      </c>
      <c r="C355" s="144">
        <f>C354*B343</f>
        <v>792</v>
      </c>
      <c r="D355" s="148">
        <f>D346</f>
        <v>6.53</v>
      </c>
      <c r="E355" s="54">
        <f>C355*D355</f>
        <v>5171.76</v>
      </c>
      <c r="I355" s="120"/>
      <c r="J355" s="120"/>
    </row>
    <row r="356" spans="1:10">
      <c r="D356" s="76" t="s">
        <v>45</v>
      </c>
      <c r="E356" s="65">
        <v>1</v>
      </c>
      <c r="F356" s="75">
        <f>SUM(E346:E355)*E356</f>
        <v>54907.534</v>
      </c>
      <c r="I356" s="120"/>
      <c r="J356" s="120"/>
    </row>
    <row r="357" spans="1:10" ht="11.25" customHeight="1">
      <c r="I357" s="120"/>
      <c r="J357" s="120"/>
    </row>
    <row r="358" spans="1:10">
      <c r="A358" s="1" t="s">
        <v>196</v>
      </c>
      <c r="I358" s="120"/>
      <c r="J358" s="120"/>
    </row>
    <row r="359" spans="1:10">
      <c r="A359" s="43" t="s">
        <v>30</v>
      </c>
      <c r="B359" s="44" t="s">
        <v>31</v>
      </c>
      <c r="C359" s="44" t="s">
        <v>10</v>
      </c>
      <c r="D359" s="45" t="s">
        <v>32</v>
      </c>
      <c r="E359" s="45" t="s">
        <v>33</v>
      </c>
      <c r="F359" s="46" t="s">
        <v>34</v>
      </c>
      <c r="I359" s="120"/>
      <c r="J359" s="120"/>
    </row>
    <row r="360" spans="1:10">
      <c r="A360" s="47" t="s">
        <v>197</v>
      </c>
      <c r="B360" s="48" t="s">
        <v>198</v>
      </c>
      <c r="C360" s="144">
        <f>B341</f>
        <v>11000</v>
      </c>
      <c r="D360" s="50">
        <f>1.56</f>
        <v>1.56</v>
      </c>
      <c r="E360" s="50">
        <f>(C360*D360)</f>
        <v>17160</v>
      </c>
      <c r="I360" s="120"/>
      <c r="J360" s="120"/>
    </row>
    <row r="361" spans="1:10">
      <c r="A361" s="47" t="s">
        <v>199</v>
      </c>
      <c r="B361" s="48" t="s">
        <v>200</v>
      </c>
      <c r="C361" s="144">
        <f>B343</f>
        <v>176</v>
      </c>
      <c r="D361" s="50">
        <f>((53.43*176)/12)/C361</f>
        <v>4.4524999999999997</v>
      </c>
      <c r="E361" s="50">
        <f>C361*D361</f>
        <v>783.64</v>
      </c>
      <c r="I361" s="120"/>
      <c r="J361" s="120"/>
    </row>
    <row r="362" spans="1:10">
      <c r="A362" s="51" t="s">
        <v>201</v>
      </c>
      <c r="B362" s="149"/>
      <c r="C362" s="144"/>
      <c r="D362" s="54"/>
      <c r="E362" s="54"/>
      <c r="I362" s="120"/>
      <c r="J362" s="120"/>
    </row>
    <row r="363" spans="1:10">
      <c r="A363" s="51" t="s">
        <v>202</v>
      </c>
      <c r="D363" s="76" t="s">
        <v>45</v>
      </c>
      <c r="E363" s="65">
        <f>$B$70</f>
        <v>1</v>
      </c>
      <c r="F363" s="75">
        <f>E360</f>
        <v>17160</v>
      </c>
      <c r="I363" s="120"/>
      <c r="J363" s="120"/>
    </row>
    <row r="364" spans="1:10" ht="11.25" customHeight="1">
      <c r="I364" s="120"/>
      <c r="J364" s="120"/>
    </row>
    <row r="365" spans="1:10">
      <c r="A365" s="1" t="s">
        <v>203</v>
      </c>
      <c r="I365" s="120"/>
      <c r="J365" s="120"/>
    </row>
    <row r="366" spans="1:10">
      <c r="A366" s="43" t="s">
        <v>30</v>
      </c>
      <c r="B366" s="44" t="s">
        <v>31</v>
      </c>
      <c r="C366" s="44" t="s">
        <v>10</v>
      </c>
      <c r="D366" s="45" t="s">
        <v>32</v>
      </c>
      <c r="E366" s="45" t="s">
        <v>33</v>
      </c>
      <c r="F366" s="46" t="s">
        <v>34</v>
      </c>
      <c r="I366" s="120"/>
      <c r="J366" s="120"/>
    </row>
    <row r="367" spans="1:10">
      <c r="A367" s="47" t="s">
        <v>204</v>
      </c>
      <c r="B367" s="48" t="s">
        <v>84</v>
      </c>
      <c r="C367" s="48">
        <v>6</v>
      </c>
      <c r="D367" s="50">
        <v>2508.69</v>
      </c>
      <c r="E367" s="50">
        <f>C367*D367</f>
        <v>15052.14</v>
      </c>
      <c r="I367" s="120"/>
      <c r="J367" s="120"/>
    </row>
    <row r="368" spans="1:10">
      <c r="A368" s="47" t="s">
        <v>205</v>
      </c>
      <c r="B368" s="48" t="s">
        <v>84</v>
      </c>
      <c r="C368" s="48">
        <v>2</v>
      </c>
      <c r="D368" s="50"/>
      <c r="E368" s="50"/>
      <c r="I368" s="120"/>
      <c r="J368" s="120"/>
    </row>
    <row r="369" spans="1:10">
      <c r="A369" s="47" t="s">
        <v>206</v>
      </c>
      <c r="B369" s="48" t="s">
        <v>84</v>
      </c>
      <c r="C369" s="50">
        <f>C367*C368</f>
        <v>12</v>
      </c>
      <c r="D369" s="50">
        <v>868.17</v>
      </c>
      <c r="E369" s="50">
        <f>C369*D369</f>
        <v>10418.039999999999</v>
      </c>
      <c r="I369" s="120"/>
      <c r="J369" s="120"/>
    </row>
    <row r="370" spans="1:10">
      <c r="A370" s="51" t="s">
        <v>207</v>
      </c>
      <c r="B370" s="52" t="s">
        <v>208</v>
      </c>
      <c r="C370" s="150">
        <f>35000+(C368*25000)</f>
        <v>85000</v>
      </c>
      <c r="D370" s="54">
        <f>E367+E369</f>
        <v>25470.18</v>
      </c>
      <c r="E370" s="54">
        <f>IFERROR(D370/C370,"-")</f>
        <v>0.29964917647058825</v>
      </c>
      <c r="I370" s="120"/>
      <c r="J370" s="120"/>
    </row>
    <row r="371" spans="1:10">
      <c r="A371" s="51" t="s">
        <v>209</v>
      </c>
      <c r="B371" s="52" t="s">
        <v>183</v>
      </c>
      <c r="C371" s="144">
        <f>B341</f>
        <v>11000</v>
      </c>
      <c r="D371" s="54">
        <f>E370</f>
        <v>0.29964917647058825</v>
      </c>
      <c r="E371" s="54">
        <f>IFERROR(C371*D371,0)</f>
        <v>3296.1409411764707</v>
      </c>
      <c r="I371" s="120"/>
      <c r="J371" s="120"/>
    </row>
    <row r="372" spans="1:10">
      <c r="A372" s="69"/>
      <c r="F372" s="75">
        <f>E371</f>
        <v>3296.1409411764707</v>
      </c>
      <c r="I372" s="120"/>
      <c r="J372" s="120"/>
    </row>
    <row r="373" spans="1:10">
      <c r="A373" s="151" t="s">
        <v>210</v>
      </c>
      <c r="B373" s="152"/>
      <c r="C373" s="153"/>
      <c r="D373" s="154"/>
      <c r="E373" s="155"/>
      <c r="F373" s="156">
        <f>F372+F363+F356+F337+F328+F291</f>
        <v>140179.99656867646</v>
      </c>
      <c r="I373" s="120"/>
      <c r="J373" s="120"/>
    </row>
    <row r="374" spans="1:10">
      <c r="F374" s="59"/>
      <c r="I374" s="120"/>
      <c r="J374" s="120"/>
    </row>
    <row r="375" spans="1:10">
      <c r="A375" s="113" t="s">
        <v>211</v>
      </c>
      <c r="F375" s="59"/>
      <c r="I375" s="120"/>
      <c r="J375" s="120"/>
    </row>
    <row r="376" spans="1:10">
      <c r="I376" s="120"/>
      <c r="J376" s="120"/>
    </row>
    <row r="377" spans="1:10">
      <c r="A377" s="114" t="s">
        <v>212</v>
      </c>
      <c r="I377" s="120"/>
      <c r="J377" s="120"/>
    </row>
    <row r="378" spans="1:10">
      <c r="A378" s="43" t="s">
        <v>30</v>
      </c>
      <c r="B378" s="44" t="s">
        <v>31</v>
      </c>
      <c r="C378" s="44" t="s">
        <v>10</v>
      </c>
      <c r="D378" s="45" t="s">
        <v>32</v>
      </c>
      <c r="E378" s="45" t="s">
        <v>33</v>
      </c>
      <c r="F378" s="46" t="s">
        <v>34</v>
      </c>
      <c r="I378" s="120"/>
      <c r="J378" s="120"/>
    </row>
    <row r="379" spans="1:10">
      <c r="A379" s="274" t="str">
        <f>A61</f>
        <v>Camionete Pick-up 2 lugares</v>
      </c>
      <c r="B379" s="274"/>
      <c r="C379" s="274"/>
      <c r="D379" s="274"/>
      <c r="E379" s="274"/>
      <c r="F379" s="77"/>
      <c r="I379" s="120"/>
      <c r="J379" s="120"/>
    </row>
    <row r="380" spans="1:10">
      <c r="A380" s="47" t="s">
        <v>122</v>
      </c>
      <c r="B380" s="48" t="s">
        <v>84</v>
      </c>
      <c r="C380" s="157">
        <v>1</v>
      </c>
      <c r="D380" s="130">
        <v>109383</v>
      </c>
      <c r="E380" s="50">
        <f>C380*D380</f>
        <v>109383</v>
      </c>
      <c r="I380" s="120"/>
      <c r="J380" s="120"/>
    </row>
    <row r="381" spans="1:10">
      <c r="A381" s="51" t="s">
        <v>123</v>
      </c>
      <c r="B381" s="52" t="s">
        <v>124</v>
      </c>
      <c r="C381" s="52">
        <v>10</v>
      </c>
      <c r="D381" s="54"/>
      <c r="E381" s="54"/>
      <c r="I381" s="120"/>
      <c r="J381" s="120"/>
    </row>
    <row r="382" spans="1:10">
      <c r="A382" s="51" t="s">
        <v>125</v>
      </c>
      <c r="B382" s="52" t="s">
        <v>124</v>
      </c>
      <c r="C382" s="52">
        <v>0</v>
      </c>
      <c r="D382" s="54"/>
      <c r="E382" s="54"/>
      <c r="F382" s="77"/>
      <c r="I382" s="120"/>
      <c r="J382" s="120"/>
    </row>
    <row r="383" spans="1:10">
      <c r="A383" s="51" t="s">
        <v>126</v>
      </c>
      <c r="B383" s="52" t="s">
        <v>6</v>
      </c>
      <c r="C383" s="54">
        <f>IFERROR(VLOOKUP(C381,'2.Tabelas Auxiliares'!A81:C95,2,FALSE()),0)</f>
        <v>65.180000000000007</v>
      </c>
      <c r="D383" s="54">
        <f>E380</f>
        <v>109383</v>
      </c>
      <c r="E383" s="54">
        <f>C383*D383/100</f>
        <v>71295.839399999997</v>
      </c>
      <c r="I383" s="120"/>
      <c r="J383" s="120"/>
    </row>
    <row r="384" spans="1:10">
      <c r="A384" s="121" t="s">
        <v>213</v>
      </c>
      <c r="B384" s="122" t="s">
        <v>36</v>
      </c>
      <c r="C384" s="122">
        <f>C381*12</f>
        <v>120</v>
      </c>
      <c r="D384" s="123">
        <f>IF(C382&lt;=C381,E383,0)</f>
        <v>71295.839399999997</v>
      </c>
      <c r="E384" s="123">
        <f>IFERROR(D384/C384,0)</f>
        <v>594.13199499999996</v>
      </c>
      <c r="I384" s="120"/>
      <c r="J384" s="120"/>
    </row>
    <row r="385" spans="1:10">
      <c r="A385" s="56" t="s">
        <v>214</v>
      </c>
      <c r="B385" s="57"/>
      <c r="C385" s="57"/>
      <c r="D385" s="59"/>
      <c r="E385" s="60">
        <f>E384</f>
        <v>594.13199499999996</v>
      </c>
      <c r="I385" s="120"/>
      <c r="J385" s="120"/>
    </row>
    <row r="386" spans="1:10">
      <c r="A386" s="69" t="s">
        <v>18</v>
      </c>
      <c r="B386" s="131" t="s">
        <v>84</v>
      </c>
      <c r="C386" s="158">
        <f>E61</f>
        <v>1</v>
      </c>
      <c r="D386" s="70">
        <f>E385</f>
        <v>594.13199499999996</v>
      </c>
      <c r="E386" s="129">
        <f>C386*D386</f>
        <v>594.13199499999996</v>
      </c>
      <c r="I386" s="120"/>
      <c r="J386" s="120"/>
    </row>
    <row r="387" spans="1:10">
      <c r="A387" s="274" t="str">
        <f>A62</f>
        <v>Camionete Pick-up 5 lugares – Para equipe</v>
      </c>
      <c r="B387" s="274"/>
      <c r="C387" s="274"/>
      <c r="D387" s="274"/>
      <c r="E387" s="274"/>
      <c r="F387" s="77"/>
      <c r="I387" s="120"/>
      <c r="J387" s="120"/>
    </row>
    <row r="388" spans="1:10">
      <c r="A388" s="47" t="s">
        <v>122</v>
      </c>
      <c r="B388" s="48" t="s">
        <v>84</v>
      </c>
      <c r="C388" s="157">
        <v>1</v>
      </c>
      <c r="D388" s="130">
        <v>124844</v>
      </c>
      <c r="E388" s="50">
        <f>C388*D388</f>
        <v>124844</v>
      </c>
      <c r="I388" s="120"/>
      <c r="J388" s="120"/>
    </row>
    <row r="389" spans="1:10">
      <c r="A389" s="51" t="s">
        <v>123</v>
      </c>
      <c r="B389" s="52" t="s">
        <v>124</v>
      </c>
      <c r="C389" s="52">
        <v>10</v>
      </c>
      <c r="D389" s="54"/>
      <c r="E389" s="54"/>
      <c r="I389" s="120"/>
      <c r="J389" s="120"/>
    </row>
    <row r="390" spans="1:10">
      <c r="A390" s="51" t="s">
        <v>125</v>
      </c>
      <c r="B390" s="52" t="s">
        <v>124</v>
      </c>
      <c r="C390" s="52">
        <v>0</v>
      </c>
      <c r="D390" s="54"/>
      <c r="E390" s="54"/>
      <c r="F390" s="77"/>
      <c r="I390" s="120"/>
      <c r="J390" s="120"/>
    </row>
    <row r="391" spans="1:10">
      <c r="A391" s="51" t="s">
        <v>126</v>
      </c>
      <c r="B391" s="52" t="s">
        <v>6</v>
      </c>
      <c r="C391" s="54">
        <f>IFERROR(VLOOKUP(C389,'2.Tabelas Auxiliares'!A81:C95,2,FALSE()),0)</f>
        <v>65.180000000000007</v>
      </c>
      <c r="D391" s="54">
        <f>E388</f>
        <v>124844</v>
      </c>
      <c r="E391" s="54">
        <f>C391*D391/100</f>
        <v>81373.319200000013</v>
      </c>
      <c r="I391" s="120"/>
      <c r="J391" s="120"/>
    </row>
    <row r="392" spans="1:10">
      <c r="A392" s="121" t="s">
        <v>213</v>
      </c>
      <c r="B392" s="122" t="s">
        <v>36</v>
      </c>
      <c r="C392" s="122">
        <f>C389*12</f>
        <v>120</v>
      </c>
      <c r="D392" s="123">
        <f>IF(C390&lt;=C389,E391,0)</f>
        <v>81373.319200000013</v>
      </c>
      <c r="E392" s="123">
        <f>IFERROR(D392/C392,0)</f>
        <v>678.11099333333345</v>
      </c>
      <c r="I392" s="120"/>
      <c r="J392" s="120"/>
    </row>
    <row r="393" spans="1:10">
      <c r="A393" s="56" t="s">
        <v>214</v>
      </c>
      <c r="B393" s="57"/>
      <c r="C393" s="57"/>
      <c r="D393" s="59"/>
      <c r="E393" s="60">
        <f>E392</f>
        <v>678.11099333333345</v>
      </c>
      <c r="I393" s="120"/>
      <c r="J393" s="120"/>
    </row>
    <row r="394" spans="1:10">
      <c r="A394" s="69" t="s">
        <v>18</v>
      </c>
      <c r="B394" s="131" t="s">
        <v>84</v>
      </c>
      <c r="C394" s="158">
        <f>E62</f>
        <v>3</v>
      </c>
      <c r="D394" s="70">
        <f>E393</f>
        <v>678.11099333333345</v>
      </c>
      <c r="E394" s="129">
        <f>C394*D394</f>
        <v>2034.3329800000004</v>
      </c>
      <c r="I394" s="120"/>
      <c r="J394" s="120"/>
    </row>
    <row r="395" spans="1:10">
      <c r="A395" s="135"/>
      <c r="B395" s="135"/>
      <c r="C395" s="135"/>
      <c r="D395" s="76" t="s">
        <v>45</v>
      </c>
      <c r="E395" s="65">
        <f>$B$70</f>
        <v>1</v>
      </c>
      <c r="F395" s="159">
        <f>(E386+E394)*E395</f>
        <v>2628.4649750000003</v>
      </c>
      <c r="I395" s="120"/>
      <c r="J395" s="120"/>
    </row>
    <row r="396" spans="1:10">
      <c r="I396" s="120"/>
      <c r="J396" s="120"/>
    </row>
    <row r="397" spans="1:10">
      <c r="A397" s="114" t="s">
        <v>215</v>
      </c>
      <c r="I397" s="120"/>
      <c r="J397" s="120"/>
    </row>
    <row r="398" spans="1:10">
      <c r="A398" s="43" t="s">
        <v>30</v>
      </c>
      <c r="B398" s="44" t="s">
        <v>31</v>
      </c>
      <c r="C398" s="44" t="s">
        <v>10</v>
      </c>
      <c r="D398" s="45" t="s">
        <v>32</v>
      </c>
      <c r="E398" s="45" t="s">
        <v>33</v>
      </c>
      <c r="F398" s="46" t="s">
        <v>34</v>
      </c>
      <c r="I398" s="120"/>
      <c r="J398" s="120"/>
    </row>
    <row r="399" spans="1:10">
      <c r="A399" s="274" t="str">
        <f>A81</f>
        <v>Salário mínimo nacional - Base de cálculo</v>
      </c>
      <c r="B399" s="274"/>
      <c r="C399" s="274"/>
      <c r="D399" s="274"/>
      <c r="E399" s="274"/>
      <c r="F399" s="46"/>
      <c r="I399" s="120"/>
      <c r="J399" s="120"/>
    </row>
    <row r="400" spans="1:10">
      <c r="A400" s="47" t="s">
        <v>216</v>
      </c>
      <c r="B400" s="48" t="s">
        <v>84</v>
      </c>
      <c r="C400" s="48">
        <v>1</v>
      </c>
      <c r="D400" s="50">
        <f>D380</f>
        <v>109383</v>
      </c>
      <c r="E400" s="50">
        <f>C400*D400</f>
        <v>109383</v>
      </c>
      <c r="F400" s="77"/>
      <c r="I400" s="120"/>
      <c r="J400" s="120"/>
    </row>
    <row r="401" spans="1:10">
      <c r="A401" s="51" t="s">
        <v>160</v>
      </c>
      <c r="B401" s="52" t="s">
        <v>6</v>
      </c>
      <c r="C401" s="52">
        <f>C297</f>
        <v>14</v>
      </c>
      <c r="D401" s="54"/>
      <c r="E401" s="54"/>
      <c r="F401" s="77"/>
      <c r="I401" s="120"/>
      <c r="J401" s="120"/>
    </row>
    <row r="402" spans="1:10">
      <c r="A402" s="51" t="s">
        <v>150</v>
      </c>
      <c r="B402" s="52" t="s">
        <v>75</v>
      </c>
      <c r="C402" s="137">
        <f>IFERROR(IF(C382&lt;=C381,E380-(C383/(100*C381)*C382)*E380,E380-E383),0)</f>
        <v>109383</v>
      </c>
      <c r="D402" s="54"/>
      <c r="E402" s="54"/>
      <c r="F402" s="77"/>
      <c r="I402" s="120"/>
      <c r="J402" s="120"/>
    </row>
    <row r="403" spans="1:10">
      <c r="A403" s="51" t="s">
        <v>217</v>
      </c>
      <c r="B403" s="52" t="s">
        <v>75</v>
      </c>
      <c r="C403" s="54">
        <f>IFERROR(IF(C382&gt;=C381,C402,((((C402)-(E380-E383))*(((C381-C382)+1)/(2*(C381-C382))))+(E380-E383))),0)</f>
        <v>77299.872270000007</v>
      </c>
      <c r="D403" s="54"/>
      <c r="E403" s="54"/>
      <c r="F403" s="77"/>
      <c r="I403" s="120"/>
      <c r="J403" s="120"/>
    </row>
    <row r="404" spans="1:10">
      <c r="A404" s="121" t="s">
        <v>218</v>
      </c>
      <c r="B404" s="122" t="s">
        <v>75</v>
      </c>
      <c r="C404" s="122"/>
      <c r="D404" s="123">
        <f>C401*C403/12/100</f>
        <v>901.83184315000005</v>
      </c>
      <c r="E404" s="123">
        <f>D404</f>
        <v>901.83184315000005</v>
      </c>
      <c r="F404" s="77"/>
      <c r="I404" s="120"/>
      <c r="J404" s="120"/>
    </row>
    <row r="405" spans="1:10">
      <c r="A405" s="56" t="s">
        <v>214</v>
      </c>
      <c r="B405" s="57"/>
      <c r="C405" s="57"/>
      <c r="D405" s="59"/>
      <c r="E405" s="60">
        <f>E404</f>
        <v>901.83184315000005</v>
      </c>
      <c r="F405" s="77"/>
      <c r="I405" s="120"/>
      <c r="J405" s="120"/>
    </row>
    <row r="406" spans="1:10">
      <c r="A406" s="69" t="s">
        <v>18</v>
      </c>
      <c r="B406" s="131" t="s">
        <v>84</v>
      </c>
      <c r="C406" s="158">
        <f>C386</f>
        <v>1</v>
      </c>
      <c r="D406" s="70">
        <f>E405</f>
        <v>901.83184315000005</v>
      </c>
      <c r="E406" s="129">
        <f>C406*D406</f>
        <v>901.83184315000005</v>
      </c>
      <c r="F406" s="77"/>
      <c r="I406" s="120"/>
      <c r="J406" s="120"/>
    </row>
    <row r="407" spans="1:10">
      <c r="A407" s="274" t="str">
        <f>A387</f>
        <v>Camionete Pick-up 5 lugares – Para equipe</v>
      </c>
      <c r="B407" s="274"/>
      <c r="C407" s="274"/>
      <c r="D407" s="274"/>
      <c r="E407" s="274"/>
      <c r="F407" s="77"/>
      <c r="I407" s="120"/>
      <c r="J407" s="120"/>
    </row>
    <row r="408" spans="1:10">
      <c r="A408" s="47" t="s">
        <v>216</v>
      </c>
      <c r="B408" s="48" t="s">
        <v>84</v>
      </c>
      <c r="C408" s="48">
        <v>1</v>
      </c>
      <c r="D408" s="50">
        <f>D388</f>
        <v>124844</v>
      </c>
      <c r="E408" s="50">
        <f>C408*D408</f>
        <v>124844</v>
      </c>
      <c r="F408" s="77"/>
      <c r="I408" s="120"/>
      <c r="J408" s="120"/>
    </row>
    <row r="409" spans="1:10">
      <c r="A409" s="51" t="s">
        <v>160</v>
      </c>
      <c r="B409" s="52" t="s">
        <v>6</v>
      </c>
      <c r="C409" s="52">
        <f>C297</f>
        <v>14</v>
      </c>
      <c r="D409" s="54"/>
      <c r="E409" s="54"/>
      <c r="F409" s="77"/>
      <c r="I409" s="120"/>
      <c r="J409" s="120"/>
    </row>
    <row r="410" spans="1:10">
      <c r="A410" s="51" t="s">
        <v>150</v>
      </c>
      <c r="B410" s="52" t="s">
        <v>75</v>
      </c>
      <c r="C410" s="137">
        <f>IFERROR(IF(C390&lt;=C389,E388-(C391/(100*C389)*C390)*E388,E388-E391),0)</f>
        <v>124844</v>
      </c>
      <c r="D410" s="54"/>
      <c r="E410" s="54"/>
      <c r="F410" s="77"/>
      <c r="I410" s="120"/>
      <c r="J410" s="120"/>
    </row>
    <row r="411" spans="1:10">
      <c r="A411" s="51" t="s">
        <v>217</v>
      </c>
      <c r="B411" s="52" t="s">
        <v>75</v>
      </c>
      <c r="C411" s="54">
        <f>IFERROR(IF(C390&gt;=C389,C410,((((C410)-(E388-E391))*(((C389-C390)+1)/(2*(C389-C390))))+(E388-E391))),0)</f>
        <v>88226.006359999999</v>
      </c>
      <c r="D411" s="54"/>
      <c r="E411" s="54"/>
      <c r="F411" s="77"/>
      <c r="I411" s="120"/>
      <c r="J411" s="120"/>
    </row>
    <row r="412" spans="1:10">
      <c r="A412" s="121" t="s">
        <v>218</v>
      </c>
      <c r="B412" s="122" t="s">
        <v>75</v>
      </c>
      <c r="C412" s="122"/>
      <c r="D412" s="123">
        <f>C409*C411/12/100</f>
        <v>1029.3034075333335</v>
      </c>
      <c r="E412" s="123">
        <f>D412</f>
        <v>1029.3034075333335</v>
      </c>
      <c r="F412" s="77"/>
      <c r="I412" s="120"/>
      <c r="J412" s="120"/>
    </row>
    <row r="413" spans="1:10">
      <c r="A413" s="56" t="s">
        <v>214</v>
      </c>
      <c r="B413" s="57"/>
      <c r="C413" s="57"/>
      <c r="D413" s="59"/>
      <c r="E413" s="60">
        <f>E412</f>
        <v>1029.3034075333335</v>
      </c>
      <c r="F413" s="77"/>
      <c r="I413" s="120"/>
      <c r="J413" s="120"/>
    </row>
    <row r="414" spans="1:10">
      <c r="A414" s="69" t="s">
        <v>18</v>
      </c>
      <c r="B414" s="131" t="s">
        <v>84</v>
      </c>
      <c r="C414" s="158">
        <f>C394</f>
        <v>3</v>
      </c>
      <c r="D414" s="70">
        <f>E413</f>
        <v>1029.3034075333335</v>
      </c>
      <c r="E414" s="129">
        <f>C414*D414</f>
        <v>3087.9102226000005</v>
      </c>
      <c r="F414" s="77"/>
      <c r="I414" s="120"/>
      <c r="J414" s="120"/>
    </row>
    <row r="415" spans="1:10">
      <c r="C415" s="58"/>
      <c r="D415" s="76" t="s">
        <v>45</v>
      </c>
      <c r="E415" s="65">
        <f>$B$70</f>
        <v>1</v>
      </c>
      <c r="F415" s="159">
        <f>(E406+E414)*E415</f>
        <v>3989.7420657500006</v>
      </c>
      <c r="I415" s="120"/>
      <c r="J415" s="120"/>
    </row>
    <row r="416" spans="1:10">
      <c r="I416" s="120"/>
      <c r="J416" s="120"/>
    </row>
    <row r="417" spans="1:10">
      <c r="A417" s="1" t="s">
        <v>219</v>
      </c>
      <c r="I417" s="120"/>
      <c r="J417" s="120"/>
    </row>
    <row r="418" spans="1:10">
      <c r="A418" s="43" t="s">
        <v>30</v>
      </c>
      <c r="B418" s="44" t="s">
        <v>31</v>
      </c>
      <c r="C418" s="44" t="s">
        <v>10</v>
      </c>
      <c r="D418" s="45" t="s">
        <v>32</v>
      </c>
      <c r="E418" s="45" t="s">
        <v>33</v>
      </c>
      <c r="F418" s="46" t="s">
        <v>34</v>
      </c>
      <c r="I418" s="120"/>
      <c r="J418" s="120"/>
    </row>
    <row r="419" spans="1:10">
      <c r="A419" s="47" t="s">
        <v>170</v>
      </c>
      <c r="B419" s="48" t="s">
        <v>84</v>
      </c>
      <c r="C419" s="50">
        <f>C386+C414</f>
        <v>4</v>
      </c>
      <c r="D419" s="50">
        <f>0.03*(D380)</f>
        <v>3281.49</v>
      </c>
      <c r="E419" s="50">
        <f>C419*D419</f>
        <v>13125.96</v>
      </c>
      <c r="I419" s="120"/>
      <c r="J419" s="120"/>
    </row>
    <row r="420" spans="1:10">
      <c r="A420" s="51" t="s">
        <v>171</v>
      </c>
      <c r="B420" s="52" t="s">
        <v>84</v>
      </c>
      <c r="C420" s="50">
        <f>C386+C414</f>
        <v>4</v>
      </c>
      <c r="D420" s="54">
        <f>419.79</f>
        <v>419.79</v>
      </c>
      <c r="E420" s="54">
        <f>C420*D420</f>
        <v>1679.16</v>
      </c>
      <c r="I420" s="120"/>
      <c r="J420" s="120"/>
    </row>
    <row r="421" spans="1:10">
      <c r="A421" s="51" t="s">
        <v>172</v>
      </c>
      <c r="B421" s="52" t="s">
        <v>84</v>
      </c>
      <c r="C421" s="50">
        <f>C386+C414</f>
        <v>4</v>
      </c>
      <c r="D421" s="54">
        <v>1823.12</v>
      </c>
      <c r="E421" s="54">
        <f>C421*D421</f>
        <v>7292.48</v>
      </c>
      <c r="F421" s="59"/>
      <c r="I421" s="120"/>
      <c r="J421" s="120"/>
    </row>
    <row r="422" spans="1:10">
      <c r="A422" s="69" t="s">
        <v>173</v>
      </c>
      <c r="B422" s="131" t="s">
        <v>36</v>
      </c>
      <c r="C422" s="131">
        <v>12</v>
      </c>
      <c r="D422" s="70">
        <f>SUM(E419:E421)</f>
        <v>22097.599999999999</v>
      </c>
      <c r="E422" s="70">
        <f>D422/C422</f>
        <v>1841.4666666666665</v>
      </c>
      <c r="I422" s="120"/>
      <c r="J422" s="120"/>
    </row>
    <row r="423" spans="1:10">
      <c r="D423" s="76" t="s">
        <v>45</v>
      </c>
      <c r="E423" s="65">
        <f>$B$70</f>
        <v>1</v>
      </c>
      <c r="F423" s="160">
        <f>E422*E423</f>
        <v>1841.4666666666665</v>
      </c>
      <c r="I423" s="120"/>
      <c r="J423" s="120"/>
    </row>
    <row r="424" spans="1:10">
      <c r="I424" s="120"/>
      <c r="J424" s="120"/>
    </row>
    <row r="425" spans="1:10">
      <c r="A425" s="1" t="s">
        <v>220</v>
      </c>
      <c r="B425" s="140"/>
      <c r="I425" s="120"/>
      <c r="J425" s="120"/>
    </row>
    <row r="426" spans="1:10">
      <c r="B426" s="140"/>
      <c r="I426" s="120"/>
      <c r="J426" s="120"/>
    </row>
    <row r="427" spans="1:10">
      <c r="A427" s="69" t="s">
        <v>175</v>
      </c>
      <c r="B427" s="141">
        <f>2200*(E61+E62)</f>
        <v>8800</v>
      </c>
      <c r="I427" s="120"/>
      <c r="J427" s="120"/>
    </row>
    <row r="428" spans="1:10">
      <c r="A428" s="1" t="s">
        <v>221</v>
      </c>
      <c r="B428" s="140"/>
      <c r="I428" s="120"/>
      <c r="J428" s="120"/>
    </row>
    <row r="429" spans="1:10">
      <c r="A429" s="43" t="s">
        <v>30</v>
      </c>
      <c r="B429" s="44" t="s">
        <v>31</v>
      </c>
      <c r="C429" s="44" t="s">
        <v>179</v>
      </c>
      <c r="D429" s="45" t="s">
        <v>32</v>
      </c>
      <c r="E429" s="45" t="s">
        <v>33</v>
      </c>
      <c r="F429" s="46" t="s">
        <v>34</v>
      </c>
      <c r="I429" s="120"/>
      <c r="J429" s="120"/>
    </row>
    <row r="430" spans="1:10">
      <c r="A430" s="47" t="s">
        <v>222</v>
      </c>
      <c r="B430" s="48" t="s">
        <v>181</v>
      </c>
      <c r="C430" s="142">
        <v>7</v>
      </c>
      <c r="D430" s="161">
        <f>D346</f>
        <v>6.53</v>
      </c>
      <c r="E430" s="50"/>
      <c r="I430" s="120"/>
      <c r="J430" s="120"/>
    </row>
    <row r="431" spans="1:10">
      <c r="A431" s="51" t="s">
        <v>223</v>
      </c>
      <c r="B431" s="52" t="s">
        <v>183</v>
      </c>
      <c r="C431" s="144">
        <f>B427</f>
        <v>8800</v>
      </c>
      <c r="D431" s="145">
        <f>IFERROR(+D430/C430,"-")</f>
        <v>0.93285714285714294</v>
      </c>
      <c r="E431" s="54">
        <f>IFERROR(C431*D431,"-")</f>
        <v>8209.1428571428587</v>
      </c>
      <c r="I431" s="120"/>
      <c r="J431" s="120"/>
    </row>
    <row r="432" spans="1:10">
      <c r="A432" s="69" t="s">
        <v>224</v>
      </c>
      <c r="B432" s="131" t="s">
        <v>198</v>
      </c>
      <c r="C432" s="162"/>
      <c r="D432" s="163">
        <f>IFERROR(D431+#REF!+#REF!+#REF!,0)</f>
        <v>0</v>
      </c>
      <c r="E432" s="54"/>
      <c r="I432" s="120"/>
      <c r="J432" s="120"/>
    </row>
    <row r="433" spans="1:10">
      <c r="F433" s="159">
        <f>SUM(E430:E431)</f>
        <v>8209.1428571428587</v>
      </c>
      <c r="I433" s="120"/>
      <c r="J433" s="120"/>
    </row>
    <row r="434" spans="1:10">
      <c r="I434" s="120"/>
      <c r="J434" s="120"/>
    </row>
    <row r="435" spans="1:10">
      <c r="A435" s="1" t="s">
        <v>225</v>
      </c>
      <c r="I435" s="120"/>
      <c r="J435" s="120"/>
    </row>
    <row r="436" spans="1:10">
      <c r="A436" s="43" t="s">
        <v>30</v>
      </c>
      <c r="B436" s="44" t="s">
        <v>31</v>
      </c>
      <c r="C436" s="44" t="s">
        <v>10</v>
      </c>
      <c r="D436" s="45" t="s">
        <v>32</v>
      </c>
      <c r="E436" s="45" t="s">
        <v>33</v>
      </c>
      <c r="F436" s="46" t="s">
        <v>34</v>
      </c>
      <c r="I436" s="120"/>
      <c r="J436" s="120"/>
    </row>
    <row r="437" spans="1:10">
      <c r="A437" s="47" t="s">
        <v>226</v>
      </c>
      <c r="B437" s="48" t="s">
        <v>198</v>
      </c>
      <c r="C437" s="144">
        <f>B427</f>
        <v>8800</v>
      </c>
      <c r="D437" s="50">
        <f>0.06</f>
        <v>0.06</v>
      </c>
      <c r="E437" s="50">
        <f>C437*D437</f>
        <v>528</v>
      </c>
      <c r="I437" s="120"/>
      <c r="J437" s="120"/>
    </row>
    <row r="438" spans="1:10">
      <c r="F438" s="159">
        <f>E437</f>
        <v>528</v>
      </c>
      <c r="I438" s="120"/>
      <c r="J438" s="120"/>
    </row>
    <row r="439" spans="1:10">
      <c r="I439" s="120"/>
      <c r="J439" s="120"/>
    </row>
    <row r="440" spans="1:10">
      <c r="A440" s="1" t="s">
        <v>227</v>
      </c>
      <c r="I440" s="120"/>
      <c r="J440" s="120"/>
    </row>
    <row r="441" spans="1:10">
      <c r="A441" s="43" t="s">
        <v>30</v>
      </c>
      <c r="B441" s="44" t="s">
        <v>31</v>
      </c>
      <c r="C441" s="44" t="s">
        <v>10</v>
      </c>
      <c r="D441" s="45" t="s">
        <v>32</v>
      </c>
      <c r="E441" s="45" t="s">
        <v>33</v>
      </c>
      <c r="F441" s="46" t="s">
        <v>34</v>
      </c>
      <c r="I441" s="120"/>
      <c r="J441" s="120"/>
    </row>
    <row r="442" spans="1:10">
      <c r="A442" s="47" t="s">
        <v>228</v>
      </c>
      <c r="B442" s="48" t="s">
        <v>198</v>
      </c>
      <c r="C442" s="48">
        <f>0.051136</f>
        <v>5.1136000000000001E-2</v>
      </c>
      <c r="D442" s="50"/>
      <c r="E442" s="50"/>
      <c r="I442" s="120"/>
      <c r="J442" s="120"/>
    </row>
    <row r="443" spans="1:10">
      <c r="A443" s="51" t="s">
        <v>229</v>
      </c>
      <c r="B443" s="52" t="s">
        <v>230</v>
      </c>
      <c r="C443" s="144">
        <f>B427</f>
        <v>8800</v>
      </c>
      <c r="D443" s="164">
        <f>C442</f>
        <v>5.1136000000000001E-2</v>
      </c>
      <c r="E443" s="54">
        <f>IFERROR(C443*D443,0)</f>
        <v>449.99680000000001</v>
      </c>
      <c r="I443" s="120"/>
      <c r="J443" s="120"/>
    </row>
    <row r="444" spans="1:10">
      <c r="F444" s="159">
        <f>E443</f>
        <v>449.99680000000001</v>
      </c>
      <c r="I444" s="120"/>
      <c r="J444" s="120"/>
    </row>
    <row r="445" spans="1:10">
      <c r="A445" s="151" t="s">
        <v>231</v>
      </c>
      <c r="B445" s="152"/>
      <c r="C445" s="153"/>
      <c r="D445" s="154"/>
      <c r="E445" s="155"/>
      <c r="F445" s="156">
        <f>F444+F438+F433+F423+F415+F395</f>
        <v>17646.813364559526</v>
      </c>
      <c r="I445" s="120"/>
      <c r="J445" s="120"/>
    </row>
    <row r="446" spans="1:10">
      <c r="F446" s="59"/>
      <c r="I446" s="120"/>
      <c r="J446" s="120"/>
    </row>
    <row r="447" spans="1:10">
      <c r="A447" s="14" t="s">
        <v>232</v>
      </c>
      <c r="F447" s="59"/>
      <c r="I447" s="120"/>
      <c r="J447" s="120"/>
    </row>
    <row r="448" spans="1:10">
      <c r="I448" s="120"/>
      <c r="J448" s="120"/>
    </row>
    <row r="449" spans="1:10">
      <c r="A449" s="114" t="s">
        <v>233</v>
      </c>
      <c r="I449" s="120"/>
      <c r="J449" s="120"/>
    </row>
    <row r="450" spans="1:10">
      <c r="A450" s="43" t="s">
        <v>30</v>
      </c>
      <c r="B450" s="44" t="s">
        <v>31</v>
      </c>
      <c r="C450" s="44" t="s">
        <v>10</v>
      </c>
      <c r="D450" s="45" t="s">
        <v>32</v>
      </c>
      <c r="E450" s="45" t="s">
        <v>33</v>
      </c>
      <c r="F450" s="46" t="s">
        <v>34</v>
      </c>
      <c r="I450" s="120"/>
      <c r="J450" s="120"/>
    </row>
    <row r="451" spans="1:10">
      <c r="A451" s="165" t="s">
        <v>234</v>
      </c>
      <c r="B451" s="166" t="s">
        <v>84</v>
      </c>
      <c r="C451" s="167">
        <f>E66</f>
        <v>12</v>
      </c>
      <c r="D451" s="168">
        <v>1229.4000000000001</v>
      </c>
      <c r="E451" s="168">
        <f>C451*D451</f>
        <v>14752.800000000001</v>
      </c>
      <c r="I451" s="120"/>
      <c r="J451" s="120"/>
    </row>
    <row r="452" spans="1:10">
      <c r="A452" s="51" t="s">
        <v>235</v>
      </c>
      <c r="B452" s="52" t="s">
        <v>124</v>
      </c>
      <c r="C452" s="131">
        <v>5</v>
      </c>
      <c r="D452" s="54"/>
      <c r="E452" s="54"/>
      <c r="I452" s="120"/>
      <c r="J452" s="120"/>
    </row>
    <row r="453" spans="1:10">
      <c r="A453" s="51" t="s">
        <v>236</v>
      </c>
      <c r="B453" s="52" t="s">
        <v>124</v>
      </c>
      <c r="C453" s="52">
        <v>0</v>
      </c>
      <c r="D453" s="54"/>
      <c r="E453" s="54"/>
      <c r="F453" s="77"/>
      <c r="I453" s="120"/>
      <c r="J453" s="120"/>
    </row>
    <row r="454" spans="1:10">
      <c r="A454" s="51" t="s">
        <v>237</v>
      </c>
      <c r="B454" s="52" t="s">
        <v>6</v>
      </c>
      <c r="C454" s="54">
        <f>IFERROR(VLOOKUP(C452,'2.Tabelas Auxiliares'!A81:C95,2,FALSE()),0)</f>
        <v>55.68</v>
      </c>
      <c r="D454" s="54">
        <f>E451</f>
        <v>14752.800000000001</v>
      </c>
      <c r="E454" s="54">
        <f>C454*D454/100</f>
        <v>8214.3590400000012</v>
      </c>
      <c r="I454" s="120"/>
      <c r="J454" s="120"/>
    </row>
    <row r="455" spans="1:10">
      <c r="A455" s="121" t="s">
        <v>238</v>
      </c>
      <c r="B455" s="122" t="s">
        <v>36</v>
      </c>
      <c r="C455" s="122">
        <f>C452*12</f>
        <v>60</v>
      </c>
      <c r="D455" s="123">
        <f>IF(C453&lt;=C452,E454,0)</f>
        <v>8214.3590400000012</v>
      </c>
      <c r="E455" s="169">
        <f>IFERROR(D455/C455,0)</f>
        <v>136.90598400000002</v>
      </c>
      <c r="I455" s="120"/>
      <c r="J455" s="120"/>
    </row>
    <row r="456" spans="1:10">
      <c r="A456" s="165" t="s">
        <v>239</v>
      </c>
      <c r="B456" s="166" t="s">
        <v>84</v>
      </c>
      <c r="C456" s="167">
        <f>E67</f>
        <v>6</v>
      </c>
      <c r="D456" s="168">
        <v>1288.8499999999999</v>
      </c>
      <c r="E456" s="168">
        <f>C456*D456</f>
        <v>7733.0999999999995</v>
      </c>
      <c r="I456" s="120"/>
      <c r="J456" s="120"/>
    </row>
    <row r="457" spans="1:10">
      <c r="A457" s="51" t="s">
        <v>235</v>
      </c>
      <c r="B457" s="52" t="s">
        <v>124</v>
      </c>
      <c r="C457" s="131">
        <v>5</v>
      </c>
      <c r="D457" s="54"/>
      <c r="E457" s="54"/>
      <c r="I457" s="120"/>
      <c r="J457" s="120"/>
    </row>
    <row r="458" spans="1:10">
      <c r="A458" s="51" t="s">
        <v>236</v>
      </c>
      <c r="B458" s="52" t="s">
        <v>124</v>
      </c>
      <c r="C458" s="52">
        <v>0</v>
      </c>
      <c r="D458" s="54"/>
      <c r="E458" s="54"/>
      <c r="I458" s="120"/>
      <c r="J458" s="120"/>
    </row>
    <row r="459" spans="1:10">
      <c r="A459" s="51" t="s">
        <v>237</v>
      </c>
      <c r="B459" s="52" t="s">
        <v>6</v>
      </c>
      <c r="C459" s="65">
        <f>IFERROR(VLOOKUP(C457,'2.Tabelas Auxiliares'!A81:C95,2,FALSE()),0)</f>
        <v>55.68</v>
      </c>
      <c r="D459" s="54">
        <f>E456</f>
        <v>7733.0999999999995</v>
      </c>
      <c r="E459" s="54">
        <f>C459*D459/100</f>
        <v>4305.7900799999998</v>
      </c>
      <c r="I459" s="120"/>
      <c r="J459" s="120"/>
    </row>
    <row r="460" spans="1:10">
      <c r="A460" s="69" t="s">
        <v>240</v>
      </c>
      <c r="B460" s="131" t="s">
        <v>36</v>
      </c>
      <c r="C460" s="131">
        <f>C457*12</f>
        <v>60</v>
      </c>
      <c r="D460" s="70">
        <f>IF(C458&lt;=C457,E459,0)</f>
        <v>4305.7900799999998</v>
      </c>
      <c r="E460" s="170">
        <f>IFERROR(D460/C460,0)</f>
        <v>71.763167999999993</v>
      </c>
      <c r="I460" s="120"/>
      <c r="J460" s="120"/>
    </row>
    <row r="461" spans="1:10">
      <c r="A461" s="69" t="s">
        <v>241</v>
      </c>
      <c r="B461" s="275"/>
      <c r="C461" s="275"/>
      <c r="D461" s="275"/>
      <c r="E461" s="129">
        <f>E455+E460</f>
        <v>208.669152</v>
      </c>
      <c r="I461" s="120"/>
      <c r="J461" s="120"/>
    </row>
    <row r="462" spans="1:10">
      <c r="A462" s="135"/>
      <c r="B462" s="135"/>
      <c r="C462" s="135"/>
      <c r="D462" s="76" t="s">
        <v>45</v>
      </c>
      <c r="E462" s="65">
        <f>$B$70</f>
        <v>1</v>
      </c>
      <c r="F462" s="159">
        <f>E461*E462</f>
        <v>208.669152</v>
      </c>
      <c r="I462" s="120"/>
      <c r="J462" s="120"/>
    </row>
    <row r="463" spans="1:10">
      <c r="I463" s="120"/>
      <c r="J463" s="120"/>
    </row>
    <row r="464" spans="1:10">
      <c r="A464" s="114" t="s">
        <v>242</v>
      </c>
      <c r="I464" s="120"/>
      <c r="J464" s="120"/>
    </row>
    <row r="465" spans="1:10">
      <c r="A465" s="43" t="s">
        <v>30</v>
      </c>
      <c r="B465" s="44" t="s">
        <v>31</v>
      </c>
      <c r="C465" s="44" t="s">
        <v>10</v>
      </c>
      <c r="D465" s="45" t="s">
        <v>32</v>
      </c>
      <c r="E465" s="45" t="s">
        <v>33</v>
      </c>
      <c r="F465" s="46" t="s">
        <v>34</v>
      </c>
      <c r="I465" s="120"/>
      <c r="J465" s="120"/>
    </row>
    <row r="466" spans="1:10">
      <c r="A466" s="47" t="str">
        <f>A451</f>
        <v>Custo de aquisição Roçadeira a gasolina 32cc</v>
      </c>
      <c r="B466" s="48" t="s">
        <v>84</v>
      </c>
      <c r="C466" s="166">
        <f>C451</f>
        <v>12</v>
      </c>
      <c r="D466" s="168">
        <f>D451</f>
        <v>1229.4000000000001</v>
      </c>
      <c r="E466" s="50">
        <f>C466*D466</f>
        <v>14752.800000000001</v>
      </c>
      <c r="F466" s="77"/>
      <c r="I466" s="120"/>
      <c r="J466" s="120"/>
    </row>
    <row r="467" spans="1:10">
      <c r="A467" s="51" t="s">
        <v>160</v>
      </c>
      <c r="B467" s="52" t="s">
        <v>6</v>
      </c>
      <c r="C467" s="171">
        <f>C297</f>
        <v>14</v>
      </c>
      <c r="D467" s="54"/>
      <c r="E467" s="54"/>
      <c r="F467" s="77"/>
      <c r="I467" s="120"/>
      <c r="J467" s="120"/>
    </row>
    <row r="468" spans="1:10">
      <c r="A468" s="51" t="s">
        <v>243</v>
      </c>
      <c r="B468" s="52" t="s">
        <v>75</v>
      </c>
      <c r="C468" s="137">
        <f>IFERROR(IF(C453&lt;=C452,E451-(C454/(100*C452)*C453)*E451,E451-E454),0)</f>
        <v>14752.800000000001</v>
      </c>
      <c r="D468" s="54"/>
      <c r="E468" s="54"/>
      <c r="F468" s="77"/>
      <c r="I468" s="120"/>
      <c r="J468" s="120"/>
    </row>
    <row r="469" spans="1:10">
      <c r="A469" s="51" t="s">
        <v>244</v>
      </c>
      <c r="B469" s="52" t="s">
        <v>75</v>
      </c>
      <c r="C469" s="54">
        <f>IFERROR(IF(C453&gt;=C452,C468,((((C468)-(E451-E454))*(((C452-C453)+1)/(2*(C452-C453))))+(E451-E454))),0)</f>
        <v>11467.056384</v>
      </c>
      <c r="D469" s="54"/>
      <c r="E469" s="54"/>
      <c r="F469" s="77"/>
      <c r="I469" s="120"/>
      <c r="J469" s="120"/>
    </row>
    <row r="470" spans="1:10">
      <c r="A470" s="121" t="s">
        <v>245</v>
      </c>
      <c r="B470" s="122" t="s">
        <v>75</v>
      </c>
      <c r="C470" s="122"/>
      <c r="D470" s="123">
        <f>C467*C469/12/100</f>
        <v>133.78232448</v>
      </c>
      <c r="E470" s="169">
        <f>D470</f>
        <v>133.78232448</v>
      </c>
      <c r="F470" s="77"/>
      <c r="I470" s="120"/>
      <c r="J470" s="120"/>
    </row>
    <row r="471" spans="1:10">
      <c r="A471" s="47" t="str">
        <f>A456</f>
        <v>Custo de aquisição Soprador a gasolina</v>
      </c>
      <c r="B471" s="48" t="s">
        <v>84</v>
      </c>
      <c r="C471" s="166">
        <f>C456</f>
        <v>6</v>
      </c>
      <c r="D471" s="168">
        <f>D456</f>
        <v>1288.8499999999999</v>
      </c>
      <c r="E471" s="50">
        <f>C471*D471</f>
        <v>7733.0999999999995</v>
      </c>
      <c r="F471" s="77"/>
      <c r="I471" s="120"/>
      <c r="J471" s="120"/>
    </row>
    <row r="472" spans="1:10">
      <c r="A472" s="51" t="s">
        <v>160</v>
      </c>
      <c r="B472" s="52" t="s">
        <v>6</v>
      </c>
      <c r="C472" s="171">
        <f>C297</f>
        <v>14</v>
      </c>
      <c r="D472" s="54"/>
      <c r="E472" s="54"/>
      <c r="F472" s="77"/>
      <c r="I472" s="120"/>
      <c r="J472" s="120"/>
    </row>
    <row r="473" spans="1:10">
      <c r="A473" s="51" t="s">
        <v>246</v>
      </c>
      <c r="B473" s="52" t="s">
        <v>75</v>
      </c>
      <c r="C473" s="137">
        <f>IFERROR(IF(C458&lt;=C457,E456-(C459/(100*C457)*C458)*E456,E456-E459),0)</f>
        <v>7733.0999999999995</v>
      </c>
      <c r="D473" s="54"/>
      <c r="E473" s="54"/>
      <c r="F473" s="77"/>
      <c r="I473" s="120"/>
      <c r="J473" s="120"/>
    </row>
    <row r="474" spans="1:10">
      <c r="A474" s="51" t="s">
        <v>247</v>
      </c>
      <c r="B474" s="52" t="s">
        <v>75</v>
      </c>
      <c r="C474" s="54">
        <f>IFERROR(IF(C458&gt;=C457,C473,((((C473)-(E456-E459))*(((C457-C458)+1)/(2*(C457-C458))))+(E456-E459))),0)</f>
        <v>6010.7839679999997</v>
      </c>
      <c r="D474" s="54"/>
      <c r="E474" s="54"/>
      <c r="F474" s="77"/>
      <c r="I474" s="120"/>
      <c r="J474" s="120"/>
    </row>
    <row r="475" spans="1:10">
      <c r="A475" s="69" t="s">
        <v>248</v>
      </c>
      <c r="B475" s="131" t="s">
        <v>75</v>
      </c>
      <c r="C475" s="131"/>
      <c r="D475" s="70">
        <f>C472*C474/12/100</f>
        <v>70.12581295999999</v>
      </c>
      <c r="E475" s="170">
        <f>D475</f>
        <v>70.12581295999999</v>
      </c>
      <c r="F475" s="77"/>
      <c r="I475" s="120"/>
      <c r="J475" s="120"/>
    </row>
    <row r="476" spans="1:10">
      <c r="A476" s="69" t="s">
        <v>18</v>
      </c>
      <c r="B476" s="131"/>
      <c r="C476" s="52"/>
      <c r="D476" s="70"/>
      <c r="E476" s="129">
        <f>E475+E470</f>
        <v>203.90813743999999</v>
      </c>
      <c r="F476" s="77"/>
      <c r="I476" s="120"/>
      <c r="J476" s="120"/>
    </row>
    <row r="477" spans="1:10">
      <c r="C477" s="58"/>
      <c r="D477" s="76" t="s">
        <v>45</v>
      </c>
      <c r="E477" s="65">
        <f>$B$70</f>
        <v>1</v>
      </c>
      <c r="F477" s="159">
        <f>E476*E477</f>
        <v>203.90813743999999</v>
      </c>
      <c r="I477" s="120"/>
      <c r="J477" s="120"/>
    </row>
    <row r="478" spans="1:10">
      <c r="C478" s="58"/>
      <c r="D478" s="76"/>
      <c r="I478" s="120"/>
      <c r="J478" s="120"/>
    </row>
    <row r="479" spans="1:10">
      <c r="A479" s="1" t="s">
        <v>249</v>
      </c>
      <c r="B479" s="140"/>
      <c r="I479" s="120"/>
      <c r="J479" s="120"/>
    </row>
    <row r="480" spans="1:10">
      <c r="B480" s="140"/>
      <c r="I480" s="120"/>
      <c r="J480" s="120"/>
    </row>
    <row r="481" spans="1:10">
      <c r="A481" s="69" t="s">
        <v>250</v>
      </c>
      <c r="B481" s="141">
        <f>8*22</f>
        <v>176</v>
      </c>
      <c r="C481" s="51" t="s">
        <v>251</v>
      </c>
      <c r="D481" s="65"/>
      <c r="E481" s="90">
        <f>C485*C486</f>
        <v>4752</v>
      </c>
      <c r="I481" s="120"/>
      <c r="J481" s="120"/>
    </row>
    <row r="482" spans="1:10">
      <c r="A482" s="14" t="s">
        <v>252</v>
      </c>
      <c r="B482" s="140"/>
      <c r="I482" s="120"/>
      <c r="J482" s="120"/>
    </row>
    <row r="483" spans="1:10">
      <c r="A483" s="43" t="s">
        <v>253</v>
      </c>
      <c r="B483" s="44" t="s">
        <v>31</v>
      </c>
      <c r="C483" s="44" t="s">
        <v>179</v>
      </c>
      <c r="D483" s="45" t="s">
        <v>32</v>
      </c>
      <c r="E483" s="45" t="s">
        <v>33</v>
      </c>
      <c r="F483" s="46" t="s">
        <v>34</v>
      </c>
      <c r="I483" s="120"/>
      <c r="J483" s="120"/>
    </row>
    <row r="484" spans="1:10">
      <c r="A484" s="51" t="s">
        <v>254</v>
      </c>
      <c r="B484" s="52" t="s">
        <v>193</v>
      </c>
      <c r="C484" s="146">
        <f>12/8</f>
        <v>1.5</v>
      </c>
      <c r="D484" s="54">
        <f>D346</f>
        <v>6.53</v>
      </c>
      <c r="E484" s="54">
        <f>C484*D484</f>
        <v>9.7949999999999999</v>
      </c>
      <c r="I484" s="120"/>
      <c r="J484" s="120"/>
    </row>
    <row r="485" spans="1:10">
      <c r="A485" s="69" t="s">
        <v>255</v>
      </c>
      <c r="B485" s="52" t="s">
        <v>195</v>
      </c>
      <c r="C485" s="144">
        <f>C484*B481</f>
        <v>264</v>
      </c>
      <c r="D485" s="147">
        <f>D484</f>
        <v>6.53</v>
      </c>
      <c r="E485" s="54">
        <f>C485*D485</f>
        <v>1723.92</v>
      </c>
      <c r="I485" s="120"/>
      <c r="J485" s="120"/>
    </row>
    <row r="486" spans="1:10">
      <c r="A486" s="69" t="s">
        <v>256</v>
      </c>
      <c r="B486" s="131" t="s">
        <v>257</v>
      </c>
      <c r="C486" s="158">
        <f>E66+E67</f>
        <v>18</v>
      </c>
      <c r="D486" s="70">
        <f>E485</f>
        <v>1723.92</v>
      </c>
      <c r="E486" s="54">
        <f>C486*D486</f>
        <v>31030.560000000001</v>
      </c>
      <c r="I486" s="120"/>
      <c r="J486" s="120"/>
    </row>
    <row r="487" spans="1:10">
      <c r="F487" s="172">
        <f>E486</f>
        <v>31030.560000000001</v>
      </c>
      <c r="I487" s="120"/>
      <c r="J487" s="120"/>
    </row>
    <row r="488" spans="1:10">
      <c r="A488" s="69" t="s">
        <v>250</v>
      </c>
      <c r="B488" s="141">
        <f>8*22</f>
        <v>176</v>
      </c>
      <c r="C488" s="51" t="s">
        <v>251</v>
      </c>
      <c r="D488" s="65"/>
      <c r="E488" s="173">
        <f>(E481*0.02%)*100</f>
        <v>95.04</v>
      </c>
      <c r="F488" s="59"/>
      <c r="I488" s="120"/>
      <c r="J488" s="120"/>
    </row>
    <row r="489" spans="1:10">
      <c r="A489" s="14" t="s">
        <v>258</v>
      </c>
      <c r="B489" s="140"/>
      <c r="F489" s="59"/>
      <c r="I489" s="120"/>
      <c r="J489" s="120"/>
    </row>
    <row r="490" spans="1:10">
      <c r="A490" s="43" t="s">
        <v>259</v>
      </c>
      <c r="B490" s="44" t="s">
        <v>31</v>
      </c>
      <c r="C490" s="44" t="s">
        <v>260</v>
      </c>
      <c r="D490" s="45" t="s">
        <v>32</v>
      </c>
      <c r="E490" s="45" t="s">
        <v>33</v>
      </c>
      <c r="F490" s="46" t="s">
        <v>34</v>
      </c>
      <c r="I490" s="120"/>
      <c r="J490" s="120"/>
    </row>
    <row r="491" spans="1:10">
      <c r="A491" s="51" t="s">
        <v>261</v>
      </c>
      <c r="B491" s="52" t="s">
        <v>193</v>
      </c>
      <c r="C491" s="174">
        <f>E488/C492</f>
        <v>5.28</v>
      </c>
      <c r="D491" s="54">
        <v>29.22</v>
      </c>
      <c r="E491" s="54">
        <f>C491*D491</f>
        <v>154.2816</v>
      </c>
      <c r="I491" s="120"/>
      <c r="J491" s="120"/>
    </row>
    <row r="492" spans="1:10">
      <c r="A492" s="69" t="s">
        <v>256</v>
      </c>
      <c r="B492" s="131" t="s">
        <v>257</v>
      </c>
      <c r="C492" s="158">
        <f>E66+E67</f>
        <v>18</v>
      </c>
      <c r="D492" s="163">
        <f>(D491*E488)/C492</f>
        <v>154.2816</v>
      </c>
      <c r="E492" s="54">
        <f>C492*D492</f>
        <v>2777.0688</v>
      </c>
      <c r="I492" s="120"/>
      <c r="J492" s="120"/>
    </row>
    <row r="493" spans="1:10">
      <c r="F493" s="172">
        <f>E492</f>
        <v>2777.0688</v>
      </c>
      <c r="I493" s="120"/>
      <c r="J493" s="120"/>
    </row>
    <row r="494" spans="1:10">
      <c r="C494" s="58"/>
      <c r="D494" s="76" t="s">
        <v>45</v>
      </c>
      <c r="E494" s="65">
        <f>$B$70</f>
        <v>1</v>
      </c>
      <c r="F494" s="159">
        <f>(F487+F493)*E494</f>
        <v>33807.628799999999</v>
      </c>
      <c r="I494" s="120"/>
      <c r="J494" s="120"/>
    </row>
    <row r="495" spans="1:10">
      <c r="A495" s="151" t="s">
        <v>262</v>
      </c>
      <c r="B495" s="153"/>
      <c r="C495" s="153"/>
      <c r="D495" s="154"/>
      <c r="E495" s="155"/>
      <c r="F495" s="156">
        <f>F494+F477+F462</f>
        <v>34220.206089439998</v>
      </c>
      <c r="I495" s="120"/>
      <c r="J495" s="120"/>
    </row>
    <row r="496" spans="1:10" ht="11.25" customHeight="1">
      <c r="G496" s="1"/>
    </row>
    <row r="497" spans="1:7">
      <c r="A497" s="37" t="s">
        <v>263</v>
      </c>
      <c r="B497" s="97"/>
      <c r="C497" s="97"/>
      <c r="D497" s="22"/>
      <c r="E497" s="98"/>
      <c r="F497" s="111">
        <f>F495+F445+F373</f>
        <v>192047.01602267599</v>
      </c>
      <c r="G497" s="1"/>
    </row>
    <row r="498" spans="1:7" ht="11.25" customHeight="1">
      <c r="G498" s="1"/>
    </row>
    <row r="499" spans="1:7">
      <c r="A499" s="37" t="s">
        <v>264</v>
      </c>
      <c r="B499" s="14"/>
      <c r="C499" s="14"/>
      <c r="D499" s="13"/>
      <c r="E499" s="13"/>
      <c r="F499" s="59"/>
      <c r="G499" s="1"/>
    </row>
    <row r="500" spans="1:7" ht="11.25" customHeight="1">
      <c r="G500" s="1"/>
    </row>
    <row r="501" spans="1:7">
      <c r="A501" s="43" t="s">
        <v>30</v>
      </c>
      <c r="B501" s="44" t="s">
        <v>31</v>
      </c>
      <c r="C501" s="44" t="s">
        <v>265</v>
      </c>
      <c r="D501" s="45" t="s">
        <v>32</v>
      </c>
      <c r="E501" s="45" t="s">
        <v>91</v>
      </c>
      <c r="F501" s="46" t="s">
        <v>34</v>
      </c>
      <c r="G501" s="1"/>
    </row>
    <row r="502" spans="1:7">
      <c r="A502" s="175" t="s">
        <v>266</v>
      </c>
      <c r="B502" s="52" t="s">
        <v>84</v>
      </c>
      <c r="C502" s="176">
        <v>8</v>
      </c>
      <c r="D502" s="50">
        <v>37.409999999999997</v>
      </c>
      <c r="E502" s="54">
        <f t="shared" ref="E502:E509" si="8">(C502*D502)/12</f>
        <v>24.939999999999998</v>
      </c>
      <c r="F502" s="77"/>
      <c r="G502" s="1"/>
    </row>
    <row r="503" spans="1:7">
      <c r="A503" s="175" t="s">
        <v>267</v>
      </c>
      <c r="B503" s="52" t="s">
        <v>84</v>
      </c>
      <c r="C503" s="176">
        <v>20</v>
      </c>
      <c r="D503" s="50">
        <v>37.909999999999997</v>
      </c>
      <c r="E503" s="54">
        <f t="shared" si="8"/>
        <v>63.18333333333333</v>
      </c>
      <c r="F503" s="77"/>
      <c r="G503" s="1"/>
    </row>
    <row r="504" spans="1:7">
      <c r="A504" s="175" t="s">
        <v>268</v>
      </c>
      <c r="B504" s="52" t="s">
        <v>84</v>
      </c>
      <c r="C504" s="176">
        <v>24</v>
      </c>
      <c r="D504" s="50">
        <v>26.31</v>
      </c>
      <c r="E504" s="54">
        <f t="shared" si="8"/>
        <v>52.62</v>
      </c>
      <c r="F504" s="77"/>
      <c r="G504" s="1"/>
    </row>
    <row r="505" spans="1:7">
      <c r="A505" s="175" t="s">
        <v>269</v>
      </c>
      <c r="B505" s="52" t="s">
        <v>84</v>
      </c>
      <c r="C505" s="176">
        <v>24</v>
      </c>
      <c r="D505" s="50">
        <v>37.78</v>
      </c>
      <c r="E505" s="54">
        <f t="shared" si="8"/>
        <v>75.56</v>
      </c>
      <c r="F505" s="77"/>
      <c r="G505" s="1"/>
    </row>
    <row r="506" spans="1:7">
      <c r="A506" s="175" t="s">
        <v>270</v>
      </c>
      <c r="B506" s="52" t="s">
        <v>84</v>
      </c>
      <c r="C506" s="176">
        <v>12</v>
      </c>
      <c r="D506" s="50">
        <v>30.86</v>
      </c>
      <c r="E506" s="54">
        <f t="shared" si="8"/>
        <v>30.86</v>
      </c>
      <c r="F506" s="77"/>
      <c r="G506" s="1"/>
    </row>
    <row r="507" spans="1:7">
      <c r="A507" s="175" t="s">
        <v>271</v>
      </c>
      <c r="B507" s="52" t="s">
        <v>84</v>
      </c>
      <c r="C507" s="176">
        <v>12</v>
      </c>
      <c r="D507" s="50">
        <v>44.28</v>
      </c>
      <c r="E507" s="54">
        <f t="shared" si="8"/>
        <v>44.28</v>
      </c>
      <c r="F507" s="77"/>
      <c r="G507" s="1"/>
    </row>
    <row r="508" spans="1:7">
      <c r="A508" s="175" t="s">
        <v>272</v>
      </c>
      <c r="B508" s="52" t="s">
        <v>84</v>
      </c>
      <c r="C508" s="176">
        <v>12</v>
      </c>
      <c r="D508" s="50">
        <v>61.37</v>
      </c>
      <c r="E508" s="54">
        <f t="shared" si="8"/>
        <v>61.37</v>
      </c>
      <c r="F508" s="77"/>
      <c r="G508" s="1"/>
    </row>
    <row r="509" spans="1:7">
      <c r="A509" s="175" t="s">
        <v>273</v>
      </c>
      <c r="B509" s="52" t="s">
        <v>84</v>
      </c>
      <c r="C509" s="176">
        <v>10</v>
      </c>
      <c r="D509" s="50">
        <v>233.6</v>
      </c>
      <c r="E509" s="54">
        <f t="shared" si="8"/>
        <v>194.66666666666666</v>
      </c>
      <c r="F509" s="77"/>
      <c r="G509" s="1"/>
    </row>
    <row r="510" spans="1:7">
      <c r="A510" s="175" t="s">
        <v>274</v>
      </c>
      <c r="B510" s="52" t="s">
        <v>84</v>
      </c>
      <c r="C510" s="176">
        <v>10</v>
      </c>
      <c r="D510" s="50">
        <v>1225.04</v>
      </c>
      <c r="E510" s="54">
        <f>(C510*D510)/24</f>
        <v>510.43333333333334</v>
      </c>
      <c r="F510" s="177"/>
      <c r="G510" s="1"/>
    </row>
    <row r="511" spans="1:7">
      <c r="A511" s="175" t="s">
        <v>275</v>
      </c>
      <c r="B511" s="52" t="s">
        <v>84</v>
      </c>
      <c r="C511" s="176">
        <v>250</v>
      </c>
      <c r="D511" s="50">
        <v>22.54</v>
      </c>
      <c r="E511" s="54">
        <f>(C511*D511)/12</f>
        <v>469.58333333333331</v>
      </c>
      <c r="F511" s="77"/>
      <c r="G511" s="1"/>
    </row>
    <row r="512" spans="1:7">
      <c r="A512" s="175" t="s">
        <v>276</v>
      </c>
      <c r="B512" s="52" t="s">
        <v>84</v>
      </c>
      <c r="C512" s="176">
        <v>167</v>
      </c>
      <c r="D512" s="50">
        <v>15.44</v>
      </c>
      <c r="E512" s="54">
        <f>(C512*D512)/12</f>
        <v>214.87333333333333</v>
      </c>
      <c r="F512" s="77"/>
      <c r="G512" s="1"/>
    </row>
    <row r="513" spans="1:7">
      <c r="A513" s="175" t="s">
        <v>277</v>
      </c>
      <c r="B513" s="52" t="s">
        <v>84</v>
      </c>
      <c r="C513" s="176">
        <v>60</v>
      </c>
      <c r="D513" s="50">
        <v>51.91</v>
      </c>
      <c r="E513" s="54">
        <f>(C513*D513)/12</f>
        <v>259.55</v>
      </c>
      <c r="F513" s="77"/>
      <c r="G513" s="1"/>
    </row>
    <row r="514" spans="1:7">
      <c r="A514" s="175" t="s">
        <v>278</v>
      </c>
      <c r="B514" s="52" t="s">
        <v>84</v>
      </c>
      <c r="C514" s="176">
        <v>4</v>
      </c>
      <c r="D514" s="50">
        <v>156.06</v>
      </c>
      <c r="E514" s="54">
        <f>(C514*D514)/12</f>
        <v>52.02</v>
      </c>
      <c r="F514" s="77"/>
      <c r="G514" s="1"/>
    </row>
    <row r="515" spans="1:7">
      <c r="A515" s="175" t="s">
        <v>279</v>
      </c>
      <c r="B515" s="52" t="s">
        <v>84</v>
      </c>
      <c r="C515" s="176">
        <v>12</v>
      </c>
      <c r="D515" s="50">
        <v>24.38</v>
      </c>
      <c r="E515" s="54">
        <f>(C515*D515)/12</f>
        <v>24.38</v>
      </c>
      <c r="F515" s="77"/>
      <c r="G515" s="1"/>
    </row>
    <row r="516" spans="1:7">
      <c r="A516" s="14"/>
      <c r="B516" s="14"/>
      <c r="C516" s="14"/>
      <c r="D516" s="14"/>
      <c r="E516" s="13"/>
      <c r="F516" s="156">
        <f>SUM(E502:E515)</f>
        <v>2078.3200000000002</v>
      </c>
      <c r="G516" s="1"/>
    </row>
    <row r="517" spans="1:7" ht="11.25" customHeight="1">
      <c r="G517" s="1"/>
    </row>
    <row r="518" spans="1:7">
      <c r="A518" s="96" t="s">
        <v>280</v>
      </c>
      <c r="B518" s="97"/>
      <c r="C518" s="97"/>
      <c r="D518" s="22"/>
      <c r="E518" s="98"/>
      <c r="F518" s="111">
        <f>+F516</f>
        <v>2078.3200000000002</v>
      </c>
      <c r="G518" s="1"/>
    </row>
    <row r="519" spans="1:7" ht="11.25" customHeight="1">
      <c r="G519" s="1"/>
    </row>
    <row r="520" spans="1:7" ht="11.25" customHeight="1"/>
    <row r="521" spans="1:7" ht="17.25" customHeight="1">
      <c r="A521" s="178" t="s">
        <v>281</v>
      </c>
      <c r="B521" s="153"/>
      <c r="C521" s="153"/>
      <c r="D521" s="154"/>
      <c r="E521" s="155"/>
      <c r="F521" s="179">
        <f>+F190+F249+F497+F518</f>
        <v>453992.19055730372</v>
      </c>
    </row>
    <row r="522" spans="1:7" ht="11.25" customHeight="1"/>
    <row r="523" spans="1:7">
      <c r="A523" s="180" t="s">
        <v>282</v>
      </c>
    </row>
    <row r="524" spans="1:7" ht="11.25" customHeight="1"/>
    <row r="525" spans="1:7">
      <c r="A525" s="43" t="s">
        <v>30</v>
      </c>
      <c r="B525" s="44" t="s">
        <v>31</v>
      </c>
      <c r="C525" s="44" t="s">
        <v>10</v>
      </c>
      <c r="D525" s="45" t="s">
        <v>32</v>
      </c>
      <c r="E525" s="45" t="s">
        <v>33</v>
      </c>
      <c r="F525" s="46" t="s">
        <v>34</v>
      </c>
    </row>
    <row r="526" spans="1:7">
      <c r="A526" s="47" t="s">
        <v>283</v>
      </c>
      <c r="B526" s="48" t="s">
        <v>6</v>
      </c>
      <c r="C526" s="94">
        <f>'2.Tabelas Auxiliares'!C77*100</f>
        <v>27.589999999999996</v>
      </c>
      <c r="D526" s="50">
        <f>+F521</f>
        <v>453992.19055730372</v>
      </c>
      <c r="E526" s="50">
        <f>C526*D526/100</f>
        <v>125256.44537476009</v>
      </c>
    </row>
    <row r="527" spans="1:7">
      <c r="F527" s="156">
        <f>+E526</f>
        <v>125256.44537476009</v>
      </c>
    </row>
    <row r="528" spans="1:7" ht="11.25" customHeight="1"/>
    <row r="529" spans="1:6">
      <c r="A529" s="178" t="s">
        <v>284</v>
      </c>
      <c r="B529" s="153"/>
      <c r="C529" s="153"/>
      <c r="D529" s="154"/>
      <c r="E529" s="155"/>
      <c r="F529" s="179">
        <f>F527</f>
        <v>125256.44537476009</v>
      </c>
    </row>
    <row r="530" spans="1:6">
      <c r="A530" s="14"/>
      <c r="B530" s="14"/>
      <c r="C530" s="14"/>
      <c r="D530" s="13"/>
      <c r="E530" s="13"/>
      <c r="F530" s="59"/>
    </row>
    <row r="531" spans="1:6" ht="11.25" customHeight="1"/>
    <row r="532" spans="1:6" ht="24.75" customHeight="1">
      <c r="A532" s="96" t="s">
        <v>285</v>
      </c>
      <c r="B532" s="153"/>
      <c r="C532" s="153"/>
      <c r="D532" s="154"/>
      <c r="E532" s="155"/>
      <c r="F532" s="111">
        <f>F521+F529</f>
        <v>579248.6359320638</v>
      </c>
    </row>
    <row r="533" spans="1:6" ht="14.25" customHeight="1">
      <c r="A533" s="14"/>
      <c r="F533" s="13"/>
    </row>
    <row r="535" spans="1:6">
      <c r="A535" s="276"/>
      <c r="B535" s="276"/>
      <c r="C535" s="276"/>
      <c r="D535" s="276"/>
      <c r="E535" s="276"/>
      <c r="F535" s="276"/>
    </row>
    <row r="536" spans="1:6">
      <c r="A536" s="277"/>
      <c r="B536" s="277"/>
      <c r="C536" s="277"/>
      <c r="D536" s="277"/>
      <c r="E536" s="277"/>
      <c r="F536" s="277"/>
    </row>
    <row r="537" spans="1:6">
      <c r="A537" s="278"/>
      <c r="B537" s="278"/>
      <c r="C537" s="278"/>
      <c r="D537" s="278"/>
      <c r="E537" s="278"/>
      <c r="F537" s="278"/>
    </row>
    <row r="563" spans="4:7" ht="9.1999999999999993" customHeight="1">
      <c r="D563" s="1"/>
      <c r="E563" s="1"/>
      <c r="F563" s="1"/>
      <c r="G563" s="1"/>
    </row>
  </sheetData>
  <mergeCells count="75">
    <mergeCell ref="A407:E407"/>
    <mergeCell ref="B461:D461"/>
    <mergeCell ref="A535:F535"/>
    <mergeCell ref="A536:F536"/>
    <mergeCell ref="A537:F537"/>
    <mergeCell ref="A308:E308"/>
    <mergeCell ref="A321:E321"/>
    <mergeCell ref="A379:E379"/>
    <mergeCell ref="A387:E387"/>
    <mergeCell ref="A399:E399"/>
    <mergeCell ref="A75:F75"/>
    <mergeCell ref="A257:E257"/>
    <mergeCell ref="A270:E270"/>
    <mergeCell ref="A283:E283"/>
    <mergeCell ref="A295:E295"/>
    <mergeCell ref="A66:D66"/>
    <mergeCell ref="A67:D67"/>
    <mergeCell ref="A68:D68"/>
    <mergeCell ref="A73:F73"/>
    <mergeCell ref="A74:F74"/>
    <mergeCell ref="A60:D60"/>
    <mergeCell ref="A61:D61"/>
    <mergeCell ref="A62:D62"/>
    <mergeCell ref="A63:D63"/>
    <mergeCell ref="A65:D65"/>
    <mergeCell ref="A54:D54"/>
    <mergeCell ref="A55:D55"/>
    <mergeCell ref="A57:D57"/>
    <mergeCell ref="A58:D58"/>
    <mergeCell ref="A59:D59"/>
    <mergeCell ref="A49:D49"/>
    <mergeCell ref="A50:D50"/>
    <mergeCell ref="A51:D51"/>
    <mergeCell ref="A52:D52"/>
    <mergeCell ref="A53:D53"/>
    <mergeCell ref="A42:D42"/>
    <mergeCell ref="A43:D43"/>
    <mergeCell ref="A46:E46"/>
    <mergeCell ref="A47:D47"/>
    <mergeCell ref="A48:D48"/>
    <mergeCell ref="A37:D37"/>
    <mergeCell ref="A38:D38"/>
    <mergeCell ref="A39:D39"/>
    <mergeCell ref="A40:D40"/>
    <mergeCell ref="A41:D41"/>
    <mergeCell ref="A32:D32"/>
    <mergeCell ref="A33:D33"/>
    <mergeCell ref="A34:D34"/>
    <mergeCell ref="A35:D35"/>
    <mergeCell ref="A36:D36"/>
    <mergeCell ref="A27:D27"/>
    <mergeCell ref="A28:D28"/>
    <mergeCell ref="A29:D29"/>
    <mergeCell ref="A30:D30"/>
    <mergeCell ref="A31:D31"/>
    <mergeCell ref="A22:D22"/>
    <mergeCell ref="A23:D23"/>
    <mergeCell ref="A24:D24"/>
    <mergeCell ref="A25:D25"/>
    <mergeCell ref="A26:D26"/>
    <mergeCell ref="A17:D17"/>
    <mergeCell ref="A18:D18"/>
    <mergeCell ref="A19:D19"/>
    <mergeCell ref="A20:D20"/>
    <mergeCell ref="A21:D21"/>
    <mergeCell ref="A12:D12"/>
    <mergeCell ref="A13:D13"/>
    <mergeCell ref="A14:D14"/>
    <mergeCell ref="A15:D15"/>
    <mergeCell ref="A16:D16"/>
    <mergeCell ref="A1:F5"/>
    <mergeCell ref="A7:F7"/>
    <mergeCell ref="A8:F8"/>
    <mergeCell ref="A10:F10"/>
    <mergeCell ref="A11:D11"/>
  </mergeCells>
  <printOptions horizontalCentered="1"/>
  <pageMargins left="0.61388888888888904" right="0.51180555555555496" top="0.74791666666666701" bottom="0.74861111111111101" header="0.51180555555555496" footer="0.31527777777777799"/>
  <pageSetup paperSize="9" firstPageNumber="0" fitToHeight="0" orientation="portrait" horizontalDpi="300" verticalDpi="300"/>
  <headerFooter>
    <oddFooter>&amp;CAv. Osvaldo Aranha, 1105 – Bairro Cidade Alta - Bento Gonçalves – RS – CEP 95700-324
 (54) 3055-7118 – www.bentogoncalves.rs.gov.br&amp;R&amp;P de &amp;N</oddFooter>
  </headerFooter>
  <rowBreaks count="7" manualBreakCount="7">
    <brk id="45" max="16383" man="1"/>
    <brk id="74" max="16383" man="1"/>
    <brk id="190" max="16383" man="1"/>
    <brk id="249" max="16383" man="1"/>
    <brk id="337" max="16383" man="1"/>
    <brk id="423" max="16383" man="1"/>
    <brk id="497" max="16383" man="1"/>
  </rowBreaks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2"/>
  <sheetViews>
    <sheetView zoomScaleNormal="100" workbookViewId="0">
      <selection activeCell="C77" sqref="C77"/>
    </sheetView>
  </sheetViews>
  <sheetFormatPr defaultColWidth="11.5703125" defaultRowHeight="12.75"/>
  <cols>
    <col min="1" max="1" width="53.85546875" style="181" customWidth="1"/>
    <col min="2" max="2" width="4.5703125" style="181" customWidth="1"/>
    <col min="3" max="3" width="31.28515625" style="182" customWidth="1"/>
    <col min="4" max="4" width="8.42578125" style="181" customWidth="1"/>
    <col min="5" max="5" width="7" style="181" customWidth="1"/>
    <col min="6" max="6" width="8.42578125" style="181" customWidth="1"/>
    <col min="7" max="11" width="9.140625" style="181" customWidth="1"/>
    <col min="12" max="12" width="11" style="181" customWidth="1"/>
    <col min="13" max="64" width="9.140625" style="181" customWidth="1"/>
  </cols>
  <sheetData>
    <row r="1" spans="1:6">
      <c r="A1" s="279" t="s">
        <v>286</v>
      </c>
      <c r="B1" s="279"/>
      <c r="C1" s="279"/>
      <c r="D1" s="279"/>
      <c r="E1" s="279"/>
      <c r="F1" s="279"/>
    </row>
    <row r="2" spans="1:6" ht="5.85" customHeight="1"/>
    <row r="3" spans="1:6">
      <c r="A3" s="280" t="s">
        <v>287</v>
      </c>
      <c r="B3" s="280"/>
      <c r="C3" s="280"/>
      <c r="D3" s="280"/>
      <c r="E3" s="183"/>
      <c r="F3" s="183"/>
    </row>
    <row r="4" spans="1:6">
      <c r="A4" s="184" t="s">
        <v>288</v>
      </c>
      <c r="B4" s="281" t="s">
        <v>289</v>
      </c>
      <c r="C4" s="281"/>
      <c r="D4" s="185" t="s">
        <v>290</v>
      </c>
    </row>
    <row r="5" spans="1:6">
      <c r="A5" s="184" t="s">
        <v>291</v>
      </c>
      <c r="B5" s="281" t="s">
        <v>292</v>
      </c>
      <c r="C5" s="281"/>
      <c r="D5" s="186">
        <v>0.2</v>
      </c>
    </row>
    <row r="6" spans="1:6">
      <c r="A6" s="184" t="s">
        <v>293</v>
      </c>
      <c r="B6" s="281" t="s">
        <v>294</v>
      </c>
      <c r="C6" s="281"/>
      <c r="D6" s="186">
        <v>1.4999999999999999E-2</v>
      </c>
    </row>
    <row r="7" spans="1:6">
      <c r="A7" s="184" t="s">
        <v>295</v>
      </c>
      <c r="B7" s="281" t="s">
        <v>296</v>
      </c>
      <c r="C7" s="281"/>
      <c r="D7" s="186">
        <v>0.01</v>
      </c>
    </row>
    <row r="8" spans="1:6">
      <c r="A8" s="184" t="s">
        <v>297</v>
      </c>
      <c r="B8" s="281" t="s">
        <v>298</v>
      </c>
      <c r="C8" s="281"/>
      <c r="D8" s="186">
        <v>2E-3</v>
      </c>
    </row>
    <row r="9" spans="1:6">
      <c r="A9" s="184" t="s">
        <v>299</v>
      </c>
      <c r="B9" s="281" t="s">
        <v>300</v>
      </c>
      <c r="C9" s="281"/>
      <c r="D9" s="186">
        <v>6.0000000000000001E-3</v>
      </c>
    </row>
    <row r="10" spans="1:6">
      <c r="A10" s="184" t="s">
        <v>301</v>
      </c>
      <c r="B10" s="281" t="s">
        <v>302</v>
      </c>
      <c r="C10" s="281"/>
      <c r="D10" s="186">
        <v>2.5000000000000001E-2</v>
      </c>
    </row>
    <row r="11" spans="1:6">
      <c r="A11" s="184" t="s">
        <v>303</v>
      </c>
      <c r="B11" s="281" t="s">
        <v>304</v>
      </c>
      <c r="C11" s="281"/>
      <c r="D11" s="186">
        <v>0.03</v>
      </c>
    </row>
    <row r="12" spans="1:6">
      <c r="A12" s="184" t="s">
        <v>305</v>
      </c>
      <c r="B12" s="281" t="s">
        <v>306</v>
      </c>
      <c r="C12" s="281"/>
      <c r="D12" s="186">
        <v>0.08</v>
      </c>
    </row>
    <row r="13" spans="1:6">
      <c r="A13" s="184" t="s">
        <v>307</v>
      </c>
      <c r="B13" s="282" t="s">
        <v>308</v>
      </c>
      <c r="C13" s="282"/>
      <c r="D13" s="187">
        <f>SUM(D5:D12)</f>
        <v>0.36800000000000005</v>
      </c>
    </row>
    <row r="14" spans="1:6">
      <c r="A14" s="188"/>
      <c r="B14" s="283"/>
      <c r="C14" s="283"/>
      <c r="D14" s="189"/>
    </row>
    <row r="15" spans="1:6">
      <c r="A15" s="184" t="s">
        <v>309</v>
      </c>
      <c r="B15" s="281" t="s">
        <v>310</v>
      </c>
      <c r="C15" s="281"/>
      <c r="D15" s="186">
        <f>ROUND(IF('2.Tabelas Auxiliares'!C56&gt;24,(1-12/'2.Tabelas Auxiliares'!C56)*0.1111,0.1111-D24),4)</f>
        <v>5.4600000000000003E-2</v>
      </c>
    </row>
    <row r="16" spans="1:6">
      <c r="A16" s="184" t="s">
        <v>311</v>
      </c>
      <c r="B16" s="281" t="s">
        <v>312</v>
      </c>
      <c r="C16" s="281"/>
      <c r="D16" s="186">
        <f>ROUND('2.Tabelas Auxiliares'!C60/'2.Tabelas Auxiliares'!C57,4)</f>
        <v>8.3299999999999999E-2</v>
      </c>
    </row>
    <row r="17" spans="1:9">
      <c r="A17" s="184" t="s">
        <v>313</v>
      </c>
      <c r="B17" s="281" t="s">
        <v>314</v>
      </c>
      <c r="C17" s="281"/>
      <c r="D17" s="186">
        <v>5.9999999999999995E-4</v>
      </c>
    </row>
    <row r="18" spans="1:9">
      <c r="A18" s="184" t="s">
        <v>315</v>
      </c>
      <c r="B18" s="281" t="s">
        <v>316</v>
      </c>
      <c r="C18" s="281"/>
      <c r="D18" s="186">
        <v>8.2000000000000007E-3</v>
      </c>
    </row>
    <row r="19" spans="1:9">
      <c r="A19" s="184" t="s">
        <v>317</v>
      </c>
      <c r="B19" s="281" t="s">
        <v>318</v>
      </c>
      <c r="C19" s="281"/>
      <c r="D19" s="186">
        <v>3.0999999999999999E-3</v>
      </c>
    </row>
    <row r="20" spans="1:9">
      <c r="A20" s="184" t="s">
        <v>319</v>
      </c>
      <c r="B20" s="281" t="s">
        <v>320</v>
      </c>
      <c r="C20" s="281"/>
      <c r="D20" s="186">
        <v>1.66E-2</v>
      </c>
    </row>
    <row r="21" spans="1:9">
      <c r="A21" s="184" t="s">
        <v>321</v>
      </c>
      <c r="B21" s="282" t="s">
        <v>322</v>
      </c>
      <c r="C21" s="282"/>
      <c r="D21" s="187">
        <f>SUM(D15:D20)</f>
        <v>0.16639999999999999</v>
      </c>
    </row>
    <row r="22" spans="1:9">
      <c r="A22" s="188"/>
      <c r="B22" s="283"/>
      <c r="C22" s="283"/>
      <c r="D22" s="189"/>
    </row>
    <row r="23" spans="1:9">
      <c r="A23" s="184" t="s">
        <v>323</v>
      </c>
      <c r="B23" s="281" t="s">
        <v>324</v>
      </c>
      <c r="C23" s="281"/>
      <c r="D23" s="186">
        <f>ROUND(('2.Tabelas Auxiliares'!C61) *'2.Tabelas Auxiliares'!C54/'2.Tabelas Auxiliares'!C57,4)</f>
        <v>2.9000000000000001E-2</v>
      </c>
      <c r="F23" s="190"/>
    </row>
    <row r="24" spans="1:9">
      <c r="A24" s="184" t="s">
        <v>325</v>
      </c>
      <c r="B24" s="281" t="s">
        <v>326</v>
      </c>
      <c r="C24" s="281"/>
      <c r="D24" s="186">
        <f>ROUND(IF('2.Tabelas Auxiliares'!C56&gt;12,12/'2.Tabelas Auxiliares'!C56*0.1111,0.1111),4)</f>
        <v>5.6500000000000002E-2</v>
      </c>
      <c r="I24" s="191"/>
    </row>
    <row r="25" spans="1:9">
      <c r="A25" s="184" t="s">
        <v>327</v>
      </c>
      <c r="B25" s="281" t="s">
        <v>328</v>
      </c>
      <c r="C25" s="281"/>
      <c r="D25" s="186">
        <f>D23*D24</f>
        <v>1.6385000000000002E-3</v>
      </c>
      <c r="F25" s="190"/>
    </row>
    <row r="26" spans="1:9">
      <c r="A26" s="184" t="s">
        <v>329</v>
      </c>
      <c r="B26" s="281" t="s">
        <v>330</v>
      </c>
      <c r="C26" s="281"/>
      <c r="D26" s="186">
        <f>ROUND(('2.Tabelas Auxiliares'!C57+'2.Tabelas Auxiliares'!C58+'2.Tabelas Auxiliares'!C60)/'2.Tabelas Auxiliares'!C55*'2.Tabelas Auxiliares'!C62*'2.Tabelas Auxiliares'!C63*'2.Tabelas Auxiliares'!C54/'2.Tabelas Auxiliares'!C57,4)</f>
        <v>2.0299999999999999E-2</v>
      </c>
      <c r="H26" s="190"/>
    </row>
    <row r="27" spans="1:9">
      <c r="A27" s="184" t="s">
        <v>331</v>
      </c>
      <c r="B27" s="281" t="s">
        <v>332</v>
      </c>
      <c r="C27" s="281"/>
      <c r="D27" s="186">
        <f>ROUND(('2.Tabelas Auxiliares'!C59/'2.Tabelas Auxiliares'!C57)*'2.Tabelas Auxiliares'!C54/12,4)</f>
        <v>2E-3</v>
      </c>
    </row>
    <row r="28" spans="1:9">
      <c r="A28" s="184" t="s">
        <v>333</v>
      </c>
      <c r="B28" s="282" t="s">
        <v>334</v>
      </c>
      <c r="C28" s="282"/>
      <c r="D28" s="187">
        <f>SUM(D23:D27)</f>
        <v>0.10943850000000001</v>
      </c>
    </row>
    <row r="29" spans="1:9">
      <c r="A29" s="188"/>
      <c r="B29" s="283"/>
      <c r="C29" s="283"/>
      <c r="D29" s="189"/>
    </row>
    <row r="30" spans="1:9">
      <c r="A30" s="184" t="s">
        <v>335</v>
      </c>
      <c r="B30" s="281" t="s">
        <v>336</v>
      </c>
      <c r="C30" s="281"/>
      <c r="D30" s="186">
        <f>ROUND(D13*D21,4)</f>
        <v>6.1199999999999997E-2</v>
      </c>
    </row>
    <row r="31" spans="1:9" ht="23.85" customHeight="1">
      <c r="A31" s="184" t="s">
        <v>337</v>
      </c>
      <c r="B31" s="284" t="s">
        <v>338</v>
      </c>
      <c r="C31" s="284"/>
      <c r="D31" s="186">
        <f>ROUND((D23*D12),4)</f>
        <v>2.3E-3</v>
      </c>
    </row>
    <row r="32" spans="1:9">
      <c r="A32" s="184" t="s">
        <v>339</v>
      </c>
      <c r="B32" s="282" t="s">
        <v>340</v>
      </c>
      <c r="C32" s="282"/>
      <c r="D32" s="187">
        <f>SUM(D30:D31)</f>
        <v>6.3500000000000001E-2</v>
      </c>
    </row>
    <row r="33" spans="1:5">
      <c r="A33" s="192"/>
      <c r="B33" s="285" t="s">
        <v>341</v>
      </c>
      <c r="C33" s="285"/>
      <c r="D33" s="193">
        <f>D32+D28+D21+D13</f>
        <v>0.70733850000000009</v>
      </c>
    </row>
    <row r="34" spans="1:5" ht="5.85" customHeight="1">
      <c r="A34" s="194"/>
      <c r="B34" s="194"/>
      <c r="C34" s="195"/>
      <c r="D34" s="194"/>
      <c r="E34" s="196"/>
    </row>
    <row r="35" spans="1:5">
      <c r="A35" s="286" t="s">
        <v>342</v>
      </c>
      <c r="B35" s="286"/>
      <c r="C35" s="286"/>
      <c r="D35" s="196"/>
    </row>
    <row r="36" spans="1:5">
      <c r="A36" s="287" t="s">
        <v>343</v>
      </c>
      <c r="B36" s="287"/>
      <c r="C36" s="287"/>
      <c r="E36" s="197"/>
    </row>
    <row r="37" spans="1:5">
      <c r="A37" s="288" t="s">
        <v>344</v>
      </c>
      <c r="B37" s="288"/>
      <c r="C37" s="198">
        <v>6845</v>
      </c>
      <c r="E37" s="197"/>
    </row>
    <row r="38" spans="1:5">
      <c r="A38" s="288" t="s">
        <v>345</v>
      </c>
      <c r="B38" s="288"/>
      <c r="C38" s="198">
        <v>6520</v>
      </c>
    </row>
    <row r="39" spans="1:5">
      <c r="A39" s="289" t="s">
        <v>346</v>
      </c>
      <c r="B39" s="289"/>
      <c r="C39" s="200">
        <v>142</v>
      </c>
      <c r="E39" s="201"/>
    </row>
    <row r="40" spans="1:5">
      <c r="A40" s="289" t="s">
        <v>347</v>
      </c>
      <c r="B40" s="289"/>
      <c r="C40" s="200">
        <v>3812</v>
      </c>
      <c r="E40" s="201"/>
    </row>
    <row r="41" spans="1:5">
      <c r="A41" s="289" t="s">
        <v>348</v>
      </c>
      <c r="B41" s="289"/>
      <c r="C41" s="200">
        <v>1118</v>
      </c>
      <c r="E41" s="194"/>
    </row>
    <row r="42" spans="1:5">
      <c r="A42" s="289" t="s">
        <v>349</v>
      </c>
      <c r="B42" s="289"/>
      <c r="C42" s="200">
        <v>75</v>
      </c>
      <c r="E42" s="201"/>
    </row>
    <row r="43" spans="1:5">
      <c r="A43" s="289" t="s">
        <v>350</v>
      </c>
      <c r="B43" s="289"/>
      <c r="C43" s="200">
        <v>1098</v>
      </c>
      <c r="E43" s="194"/>
    </row>
    <row r="44" spans="1:5">
      <c r="A44" s="289" t="s">
        <v>351</v>
      </c>
      <c r="B44" s="289"/>
      <c r="C44" s="200">
        <v>4</v>
      </c>
      <c r="E44" s="201"/>
    </row>
    <row r="45" spans="1:5">
      <c r="A45" s="289" t="s">
        <v>352</v>
      </c>
      <c r="B45" s="289"/>
      <c r="C45" s="200">
        <v>89</v>
      </c>
      <c r="E45" s="194"/>
    </row>
    <row r="46" spans="1:5">
      <c r="A46" s="289" t="s">
        <v>353</v>
      </c>
      <c r="B46" s="289"/>
      <c r="C46" s="202">
        <v>0</v>
      </c>
      <c r="E46" s="201"/>
    </row>
    <row r="47" spans="1:5">
      <c r="A47" s="289" t="s">
        <v>354</v>
      </c>
      <c r="B47" s="289"/>
      <c r="C47" s="202">
        <v>35</v>
      </c>
      <c r="E47" s="194"/>
    </row>
    <row r="48" spans="1:5">
      <c r="A48" s="290" t="s">
        <v>355</v>
      </c>
      <c r="B48" s="290"/>
      <c r="C48" s="203"/>
      <c r="E48" s="201"/>
    </row>
    <row r="49" spans="1:3">
      <c r="A49" s="289" t="s">
        <v>356</v>
      </c>
      <c r="B49" s="289"/>
      <c r="C49" s="204">
        <v>12981</v>
      </c>
    </row>
    <row r="50" spans="1:3">
      <c r="A50" s="289" t="s">
        <v>357</v>
      </c>
      <c r="B50" s="289"/>
      <c r="C50" s="200">
        <v>13306</v>
      </c>
    </row>
    <row r="51" spans="1:3">
      <c r="A51" s="289" t="s">
        <v>358</v>
      </c>
      <c r="B51" s="289"/>
      <c r="C51" s="205">
        <f>C37-C38</f>
        <v>325</v>
      </c>
    </row>
    <row r="52" spans="1:3">
      <c r="A52" s="291"/>
      <c r="B52" s="291"/>
      <c r="C52" s="206"/>
    </row>
    <row r="53" spans="1:3">
      <c r="A53" s="288" t="s">
        <v>359</v>
      </c>
      <c r="B53" s="288"/>
      <c r="C53" s="207">
        <f>MEDIAN(C49,C50)</f>
        <v>13143.5</v>
      </c>
    </row>
    <row r="54" spans="1:3">
      <c r="A54" s="288" t="s">
        <v>360</v>
      </c>
      <c r="B54" s="288"/>
      <c r="C54" s="208">
        <f>C40/C53</f>
        <v>0.29002929204549777</v>
      </c>
    </row>
    <row r="55" spans="1:3">
      <c r="A55" s="288" t="s">
        <v>361</v>
      </c>
      <c r="B55" s="288"/>
      <c r="C55" s="208">
        <f>MEDIAN(C37,C38)/C53</f>
        <v>0.50842621828280143</v>
      </c>
    </row>
    <row r="56" spans="1:3">
      <c r="A56" s="288" t="s">
        <v>362</v>
      </c>
      <c r="B56" s="288"/>
      <c r="C56" s="209">
        <f>12/C55</f>
        <v>23.602244668911332</v>
      </c>
    </row>
    <row r="57" spans="1:3">
      <c r="A57" s="288" t="s">
        <v>363</v>
      </c>
      <c r="B57" s="288"/>
      <c r="C57" s="210">
        <v>360</v>
      </c>
    </row>
    <row r="58" spans="1:3">
      <c r="A58" s="288" t="s">
        <v>364</v>
      </c>
      <c r="B58" s="288"/>
      <c r="C58" s="210">
        <v>10</v>
      </c>
    </row>
    <row r="59" spans="1:3">
      <c r="A59" s="288" t="s">
        <v>365</v>
      </c>
      <c r="B59" s="288"/>
      <c r="C59" s="211">
        <v>30</v>
      </c>
    </row>
    <row r="60" spans="1:3">
      <c r="A60" s="288" t="s">
        <v>366</v>
      </c>
      <c r="B60" s="288"/>
      <c r="C60" s="211">
        <v>30</v>
      </c>
    </row>
    <row r="61" spans="1:3">
      <c r="A61" s="288" t="s">
        <v>367</v>
      </c>
      <c r="B61" s="288"/>
      <c r="C61" s="211">
        <f>30+(6*TRUNC(1/C55))</f>
        <v>36</v>
      </c>
    </row>
    <row r="62" spans="1:3">
      <c r="A62" s="288" t="s">
        <v>306</v>
      </c>
      <c r="B62" s="288"/>
      <c r="C62" s="212">
        <v>0.08</v>
      </c>
    </row>
    <row r="63" spans="1:3">
      <c r="A63" s="292" t="s">
        <v>368</v>
      </c>
      <c r="B63" s="292"/>
      <c r="C63" s="213">
        <v>0.4</v>
      </c>
    </row>
    <row r="64" spans="1:3">
      <c r="A64" s="214" t="s">
        <v>369</v>
      </c>
      <c r="B64" s="215"/>
      <c r="C64" s="216"/>
    </row>
    <row r="65" spans="1:6" ht="6.4" customHeight="1"/>
    <row r="66" spans="1:6">
      <c r="A66" s="279" t="s">
        <v>370</v>
      </c>
      <c r="B66" s="279"/>
      <c r="C66" s="279"/>
      <c r="D66" s="279"/>
      <c r="E66" s="279"/>
      <c r="F66" s="279"/>
    </row>
    <row r="67" spans="1:6">
      <c r="A67" s="217"/>
      <c r="B67" s="293" t="s">
        <v>371</v>
      </c>
      <c r="C67" s="293"/>
      <c r="D67" s="293"/>
      <c r="E67" s="293"/>
      <c r="F67" s="293"/>
    </row>
    <row r="68" spans="1:6">
      <c r="A68" s="218"/>
      <c r="D68" s="219" t="s">
        <v>372</v>
      </c>
      <c r="E68" s="220" t="s">
        <v>373</v>
      </c>
      <c r="F68" s="221" t="s">
        <v>374</v>
      </c>
    </row>
    <row r="69" spans="1:6">
      <c r="A69" s="222" t="s">
        <v>375</v>
      </c>
      <c r="B69" s="223" t="s">
        <v>376</v>
      </c>
      <c r="C69" s="224">
        <v>0.06</v>
      </c>
      <c r="D69" s="225">
        <v>2.9700000000000001E-2</v>
      </c>
      <c r="E69" s="226">
        <v>5.0799999999999998E-2</v>
      </c>
      <c r="F69" s="227">
        <v>6.2700000000000006E-2</v>
      </c>
    </row>
    <row r="70" spans="1:6">
      <c r="A70" s="228" t="s">
        <v>377</v>
      </c>
      <c r="B70" s="229" t="s">
        <v>378</v>
      </c>
      <c r="C70" s="230">
        <v>0.02</v>
      </c>
      <c r="D70" s="225">
        <f>0.3%+0.56%</f>
        <v>8.6E-3</v>
      </c>
      <c r="E70" s="226">
        <f>0.48%+0.85%</f>
        <v>1.3299999999999999E-2</v>
      </c>
      <c r="F70" s="227">
        <f>0.82%+0.89%</f>
        <v>1.7099999999999997E-2</v>
      </c>
    </row>
    <row r="71" spans="1:6">
      <c r="A71" s="228" t="s">
        <v>379</v>
      </c>
      <c r="B71" s="229" t="s">
        <v>380</v>
      </c>
      <c r="C71" s="230">
        <v>0.1</v>
      </c>
      <c r="D71" s="225">
        <v>7.7799999999999994E-2</v>
      </c>
      <c r="E71" s="226">
        <v>0.1085</v>
      </c>
      <c r="F71" s="227">
        <v>0.13550000000000001</v>
      </c>
    </row>
    <row r="72" spans="1:6">
      <c r="A72" s="228" t="s">
        <v>381</v>
      </c>
      <c r="B72" s="229" t="s">
        <v>382</v>
      </c>
      <c r="C72" s="231">
        <f>(1+E72)^(E73/252)-1</f>
        <v>2.6031494362050989E-3</v>
      </c>
      <c r="D72" s="225" t="s">
        <v>383</v>
      </c>
      <c r="E72" s="232">
        <v>0.14000000000000001</v>
      </c>
      <c r="F72" s="227"/>
    </row>
    <row r="73" spans="1:6">
      <c r="A73" s="228" t="s">
        <v>384</v>
      </c>
      <c r="B73" s="229" t="s">
        <v>385</v>
      </c>
      <c r="C73" s="230">
        <v>0.03</v>
      </c>
      <c r="D73" s="233" t="s">
        <v>386</v>
      </c>
      <c r="E73" s="234">
        <v>5</v>
      </c>
      <c r="F73" s="205"/>
    </row>
    <row r="74" spans="1:6">
      <c r="A74" s="235" t="s">
        <v>387</v>
      </c>
      <c r="B74" s="236"/>
      <c r="C74" s="237">
        <v>3.6499999999999998E-2</v>
      </c>
      <c r="D74" s="233"/>
      <c r="E74" s="238"/>
      <c r="F74" s="205"/>
    </row>
    <row r="75" spans="1:6">
      <c r="A75" s="239" t="s">
        <v>388</v>
      </c>
      <c r="B75" s="240">
        <f>3+0.65</f>
        <v>3.65</v>
      </c>
      <c r="C75" s="241"/>
      <c r="D75" s="199"/>
      <c r="E75" s="238"/>
      <c r="F75" s="205"/>
    </row>
    <row r="76" spans="1:6">
      <c r="A76" s="242" t="s">
        <v>389</v>
      </c>
      <c r="B76" s="243"/>
      <c r="C76" s="244"/>
      <c r="D76" s="199"/>
      <c r="E76" s="238"/>
      <c r="F76" s="205"/>
    </row>
    <row r="77" spans="1:6">
      <c r="A77" s="245" t="s">
        <v>390</v>
      </c>
      <c r="B77" s="246"/>
      <c r="C77" s="247">
        <f>ROUND((((1+C69+C70)*(1+C71)*(1+C72))/(1-(C73+C74))-1),4)</f>
        <v>0.27589999999999998</v>
      </c>
      <c r="D77" s="248">
        <v>0.21429999999999999</v>
      </c>
      <c r="E77" s="249">
        <v>0.2717</v>
      </c>
      <c r="F77" s="250">
        <v>0.3362</v>
      </c>
    </row>
    <row r="78" spans="1:6" ht="9.1999999999999993" customHeight="1"/>
    <row r="79" spans="1:6">
      <c r="A79" s="294" t="s">
        <v>391</v>
      </c>
      <c r="B79" s="294"/>
      <c r="C79" s="294"/>
    </row>
    <row r="80" spans="1:6">
      <c r="A80" s="251" t="s">
        <v>392</v>
      </c>
      <c r="B80" s="295" t="s">
        <v>393</v>
      </c>
      <c r="C80" s="295"/>
    </row>
    <row r="81" spans="1:3">
      <c r="A81" s="184">
        <v>1</v>
      </c>
      <c r="B81" s="296">
        <v>33.630000000000003</v>
      </c>
      <c r="C81" s="296"/>
    </row>
    <row r="82" spans="1:3">
      <c r="A82" s="184">
        <v>2</v>
      </c>
      <c r="B82" s="296">
        <v>43.13</v>
      </c>
      <c r="C82" s="296"/>
    </row>
    <row r="83" spans="1:3">
      <c r="A83" s="184">
        <v>3</v>
      </c>
      <c r="B83" s="296">
        <v>48.68</v>
      </c>
      <c r="C83" s="296"/>
    </row>
    <row r="84" spans="1:3">
      <c r="A84" s="184">
        <v>4</v>
      </c>
      <c r="B84" s="296">
        <v>52.62</v>
      </c>
      <c r="C84" s="296"/>
    </row>
    <row r="85" spans="1:3">
      <c r="A85" s="184">
        <v>5</v>
      </c>
      <c r="B85" s="296">
        <v>55.68</v>
      </c>
      <c r="C85" s="296"/>
    </row>
    <row r="86" spans="1:3">
      <c r="A86" s="184">
        <v>6</v>
      </c>
      <c r="B86" s="296">
        <v>58.18</v>
      </c>
      <c r="C86" s="296"/>
    </row>
    <row r="87" spans="1:3">
      <c r="A87" s="184">
        <v>7</v>
      </c>
      <c r="B87" s="296">
        <v>60.29</v>
      </c>
      <c r="C87" s="296"/>
    </row>
    <row r="88" spans="1:3">
      <c r="A88" s="184">
        <v>8</v>
      </c>
      <c r="B88" s="296">
        <v>62.12</v>
      </c>
      <c r="C88" s="296"/>
    </row>
    <row r="89" spans="1:3">
      <c r="A89" s="184">
        <v>9</v>
      </c>
      <c r="B89" s="296">
        <v>63.73</v>
      </c>
      <c r="C89" s="296"/>
    </row>
    <row r="90" spans="1:3">
      <c r="A90" s="184">
        <v>10</v>
      </c>
      <c r="B90" s="296">
        <v>65.180000000000007</v>
      </c>
      <c r="C90" s="296"/>
    </row>
    <row r="91" spans="1:3">
      <c r="A91" s="184">
        <v>11</v>
      </c>
      <c r="B91" s="296">
        <v>66.48</v>
      </c>
      <c r="C91" s="296"/>
    </row>
    <row r="92" spans="1:3">
      <c r="A92" s="184">
        <v>12</v>
      </c>
      <c r="B92" s="296">
        <v>67.67</v>
      </c>
      <c r="C92" s="296"/>
    </row>
    <row r="93" spans="1:3">
      <c r="A93" s="184">
        <v>13</v>
      </c>
      <c r="B93" s="296">
        <v>68.77</v>
      </c>
      <c r="C93" s="296"/>
    </row>
    <row r="94" spans="1:3">
      <c r="A94" s="184">
        <v>14</v>
      </c>
      <c r="B94" s="296">
        <v>69.790000000000006</v>
      </c>
      <c r="C94" s="296"/>
    </row>
    <row r="95" spans="1:3">
      <c r="A95" s="252">
        <v>15</v>
      </c>
      <c r="B95" s="297">
        <v>70.73</v>
      </c>
      <c r="C95" s="297"/>
    </row>
    <row r="96" spans="1:3" ht="8.1" customHeight="1"/>
    <row r="97" spans="1:1">
      <c r="A97" s="253" t="s">
        <v>394</v>
      </c>
    </row>
    <row r="98" spans="1:1">
      <c r="A98" s="254"/>
    </row>
    <row r="99" spans="1:1">
      <c r="A99" s="254" t="s">
        <v>395</v>
      </c>
    </row>
    <row r="100" spans="1:1">
      <c r="A100" s="254"/>
    </row>
    <row r="101" spans="1:1">
      <c r="A101" s="254"/>
    </row>
    <row r="102" spans="1:1">
      <c r="A102" s="254"/>
    </row>
    <row r="103" spans="1:1">
      <c r="A103" s="254"/>
    </row>
    <row r="104" spans="1:1">
      <c r="A104" s="254"/>
    </row>
    <row r="105" spans="1:1">
      <c r="A105" s="254"/>
    </row>
    <row r="106" spans="1:1">
      <c r="A106" s="254"/>
    </row>
    <row r="107" spans="1:1" ht="15.75">
      <c r="A107" s="255" t="s">
        <v>396</v>
      </c>
    </row>
    <row r="108" spans="1:1">
      <c r="A108" s="255" t="s">
        <v>397</v>
      </c>
    </row>
    <row r="109" spans="1:1">
      <c r="A109" s="255" t="s">
        <v>398</v>
      </c>
    </row>
    <row r="110" spans="1:1" ht="15.75">
      <c r="A110" s="255" t="s">
        <v>399</v>
      </c>
    </row>
    <row r="111" spans="1:1" ht="15.75">
      <c r="A111" s="255" t="s">
        <v>400</v>
      </c>
    </row>
    <row r="112" spans="1:1">
      <c r="A112" s="256" t="s">
        <v>401</v>
      </c>
    </row>
  </sheetData>
  <mergeCells count="80"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A63:B63"/>
    <mergeCell ref="A66:F66"/>
    <mergeCell ref="B67:F67"/>
    <mergeCell ref="A79:C79"/>
    <mergeCell ref="B80:C80"/>
    <mergeCell ref="A58:B58"/>
    <mergeCell ref="A59:B59"/>
    <mergeCell ref="A60:B60"/>
    <mergeCell ref="A61:B61"/>
    <mergeCell ref="A62:B62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B32:C32"/>
    <mergeCell ref="B33:C33"/>
    <mergeCell ref="A35:C35"/>
    <mergeCell ref="A36:C36"/>
    <mergeCell ref="A37:B37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A1:F1"/>
    <mergeCell ref="A3:D3"/>
    <mergeCell ref="B4:C4"/>
    <mergeCell ref="B5:C5"/>
    <mergeCell ref="B6:C6"/>
  </mergeCells>
  <printOptions horizontalCentered="1"/>
  <pageMargins left="0.905555555555556" right="0.51180555555555496" top="0.74791666666666701" bottom="0.74861111111111101" header="0.51180555555555496" footer="0.31527777777777799"/>
  <pageSetup paperSize="9" scale="75" firstPageNumber="0" orientation="portrait" horizontalDpi="300" verticalDpi="300"/>
  <headerFooter>
    <oddFooter>&amp;CAv. Osvaldo Aranha, 1105 – Bairro Cidade Alta - Bento Gonçalves – RS – CEP 95700-324
 (54) 3055-7118 – www.bentogoncalves.rs.gov.br&amp;R&amp;P de &amp;N</oddFooter>
  </headerFooter>
  <rowBreaks count="1" manualBreakCount="1">
    <brk id="77" max="16383" man="1"/>
  </rowBreak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11558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5</vt:i4>
      </vt:variant>
    </vt:vector>
  </HeadingPairs>
  <TitlesOfParts>
    <vt:vector size="7" baseType="lpstr">
      <vt:lpstr>Zeladoria - Serviços de limpeza</vt:lpstr>
      <vt:lpstr>2.Tabelas Auxiliares</vt:lpstr>
      <vt:lpstr>AbaDeprec</vt:lpstr>
      <vt:lpstr>AbaRemun</vt:lpstr>
      <vt:lpstr>'2.Tabelas Auxiliares'!Area_de_impressao</vt:lpstr>
      <vt:lpstr>'Zeladoria - Serviços de limpeza'!Area_de_impressao</vt:lpstr>
      <vt:lpstr>'Zeladoria - Serviços de limpeza'!Titulos_de_impressao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Oldair Primieri</cp:lastModifiedBy>
  <cp:revision>125</cp:revision>
  <cp:lastPrinted>2026-08-19T12:47:34Z</cp:lastPrinted>
  <dcterms:created xsi:type="dcterms:W3CDTF">2000-12-13T10:02:50Z</dcterms:created>
  <dcterms:modified xsi:type="dcterms:W3CDTF">2026-08-26T19:39:17Z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