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PEATE 2027\"/>
    </mc:Choice>
  </mc:AlternateContent>
  <xr:revisionPtr revIDLastSave="0" documentId="13_ncr:1_{6C215DDC-1A54-49A4-81F8-A4E54F0F69F4}" xr6:coauthVersionLast="47" xr6:coauthVersionMax="47" xr10:uidLastSave="{00000000-0000-0000-0000-000000000000}"/>
  <workbookProtection workbookAlgorithmName="SHA-512" workbookHashValue="nhign0ZMf4c6pEcX8o/1CKukd1WbM9EN6sgD7IQ16IsUaX5n2/yDR5VVvbOzZTPmtYZDhOkOB/7bNCPRciVkpw==" workbookSaltValue="LyDmh2N51BYR+AcrykM+UQ==" workbookSpinCount="100000" lockStructure="1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Relação_de_Veiculos!$A$5:$N$8</definedName>
    <definedName name="_xlnm._FilterDatabase" localSheetId="2" hidden="1">Rotas!$A$4:$E$7</definedName>
    <definedName name="_xlnm._FilterDatabase" localSheetId="1" hidden="1">'Totalização por Lote'!$B$7:$I$45</definedName>
    <definedName name="Ano_Modelo__cfe._FIPE">Relação_de_Veiculos!$H$6:$H$8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Relação_de_Veiculos!$A$6:$N$8</definedName>
    <definedName name="_xlnm.Print_Area" localSheetId="2">Rotas!$A$5:$Y$9</definedName>
    <definedName name="_xlnm.Print_Area" localSheetId="1">'Totalização por Lote'!$B$6:$I$45</definedName>
    <definedName name="Base_Insalub">BD!$E$49</definedName>
    <definedName name="Capacidade_Mínima_do_Veículo">Relação_de_Veiculos!$C$6:$C$8</definedName>
    <definedName name="CNPJ_Licitante">'Dados de Entrada'!$D$4</definedName>
    <definedName name="Código_Fipe">Relação_de_Veiculos!$I$6:$I$8</definedName>
    <definedName name="Depreciação_mês">Relação_de_Veiculos!$L$6:$L$8</definedName>
    <definedName name="Licitante">'Dados de Entrada'!$D$3</definedName>
    <definedName name="MANUTENCAO">Manutenção!$A$2:$B$17</definedName>
    <definedName name="Marca_cfe._FIPE">Relação_de_Veiculos!$F$6:$F$8</definedName>
    <definedName name="Marca_Modelo_cfe._CRLV">Relação_de_Veiculos!$E$6:$E$8</definedName>
    <definedName name="Modelo_cfe._FIPE">Relação_de_Veiculos!$G$6:$G$8</definedName>
    <definedName name="Nome_da_Rota">Relação_de_Veiculos!$B$6:$B$8</definedName>
    <definedName name="Ônibus">'Depreciação e Inflação'!$B$15:$E$35</definedName>
    <definedName name="Ônibus_Curto">'Depreciação e Inflação'!$G$15:$J$35</definedName>
    <definedName name="Relacao_de_Veiculos">Relação_de_Veiculos!$A$5:$N$8</definedName>
    <definedName name="Remuneração_do_Capital_mês">Relação_de_Veiculos!$K$6:$K$8</definedName>
    <definedName name="Rota">Relação_de_Veiculos!$A$6:$A$8</definedName>
    <definedName name="Tipo_de_Veículo">Relação_de_Veiculos!$D$6:$D$8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Relação_de_Veiculos!$J$6:$J$8</definedName>
  </definedNames>
  <calcPr calcId="191029"/>
</workbook>
</file>

<file path=xl/calcChain.xml><?xml version="1.0" encoding="utf-8"?>
<calcChain xmlns="http://schemas.openxmlformats.org/spreadsheetml/2006/main">
  <c r="AA7" i="20" l="1"/>
  <c r="AA6" i="20"/>
  <c r="AA5" i="20"/>
  <c r="K13" i="19"/>
  <c r="L18" i="18" l="1"/>
  <c r="K18" i="18"/>
  <c r="O24" i="1"/>
  <c r="I25" i="8" a="1"/>
  <c r="I27" i="8" a="1"/>
  <c r="I23" i="8" a="1"/>
  <c r="I29" i="8" a="1"/>
  <c r="I34" i="8" a="1"/>
  <c r="I20" i="8" a="1"/>
  <c r="I28" i="8" a="1"/>
  <c r="D30" i="8" a="1"/>
  <c r="D24" i="8" a="1"/>
  <c r="D35" i="8" a="1"/>
  <c r="D26" i="8" a="1"/>
  <c r="D22" i="8" a="1"/>
  <c r="I15" i="8" a="1"/>
  <c r="D31" i="8" a="1"/>
  <c r="D15" i="8" a="1"/>
  <c r="D20" i="8" a="1"/>
  <c r="D19" i="8" a="1"/>
  <c r="D34" i="8" a="1"/>
  <c r="D17" i="8" a="1"/>
  <c r="I21" i="8" a="1"/>
  <c r="D28" i="8" a="1"/>
  <c r="I32" i="8" a="1"/>
  <c r="I30" i="8" a="1"/>
  <c r="D18" i="8" a="1"/>
  <c r="I24" i="8" a="1"/>
  <c r="I33" i="8" a="1"/>
  <c r="D27" i="8" a="1"/>
  <c r="I26" i="8" a="1"/>
  <c r="I31" i="8" a="1"/>
  <c r="D21" i="8" a="1"/>
  <c r="D25" i="8" a="1"/>
  <c r="I18" i="8" a="1"/>
  <c r="I16" i="8" a="1"/>
  <c r="I19" i="8" a="1"/>
  <c r="D33" i="8" a="1"/>
  <c r="I17" i="8" a="1"/>
  <c r="D23" i="8" a="1"/>
  <c r="D16" i="8" a="1"/>
  <c r="D29" i="8" a="1"/>
  <c r="I22" i="8" a="1"/>
  <c r="D32" i="8" a="1"/>
  <c r="I35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7" i="20" l="1"/>
  <c r="L7" i="20"/>
  <c r="O6" i="20"/>
  <c r="L6" i="20"/>
  <c r="O5" i="20"/>
  <c r="L5" i="20"/>
  <c r="J7" i="20"/>
  <c r="J6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8" i="31" l="1"/>
  <c r="A7" i="31"/>
  <c r="A6" i="31"/>
  <c r="H7" i="20"/>
  <c r="H6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E25" i="13" l="1"/>
  <c r="F25" i="13"/>
  <c r="J46" i="18"/>
  <c r="J45" i="19"/>
  <c r="Q19" i="32" l="1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Q28" i="32" l="1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30" i="32" l="1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D8" i="31" l="1"/>
  <c r="D7" i="31"/>
  <c r="I7" i="31" l="1"/>
  <c r="G7" i="31"/>
  <c r="J7" i="31"/>
  <c r="H7" i="31"/>
  <c r="F7" i="31"/>
  <c r="I8" i="31"/>
  <c r="H8" i="31"/>
  <c r="F8" i="31"/>
  <c r="G8" i="31"/>
  <c r="J8" i="31"/>
  <c r="N7" i="31"/>
  <c r="M7" i="31"/>
  <c r="L7" i="31" a="1"/>
  <c r="L8" i="31" a="1"/>
  <c r="L8" i="31" l="1"/>
  <c r="S7" i="20" s="1"/>
  <c r="L7" i="31"/>
  <c r="S6" i="20" s="1"/>
  <c r="M8" i="31"/>
  <c r="K7" i="20" s="1"/>
  <c r="M7" i="20" s="1"/>
  <c r="N8" i="31"/>
  <c r="N7" i="20" s="1"/>
  <c r="P7" i="20" s="1"/>
  <c r="K6" i="20"/>
  <c r="M6" i="20" s="1"/>
  <c r="N6" i="20"/>
  <c r="P6" i="20" s="1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Q6" i="20" l="1"/>
  <c r="Q7" i="20"/>
  <c r="J33" i="8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6" i="31"/>
  <c r="C6" i="31"/>
  <c r="D6" i="31"/>
  <c r="B7" i="31"/>
  <c r="C7" i="31"/>
  <c r="B8" i="31"/>
  <c r="C8" i="31"/>
  <c r="B14" i="9"/>
  <c r="B13" i="9"/>
  <c r="I6" i="31" l="1"/>
  <c r="G6" i="31"/>
  <c r="J6" i="31"/>
  <c r="H6" i="31"/>
  <c r="M6" i="31" s="1"/>
  <c r="K5" i="20" s="1"/>
  <c r="M5" i="20" s="1"/>
  <c r="F6" i="31"/>
  <c r="E18" i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6" i="3"/>
  <c r="B26" i="3"/>
  <c r="B16" i="3"/>
  <c r="L6" i="31" a="1"/>
  <c r="N6" i="31" l="1"/>
  <c r="N5" i="20" s="1"/>
  <c r="P5" i="20" s="1"/>
  <c r="Q5" i="20" s="1"/>
  <c r="L6" i="31"/>
  <c r="S5" i="20" s="1"/>
  <c r="Q4" i="30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9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6" i="20" l="1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23" i="3" l="1"/>
  <c r="D33" i="3"/>
  <c r="D13" i="3"/>
  <c r="F17" i="1"/>
  <c r="B5" i="11"/>
  <c r="F18" i="1" l="1"/>
  <c r="F19" i="1" l="1"/>
  <c r="C20" i="1"/>
  <c r="E20" i="1" s="1"/>
  <c r="F20" i="1" l="1"/>
  <c r="C21" i="1"/>
  <c r="E21" i="1" s="1"/>
  <c r="E10" i="13"/>
  <c r="E16" i="13" s="1"/>
  <c r="F21" i="1" l="1"/>
  <c r="K6" i="31" l="1"/>
  <c r="R5" i="20" s="1"/>
  <c r="K8" i="31"/>
  <c r="K7" i="31"/>
  <c r="E20" i="13"/>
  <c r="R7" i="20" l="1"/>
  <c r="R6" i="20"/>
  <c r="U6" i="20" s="1"/>
  <c r="E41" i="13"/>
  <c r="R9" i="20" l="1"/>
  <c r="W6" i="20"/>
  <c r="V6" i="20"/>
  <c r="I3" i="30"/>
  <c r="I2" i="30"/>
  <c r="Y6" i="20" l="1"/>
  <c r="X6" i="20"/>
  <c r="T7" i="20"/>
  <c r="U7" i="20" s="1"/>
  <c r="T5" i="20"/>
  <c r="U5" i="20" s="1"/>
  <c r="B17" i="28"/>
  <c r="B18" i="28" s="1"/>
  <c r="V7" i="20" l="1"/>
  <c r="W7" i="20"/>
  <c r="V5" i="20"/>
  <c r="W5" i="20"/>
  <c r="T9" i="20"/>
  <c r="B19" i="28"/>
  <c r="D20" i="3" a="1"/>
  <c r="D30" i="3" a="1"/>
  <c r="D22" i="3"/>
  <c r="D10" i="3" a="1"/>
  <c r="D32" i="3"/>
  <c r="D12" i="3"/>
  <c r="Y5" i="20" l="1"/>
  <c r="X5" i="20"/>
  <c r="Y7" i="20"/>
  <c r="X7" i="20"/>
  <c r="D30" i="3"/>
  <c r="G30" i="3" s="1"/>
  <c r="H30" i="3" s="1"/>
  <c r="D10" i="3"/>
  <c r="D20" i="3"/>
  <c r="G20" i="3" s="1"/>
  <c r="H20" i="3" s="1"/>
  <c r="E33" i="3"/>
  <c r="E12" i="3"/>
  <c r="E22" i="3"/>
  <c r="E13" i="3"/>
  <c r="E23" i="3"/>
  <c r="E32" i="3"/>
  <c r="G13" i="3" l="1"/>
  <c r="H13" i="3" s="1"/>
  <c r="I13" i="3" s="1"/>
  <c r="G23" i="3"/>
  <c r="H23" i="3" s="1"/>
  <c r="I23" i="3" s="1"/>
  <c r="G33" i="3"/>
  <c r="H33" i="3" s="1"/>
  <c r="I33" i="3" s="1"/>
  <c r="G22" i="3"/>
  <c r="H22" i="3" s="1"/>
  <c r="I22" i="3" s="1"/>
  <c r="G32" i="3"/>
  <c r="H32" i="3" s="1"/>
  <c r="I32" i="3" s="1"/>
  <c r="G12" i="3"/>
  <c r="H12" i="3" s="1"/>
  <c r="I12" i="3" s="1"/>
  <c r="G44" i="3" l="1"/>
  <c r="G43" i="3"/>
  <c r="H43" i="3" l="1"/>
  <c r="I43" i="3" s="1"/>
  <c r="H44" i="3"/>
  <c r="I44" i="3" s="1"/>
  <c r="G10" i="3"/>
  <c r="U9" i="20"/>
  <c r="H10" i="3" l="1"/>
  <c r="G41" i="3"/>
  <c r="E31" i="3" a="1"/>
  <c r="E21" i="3" a="1"/>
  <c r="E11" i="3" a="1"/>
  <c r="H41" i="3" l="1"/>
  <c r="E21" i="3"/>
  <c r="E31" i="3"/>
  <c r="E11" i="3"/>
  <c r="F9" i="20"/>
  <c r="H9" i="20" l="1"/>
  <c r="J9" i="20"/>
  <c r="D31" i="3" a="1"/>
  <c r="D21" i="3" a="1"/>
  <c r="D11" i="3" a="1"/>
  <c r="D11" i="3" l="1"/>
  <c r="G11" i="3" s="1"/>
  <c r="D31" i="3"/>
  <c r="G31" i="3" s="1"/>
  <c r="D21" i="3"/>
  <c r="G21" i="3" s="1"/>
  <c r="Q9" i="20"/>
  <c r="H21" i="3" l="1"/>
  <c r="I20" i="3" s="1"/>
  <c r="I24" i="3" s="1"/>
  <c r="G24" i="3"/>
  <c r="H31" i="3"/>
  <c r="I30" i="3" s="1"/>
  <c r="I34" i="3" s="1"/>
  <c r="G34" i="3"/>
  <c r="V9" i="20"/>
  <c r="G14" i="3"/>
  <c r="H11" i="3"/>
  <c r="I10" i="3" s="1"/>
  <c r="I14" i="3" s="1"/>
  <c r="G42" i="3"/>
  <c r="W9" i="20"/>
  <c r="X9" i="20" s="1"/>
  <c r="Y9" i="20" l="1"/>
  <c r="H42" i="3"/>
  <c r="I41" i="3" s="1"/>
  <c r="I45" i="3" s="1"/>
  <c r="G4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<sst xmlns="http://schemas.openxmlformats.org/spreadsheetml/2006/main" count="937" uniqueCount="427">
  <si>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</si>
  <si>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</si>
  <si>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</si>
  <si>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</si>
  <si>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</si>
  <si>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</si>
  <si>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</si>
  <si>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</si>
  <si>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</si>
  <si>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</si>
  <si>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</si>
  <si>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</si>
  <si>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</si>
  <si>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</si>
  <si>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</si>
  <si>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</si>
  <si>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</si>
  <si>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</si>
  <si>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</si>
  <si>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</si>
  <si>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</si>
  <si>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</si>
  <si>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</si>
  <si>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</si>
  <si>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</si>
  <si>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</si>
  <si>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</si>
  <si>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</si>
  <si>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</si>
  <si>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</si>
  <si>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</si>
  <si>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</si>
  <si>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</si>
  <si>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</si>
  <si>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</si>
  <si>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</si>
  <si>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</si>
  <si>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</si>
  <si>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</si>
  <si>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</si>
  <si>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</si>
  <si>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</si>
  <si>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</si>
  <si>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</si>
  <si>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</si>
  <si>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</si>
  <si>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</si>
  <si>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</si>
  <si>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</si>
  <si>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</si>
  <si>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</si>
  <si>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</si>
  <si>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</si>
  <si>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</si>
  <si>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</si>
  <si>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</si>
  <si>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</si>
  <si>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</si>
  <si>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</si>
  <si>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</si>
  <si>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</si>
  <si>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</si>
  <si>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</si>
  <si>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</si>
  <si>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</si>
  <si>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</si>
  <si>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</si>
  <si>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</si>
  <si>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</si>
  <si>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</si>
  <si>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</si>
  <si>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</si>
  <si>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</si>
  <si>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</si>
  <si>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</si>
  <si>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</si>
  <si>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</si>
  <si>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</si>
  <si>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</si>
  <si>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</si>
  <si>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</si>
  <si>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</si>
  <si>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</si>
  <si>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</si>
  <si>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</si>
  <si>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</si>
  <si>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</si>
  <si>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</si>
  <si>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</si>
  <si>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</si>
  <si>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</si>
  <si>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</si>
  <si>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</si>
  <si>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</si>
  <si>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</si>
  <si>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</si>
  <si>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</si>
  <si>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</si>
  <si>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</si>
  <si>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</si>
  <si>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</si>
  <si>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</si>
  <si>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</si>
  <si>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</si>
  <si>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</si>
  <si>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</si>
  <si>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</si>
  <si>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</si>
  <si>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</si>
  <si>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</si>
  <si>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</si>
  <si>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</si>
  <si>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</si>
  <si>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</si>
  <si>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</si>
  <si>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</si>
  <si>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</si>
  <si>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</si>
  <si>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</si>
  <si>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</si>
  <si>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</si>
  <si>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</si>
  <si>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</si>
  <si>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</si>
  <si>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</si>
  <si>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</si>
  <si>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</si>
  <si>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</si>
  <si>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</si>
  <si>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</si>
  <si>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</si>
  <si>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</si>
  <si>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</si>
  <si>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</si>
  <si>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</si>
  <si>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</si>
  <si>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</si>
  <si>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</si>
  <si>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</si>
  <si>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</si>
  <si>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</si>
  <si>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</si>
  <si>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</si>
  <si>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</si>
  <si>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</si>
  <si>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</si>
  <si>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</si>
  <si>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</si>
  <si>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</si>
  <si>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</si>
  <si>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</si>
  <si>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</si>
  <si>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</si>
  <si>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</si>
  <si>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</si>
  <si>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</si>
  <si>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</si>
  <si>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</si>
  <si>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</si>
  <si>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</si>
  <si>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</si>
  <si>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</si>
  <si>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</si>
  <si>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</si>
  <si>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</si>
  <si>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</si>
  <si>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</si>
  <si>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</si>
  <si>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</si>
  <si>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</si>
  <si>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</si>
  <si>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</si>
  <si>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</si>
  <si>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</si>
  <si>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</si>
  <si>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</si>
  <si>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</si>
  <si>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</si>
  <si>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</si>
  <si>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</si>
  <si>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</si>
  <si>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</si>
  <si>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</si>
  <si>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</si>
  <si>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</si>
  <si>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</si>
  <si>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</si>
  <si>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</si>
  <si>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</si>
  <si>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</si>
  <si>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</si>
  <si>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</si>
  <si>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</si>
  <si>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</si>
  <si>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</si>
  <si>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</si>
  <si>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</si>
  <si>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</si>
  <si>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</si>
  <si>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</si>
  <si>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</si>
  <si>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</si>
  <si>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</si>
  <si>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</si>
  <si>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</si>
  <si>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</si>
  <si>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</si>
  <si>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</si>
  <si>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</si>
  <si>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</si>
  <si>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</si>
  <si>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</si>
  <si>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</si>
  <si>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</si>
  <si>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</si>
  <si>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</si>
  <si>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</si>
  <si>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</si>
  <si>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</si>
  <si>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</si>
  <si>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</si>
  <si>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</si>
  <si>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</si>
  <si>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</si>
  <si>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</si>
  <si>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</si>
  <si>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</si>
  <si>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</si>
  <si>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</si>
  <si>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</si>
  <si>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</si>
  <si>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</si>
  <si>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</si>
  <si>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</si>
  <si>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</si>
  <si>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</si>
  <si>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</si>
  <si>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</si>
  <si>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</si>
  <si>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</si>
  <si>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</si>
  <si>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</si>
  <si>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</si>
  <si>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</si>
  <si>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</si>
  <si>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</si>
  <si>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</si>
  <si>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</si>
  <si>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</si>
  <si>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</si>
  <si>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</si>
  <si>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</si>
  <si>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</si>
  <si>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</si>
  <si>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</si>
  <si>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</si>
  <si>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</si>
  <si>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</si>
  <si>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</si>
  <si>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</si>
  <si>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</si>
  <si>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</si>
  <si>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</si>
  <si>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</si>
  <si>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</si>
  <si>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</si>
  <si>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</si>
  <si>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</si>
  <si>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</si>
  <si>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</si>
  <si>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</si>
  <si>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</si>
  <si>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</si>
  <si>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</si>
  <si>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</si>
  <si>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</si>
  <si>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</si>
  <si>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</si>
  <si>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</si>
  <si>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</si>
  <si>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</si>
  <si>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</si>
  <si>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</si>
  <si>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</si>
  <si>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</si>
  <si>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</si>
  <si>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</si>
  <si>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</si>
  <si>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</si>
  <si>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</si>
  <si>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</si>
  <si>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</si>
  <si>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</si>
  <si>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</si>
  <si>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</si>
  <si>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</si>
  <si>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</si>
  <si>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</si>
  <si>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</si>
  <si>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</si>
  <si>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</si>
  <si>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</si>
  <si>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</si>
  <si>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</si>
  <si>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</si>
  <si>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</si>
  <si>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</si>
  <si>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</si>
  <si>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</si>
  <si>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</si>
  <si>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</si>
  <si>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</si>
  <si>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</si>
  <si>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</si>
  <si>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</si>
  <si>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</si>
  <si>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</si>
  <si>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</si>
  <si>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</si>
  <si>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</si>
  <si>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</si>
  <si>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</si>
  <si>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</si>
  <si>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</si>
  <si>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</si>
  <si>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</si>
  <si>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</si>
  <si>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</si>
  <si>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</si>
  <si>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</si>
  <si>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</si>
  <si>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</si>
  <si>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</si>
  <si>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</si>
  <si>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</si>
  <si>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</si>
  <si>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</si>
  <si>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</si>
  <si>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</si>
  <si>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</si>
  <si>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</si>
  <si>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</si>
  <si>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</si>
  <si>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</si>
  <si>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</si>
  <si>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</si>
  <si>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</si>
  <si>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</si>
  <si>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</si>
  <si>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</si>
  <si>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</si>
  <si>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</si>
  <si>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</si>
  <si>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</si>
  <si>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</si>
  <si>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</si>
  <si>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</si>
  <si>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</si>
  <si>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</si>
  <si>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</si>
  <si>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</si>
  <si>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</si>
  <si>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</si>
  <si>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</si>
  <si>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</si>
  <si>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</si>
  <si>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</si>
  <si>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</si>
  <si>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</si>
  <si>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</si>
  <si>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</si>
  <si>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</si>
  <si>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</si>
  <si>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</si>
  <si>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</si>
  <si>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</si>
  <si>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</si>
  <si>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</si>
  <si>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</si>
  <si>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</si>
  <si>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</si>
  <si>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</si>
  <si>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</si>
  <si>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</si>
  <si>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</si>
  <si>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</si>
  <si>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</si>
  <si>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</si>
  <si>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</si>
  <si>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</si>
  <si>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</si>
  <si>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</si>
  <si>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</si>
  <si>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</si>
  <si>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</si>
  <si>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</si>
  <si>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</si>
  <si>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</si>
  <si>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</si>
  <si>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</si>
  <si>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</si>
  <si>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</si>
  <si>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</si>
  <si>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</si>
  <si>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</si>
  <si>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</si>
  <si>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</si>
  <si>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</si>
  <si>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</si>
  <si>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</si>
  <si>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</si>
  <si>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</si>
  <si>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</si>
  <si>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</si>
  <si>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</si>
  <si>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</si>
  <si>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</si>
  <si>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</si>
  <si>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</si>
  <si>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</si>
  <si>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</si>
  <si>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</si>
  <si>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</si>
  <si>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</si>
  <si>
    <t>EMILIA / SÃO PAULO / XARÁ / MORUNGAVA</t>
  </si>
  <si>
    <t>EMILIA / SÃO PAULO / PEDREIRA / ESTRADA DA PALHA</t>
  </si>
  <si>
    <t>EMILIA / SÃO PAULO / SANTO INÁCIO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</si>
</sst>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7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6" borderId="19" xfId="0" applyFont="1" applyFill="1" applyBorder="1" applyAlignment="1" applyProtection="1">
      <alignment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0" fontId="27" fillId="30" borderId="19" xfId="0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0" fontId="29" fillId="32" borderId="59" xfId="0" applyFont="1" applyFill="1" applyBorder="1" applyAlignment="1" applyProtection="1">
      <alignment horizontal="center"/>
      <protection hidden="1"/>
    </xf>
    <xf numFmtId="0" fontId="29" fillId="32" borderId="59" xfId="0" applyFont="1" applyFill="1" applyBorder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9" fontId="29" fillId="0" borderId="0" xfId="0" applyNumberFormat="1" applyFont="1" applyProtection="1"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5" t="s">
        <v>0</v>
      </c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71" t="s">
        <v>357</v>
      </c>
      <c r="C3" s="372"/>
      <c r="D3" s="486"/>
      <c r="E3" s="487"/>
      <c r="F3" s="487"/>
      <c r="G3" s="487"/>
      <c r="H3" s="488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71" t="s">
        <v>358</v>
      </c>
      <c r="C4" s="372"/>
      <c r="D4" s="489"/>
      <c r="E4" s="490"/>
      <c r="F4" s="490"/>
      <c r="G4" s="490"/>
      <c r="H4" s="491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9" t="s">
        <v>1</v>
      </c>
      <c r="C6" s="460"/>
      <c r="D6" s="460"/>
      <c r="E6" s="461"/>
      <c r="F6" s="195"/>
      <c r="G6" s="492" t="s">
        <v>12</v>
      </c>
      <c r="H6" s="455"/>
      <c r="I6" s="455"/>
      <c r="J6" s="456"/>
      <c r="K6" s="36"/>
      <c r="L6" s="469" t="s">
        <v>2</v>
      </c>
      <c r="M6" s="455"/>
      <c r="N6" s="455"/>
      <c r="O6" s="456"/>
    </row>
    <row r="7" spans="1:19" x14ac:dyDescent="0.25">
      <c r="A7" s="196"/>
      <c r="B7" s="282"/>
      <c r="C7" s="448" t="s">
        <v>281</v>
      </c>
      <c r="D7" s="449"/>
      <c r="E7" s="284">
        <v>12</v>
      </c>
      <c r="F7" s="195"/>
      <c r="G7" s="493" t="s">
        <v>14</v>
      </c>
      <c r="H7" s="455"/>
      <c r="I7" s="455"/>
      <c r="J7" s="456"/>
      <c r="L7" s="454" t="s">
        <v>3</v>
      </c>
      <c r="M7" s="455"/>
      <c r="N7" s="455"/>
      <c r="O7" s="456"/>
    </row>
    <row r="8" spans="1:19" ht="12.75" x14ac:dyDescent="0.2">
      <c r="A8" s="197"/>
      <c r="B8" s="282"/>
      <c r="C8" s="448" t="s">
        <v>4</v>
      </c>
      <c r="D8" s="449"/>
      <c r="E8" s="285">
        <v>200</v>
      </c>
      <c r="F8" s="195"/>
      <c r="G8" s="211"/>
      <c r="H8" s="494" t="s">
        <v>15</v>
      </c>
      <c r="I8" s="453"/>
      <c r="J8" s="393">
        <v>3968.15</v>
      </c>
      <c r="L8" s="199"/>
      <c r="M8" s="452" t="s">
        <v>282</v>
      </c>
      <c r="N8" s="453"/>
      <c r="O8" s="394">
        <v>2080.9899999999998</v>
      </c>
    </row>
    <row r="9" spans="1:19" ht="12.75" x14ac:dyDescent="0.2">
      <c r="A9" s="197"/>
      <c r="B9" s="282"/>
      <c r="C9" s="448" t="s">
        <v>255</v>
      </c>
      <c r="D9" s="449"/>
      <c r="E9" s="286">
        <v>46388</v>
      </c>
      <c r="F9" s="195"/>
      <c r="G9" s="493" t="s">
        <v>378</v>
      </c>
      <c r="H9" s="455"/>
      <c r="I9" s="455"/>
      <c r="J9" s="456"/>
      <c r="L9" s="199"/>
      <c r="M9" s="452" t="s">
        <v>283</v>
      </c>
      <c r="N9" s="453"/>
      <c r="O9" s="394">
        <v>823.33</v>
      </c>
      <c r="R9" s="179"/>
    </row>
    <row r="10" spans="1:19" ht="12.75" x14ac:dyDescent="0.2">
      <c r="A10" s="197"/>
      <c r="B10" s="282"/>
      <c r="C10" s="448" t="s">
        <v>222</v>
      </c>
      <c r="D10" s="449"/>
      <c r="E10" s="395" t="s">
        <v>223</v>
      </c>
      <c r="F10" s="195"/>
      <c r="G10" s="211"/>
      <c r="H10" s="494" t="s">
        <v>15</v>
      </c>
      <c r="I10" s="453"/>
      <c r="J10" s="393">
        <v>3370.78</v>
      </c>
      <c r="L10" s="454" t="s">
        <v>380</v>
      </c>
      <c r="M10" s="455"/>
      <c r="N10" s="455"/>
      <c r="O10" s="456"/>
      <c r="R10" s="179"/>
      <c r="S10" s="200"/>
    </row>
    <row r="11" spans="1:19" x14ac:dyDescent="0.25">
      <c r="A11" s="196"/>
      <c r="B11" s="283"/>
      <c r="C11" s="450" t="s">
        <v>5</v>
      </c>
      <c r="D11" s="451"/>
      <c r="E11" s="396">
        <v>3.5000000000000003E-2</v>
      </c>
      <c r="F11" s="195"/>
      <c r="G11" s="476" t="s">
        <v>299</v>
      </c>
      <c r="H11" s="477"/>
      <c r="I11" s="477"/>
      <c r="J11" s="478"/>
      <c r="L11" s="199"/>
      <c r="M11" s="452" t="s">
        <v>282</v>
      </c>
      <c r="N11" s="453"/>
      <c r="O11" s="394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9" t="s">
        <v>15</v>
      </c>
      <c r="I12" s="480"/>
      <c r="J12" s="393">
        <v>1717.96</v>
      </c>
      <c r="L12" s="199"/>
      <c r="M12" s="452" t="s">
        <v>283</v>
      </c>
      <c r="N12" s="453"/>
      <c r="O12" s="394">
        <v>458.33</v>
      </c>
      <c r="R12" s="179"/>
    </row>
    <row r="13" spans="1:19" x14ac:dyDescent="0.25">
      <c r="A13" s="69"/>
      <c r="B13" s="459" t="s">
        <v>6</v>
      </c>
      <c r="C13" s="460"/>
      <c r="D13" s="460"/>
      <c r="E13" s="461"/>
      <c r="F13" s="195"/>
      <c r="G13" s="481" t="s">
        <v>23</v>
      </c>
      <c r="H13" s="482"/>
      <c r="I13" s="495"/>
      <c r="J13" s="496"/>
      <c r="L13" s="454" t="s">
        <v>381</v>
      </c>
      <c r="M13" s="455"/>
      <c r="N13" s="455"/>
      <c r="O13" s="456"/>
    </row>
    <row r="14" spans="1:19" ht="12.75" x14ac:dyDescent="0.2">
      <c r="A14" s="69"/>
      <c r="B14" s="282"/>
      <c r="C14" s="448" t="s">
        <v>7</v>
      </c>
      <c r="D14" s="449"/>
      <c r="E14" s="397">
        <v>8.1199999999999994E-2</v>
      </c>
      <c r="F14" s="312"/>
      <c r="G14" s="36"/>
      <c r="H14" s="36"/>
      <c r="I14" s="36"/>
      <c r="J14" s="36"/>
      <c r="L14" s="199"/>
      <c r="M14" s="452" t="s">
        <v>282</v>
      </c>
      <c r="N14" s="453"/>
      <c r="O14" s="394">
        <v>889.33</v>
      </c>
      <c r="R14" s="179"/>
    </row>
    <row r="15" spans="1:19" x14ac:dyDescent="0.25">
      <c r="A15" s="201"/>
      <c r="B15" s="282"/>
      <c r="C15" s="281" t="s">
        <v>8</v>
      </c>
      <c r="D15" s="281"/>
      <c r="E15" s="289"/>
      <c r="F15" s="202"/>
      <c r="G15" s="462" t="s">
        <v>232</v>
      </c>
      <c r="H15" s="463"/>
      <c r="I15" s="463"/>
      <c r="J15" s="464"/>
      <c r="L15" s="199"/>
      <c r="M15" s="452" t="s">
        <v>283</v>
      </c>
      <c r="N15" s="453"/>
      <c r="O15" s="394">
        <v>426.33</v>
      </c>
      <c r="R15" s="179"/>
    </row>
    <row r="16" spans="1:19" ht="12.75" x14ac:dyDescent="0.2">
      <c r="A16" s="69"/>
      <c r="B16" s="282"/>
      <c r="C16" s="457">
        <v>2027</v>
      </c>
      <c r="D16" s="458"/>
      <c r="E16" s="290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5" t="s">
        <v>236</v>
      </c>
      <c r="H16" s="455"/>
      <c r="I16" s="455"/>
      <c r="J16" s="466"/>
      <c r="L16" s="36"/>
      <c r="M16" s="36"/>
      <c r="N16" s="36"/>
      <c r="O16" s="36"/>
      <c r="R16" s="179"/>
    </row>
    <row r="17" spans="1:17" x14ac:dyDescent="0.25">
      <c r="A17" s="69"/>
      <c r="B17" s="287"/>
      <c r="C17" s="457">
        <f>C16+1</f>
        <v>2028</v>
      </c>
      <c r="D17" s="458"/>
      <c r="E17" s="290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72" t="s">
        <v>238</v>
      </c>
      <c r="I17" s="473"/>
      <c r="J17" s="435">
        <v>97.05</v>
      </c>
      <c r="L17" s="469" t="s">
        <v>10</v>
      </c>
      <c r="M17" s="455"/>
      <c r="N17" s="455"/>
      <c r="O17" s="456"/>
    </row>
    <row r="18" spans="1:17" ht="12.75" x14ac:dyDescent="0.2">
      <c r="A18" s="69"/>
      <c r="B18" s="282"/>
      <c r="C18" s="457">
        <f>C17+1</f>
        <v>2029</v>
      </c>
      <c r="D18" s="458"/>
      <c r="E18" s="290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70" t="s">
        <v>239</v>
      </c>
      <c r="I18" s="471"/>
      <c r="J18" s="435">
        <v>98.67</v>
      </c>
      <c r="L18" s="454" t="s">
        <v>11</v>
      </c>
      <c r="M18" s="455"/>
      <c r="N18" s="455"/>
      <c r="O18" s="456"/>
    </row>
    <row r="19" spans="1:17" x14ac:dyDescent="0.25">
      <c r="A19" s="201"/>
      <c r="B19" s="287"/>
      <c r="C19" s="457">
        <f>C18+1</f>
        <v>2030</v>
      </c>
      <c r="D19" s="458"/>
      <c r="E19" s="290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70" t="s">
        <v>240</v>
      </c>
      <c r="I19" s="471"/>
      <c r="J19" s="435">
        <v>52.51</v>
      </c>
      <c r="L19" s="199"/>
      <c r="M19" s="474" t="s">
        <v>284</v>
      </c>
      <c r="N19" s="453"/>
      <c r="O19" s="394">
        <v>422.62</v>
      </c>
    </row>
    <row r="20" spans="1:17" ht="12.75" x14ac:dyDescent="0.2">
      <c r="A20" s="69"/>
      <c r="B20" s="287"/>
      <c r="C20" s="457">
        <f>C19+1</f>
        <v>2031</v>
      </c>
      <c r="D20" s="458"/>
      <c r="E20" s="290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5" t="s">
        <v>237</v>
      </c>
      <c r="H20" s="455"/>
      <c r="I20" s="455"/>
      <c r="J20" s="466"/>
      <c r="L20" s="199"/>
      <c r="M20" s="474" t="s">
        <v>368</v>
      </c>
      <c r="N20" s="453"/>
      <c r="O20" s="394">
        <f>171.15*2</f>
        <v>342.3</v>
      </c>
    </row>
    <row r="21" spans="1:17" ht="12.75" x14ac:dyDescent="0.2">
      <c r="A21" s="69"/>
      <c r="B21" s="288"/>
      <c r="C21" s="467">
        <f>C20+1</f>
        <v>2032</v>
      </c>
      <c r="D21" s="468"/>
      <c r="E21" s="291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72" t="s">
        <v>238</v>
      </c>
      <c r="I21" s="473"/>
      <c r="J21" s="435">
        <v>97.05</v>
      </c>
      <c r="L21" s="199"/>
      <c r="M21" s="204" t="s">
        <v>272</v>
      </c>
      <c r="N21" s="204"/>
      <c r="O21" s="394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13"/>
      <c r="G22" s="198"/>
      <c r="H22" s="470" t="s">
        <v>239</v>
      </c>
      <c r="I22" s="471"/>
      <c r="J22" s="435">
        <v>98.67</v>
      </c>
      <c r="L22" s="199"/>
      <c r="M22" s="434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13"/>
      <c r="G23" s="198"/>
      <c r="H23" s="470" t="s">
        <v>240</v>
      </c>
      <c r="I23" s="471"/>
      <c r="J23" s="435">
        <v>52.51</v>
      </c>
      <c r="L23" s="199"/>
      <c r="M23" s="474" t="s">
        <v>13</v>
      </c>
      <c r="N23" s="453"/>
      <c r="O23" s="394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13"/>
      <c r="G24" s="36"/>
      <c r="H24" s="36"/>
      <c r="I24" s="36"/>
      <c r="J24" s="36"/>
      <c r="L24" s="199"/>
      <c r="M24" s="474" t="s">
        <v>371</v>
      </c>
      <c r="N24" s="453"/>
      <c r="O24" s="394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54" t="s">
        <v>244</v>
      </c>
      <c r="M25" s="483"/>
      <c r="N25" s="483"/>
      <c r="O25" s="484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74" t="s">
        <v>231</v>
      </c>
      <c r="N26" s="453"/>
      <c r="O26" s="394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74" t="s">
        <v>245</v>
      </c>
      <c r="N27" s="453"/>
      <c r="O27" s="394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4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54" t="s">
        <v>16</v>
      </c>
      <c r="M29" s="455"/>
      <c r="N29" s="455"/>
      <c r="O29" s="456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74" t="s">
        <v>226</v>
      </c>
      <c r="N30" s="453"/>
      <c r="O30" s="394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74" t="s">
        <v>363</v>
      </c>
      <c r="N31" s="453"/>
      <c r="O31" s="394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7"/>
      <c r="J32" s="36"/>
      <c r="K32" s="36"/>
      <c r="L32" s="199"/>
      <c r="M32" s="474" t="s">
        <v>17</v>
      </c>
      <c r="N32" s="453"/>
      <c r="O32" s="394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74" t="s">
        <v>18</v>
      </c>
      <c r="N33" s="453"/>
      <c r="O33" s="394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74" t="s">
        <v>19</v>
      </c>
      <c r="N34" s="453"/>
      <c r="O34" s="394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74" t="s">
        <v>20</v>
      </c>
      <c r="N35" s="453"/>
      <c r="O35" s="394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74" t="s">
        <v>308</v>
      </c>
      <c r="N36" s="453"/>
      <c r="O36" s="394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74" t="s">
        <v>21</v>
      </c>
      <c r="N37" s="453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5" t="s">
        <v>22</v>
      </c>
      <c r="N38" s="453"/>
      <c r="O38" s="394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5" t="s">
        <v>386</v>
      </c>
      <c r="N39" s="453"/>
      <c r="O39" s="394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8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pW8Jl917yt7UtFGf0gE+mW/ol+xVY0NC3kLaxvvA8hP2sbowaDwhzxvy5zM1mrXV++jiQMPy8MDCtZANy55lOA==" saltValue="82v7VHksFHQcfmK6r8beMQ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74"/>
  <sheetViews>
    <sheetView showGridLines="0" workbookViewId="0">
      <pane ySplit="3" topLeftCell="A15" activePane="bottomLeft" state="frozen"/>
      <selection sqref="A1:B1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503"/>
      <c r="C1" s="504"/>
      <c r="D1" s="504"/>
      <c r="E1" s="504"/>
      <c r="F1" s="504"/>
      <c r="G1" s="504"/>
      <c r="H1" s="504"/>
      <c r="I1" s="505"/>
      <c r="J1" s="1"/>
      <c r="K1" s="1"/>
    </row>
    <row r="2" spans="1:12" ht="18.75" x14ac:dyDescent="0.2">
      <c r="A2" s="6"/>
      <c r="B2" s="506">
        <v>16</v>
      </c>
      <c r="C2" s="507"/>
      <c r="D2" s="507"/>
      <c r="E2" s="507"/>
      <c r="F2" s="507"/>
      <c r="G2" s="507"/>
      <c r="H2" s="507"/>
      <c r="I2" s="508"/>
      <c r="J2" s="1"/>
      <c r="K2" s="1"/>
    </row>
    <row r="3" spans="1:12" ht="18.75" x14ac:dyDescent="0.2">
      <c r="A3" s="6"/>
      <c r="B3" s="509"/>
      <c r="C3" s="510"/>
      <c r="D3" s="510"/>
      <c r="E3" s="510"/>
      <c r="F3" s="510"/>
      <c r="G3" s="510"/>
      <c r="H3" s="510"/>
      <c r="I3" s="511"/>
      <c r="J3" s="1"/>
      <c r="K3" s="1"/>
    </row>
    <row r="4" spans="1:12" ht="18.75" x14ac:dyDescent="0.2">
      <c r="A4" s="6"/>
      <c r="B4" s="344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5"/>
      <c r="D4" s="345"/>
      <c r="E4" s="345"/>
      <c r="F4" s="345"/>
      <c r="G4" s="345"/>
      <c r="H4" s="345"/>
      <c r="I4" s="346"/>
      <c r="J4" s="1"/>
      <c r="K4" s="1"/>
    </row>
    <row r="5" spans="1:12" ht="6" customHeight="1" x14ac:dyDescent="0.2">
      <c r="A5" s="6"/>
      <c r="B5" s="232"/>
      <c r="C5" s="347"/>
      <c r="D5" s="347"/>
      <c r="E5" s="347"/>
      <c r="F5" s="347"/>
      <c r="G5" s="347"/>
      <c r="H5" s="347"/>
      <c r="I5" s="347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"&amp;VLOOKUP(OFFSET(INDIRECT(ADDRESS($B$2+2,9,1,1,"BD")),0,MATCH($A6,BD!$J$2:$P$2,0)),Rotas!$B$5:$C$8,2,0)&amp;"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112 EMILIA / SÃO PAULO / XARÁ / MORUNGAVA / Veículo: Marcopolo Volare Escolar V8L 4x4 (diesel E5) - Ano: 2013 - Cod. FIPE: 508039-8</v>
      </c>
      <c r="C6" s="7"/>
      <c r="D6" s="7"/>
      <c r="E6" s="7"/>
      <c r="F6" s="7"/>
      <c r="G6" s="7"/>
      <c r="H6" s="7"/>
      <c r="I6" s="8"/>
      <c r="J6" s="1"/>
      <c r="K6" s="1"/>
      <c r="L6" s="348"/>
    </row>
    <row r="7" spans="1:12" ht="12.75" x14ac:dyDescent="0.2">
      <c r="A7" s="9"/>
      <c r="B7" s="497" t="s">
        <v>28</v>
      </c>
      <c r="C7" s="497" t="s">
        <v>29</v>
      </c>
      <c r="D7" s="499" t="s">
        <v>285</v>
      </c>
      <c r="E7" s="500" t="s">
        <v>286</v>
      </c>
      <c r="F7" s="497" t="s">
        <v>30</v>
      </c>
      <c r="G7" s="499" t="s">
        <v>287</v>
      </c>
      <c r="H7" s="500" t="s">
        <v>288</v>
      </c>
      <c r="I7" s="499" t="s">
        <v>289</v>
      </c>
      <c r="J7" s="1"/>
      <c r="K7" s="1"/>
    </row>
    <row r="8" spans="1:12" ht="12.75" x14ac:dyDescent="0.2">
      <c r="A8" s="9"/>
      <c r="B8" s="498"/>
      <c r="C8" s="498"/>
      <c r="D8" s="498"/>
      <c r="E8" s="498"/>
      <c r="F8" s="498"/>
      <c r="G8" s="498"/>
      <c r="H8" s="498"/>
      <c r="I8" s="498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ROUND(SUMPRODUCT(IF(Rotas!$B$5:$B$8=OFFSET(INDIRECT(ADDRESS($B$2+2,9,1,1,"BD")),0,MATCH($A6,BD!$J$2:$P$2,0),1,1),1,0),Rotas!$U$5:$U$8)*(1+BDI!$B$18),2)</f>
        <v>19243.29</v>
      </c>
      <c r="E10" s="16">
        <v>10</v>
      </c>
      <c r="F10" s="17" t="s">
        <v>292</v>
      </c>
      <c r="G10" s="15">
        <f ca="1">D10*E10</f>
        <v>192432.90000000002</v>
      </c>
      <c r="H10" s="18">
        <f ca="1">G10*('Dados de Entrada'!$E$7/12)</f>
        <v>192432.90000000002</v>
      </c>
      <c r="I10" s="501">
        <f ca="1">H10+H11</f>
        <v>252799.30700000003</v>
      </c>
      <c r="J10" s="300"/>
      <c r="K10" s="1"/>
    </row>
    <row r="11" spans="1:12" ht="12.75" x14ac:dyDescent="0.2">
      <c r="A11" s="12"/>
      <c r="B11" s="13" t="s">
        <v>32</v>
      </c>
      <c r="C11" s="14" t="s">
        <v>250</v>
      </c>
      <c r="D11" s="299">
        <f t="array" aca="1" ref="D11" ca="1">IFERROR((ROUND(SUMPRODUCT(IF(Rotas!$B$5:$B$8=OFFSET(INDIRECT(ADDRESS($B$2+2,9,1,1,"BD")),0,MATCH($A6,BD!$J$2:$P$2,0),1,1),1,0),Rotas!$Q$5:$Q$8)*(1+BDI!$B$18),4))/SUMPRODUCT(IF(Rotas!$B$5:$B$8=OFFSET(INDIRECT(ADDRESS($B$2+2,9,1,1,"BD")),0,MATCH($A6,BD!$J$2:$P$2,0),1,1),1,0),Rotas!$F$5:$F$8),0)</f>
        <v>3.4995018550724639</v>
      </c>
      <c r="E11" s="19">
        <f t="array" aca="1" ref="E11" ca="1">SUMPRODUCT(IF(Rotas!$B$5:$B$8=OFFSET(INDIRECT(ADDRESS($B$2+2,9,1,1,"BD")),0,MATCH($A6,BD!$J$2:$P$2,0),1,1),1,0),Rotas!$F$5:$F$8)*10</f>
        <v>17250</v>
      </c>
      <c r="F11" s="20" t="s">
        <v>293</v>
      </c>
      <c r="G11" s="15">
        <f ca="1">D11*E11</f>
        <v>60366.406999999999</v>
      </c>
      <c r="H11" s="18">
        <f ca="1">G11*('Dados de Entrada'!$E$7/12)</f>
        <v>60366.406999999999</v>
      </c>
      <c r="I11" s="502"/>
      <c r="J11" s="301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Extra'!$A$19,0,MATCH(VLOOKUP(VLOOKUP(OFFSET(INDIRECT(ADDRESS($B$2+2,9,1,1,"BD")),0,MATCH($A6,BD!$J$2:$P$2,0),1,1),Rotas!$B$5:$E$8,4,0),BD!$D$2:$E$9,2,0),'Hora Extra'!$B$4:$D$4,0)),0)</f>
        <v>52.85</v>
      </c>
      <c r="E12" s="22">
        <f ca="1">IF(D12=0,0,10*10*COUNTIF(Rotas!$B$5:$B$8,OFFSET(INDIRECT(ADDRESS($B$2+2,9,1,1,"BD")),0,MATCH($A6,BD!$J$2:$P$2,0),1,1)))</f>
        <v>100</v>
      </c>
      <c r="F12" s="20" t="s">
        <v>296</v>
      </c>
      <c r="G12" s="15">
        <f ca="1">D12*E12</f>
        <v>5285</v>
      </c>
      <c r="H12" s="18">
        <f ca="1">G12*('Dados de Entrada'!$E$7/12)</f>
        <v>5285</v>
      </c>
      <c r="I12" s="18">
        <f ca="1">H12</f>
        <v>5285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IF(D12=0,0,10*10*COUNTIF(Rotas!$B$5:$B$8,OFFSET(INDIRECT(ADDRESS($B$2+2,9,1,1,"BD")),0,MATCH($A6,BD!$J$2:$P$2,0),1,1)))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252799.30700000003</v>
      </c>
      <c r="H14" s="23"/>
      <c r="I14" s="24">
        <f ca="1">I10+I11+I12+I13</f>
        <v>260777.30700000003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"&amp;VLOOKUP(OFFSET(INDIRECT(ADDRESS($B$2+2,9,1,1,"BD")),0,MATCH($A16,BD!$J$2:$P$2,0)),Rotas!$B$5:$C$8,2,0)&amp;"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113 EMILIA / SÃO PAULO / PEDREIRA / ESTRADA DA PALHA / Veículo: Marcopolo Volare Escolar/LOT. W8 FLY (diesel E5) - Ano: 2012 - Cod. FIPE: 508015-0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7" t="s">
        <v>28</v>
      </c>
      <c r="C17" s="497" t="s">
        <v>29</v>
      </c>
      <c r="D17" s="499" t="s">
        <v>285</v>
      </c>
      <c r="E17" s="500" t="s">
        <v>286</v>
      </c>
      <c r="F17" s="497" t="s">
        <v>30</v>
      </c>
      <c r="G17" s="499" t="s">
        <v>287</v>
      </c>
      <c r="H17" s="500" t="s">
        <v>288</v>
      </c>
      <c r="I17" s="499" t="s">
        <v>289</v>
      </c>
      <c r="J17" s="1"/>
      <c r="K17" s="1"/>
    </row>
    <row r="18" spans="1:11" ht="12.75" x14ac:dyDescent="0.2">
      <c r="A18" s="9"/>
      <c r="B18" s="498"/>
      <c r="C18" s="498"/>
      <c r="D18" s="498"/>
      <c r="E18" s="498"/>
      <c r="F18" s="498"/>
      <c r="G18" s="498"/>
      <c r="H18" s="498"/>
      <c r="I18" s="498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ROUND(SUMPRODUCT(IF(Rotas!$B$5:$B$8=OFFSET(INDIRECT(ADDRESS($B$2+2,9,1,1,"BD")),0,MATCH($A16,BD!$J$2:$P$2,0),1,1),1,0),Rotas!$U$5:$U$8)*(1+BDI!$B$18),2)</f>
        <v>18079.87</v>
      </c>
      <c r="E20" s="16">
        <v>10</v>
      </c>
      <c r="F20" s="17" t="s">
        <v>292</v>
      </c>
      <c r="G20" s="15">
        <f ca="1">D20*E20</f>
        <v>180798.69999999998</v>
      </c>
      <c r="H20" s="18">
        <f ca="1">G20*('Dados de Entrada'!$E$7/12)</f>
        <v>180798.69999999998</v>
      </c>
      <c r="I20" s="501">
        <f ca="1">H20+H21</f>
        <v>224458.39799999999</v>
      </c>
      <c r="J20" s="300"/>
      <c r="K20" s="1"/>
    </row>
    <row r="21" spans="1:11" ht="12.75" x14ac:dyDescent="0.2">
      <c r="A21" s="12"/>
      <c r="B21" s="13" t="s">
        <v>32</v>
      </c>
      <c r="C21" s="14" t="s">
        <v>250</v>
      </c>
      <c r="D21" s="299">
        <f t="array" aca="1" ref="D21" ca="1">IFERROR((ROUND(SUMPRODUCT(IF(Rotas!$B$5:$B$8=OFFSET(INDIRECT(ADDRESS($B$2+2,9,1,1,"BD")),0,MATCH($A16,BD!$J$2:$P$2,0),1,1),1,0),Rotas!$Q$5:$Q$8)*(1+BDI!$B$18),4))/SUMPRODUCT(IF(Rotas!$B$5:$B$8=OFFSET(INDIRECT(ADDRESS($B$2+2,9,1,1,"BD")),0,MATCH($A16,BD!$J$2:$P$2,0),1,1),1,0),Rotas!$F$5:$F$8),0)</f>
        <v>3.1752507636363636</v>
      </c>
      <c r="E21" s="19">
        <f t="array" aca="1" ref="E21" ca="1">SUMPRODUCT(IF(Rotas!$B$5:$B$8=OFFSET(INDIRECT(ADDRESS($B$2+2,9,1,1,"BD")),0,MATCH($A16,BD!$J$2:$P$2,0),1,1),1,0),Rotas!$F$5:$F$8)*10</f>
        <v>13750</v>
      </c>
      <c r="F21" s="20" t="s">
        <v>293</v>
      </c>
      <c r="G21" s="15">
        <f ca="1">D21*E21</f>
        <v>43659.697999999997</v>
      </c>
      <c r="H21" s="18">
        <f ca="1">G21*('Dados de Entrada'!$E$7/12)</f>
        <v>43659.697999999997</v>
      </c>
      <c r="I21" s="502"/>
      <c r="J21" s="301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Extra'!$A$19,0,MATCH(VLOOKUP(VLOOKUP(OFFSET(INDIRECT(ADDRESS($B$2+2,9,1,1,"BD")),0,MATCH($A16,BD!$J$2:$P$2,0),1,1),Rotas!$B$5:$E$8,4,0),BD!$D$2:$E$9,2,0),'Hora Extra'!$B$4:$D$4,0)),0)</f>
        <v>52.85</v>
      </c>
      <c r="E22" s="22">
        <f ca="1">IF(D22=0,0,10*10*COUNTIF(Rotas!$B$5:$B$8,OFFSET(INDIRECT(ADDRESS($B$2+2,9,1,1,"BD")),0,MATCH($A16,BD!$J$2:$P$2,0),1,1)))</f>
        <v>100</v>
      </c>
      <c r="F22" s="20" t="s">
        <v>296</v>
      </c>
      <c r="G22" s="15">
        <f ca="1">D22*E22</f>
        <v>5285</v>
      </c>
      <c r="H22" s="18">
        <f ca="1">G22*('Dados de Entrada'!$E$7/12)</f>
        <v>5285</v>
      </c>
      <c r="I22" s="18">
        <f ca="1">H22</f>
        <v>5285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IF(D22=0,0,10*10*COUNTIF(Rotas!$B$5:$B$8,OFFSET(INDIRECT(ADDRESS($B$2+2,9,1,1,"BD")),0,MATCH($A16,BD!$J$2:$P$2,0),1,1)))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224458.39799999999</v>
      </c>
      <c r="H24" s="23"/>
      <c r="I24" s="24">
        <f ca="1">I20+I21+I22+I23</f>
        <v>232436.39799999999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"&amp;VLOOKUP(OFFSET(INDIRECT(ADDRESS($B$2+2,9,1,1,"BD")),0,MATCH($A26,BD!$J$2:$P$2,0)),Rotas!$B$5:$C$8,2,0)&amp;"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114 EMILIA / SÃO PAULO / SANTO INÁCIO / Veículo: Marcopolo Volare Escolar/LOT. W8 FLY (diesel E5) - Ano: 2012 - Cod. FIPE: 508015-0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7" t="s">
        <v>28</v>
      </c>
      <c r="C27" s="497" t="s">
        <v>29</v>
      </c>
      <c r="D27" s="499" t="s">
        <v>285</v>
      </c>
      <c r="E27" s="500" t="s">
        <v>286</v>
      </c>
      <c r="F27" s="497" t="s">
        <v>30</v>
      </c>
      <c r="G27" s="499" t="s">
        <v>287</v>
      </c>
      <c r="H27" s="500" t="s">
        <v>288</v>
      </c>
      <c r="I27" s="499" t="s">
        <v>289</v>
      </c>
      <c r="J27" s="1"/>
      <c r="K27" s="1"/>
    </row>
    <row r="28" spans="1:11" ht="12.75" x14ac:dyDescent="0.2">
      <c r="A28" s="9"/>
      <c r="B28" s="498"/>
      <c r="C28" s="498"/>
      <c r="D28" s="498"/>
      <c r="E28" s="498"/>
      <c r="F28" s="498"/>
      <c r="G28" s="498"/>
      <c r="H28" s="498"/>
      <c r="I28" s="498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ROUND(SUMPRODUCT(IF(Rotas!$B$5:$B$8=OFFSET(INDIRECT(ADDRESS($B$2+2,9,1,1,"BD")),0,MATCH($A26,BD!$J$2:$P$2,0),1,1),1,0),Rotas!$U$5:$U$8)*(1+BDI!$B$18),2)</f>
        <v>18079.87</v>
      </c>
      <c r="E30" s="16">
        <v>10</v>
      </c>
      <c r="F30" s="17" t="s">
        <v>292</v>
      </c>
      <c r="G30" s="15">
        <f ca="1">D30*E30</f>
        <v>180798.69999999998</v>
      </c>
      <c r="H30" s="18">
        <f ca="1">G30*('Dados de Entrada'!$E$7/12)</f>
        <v>180798.69999999998</v>
      </c>
      <c r="I30" s="501">
        <f ca="1">H30+H31</f>
        <v>233158.58499999999</v>
      </c>
      <c r="J30" s="300"/>
      <c r="K30" s="1"/>
    </row>
    <row r="31" spans="1:11" ht="12.75" x14ac:dyDescent="0.2">
      <c r="A31" s="12"/>
      <c r="B31" s="13" t="s">
        <v>32</v>
      </c>
      <c r="C31" s="14" t="s">
        <v>250</v>
      </c>
      <c r="D31" s="299">
        <f t="array" aca="1" ref="D31" ca="1">IFERROR((ROUND(SUMPRODUCT(IF(Rotas!$B$5:$B$8=OFFSET(INDIRECT(ADDRESS($B$2+2,9,1,1,"BD")),0,MATCH($A26,BD!$J$2:$P$2,0),1,1),1,0),Rotas!$Q$5:$Q$8)*(1+BDI!$B$18),4))/SUMPRODUCT(IF(Rotas!$B$5:$B$8=OFFSET(INDIRECT(ADDRESS($B$2+2,9,1,1,"BD")),0,MATCH($A26,BD!$J$2:$P$2,0),1,1),1,0),Rotas!$F$5:$F$8),0)</f>
        <v>3.175250758035173</v>
      </c>
      <c r="E31" s="19">
        <f t="array" aca="1" ref="E31" ca="1">SUMPRODUCT(IF(Rotas!$B$5:$B$8=OFFSET(INDIRECT(ADDRESS($B$2+2,9,1,1,"BD")),0,MATCH($A26,BD!$J$2:$P$2,0),1,1),1,0),Rotas!$F$5:$F$8)*10</f>
        <v>16490</v>
      </c>
      <c r="F31" s="20" t="s">
        <v>293</v>
      </c>
      <c r="G31" s="15">
        <f ca="1">D31*E31</f>
        <v>52359.885000000002</v>
      </c>
      <c r="H31" s="18">
        <f ca="1">G31*('Dados de Entrada'!$E$7/12)</f>
        <v>52359.885000000002</v>
      </c>
      <c r="I31" s="502"/>
      <c r="J31" s="301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Extra'!$A$19,0,MATCH(VLOOKUP(VLOOKUP(OFFSET(INDIRECT(ADDRESS($B$2+2,9,1,1,"BD")),0,MATCH($A26,BD!$J$2:$P$2,0),1,1),Rotas!$B$5:$E$8,4,0),BD!$D$2:$E$9,2,0),'Hora Extra'!$B$4:$D$4,0)),0)</f>
        <v>52.85</v>
      </c>
      <c r="E32" s="22">
        <f ca="1">IF(D32=0,0,10*10*COUNTIF(Rotas!$B$5:$B$8,OFFSET(INDIRECT(ADDRESS($B$2+2,9,1,1,"BD")),0,MATCH($A26,BD!$J$2:$P$2,0),1,1)))</f>
        <v>100</v>
      </c>
      <c r="F32" s="20" t="s">
        <v>296</v>
      </c>
      <c r="G32" s="15">
        <f ca="1">D32*E32</f>
        <v>5285</v>
      </c>
      <c r="H32" s="18">
        <f ca="1">G32*('Dados de Entrada'!$E$7/12)</f>
        <v>5285</v>
      </c>
      <c r="I32" s="18">
        <f ca="1">H32</f>
        <v>5285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IF(D32=0,0,10*10*COUNTIF(Rotas!$B$5:$B$8,OFFSET(INDIRECT(ADDRESS($B$2+2,9,1,1,"BD")),0,MATCH($A26,BD!$J$2:$P$2,0),1,1)))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233158.58499999999</v>
      </c>
      <c r="H34" s="23"/>
      <c r="I34" s="24">
        <f ca="1">I30+I31+I32+I33</f>
        <v>241136.58499999999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6"/>
      <c r="B36" s="514" t="s">
        <v>301</v>
      </c>
      <c r="C36" s="515"/>
      <c r="D36" s="515"/>
      <c r="E36" s="515"/>
      <c r="F36" s="515"/>
      <c r="G36" s="515"/>
      <c r="H36" s="515"/>
      <c r="I36" s="516"/>
      <c r="J36" s="1"/>
      <c r="K36" s="1"/>
    </row>
    <row r="37" spans="1:11" ht="12.75" x14ac:dyDescent="0.2">
      <c r="A37" s="9"/>
      <c r="B37" s="517"/>
      <c r="C37" s="504"/>
      <c r="D37" s="504"/>
      <c r="E37" s="504"/>
      <c r="F37" s="504"/>
      <c r="G37" s="504"/>
      <c r="H37" s="504"/>
      <c r="I37" s="505"/>
      <c r="J37" s="1"/>
      <c r="K37" s="1"/>
    </row>
    <row r="38" spans="1:11" ht="12.75" customHeight="1" x14ac:dyDescent="0.2">
      <c r="A38" s="9"/>
      <c r="B38" s="497" t="s">
        <v>28</v>
      </c>
      <c r="C38" s="497" t="s">
        <v>29</v>
      </c>
      <c r="D38" s="499" t="s">
        <v>285</v>
      </c>
      <c r="E38" s="500" t="s">
        <v>286</v>
      </c>
      <c r="F38" s="497" t="s">
        <v>30</v>
      </c>
      <c r="G38" s="499" t="s">
        <v>287</v>
      </c>
      <c r="H38" s="500" t="s">
        <v>288</v>
      </c>
      <c r="I38" s="499" t="s">
        <v>289</v>
      </c>
      <c r="J38" s="1"/>
      <c r="K38" s="1"/>
    </row>
    <row r="39" spans="1:11" ht="12.75" x14ac:dyDescent="0.2">
      <c r="A39" s="10"/>
      <c r="B39" s="498"/>
      <c r="C39" s="498"/>
      <c r="D39" s="498"/>
      <c r="E39" s="498"/>
      <c r="F39" s="498"/>
      <c r="G39" s="498"/>
      <c r="H39" s="498"/>
      <c r="I39" s="498"/>
      <c r="J39" s="1"/>
      <c r="K39" s="1"/>
    </row>
    <row r="40" spans="1:11" ht="12.75" customHeight="1" x14ac:dyDescent="0.2">
      <c r="A40" s="12"/>
      <c r="B40" s="11">
        <v>1</v>
      </c>
      <c r="C40" s="235" t="s">
        <v>290</v>
      </c>
      <c r="D40" s="233"/>
      <c r="E40" s="233"/>
      <c r="F40" s="233"/>
      <c r="G40" s="233"/>
      <c r="H40" s="233"/>
      <c r="I40" s="234"/>
      <c r="J40" s="1"/>
      <c r="K40" s="1"/>
    </row>
    <row r="41" spans="1:11" ht="12.75" customHeight="1" x14ac:dyDescent="0.2">
      <c r="A41" s="12"/>
      <c r="B41" s="25" t="s">
        <v>31</v>
      </c>
      <c r="C41" s="26" t="s">
        <v>302</v>
      </c>
      <c r="D41" s="27"/>
      <c r="E41" s="28"/>
      <c r="F41" s="29"/>
      <c r="G41" s="27">
        <f ca="1">SUMIF($C$1:$C$35,$C41,$G$1:$G$35)</f>
        <v>554030.29999999993</v>
      </c>
      <c r="H41" s="30">
        <f ca="1">G41*('Dados de Entrada'!$E$7/12)</f>
        <v>554030.29999999993</v>
      </c>
      <c r="I41" s="512">
        <f ca="1">H41+H42</f>
        <v>710416.28999999992</v>
      </c>
      <c r="J41" s="1"/>
      <c r="K41" s="1"/>
    </row>
    <row r="42" spans="1:11" ht="12.75" x14ac:dyDescent="0.2">
      <c r="A42" s="1"/>
      <c r="B42" s="25" t="s">
        <v>32</v>
      </c>
      <c r="C42" s="26" t="s">
        <v>303</v>
      </c>
      <c r="D42" s="31"/>
      <c r="E42" s="32"/>
      <c r="F42" s="33"/>
      <c r="G42" s="27">
        <f ca="1">SUMIF($C$1:$C$35,$C42,$G$1:$G$35)</f>
        <v>156385.99</v>
      </c>
      <c r="H42" s="30">
        <f ca="1">G42*('Dados de Entrada'!$E$7/12)</f>
        <v>156385.99</v>
      </c>
      <c r="I42" s="513"/>
      <c r="J42" s="1"/>
      <c r="K42" s="1"/>
    </row>
    <row r="43" spans="1:11" ht="12.75" x14ac:dyDescent="0.2">
      <c r="A43" s="1"/>
      <c r="B43" s="25" t="s">
        <v>294</v>
      </c>
      <c r="C43" s="26" t="s">
        <v>295</v>
      </c>
      <c r="D43" s="34"/>
      <c r="E43" s="35"/>
      <c r="F43" s="33"/>
      <c r="G43" s="27">
        <f ca="1">SUMIF($C$1:$C$35,$C43,$G$1:$G$35)</f>
        <v>15855</v>
      </c>
      <c r="H43" s="30">
        <f ca="1">G43*('Dados de Entrada'!$E$7/12)</f>
        <v>15855</v>
      </c>
      <c r="I43" s="30">
        <f ca="1">H43</f>
        <v>15855</v>
      </c>
      <c r="J43" s="1"/>
      <c r="K43" s="1"/>
    </row>
    <row r="44" spans="1:11" ht="12.75" x14ac:dyDescent="0.2">
      <c r="A44" s="1"/>
      <c r="B44" s="25" t="s">
        <v>297</v>
      </c>
      <c r="C44" s="26" t="s">
        <v>298</v>
      </c>
      <c r="D44" s="34"/>
      <c r="E44" s="35"/>
      <c r="F44" s="33"/>
      <c r="G44" s="27">
        <f ca="1">SUMIF($C$1:$C$35,$C44,$G$1:$G$35)</f>
        <v>8079</v>
      </c>
      <c r="H44" s="30">
        <f ca="1">G44*('Dados de Entrada'!$E$7/12)</f>
        <v>8079</v>
      </c>
      <c r="I44" s="30">
        <f ca="1">H44</f>
        <v>8079</v>
      </c>
      <c r="J44" s="1"/>
      <c r="K44" s="1"/>
    </row>
    <row r="45" spans="1:11" ht="12.75" x14ac:dyDescent="0.2">
      <c r="A45" s="1"/>
      <c r="B45" s="1"/>
      <c r="C45" s="1"/>
      <c r="D45" s="1"/>
      <c r="E45" s="1"/>
      <c r="F45" s="23" t="s">
        <v>35</v>
      </c>
      <c r="G45" s="24">
        <f ca="1">G41+G42</f>
        <v>710416.28999999992</v>
      </c>
      <c r="H45" s="23" t="s">
        <v>36</v>
      </c>
      <c r="I45" s="24">
        <f ca="1">I41+I42+I43+I44</f>
        <v>734350.28999999992</v>
      </c>
      <c r="J45" s="1"/>
      <c r="K45" s="1"/>
    </row>
    <row r="46" spans="1:11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</row>
  </sheetData>
  <sheetProtection algorithmName="SHA-512" hashValue="hhdcV2ov/QgwxCf8kCLT1cRpIFawyvM4t7NsQHyVcR7ePIenTGn+GybB3Oo74GYPEmC/JnHWjrPgdiRuefmyRQ==" saltValue="PDDzIbEYdP694AbC0LVoiA==" spinCount="100000" sheet="1" objects="1" scenarios="1"/>
  <mergeCells count="39">
    <mergeCell ref="B17:B18"/>
    <mergeCell ref="I41:I42"/>
    <mergeCell ref="B36:I37"/>
    <mergeCell ref="B38:B39"/>
    <mergeCell ref="C38:C39"/>
    <mergeCell ref="D38:D39"/>
    <mergeCell ref="E38:E39"/>
    <mergeCell ref="F38:F39"/>
    <mergeCell ref="G38:G39"/>
    <mergeCell ref="H38:H39"/>
    <mergeCell ref="I38:I39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B27:B28"/>
    <mergeCell ref="C27:C28"/>
    <mergeCell ref="D27:D28"/>
    <mergeCell ref="E27:E28"/>
    <mergeCell ref="F27:F28"/>
    <mergeCell ref="C17:C18"/>
    <mergeCell ref="D17:D18"/>
    <mergeCell ref="E17:E18"/>
    <mergeCell ref="I30:I31"/>
    <mergeCell ref="I20:I21"/>
    <mergeCell ref="G27:G28"/>
    <mergeCell ref="H27:H28"/>
    <mergeCell ref="I27:I28"/>
    <mergeCell ref="F17:F18"/>
    <mergeCell ref="G17:G18"/>
    <mergeCell ref="H17:H18"/>
    <mergeCell ref="I17:I1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AB24"/>
  <sheetViews>
    <sheetView showGridLines="0" workbookViewId="0">
      <pane ySplit="4" topLeftCell="A5" activePane="bottomLeft" state="frozen"/>
      <selection sqref="A1:B1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8" ht="30" customHeight="1" x14ac:dyDescent="0.2">
      <c r="A1" s="263" t="s">
        <v>300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</row>
    <row r="2" spans="1:28" ht="17.100000000000001" customHeight="1" x14ac:dyDescent="0.2">
      <c r="A2" s="264"/>
      <c r="B2" s="264"/>
      <c r="C2" s="265"/>
      <c r="D2" s="265"/>
      <c r="E2" s="266"/>
      <c r="F2" s="267" t="s">
        <v>340</v>
      </c>
      <c r="G2" s="268"/>
      <c r="H2" s="268"/>
      <c r="I2" s="268"/>
      <c r="J2" s="269"/>
      <c r="K2" s="270" t="s">
        <v>354</v>
      </c>
      <c r="L2" s="270"/>
      <c r="M2" s="270"/>
      <c r="N2" s="270"/>
      <c r="O2" s="270"/>
      <c r="P2" s="270"/>
      <c r="Q2" s="271"/>
      <c r="R2" s="272" t="s">
        <v>344</v>
      </c>
      <c r="S2" s="273"/>
      <c r="T2" s="273"/>
      <c r="U2" s="273"/>
      <c r="V2" s="272" t="s">
        <v>345</v>
      </c>
      <c r="W2" s="273"/>
      <c r="X2" s="269"/>
      <c r="Y2" s="520" t="s">
        <v>351</v>
      </c>
    </row>
    <row r="3" spans="1:28" ht="17.100000000000001" customHeight="1" x14ac:dyDescent="0.2">
      <c r="A3" s="274"/>
      <c r="B3" s="274"/>
      <c r="C3" s="275"/>
      <c r="D3" s="275"/>
      <c r="E3" s="276"/>
      <c r="F3" s="277" t="s">
        <v>341</v>
      </c>
      <c r="G3" s="267" t="s">
        <v>50</v>
      </c>
      <c r="H3" s="269"/>
      <c r="I3" s="267" t="s">
        <v>51</v>
      </c>
      <c r="J3" s="269"/>
      <c r="K3" s="271" t="s">
        <v>355</v>
      </c>
      <c r="L3" s="271"/>
      <c r="M3" s="271"/>
      <c r="N3" s="270" t="s">
        <v>356</v>
      </c>
      <c r="O3" s="271"/>
      <c r="P3" s="267"/>
      <c r="Q3" s="521" t="s">
        <v>227</v>
      </c>
      <c r="R3" s="521" t="s">
        <v>319</v>
      </c>
      <c r="S3" s="521" t="s">
        <v>85</v>
      </c>
      <c r="T3" s="521" t="s">
        <v>339</v>
      </c>
      <c r="U3" s="521" t="s">
        <v>348</v>
      </c>
      <c r="V3" s="518" t="s">
        <v>346</v>
      </c>
      <c r="W3" s="518" t="s">
        <v>347</v>
      </c>
      <c r="X3" s="518" t="s">
        <v>228</v>
      </c>
      <c r="Y3" s="518"/>
    </row>
    <row r="4" spans="1:28" ht="38.25" x14ac:dyDescent="0.2">
      <c r="A4" s="278" t="s">
        <v>304</v>
      </c>
      <c r="B4" s="278" t="s">
        <v>224</v>
      </c>
      <c r="C4" s="279" t="s">
        <v>273</v>
      </c>
      <c r="D4" s="279" t="s">
        <v>25</v>
      </c>
      <c r="E4" s="279" t="s">
        <v>26</v>
      </c>
      <c r="F4" s="277" t="s">
        <v>343</v>
      </c>
      <c r="G4" s="277" t="s">
        <v>89</v>
      </c>
      <c r="H4" s="277" t="s">
        <v>342</v>
      </c>
      <c r="I4" s="277" t="s">
        <v>89</v>
      </c>
      <c r="J4" s="277" t="s">
        <v>342</v>
      </c>
      <c r="K4" s="277" t="s">
        <v>418</v>
      </c>
      <c r="L4" s="277" t="s">
        <v>320</v>
      </c>
      <c r="M4" s="277" t="s">
        <v>104</v>
      </c>
      <c r="N4" s="277" t="s">
        <v>418</v>
      </c>
      <c r="O4" s="277" t="s">
        <v>320</v>
      </c>
      <c r="P4" s="277" t="s">
        <v>104</v>
      </c>
      <c r="Q4" s="519"/>
      <c r="R4" s="519"/>
      <c r="S4" s="519"/>
      <c r="T4" s="519"/>
      <c r="U4" s="519"/>
      <c r="V4" s="519"/>
      <c r="W4" s="519"/>
      <c r="X4" s="519"/>
      <c r="Y4" s="519"/>
    </row>
    <row r="5" spans="1:28" ht="25.5" x14ac:dyDescent="0.2">
      <c r="A5" s="262">
        <v>16</v>
      </c>
      <c r="B5" s="257">
        <v>112</v>
      </c>
      <c r="C5" s="258" t="s">
        <v>424</v>
      </c>
      <c r="D5" s="252">
        <v>30</v>
      </c>
      <c r="E5" s="252" t="s">
        <v>375</v>
      </c>
      <c r="F5" s="388">
        <v>1725</v>
      </c>
      <c r="G5" s="253">
        <v>0.4</v>
      </c>
      <c r="H5" s="254">
        <f t="shared" ref="H5:H7" si="0">IFERROR($F5*G5,0)</f>
        <v>690</v>
      </c>
      <c r="I5" s="253">
        <v>0.6</v>
      </c>
      <c r="J5" s="254">
        <f t="shared" ref="J5:J7" si="1">IFERROR($F5*I5,0)</f>
        <v>1035</v>
      </c>
      <c r="K5" s="255">
        <f>Relação_de_Veiculos!M6</f>
        <v>0.90169999999999995</v>
      </c>
      <c r="L5" s="255">
        <f>VLOOKUP(E5,BD!$D$1:$I$9,4,0)</f>
        <v>1.8731</v>
      </c>
      <c r="M5" s="256">
        <f t="shared" ref="M5:M7" si="2">SUM(K5:L5)</f>
        <v>2.7747999999999999</v>
      </c>
      <c r="N5" s="256">
        <f>Relação_de_Veiculos!N6</f>
        <v>0.69359999999999999</v>
      </c>
      <c r="O5" s="256">
        <f>VLOOKUP(E5,BD!$D$1:$I$9,5,0)</f>
        <v>1.7455000000000001</v>
      </c>
      <c r="P5" s="256">
        <f t="shared" ref="P5:P7" si="3">SUM(N5:O5)</f>
        <v>2.4390999999999998</v>
      </c>
      <c r="Q5" s="251">
        <f t="shared" ref="Q5:Q7" si="4">(H5*M5)+(J5*P5)</f>
        <v>4439.0805</v>
      </c>
      <c r="R5" s="259">
        <f>Relação_de_Veiculos!K6</f>
        <v>2075.94</v>
      </c>
      <c r="S5" s="259">
        <f ca="1">Relação_de_Veiculos!L6</f>
        <v>0</v>
      </c>
      <c r="T5" s="259">
        <f>VLOOKUP(E5,BD!$D$1:$I$9,6,0)</f>
        <v>12074.730000000001</v>
      </c>
      <c r="U5" s="259">
        <f t="shared" ref="U5:U7" ca="1" si="5">SUM(R5:T5)</f>
        <v>14150.670000000002</v>
      </c>
      <c r="V5" s="251">
        <f t="shared" ref="V5:V7" ca="1" si="6">SUM(Q5,U5)</f>
        <v>18589.750500000002</v>
      </c>
      <c r="W5" s="251">
        <f ca="1">ROUND(Q5*(1+BDI!$B$18),4)+ROUND((U5*(1+BDI!$B$18)),2)</f>
        <v>25279.930700000001</v>
      </c>
      <c r="X5" s="260">
        <f t="shared" ref="X5:X7" ca="1" si="7">SUM(W5)/F5</f>
        <v>14.655032289855074</v>
      </c>
      <c r="Y5" s="261">
        <f t="shared" ref="Y5:Y7" ca="1" si="8">(W5*10)</f>
        <v>252799.307</v>
      </c>
      <c r="AA5" s="447">
        <f t="shared" ref="AA5:AA7" si="9">G5+I5</f>
        <v>1</v>
      </c>
      <c r="AB5" s="200">
        <v>0</v>
      </c>
    </row>
    <row r="6" spans="1:28" ht="38.25" x14ac:dyDescent="0.2">
      <c r="A6" s="176">
        <v>16</v>
      </c>
      <c r="B6" s="175">
        <v>113</v>
      </c>
      <c r="C6" s="258" t="s">
        <v>425</v>
      </c>
      <c r="D6" s="252">
        <v>32</v>
      </c>
      <c r="E6" s="252" t="s">
        <v>376</v>
      </c>
      <c r="F6" s="388">
        <v>1375</v>
      </c>
      <c r="G6" s="253">
        <v>0.6</v>
      </c>
      <c r="H6" s="254">
        <f t="shared" si="0"/>
        <v>825</v>
      </c>
      <c r="I6" s="253">
        <v>0.4</v>
      </c>
      <c r="J6" s="254">
        <f t="shared" si="1"/>
        <v>550</v>
      </c>
      <c r="K6" s="255">
        <f>Relação_de_Veiculos!M7</f>
        <v>0.55840000000000001</v>
      </c>
      <c r="L6" s="255">
        <f>VLOOKUP(E6,BD!$D$1:$I$9,4,0)</f>
        <v>1.8796999999999999</v>
      </c>
      <c r="M6" s="256">
        <f t="shared" si="2"/>
        <v>2.4380999999999999</v>
      </c>
      <c r="N6" s="256">
        <f>Relação_de_Veiculos!N7</f>
        <v>0.42959999999999998</v>
      </c>
      <c r="O6" s="256">
        <f>VLOOKUP(E6,BD!$D$1:$I$9,5,0)</f>
        <v>1.7505999999999999</v>
      </c>
      <c r="P6" s="256">
        <f t="shared" si="3"/>
        <v>2.1802000000000001</v>
      </c>
      <c r="Q6" s="251">
        <f t="shared" si="4"/>
        <v>3210.5425</v>
      </c>
      <c r="R6" s="259">
        <f>Relação_de_Veiculos!K7</f>
        <v>1220.4100000000001</v>
      </c>
      <c r="S6" s="259">
        <f ca="1">Relação_de_Veiculos!L7</f>
        <v>0</v>
      </c>
      <c r="T6" s="259">
        <f>VLOOKUP(E6,BD!$D$1:$I$9,6,0)</f>
        <v>12074.730000000001</v>
      </c>
      <c r="U6" s="259">
        <f t="shared" ca="1" si="5"/>
        <v>13295.140000000001</v>
      </c>
      <c r="V6" s="251">
        <f t="shared" ca="1" si="6"/>
        <v>16505.682500000003</v>
      </c>
      <c r="W6" s="251">
        <f ca="1">ROUND(Q6*(1+BDI!$B$18),4)+ROUND((U6*(1+BDI!$B$18)),2)</f>
        <v>22445.839799999998</v>
      </c>
      <c r="X6" s="260">
        <f t="shared" ca="1" si="7"/>
        <v>16.324247127272727</v>
      </c>
      <c r="Y6" s="261">
        <f t="shared" ca="1" si="8"/>
        <v>224458.39799999999</v>
      </c>
      <c r="AA6" s="447">
        <f t="shared" si="9"/>
        <v>1</v>
      </c>
      <c r="AB6" s="200">
        <v>0</v>
      </c>
    </row>
    <row r="7" spans="1:28" ht="25.5" x14ac:dyDescent="0.2">
      <c r="A7" s="176">
        <v>16</v>
      </c>
      <c r="B7" s="175">
        <v>114</v>
      </c>
      <c r="C7" s="258" t="s">
        <v>426</v>
      </c>
      <c r="D7" s="252">
        <v>32</v>
      </c>
      <c r="E7" s="252" t="s">
        <v>376</v>
      </c>
      <c r="F7" s="388">
        <v>1649</v>
      </c>
      <c r="G7" s="253">
        <v>0.6</v>
      </c>
      <c r="H7" s="254">
        <f t="shared" si="0"/>
        <v>989.4</v>
      </c>
      <c r="I7" s="253">
        <v>0.4</v>
      </c>
      <c r="J7" s="254">
        <f t="shared" si="1"/>
        <v>659.6</v>
      </c>
      <c r="K7" s="255">
        <f>Relação_de_Veiculos!M8</f>
        <v>0.55840000000000001</v>
      </c>
      <c r="L7" s="255">
        <f>VLOOKUP(E7,BD!$D$1:$I$9,4,0)</f>
        <v>1.8796999999999999</v>
      </c>
      <c r="M7" s="256">
        <f t="shared" si="2"/>
        <v>2.4380999999999999</v>
      </c>
      <c r="N7" s="256">
        <f>Relação_de_Veiculos!N8</f>
        <v>0.42959999999999998</v>
      </c>
      <c r="O7" s="256">
        <f>VLOOKUP(E7,BD!$D$1:$I$9,5,0)</f>
        <v>1.7505999999999999</v>
      </c>
      <c r="P7" s="256">
        <f t="shared" si="3"/>
        <v>2.1802000000000001</v>
      </c>
      <c r="Q7" s="251">
        <f t="shared" si="4"/>
        <v>3850.3160600000001</v>
      </c>
      <c r="R7" s="259">
        <f>Relação_de_Veiculos!K8</f>
        <v>1220.4100000000001</v>
      </c>
      <c r="S7" s="259">
        <f ca="1">Relação_de_Veiculos!L8</f>
        <v>0</v>
      </c>
      <c r="T7" s="259">
        <f>VLOOKUP(E7,BD!$D$1:$I$9,6,0)</f>
        <v>12074.730000000001</v>
      </c>
      <c r="U7" s="259">
        <f t="shared" ca="1" si="5"/>
        <v>13295.140000000001</v>
      </c>
      <c r="V7" s="251">
        <f t="shared" ca="1" si="6"/>
        <v>17145.45606</v>
      </c>
      <c r="W7" s="251">
        <f ca="1">ROUND(Q7*(1+BDI!$B$18),4)+ROUND((U7*(1+BDI!$B$18)),2)</f>
        <v>23315.858499999998</v>
      </c>
      <c r="X7" s="260">
        <f t="shared" ca="1" si="7"/>
        <v>14.139392662219526</v>
      </c>
      <c r="Y7" s="261">
        <f t="shared" ca="1" si="8"/>
        <v>233158.58499999999</v>
      </c>
      <c r="AA7" s="447">
        <f t="shared" si="9"/>
        <v>1</v>
      </c>
      <c r="AB7" s="200">
        <v>0</v>
      </c>
    </row>
    <row r="8" spans="1:28" ht="12.75" x14ac:dyDescent="0.2">
      <c r="A8" s="176"/>
      <c r="B8" s="175"/>
      <c r="C8" s="177"/>
      <c r="D8" s="178"/>
      <c r="E8" s="178"/>
      <c r="F8" s="178"/>
      <c r="G8" s="178"/>
      <c r="H8" s="180"/>
      <c r="I8" s="178"/>
      <c r="J8" s="180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75"/>
      <c r="Y8" s="175"/>
    </row>
    <row r="9" spans="1:28" ht="12.75" x14ac:dyDescent="0.2">
      <c r="A9" s="36"/>
      <c r="B9" s="36"/>
      <c r="C9" s="36"/>
      <c r="D9" s="36"/>
      <c r="E9" s="182" t="s">
        <v>27</v>
      </c>
      <c r="F9" s="183">
        <f>SUBTOTAL(9,F5:F8)</f>
        <v>4749</v>
      </c>
      <c r="G9" s="184"/>
      <c r="H9" s="183">
        <f>SUBTOTAL(9,H5:H8)</f>
        <v>2504.4</v>
      </c>
      <c r="I9" s="184"/>
      <c r="J9" s="183">
        <f>SUBTOTAL(9,J5:J8)</f>
        <v>2244.6</v>
      </c>
      <c r="K9" s="185"/>
      <c r="L9" s="185"/>
      <c r="M9" s="186"/>
      <c r="N9" s="186"/>
      <c r="O9" s="186"/>
      <c r="P9" s="186"/>
      <c r="Q9" s="187">
        <f t="shared" ref="Q9:W9" si="10">SUBTOTAL(9,Q5:Q8)</f>
        <v>11499.939060000001</v>
      </c>
      <c r="R9" s="187">
        <f t="shared" si="10"/>
        <v>4516.76</v>
      </c>
      <c r="S9" s="187">
        <f t="shared" ca="1" si="10"/>
        <v>0</v>
      </c>
      <c r="T9" s="187">
        <f t="shared" si="10"/>
        <v>36224.19</v>
      </c>
      <c r="U9" s="187">
        <f t="shared" ca="1" si="10"/>
        <v>40740.950000000004</v>
      </c>
      <c r="V9" s="187">
        <f t="shared" ca="1" si="10"/>
        <v>52240.889060000001</v>
      </c>
      <c r="W9" s="187">
        <f t="shared" ca="1" si="10"/>
        <v>71041.629000000001</v>
      </c>
      <c r="X9" s="187">
        <f t="shared" ref="X9" ca="1" si="11">SUM(W9)/F9</f>
        <v>14.959281743524953</v>
      </c>
      <c r="Y9" s="187">
        <f ca="1">SUBTOTAL(9,Y5:Y8)</f>
        <v>710416.28999999992</v>
      </c>
    </row>
    <row r="10" spans="1:28" ht="12.75" x14ac:dyDescent="0.2">
      <c r="E10" s="188"/>
      <c r="F10" s="188"/>
      <c r="G10" s="188"/>
      <c r="H10" s="188"/>
      <c r="I10" s="188"/>
      <c r="J10" s="188"/>
      <c r="K10" s="56"/>
      <c r="L10" s="56"/>
      <c r="M10" s="56"/>
      <c r="N10" s="56"/>
      <c r="O10" s="56"/>
      <c r="P10" s="56"/>
      <c r="Q10" s="189"/>
      <c r="R10" s="56"/>
      <c r="S10" s="56"/>
      <c r="T10" s="56"/>
      <c r="U10" s="189"/>
      <c r="V10" s="56"/>
      <c r="W10" s="56"/>
      <c r="X10" s="56"/>
      <c r="Y10" s="56"/>
    </row>
    <row r="11" spans="1:28" ht="12.75" x14ac:dyDescent="0.2">
      <c r="E11" s="188"/>
      <c r="F11" s="188"/>
      <c r="G11" s="188"/>
      <c r="H11" s="190"/>
      <c r="I11" s="188"/>
      <c r="J11" s="190"/>
      <c r="K11" s="56"/>
      <c r="L11" s="56"/>
      <c r="M11" s="56"/>
      <c r="N11" s="56"/>
      <c r="O11" s="56"/>
      <c r="P11" s="56"/>
      <c r="Q11" s="191"/>
      <c r="R11" s="56"/>
      <c r="S11" s="56"/>
      <c r="T11" s="56"/>
      <c r="U11" s="191"/>
      <c r="V11" s="191"/>
      <c r="W11" s="191"/>
      <c r="X11" s="191"/>
      <c r="Y11" s="191"/>
    </row>
    <row r="12" spans="1:28" ht="12.75" x14ac:dyDescent="0.2">
      <c r="E12" s="188"/>
      <c r="F12" s="188"/>
      <c r="G12" s="188"/>
      <c r="H12" s="188"/>
      <c r="I12" s="188"/>
      <c r="J12" s="188"/>
      <c r="K12" s="56"/>
      <c r="L12" s="56"/>
      <c r="M12" s="56"/>
      <c r="N12" s="56"/>
      <c r="O12" s="56"/>
      <c r="P12" s="56"/>
      <c r="Q12" s="191"/>
      <c r="R12" s="56"/>
      <c r="S12" s="56"/>
      <c r="T12" s="56"/>
      <c r="U12" s="191"/>
      <c r="V12" s="191"/>
      <c r="W12" s="191"/>
      <c r="X12" s="191"/>
      <c r="Y12" s="191"/>
    </row>
    <row r="13" spans="1:28" ht="12.75" x14ac:dyDescent="0.2">
      <c r="E13" s="188"/>
      <c r="F13" s="429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191"/>
      <c r="Z13" s="60"/>
    </row>
    <row r="14" spans="1:28" ht="15.75" customHeight="1" x14ac:dyDescent="0.2">
      <c r="F14" s="430"/>
      <c r="Q14" s="191"/>
      <c r="U14" s="191"/>
      <c r="V14" s="191"/>
      <c r="W14" s="191"/>
      <c r="X14" s="191"/>
      <c r="Y14" s="179"/>
      <c r="Z14" s="60"/>
    </row>
    <row r="15" spans="1:28" ht="15.75" customHeight="1" x14ac:dyDescent="0.2">
      <c r="Q15" s="191"/>
      <c r="U15" s="191"/>
      <c r="V15" s="191"/>
      <c r="W15" s="191"/>
      <c r="X15" s="191"/>
      <c r="Y15" s="382"/>
    </row>
    <row r="16" spans="1:28" ht="15.75" customHeight="1" x14ac:dyDescent="0.2">
      <c r="V16" s="191"/>
      <c r="W16" s="191"/>
      <c r="Y16" s="191"/>
    </row>
    <row r="17" spans="17:25" ht="15.75" customHeight="1" x14ac:dyDescent="0.2">
      <c r="Y17" s="191"/>
    </row>
    <row r="18" spans="17:25" ht="15.75" customHeight="1" x14ac:dyDescent="0.2">
      <c r="Q18" s="191"/>
      <c r="U18" s="191"/>
      <c r="V18" s="191"/>
      <c r="W18" s="191"/>
      <c r="X18" s="191"/>
      <c r="Y18" s="191"/>
    </row>
    <row r="19" spans="17:25" ht="15.75" customHeight="1" x14ac:dyDescent="0.2">
      <c r="V19" s="227"/>
      <c r="W19" s="227"/>
      <c r="Y19" s="382"/>
    </row>
    <row r="20" spans="17:25" ht="15.75" customHeight="1" x14ac:dyDescent="0.2">
      <c r="Y20" s="191"/>
    </row>
    <row r="21" spans="17:25" ht="15.75" customHeight="1" x14ac:dyDescent="0.2">
      <c r="Y21" s="226"/>
    </row>
    <row r="24" spans="17:25" ht="15.75" customHeight="1" x14ac:dyDescent="0.2">
      <c r="Y24" s="179"/>
    </row>
  </sheetData>
  <sheetProtection algorithmName="SHA-512" hashValue="xxcei/IA8OasEUp1bTcqUxzYclOwSJceTl4kY4ACPnK0Bfpcf3VRAO1OcdWnlgcOmERi5l/DNI4UQJzQRGDYPg==" saltValue="3K7xXexrxC8yKQ38CvlWwA==" spinCount="100000" sheet="1" objects="1" scenarios="1"/>
  <autoFilter ref="A4:E7" xr:uid="{8ACC4AFA-A65F-4F97-BEE5-9183177638A8}"/>
  <sortState xmlns:xlrd2="http://schemas.microsoft.com/office/spreadsheetml/2017/richdata2" ref="A5:Y7">
    <sortCondition ref="A5:A7"/>
    <sortCondition ref="B5:B7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8" xr:uid="{755814A4-6997-45A0-816B-A0D0807286AB}">
      <formula1>"Ônibus 01,Ônibus 02,Ônibus 03,Micro-ônibus 01,Micro-ônibus 02,Micro-ônibus 03,Van"</formula1>
    </dataValidation>
    <dataValidation allowBlank="1" showInputMessage="1" showErrorMessage="1" sqref="F8:I8 H5:H7" xr:uid="{08564AAE-2EE1-4F59-92CA-5EA3346F3E9C}"/>
    <dataValidation type="list" allowBlank="1" sqref="E5:E7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8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22" t="s">
        <v>323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</row>
    <row r="3" spans="1:21" x14ac:dyDescent="0.2">
      <c r="A3" s="524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8" t="s">
        <v>224</v>
      </c>
      <c r="B5" s="279" t="s">
        <v>273</v>
      </c>
      <c r="C5" s="279" t="s">
        <v>25</v>
      </c>
      <c r="D5" s="279" t="s">
        <v>26</v>
      </c>
      <c r="E5" s="279" t="s">
        <v>324</v>
      </c>
      <c r="F5" s="279" t="s">
        <v>325</v>
      </c>
      <c r="G5" s="279" t="s">
        <v>326</v>
      </c>
      <c r="H5" s="279" t="s">
        <v>327</v>
      </c>
      <c r="I5" s="279" t="s">
        <v>321</v>
      </c>
      <c r="J5" s="279" t="s">
        <v>322</v>
      </c>
      <c r="K5" s="279" t="s">
        <v>328</v>
      </c>
      <c r="L5" s="279" t="s">
        <v>329</v>
      </c>
      <c r="M5" s="279" t="s">
        <v>333</v>
      </c>
      <c r="N5" s="279" t="s">
        <v>334</v>
      </c>
    </row>
    <row r="6" spans="1:21" x14ac:dyDescent="0.2">
      <c r="A6" s="306">
        <f>Rotas!B5</f>
        <v>112</v>
      </c>
      <c r="B6" s="307" t="str">
        <f>Rotas!C5</f>
        <v>EMILIA / SÃO PAULO / XARÁ / MORUNGAVA</v>
      </c>
      <c r="C6" s="306">
        <f>Rotas!D5</f>
        <v>30</v>
      </c>
      <c r="D6" s="307" t="str">
        <f>Rotas!E5</f>
        <v>Ônibus 04</v>
      </c>
      <c r="E6" s="399"/>
      <c r="F6" s="399" t="str">
        <f>VLOOKUP($D6,BD!$S$2:$Y$8,3,0)</f>
        <v>MARCOPOLO</v>
      </c>
      <c r="G6" s="399" t="str">
        <f>VLOOKUP($D6,BD!$S$2:$Y$8,4,0)</f>
        <v>Marcopolo Volare Escolar V8L 4x4 (diesel E5)</v>
      </c>
      <c r="H6" s="399">
        <f>VLOOKUP($D6,BD!$S$2:$Y$8,5,0)</f>
        <v>2013</v>
      </c>
      <c r="I6" s="399" t="str">
        <f>VLOOKUP($D6,BD!$S$2:$Y$8,6,0)</f>
        <v>508039-8</v>
      </c>
      <c r="J6" s="400">
        <f>VLOOKUP($D6,BD!$S$2:$Y$8,7,0)</f>
        <v>200574</v>
      </c>
      <c r="K6" s="308">
        <f>_xlfn.IFNA(ROUND((((1+'Dados de Entrada'!$F$16)*(1+'Dados de Entrada'!$F$17)*(1+'Dados de Entrada'!$F$18)*(1+'Dados de Entrada'!$F$19)*(1+'Dados de Entrada'!$F$20)*(1+'Dados de Entrada'!$F$21)-1)*J6)/'Dados de Entrada'!$E$7,2),0)</f>
        <v>2075.94</v>
      </c>
      <c r="L6" s="308">
        <f t="array" aca="1" ref="L6" ca="1">ROUND(J6*((10-IF((YEAR('Dados de Entrada'!$E$9)-H6)&gt;10,10,(YEAR('Dados de Entrada'!$E$9)-H6)))/SUM(10-(ROW(INDIRECT("1:"&amp;10))-1)))*(1-0.15),2)</f>
        <v>0</v>
      </c>
      <c r="M6" s="309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0.90169999999999995</v>
      </c>
      <c r="N6" s="309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0.69359999999999999</v>
      </c>
      <c r="O6" s="436"/>
      <c r="P6" s="60"/>
      <c r="S6" s="383"/>
      <c r="T6" s="383"/>
      <c r="U6" s="383"/>
    </row>
    <row r="7" spans="1:21" x14ac:dyDescent="0.2">
      <c r="A7" s="310">
        <f>Rotas!B6</f>
        <v>113</v>
      </c>
      <c r="B7" s="311" t="str">
        <f>Rotas!C6</f>
        <v>EMILIA / SÃO PAULO / PEDREIRA / ESTRADA DA PALHA</v>
      </c>
      <c r="C7" s="310">
        <f>Rotas!D6</f>
        <v>32</v>
      </c>
      <c r="D7" s="311" t="str">
        <f>Rotas!E6</f>
        <v>Ônibus 06</v>
      </c>
      <c r="E7" s="401"/>
      <c r="F7" s="399" t="str">
        <f>VLOOKUP($D7,BD!$S$2:$Y$8,3,0)</f>
        <v>MARCOPOLO</v>
      </c>
      <c r="G7" s="399" t="str">
        <f>VLOOKUP($D7,BD!$S$2:$Y$8,4,0)</f>
        <v>Marcopolo Volare Escolar/LOT. W8 FLY (diesel E5)</v>
      </c>
      <c r="H7" s="399">
        <f>VLOOKUP($D7,BD!$S$2:$Y$8,5,0)</f>
        <v>2012</v>
      </c>
      <c r="I7" s="399" t="str">
        <f>VLOOKUP($D7,BD!$S$2:$Y$8,6,0)</f>
        <v>508015-0</v>
      </c>
      <c r="J7" s="400">
        <f>VLOOKUP($D7,BD!$S$2:$Y$8,7,0)</f>
        <v>117914</v>
      </c>
      <c r="K7" s="308">
        <f>_xlfn.IFNA(ROUND((((1+'Dados de Entrada'!$F$16)*(1+'Dados de Entrada'!$F$17)*(1+'Dados de Entrada'!$F$18)*(1+'Dados de Entrada'!$F$19)*(1+'Dados de Entrada'!$F$20)*(1+'Dados de Entrada'!$F$21)-1)*J7)/'Dados de Entrada'!$E$7,2),0)</f>
        <v>1220.4100000000001</v>
      </c>
      <c r="L7" s="308">
        <f t="array" aca="1" ref="L7" ca="1">ROUND(J7*((10-IF((YEAR('Dados de Entrada'!$E$9)-H7)&gt;10,10,(YEAR('Dados de Entrada'!$E$9)-H7)))/SUM(10-(ROW(INDIRECT("1:"&amp;10))-1)))*(1-0.15),2)</f>
        <v>0</v>
      </c>
      <c r="M7" s="309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0.55840000000000001</v>
      </c>
      <c r="N7" s="309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0.42959999999999998</v>
      </c>
      <c r="O7" s="436"/>
      <c r="P7" s="60"/>
      <c r="S7" s="383"/>
      <c r="T7" s="383"/>
      <c r="U7" s="383"/>
    </row>
    <row r="8" spans="1:21" x14ac:dyDescent="0.2">
      <c r="A8" s="310">
        <f>Rotas!B7</f>
        <v>114</v>
      </c>
      <c r="B8" s="311" t="str">
        <f>Rotas!C7</f>
        <v>EMILIA / SÃO PAULO / SANTO INÁCIO</v>
      </c>
      <c r="C8" s="310">
        <f>Rotas!D7</f>
        <v>32</v>
      </c>
      <c r="D8" s="311" t="str">
        <f>Rotas!E7</f>
        <v>Ônibus 06</v>
      </c>
      <c r="E8" s="401"/>
      <c r="F8" s="399" t="str">
        <f>VLOOKUP($D8,BD!$S$2:$Y$8,3,0)</f>
        <v>MARCOPOLO</v>
      </c>
      <c r="G8" s="399" t="str">
        <f>VLOOKUP($D8,BD!$S$2:$Y$8,4,0)</f>
        <v>Marcopolo Volare Escolar/LOT. W8 FLY (diesel E5)</v>
      </c>
      <c r="H8" s="399">
        <f>VLOOKUP($D8,BD!$S$2:$Y$8,5,0)</f>
        <v>2012</v>
      </c>
      <c r="I8" s="399" t="str">
        <f>VLOOKUP($D8,BD!$S$2:$Y$8,6,0)</f>
        <v>508015-0</v>
      </c>
      <c r="J8" s="400">
        <f>VLOOKUP($D8,BD!$S$2:$Y$8,7,0)</f>
        <v>117914</v>
      </c>
      <c r="K8" s="308">
        <f>_xlfn.IFNA(ROUND((((1+'Dados de Entrada'!$F$16)*(1+'Dados de Entrada'!$F$17)*(1+'Dados de Entrada'!$F$18)*(1+'Dados de Entrada'!$F$19)*(1+'Dados de Entrada'!$F$20)*(1+'Dados de Entrada'!$F$21)-1)*J8)/'Dados de Entrada'!$E$7,2),0)</f>
        <v>1220.4100000000001</v>
      </c>
      <c r="L8" s="308">
        <f t="array" aca="1" ref="L8" ca="1">ROUND(J8*((10-IF((YEAR('Dados de Entrada'!$E$9)-H8)&gt;10,10,(YEAR('Dados de Entrada'!$E$9)-H8)))/SUM(10-(ROW(INDIRECT("1:"&amp;10))-1)))*(1-0.15),2)</f>
        <v>0</v>
      </c>
      <c r="M8" s="309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0.55840000000000001</v>
      </c>
      <c r="N8" s="309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0.42959999999999998</v>
      </c>
      <c r="O8" s="436"/>
      <c r="P8" s="436"/>
      <c r="S8" s="383"/>
      <c r="T8" s="383"/>
      <c r="U8" s="383"/>
    </row>
  </sheetData>
  <sheetProtection algorithmName="SHA-512" hashValue="q55v1nO6NoVLIu2kaoG7gdTSrQGCMtcRjDqTRNxOFnfB159Y/WcH/DQL7jkfsxvzHBw4QI3J3IBu2avlcFGlGQ==" saltValue="SDIJ3yoeeWn+vPBIQswxOQ==" spinCount="100000" sheet="1" objects="1" scenarios="1"/>
  <autoFilter ref="A5:N8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12"/>
      <c r="C1" s="36"/>
      <c r="D1" s="36"/>
      <c r="E1" s="36"/>
      <c r="F1" s="36"/>
    </row>
    <row r="2" spans="1:6" ht="12.75" customHeight="1" x14ac:dyDescent="0.2">
      <c r="A2" s="312"/>
      <c r="B2" s="38"/>
      <c r="C2" s="526" t="s">
        <v>330</v>
      </c>
      <c r="D2" s="475"/>
      <c r="E2" s="475"/>
      <c r="F2" s="475"/>
    </row>
    <row r="3" spans="1:6" ht="12.75" customHeight="1" x14ac:dyDescent="0.2">
      <c r="A3" s="312"/>
      <c r="B3" s="38"/>
      <c r="C3" s="527"/>
      <c r="D3" s="528"/>
      <c r="E3" s="528"/>
      <c r="F3" s="528"/>
    </row>
    <row r="4" spans="1:6" ht="3.75" customHeight="1" x14ac:dyDescent="0.2">
      <c r="A4" s="312"/>
      <c r="B4" s="312"/>
      <c r="C4" s="74"/>
      <c r="D4" s="74"/>
      <c r="E4" s="74"/>
      <c r="F4" s="74"/>
    </row>
    <row r="5" spans="1:6" ht="15" customHeight="1" x14ac:dyDescent="0.2">
      <c r="A5" s="312"/>
      <c r="B5" s="38"/>
      <c r="C5" s="536" t="s">
        <v>332</v>
      </c>
      <c r="D5" s="537"/>
      <c r="E5" s="537"/>
      <c r="F5" s="537"/>
    </row>
    <row r="6" spans="1:6" ht="15" customHeight="1" x14ac:dyDescent="0.2">
      <c r="A6" s="312"/>
      <c r="B6" s="38"/>
      <c r="C6" s="536"/>
      <c r="D6" s="537"/>
      <c r="E6" s="537"/>
      <c r="F6" s="537"/>
    </row>
    <row r="7" spans="1:6" ht="1.5" customHeight="1" x14ac:dyDescent="0.2">
      <c r="A7" s="312"/>
      <c r="B7" s="38"/>
      <c r="C7" s="535"/>
      <c r="D7" s="453"/>
      <c r="E7" s="453"/>
    </row>
    <row r="8" spans="1:6" ht="15" x14ac:dyDescent="0.2">
      <c r="A8" s="312"/>
      <c r="B8" s="38"/>
      <c r="C8" s="36"/>
      <c r="E8" s="280" t="s">
        <v>3</v>
      </c>
      <c r="F8" s="280" t="s">
        <v>381</v>
      </c>
    </row>
    <row r="9" spans="1:6" ht="12.75" customHeight="1" x14ac:dyDescent="0.2">
      <c r="A9" s="312"/>
      <c r="B9" s="38"/>
      <c r="C9" s="533" t="s">
        <v>37</v>
      </c>
      <c r="D9" s="534"/>
      <c r="E9" s="75" t="s">
        <v>38</v>
      </c>
      <c r="F9" s="75" t="s">
        <v>38</v>
      </c>
    </row>
    <row r="10" spans="1:6" ht="12.75" x14ac:dyDescent="0.2">
      <c r="A10" s="312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12"/>
      <c r="B11" s="38"/>
      <c r="C11" s="529" t="s">
        <v>15</v>
      </c>
      <c r="D11" s="530"/>
      <c r="E11" s="80">
        <f>Motorista!K41</f>
        <v>3968.15</v>
      </c>
      <c r="F11" s="80">
        <f>Motorista!L41</f>
        <v>3370.78</v>
      </c>
    </row>
    <row r="12" spans="1:6" ht="12.75" x14ac:dyDescent="0.2">
      <c r="A12" s="312"/>
      <c r="B12" s="38"/>
      <c r="C12" s="529" t="s">
        <v>249</v>
      </c>
      <c r="D12" s="530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12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12"/>
      <c r="B14" s="38"/>
      <c r="C14" s="529" t="s">
        <v>15</v>
      </c>
      <c r="D14" s="530"/>
      <c r="E14" s="80">
        <f>Monitor!K40</f>
        <v>1717.96</v>
      </c>
      <c r="F14" s="80">
        <f>Monitor!K40</f>
        <v>1717.96</v>
      </c>
    </row>
    <row r="15" spans="1:6" ht="12.75" x14ac:dyDescent="0.2">
      <c r="A15" s="312"/>
      <c r="B15" s="38"/>
      <c r="C15" s="529" t="s">
        <v>249</v>
      </c>
      <c r="D15" s="530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12"/>
      <c r="B16" s="38"/>
      <c r="C16" s="531" t="s">
        <v>45</v>
      </c>
      <c r="D16" s="532"/>
      <c r="E16" s="86">
        <f>E10+E13</f>
        <v>11905.08</v>
      </c>
      <c r="F16" s="86">
        <f>F10+F13</f>
        <v>10883.36</v>
      </c>
    </row>
    <row r="17" spans="1:6" ht="12.75" x14ac:dyDescent="0.2">
      <c r="A17" s="312"/>
      <c r="B17" s="38"/>
      <c r="C17" s="533" t="s">
        <v>232</v>
      </c>
      <c r="D17" s="534"/>
      <c r="E17" s="75" t="s">
        <v>38</v>
      </c>
      <c r="F17" s="75" t="s">
        <v>38</v>
      </c>
    </row>
    <row r="18" spans="1:6" ht="12.75" x14ac:dyDescent="0.2">
      <c r="A18" s="312"/>
      <c r="B18" s="38"/>
      <c r="C18" s="538" t="s">
        <v>234</v>
      </c>
      <c r="D18" s="539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12"/>
      <c r="B19" s="38"/>
      <c r="C19" s="538" t="s">
        <v>235</v>
      </c>
      <c r="D19" s="539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12"/>
      <c r="B20" s="38"/>
      <c r="C20" s="531" t="s">
        <v>233</v>
      </c>
      <c r="D20" s="532"/>
      <c r="E20" s="86">
        <f>E18+E19</f>
        <v>82.74</v>
      </c>
      <c r="F20" s="86">
        <f>F18+F19</f>
        <v>82.74</v>
      </c>
    </row>
    <row r="21" spans="1:6" ht="12.75" x14ac:dyDescent="0.2">
      <c r="A21" s="312"/>
      <c r="B21" s="38"/>
      <c r="C21" s="541" t="s">
        <v>54</v>
      </c>
      <c r="D21" s="532"/>
      <c r="E21" s="93" t="s">
        <v>38</v>
      </c>
      <c r="F21" s="93" t="s">
        <v>38</v>
      </c>
    </row>
    <row r="22" spans="1:6" ht="12.75" x14ac:dyDescent="0.2">
      <c r="A22" s="312"/>
      <c r="B22" s="38"/>
      <c r="C22" s="540" t="s">
        <v>275</v>
      </c>
      <c r="D22" s="530"/>
      <c r="E22" s="88" t="s">
        <v>176</v>
      </c>
      <c r="F22" s="88" t="s">
        <v>176</v>
      </c>
    </row>
    <row r="23" spans="1:6" ht="12.75" x14ac:dyDescent="0.2">
      <c r="A23" s="312"/>
      <c r="B23" s="38"/>
      <c r="C23" s="540" t="s">
        <v>276</v>
      </c>
      <c r="D23" s="530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12"/>
      <c r="B24" s="38"/>
      <c r="C24" s="540" t="s">
        <v>229</v>
      </c>
      <c r="D24" s="530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12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12"/>
      <c r="B26" s="38"/>
      <c r="C26" s="544" t="s">
        <v>370</v>
      </c>
      <c r="D26" s="530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12"/>
      <c r="B27" s="38"/>
      <c r="C27" s="531" t="s">
        <v>57</v>
      </c>
      <c r="D27" s="534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12"/>
      <c r="B28" s="38"/>
      <c r="C28" s="542" t="s">
        <v>60</v>
      </c>
      <c r="D28" s="543"/>
      <c r="E28" s="93" t="s">
        <v>38</v>
      </c>
      <c r="F28" s="93" t="s">
        <v>38</v>
      </c>
    </row>
    <row r="29" spans="1:6" ht="12.75" x14ac:dyDescent="0.2">
      <c r="A29" s="312"/>
      <c r="B29" s="38"/>
      <c r="C29" s="540" t="s">
        <v>62</v>
      </c>
      <c r="D29" s="530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12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6" t="s">
        <v>307</v>
      </c>
      <c r="D33" s="547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6" t="s">
        <v>277</v>
      </c>
      <c r="D34" s="547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6" t="s">
        <v>246</v>
      </c>
      <c r="D35" s="547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8"/>
      <c r="D39" s="549"/>
      <c r="E39" s="94"/>
      <c r="F39" s="94"/>
    </row>
    <row r="40" spans="1:6" ht="12.75" x14ac:dyDescent="0.2">
      <c r="A40" s="36"/>
      <c r="B40" s="36"/>
      <c r="C40" s="531" t="s">
        <v>71</v>
      </c>
      <c r="D40" s="532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5" t="s">
        <v>72</v>
      </c>
      <c r="D41" s="532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l+lk/9eqmyyvsPHvviGCXW2PwevGswgurt1E5li+rI1Jfv/pwA0NXY+oAFn3nFMa3Dz9s228Q1eO6WzwDsMNqg==" saltValue="7jcqhhJFVtL05XgoUQmfcA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12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12"/>
      <c r="B2" s="312"/>
      <c r="C2" s="559" t="s">
        <v>331</v>
      </c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  <c r="Q2" s="560"/>
      <c r="R2" s="560"/>
      <c r="S2" s="560"/>
      <c r="T2" s="560"/>
      <c r="U2" s="560"/>
      <c r="V2" s="560"/>
      <c r="W2" s="560"/>
      <c r="X2" s="560"/>
      <c r="Y2" s="561"/>
    </row>
    <row r="3" spans="1:27" ht="12.75" customHeight="1" x14ac:dyDescent="0.2">
      <c r="A3" s="312"/>
      <c r="B3" s="312"/>
      <c r="C3" s="562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4"/>
    </row>
    <row r="4" spans="1:27" ht="3.75" customHeight="1" x14ac:dyDescent="0.2">
      <c r="A4" s="312"/>
      <c r="B4" s="312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12"/>
      <c r="B5" s="38"/>
      <c r="C5" s="565" t="s">
        <v>274</v>
      </c>
      <c r="D5" s="566"/>
      <c r="E5" s="566"/>
      <c r="F5" s="566"/>
      <c r="G5" s="566"/>
      <c r="H5" s="566"/>
      <c r="I5" s="566"/>
      <c r="J5" s="566"/>
      <c r="K5" s="566"/>
      <c r="L5" s="566"/>
      <c r="M5" s="566"/>
      <c r="N5" s="566"/>
      <c r="O5" s="566"/>
      <c r="P5" s="566"/>
      <c r="Q5" s="566"/>
      <c r="R5" s="566"/>
      <c r="S5" s="566"/>
      <c r="T5" s="566"/>
      <c r="U5" s="566"/>
      <c r="V5" s="566"/>
      <c r="W5" s="566"/>
      <c r="X5" s="566"/>
      <c r="Y5" s="566"/>
    </row>
    <row r="6" spans="1:27" ht="12.75" customHeight="1" x14ac:dyDescent="0.2">
      <c r="A6" s="312"/>
      <c r="B6" s="38"/>
      <c r="C6" s="567"/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8"/>
      <c r="X6" s="568"/>
      <c r="Y6" s="568"/>
    </row>
    <row r="7" spans="1:27" ht="4.5" customHeight="1" x14ac:dyDescent="0.2">
      <c r="A7" s="312"/>
      <c r="B7" s="312"/>
      <c r="C7" s="36"/>
      <c r="H7" s="312"/>
      <c r="I7" s="36"/>
      <c r="J7" s="36"/>
      <c r="K7" s="36"/>
      <c r="L7" s="36"/>
      <c r="M7" s="36"/>
      <c r="N7" s="36"/>
      <c r="O7" s="36"/>
      <c r="P7" s="312"/>
      <c r="Q7" s="36"/>
      <c r="R7" s="36"/>
      <c r="S7" s="36"/>
      <c r="T7" s="36"/>
      <c r="U7" s="36"/>
      <c r="V7" s="36"/>
      <c r="W7" s="36"/>
      <c r="X7" s="312"/>
      <c r="Y7" s="36"/>
    </row>
    <row r="8" spans="1:27" x14ac:dyDescent="0.2">
      <c r="A8" s="312"/>
      <c r="B8" s="38"/>
      <c r="C8" s="579" t="s">
        <v>3</v>
      </c>
      <c r="D8" s="580"/>
      <c r="E8" s="580"/>
      <c r="F8" s="580"/>
      <c r="G8" s="580"/>
      <c r="H8" s="580"/>
      <c r="I8" s="580"/>
      <c r="J8" s="36"/>
      <c r="K8" s="579" t="s">
        <v>380</v>
      </c>
      <c r="L8" s="580"/>
      <c r="M8" s="580"/>
      <c r="N8" s="580"/>
      <c r="O8" s="580"/>
      <c r="P8" s="580"/>
      <c r="Q8" s="580"/>
      <c r="R8" s="36"/>
      <c r="S8" s="579" t="s">
        <v>381</v>
      </c>
      <c r="T8" s="580"/>
      <c r="U8" s="580"/>
      <c r="V8" s="580"/>
      <c r="W8" s="580"/>
      <c r="X8" s="580"/>
      <c r="Y8" s="580"/>
    </row>
    <row r="9" spans="1:27" ht="12.75" customHeight="1" x14ac:dyDescent="0.2">
      <c r="A9" s="312"/>
      <c r="B9" s="38"/>
      <c r="C9" s="573" t="s">
        <v>2</v>
      </c>
      <c r="D9" s="574"/>
      <c r="E9" s="574"/>
      <c r="F9" s="574"/>
      <c r="G9" s="575"/>
      <c r="H9" s="570" t="s">
        <v>39</v>
      </c>
      <c r="I9" s="570" t="s">
        <v>40</v>
      </c>
      <c r="J9" s="246"/>
      <c r="K9" s="573" t="s">
        <v>2</v>
      </c>
      <c r="L9" s="574"/>
      <c r="M9" s="574"/>
      <c r="N9" s="574"/>
      <c r="O9" s="575"/>
      <c r="P9" s="570" t="s">
        <v>39</v>
      </c>
      <c r="Q9" s="570" t="s">
        <v>40</v>
      </c>
      <c r="R9" s="373"/>
      <c r="S9" s="573" t="s">
        <v>2</v>
      </c>
      <c r="T9" s="574"/>
      <c r="U9" s="574"/>
      <c r="V9" s="574"/>
      <c r="W9" s="575"/>
      <c r="X9" s="570" t="s">
        <v>39</v>
      </c>
      <c r="Y9" s="570" t="s">
        <v>40</v>
      </c>
    </row>
    <row r="10" spans="1:27" ht="12.75" x14ac:dyDescent="0.2">
      <c r="A10" s="312"/>
      <c r="B10" s="38"/>
      <c r="C10" s="576"/>
      <c r="D10" s="577"/>
      <c r="E10" s="577"/>
      <c r="F10" s="577"/>
      <c r="G10" s="578"/>
      <c r="H10" s="572"/>
      <c r="I10" s="572"/>
      <c r="J10" s="240"/>
      <c r="K10" s="576"/>
      <c r="L10" s="577"/>
      <c r="M10" s="577"/>
      <c r="N10" s="577"/>
      <c r="O10" s="578"/>
      <c r="P10" s="571"/>
      <c r="Q10" s="572"/>
      <c r="R10" s="374"/>
      <c r="S10" s="576"/>
      <c r="T10" s="577"/>
      <c r="U10" s="577"/>
      <c r="V10" s="577"/>
      <c r="W10" s="578"/>
      <c r="X10" s="571"/>
      <c r="Y10" s="572"/>
    </row>
    <row r="11" spans="1:27" ht="12.75" x14ac:dyDescent="0.2">
      <c r="A11" s="312"/>
      <c r="B11" s="38"/>
      <c r="C11" s="555" t="s">
        <v>42</v>
      </c>
      <c r="D11" s="530"/>
      <c r="E11" s="530"/>
      <c r="F11" s="530"/>
      <c r="G11" s="530"/>
      <c r="H11" s="81">
        <f>'Dados de Entrada'!O8</f>
        <v>2080.9899999999998</v>
      </c>
      <c r="I11" s="81">
        <f>'Dados de Entrada'!O8</f>
        <v>2080.9899999999998</v>
      </c>
      <c r="J11" s="236"/>
      <c r="K11" s="555" t="s">
        <v>42</v>
      </c>
      <c r="L11" s="530"/>
      <c r="M11" s="530"/>
      <c r="N11" s="530"/>
      <c r="O11" s="530"/>
      <c r="P11" s="81">
        <f>'Dados de Entrada'!O11</f>
        <v>722.66</v>
      </c>
      <c r="Q11" s="81">
        <f>'Dados de Entrada'!O11</f>
        <v>722.66</v>
      </c>
      <c r="R11" s="375"/>
      <c r="S11" s="555" t="s">
        <v>42</v>
      </c>
      <c r="T11" s="530"/>
      <c r="U11" s="530"/>
      <c r="V11" s="530"/>
      <c r="W11" s="530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12"/>
      <c r="B12" s="38"/>
      <c r="C12" s="555" t="s">
        <v>43</v>
      </c>
      <c r="D12" s="530"/>
      <c r="E12" s="530"/>
      <c r="F12" s="530"/>
      <c r="G12" s="530"/>
      <c r="H12" s="100">
        <f>'Dados de Entrada'!O9</f>
        <v>823.33</v>
      </c>
      <c r="I12" s="100">
        <f>'Dados de Entrada'!O9</f>
        <v>823.33</v>
      </c>
      <c r="J12" s="236"/>
      <c r="K12" s="555" t="s">
        <v>43</v>
      </c>
      <c r="L12" s="530"/>
      <c r="M12" s="530"/>
      <c r="N12" s="530"/>
      <c r="O12" s="530"/>
      <c r="P12" s="100">
        <f>'Dados de Entrada'!O12</f>
        <v>458.33</v>
      </c>
      <c r="Q12" s="100">
        <f>'Dados de Entrada'!O12</f>
        <v>458.33</v>
      </c>
      <c r="R12" s="375"/>
      <c r="S12" s="555" t="s">
        <v>43</v>
      </c>
      <c r="T12" s="530"/>
      <c r="U12" s="530"/>
      <c r="V12" s="530"/>
      <c r="W12" s="530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12"/>
      <c r="B13" s="38"/>
      <c r="C13" s="555" t="s">
        <v>44</v>
      </c>
      <c r="D13" s="530"/>
      <c r="E13" s="530"/>
      <c r="F13" s="530"/>
      <c r="G13" s="530"/>
      <c r="H13" s="402">
        <f>I13/1.3</f>
        <v>46153.846153846149</v>
      </c>
      <c r="I13" s="403">
        <v>60000</v>
      </c>
      <c r="J13" s="384"/>
      <c r="K13" s="555" t="s">
        <v>44</v>
      </c>
      <c r="L13" s="530"/>
      <c r="M13" s="530"/>
      <c r="N13" s="530"/>
      <c r="O13" s="530"/>
      <c r="P13" s="402">
        <f>Q13/1.3</f>
        <v>46153.846153846149</v>
      </c>
      <c r="Q13" s="403">
        <v>60000</v>
      </c>
      <c r="R13" s="385"/>
      <c r="S13" s="555" t="s">
        <v>44</v>
      </c>
      <c r="T13" s="530"/>
      <c r="U13" s="530"/>
      <c r="V13" s="530"/>
      <c r="W13" s="530"/>
      <c r="X13" s="402">
        <f>Y13/1.3</f>
        <v>46153.846153846149</v>
      </c>
      <c r="Y13" s="403">
        <v>60000</v>
      </c>
    </row>
    <row r="14" spans="1:27" ht="12.75" x14ac:dyDescent="0.2">
      <c r="A14" s="312"/>
      <c r="B14" s="38"/>
      <c r="C14" s="555" t="s">
        <v>46</v>
      </c>
      <c r="D14" s="530"/>
      <c r="E14" s="530"/>
      <c r="F14" s="530"/>
      <c r="G14" s="530"/>
      <c r="H14" s="402">
        <f>H13/2</f>
        <v>23076.923076923074</v>
      </c>
      <c r="I14" s="402">
        <f>I13/2</f>
        <v>30000</v>
      </c>
      <c r="J14" s="386"/>
      <c r="K14" s="555" t="s">
        <v>46</v>
      </c>
      <c r="L14" s="530"/>
      <c r="M14" s="530"/>
      <c r="N14" s="530"/>
      <c r="O14" s="530"/>
      <c r="P14" s="402">
        <f>P13/2</f>
        <v>23076.923076923074</v>
      </c>
      <c r="Q14" s="402">
        <f>Q13/2</f>
        <v>30000</v>
      </c>
      <c r="R14" s="387"/>
      <c r="S14" s="555" t="s">
        <v>46</v>
      </c>
      <c r="T14" s="530"/>
      <c r="U14" s="530"/>
      <c r="V14" s="530"/>
      <c r="W14" s="530"/>
      <c r="X14" s="402">
        <f>X13/2</f>
        <v>23076.923076923074</v>
      </c>
      <c r="Y14" s="402">
        <f>Y13/2</f>
        <v>30000</v>
      </c>
    </row>
    <row r="15" spans="1:27" ht="12.75" x14ac:dyDescent="0.2">
      <c r="A15" s="312"/>
      <c r="B15" s="38"/>
      <c r="C15" s="555" t="s">
        <v>47</v>
      </c>
      <c r="D15" s="530"/>
      <c r="E15" s="530"/>
      <c r="F15" s="530"/>
      <c r="G15" s="530"/>
      <c r="H15" s="84">
        <v>6</v>
      </c>
      <c r="I15" s="84">
        <v>6</v>
      </c>
      <c r="J15" s="237"/>
      <c r="K15" s="555" t="s">
        <v>47</v>
      </c>
      <c r="L15" s="530"/>
      <c r="M15" s="530"/>
      <c r="N15" s="530"/>
      <c r="O15" s="530"/>
      <c r="P15" s="84">
        <v>6</v>
      </c>
      <c r="Q15" s="84">
        <v>6</v>
      </c>
      <c r="R15" s="376"/>
      <c r="S15" s="555" t="s">
        <v>47</v>
      </c>
      <c r="T15" s="530"/>
      <c r="U15" s="530"/>
      <c r="V15" s="530"/>
      <c r="W15" s="530"/>
      <c r="X15" s="84">
        <v>6</v>
      </c>
      <c r="Y15" s="84">
        <v>6</v>
      </c>
      <c r="AA15" s="101"/>
    </row>
    <row r="16" spans="1:27" ht="12.75" x14ac:dyDescent="0.2">
      <c r="A16" s="312"/>
      <c r="B16" s="38"/>
      <c r="C16" s="556" t="s">
        <v>48</v>
      </c>
      <c r="D16" s="532"/>
      <c r="E16" s="532"/>
      <c r="F16" s="532"/>
      <c r="G16" s="534"/>
      <c r="H16" s="302">
        <f>ROUND(H15*(H11+2*H12)/(H13+2*H14),4)</f>
        <v>0.24229999999999999</v>
      </c>
      <c r="I16" s="302">
        <f>ROUND(I15*(I11+2*I12)/(I13+2*I14),4)</f>
        <v>0.18640000000000001</v>
      </c>
      <c r="J16" s="241"/>
      <c r="K16" s="556" t="s">
        <v>48</v>
      </c>
      <c r="L16" s="532"/>
      <c r="M16" s="532"/>
      <c r="N16" s="532"/>
      <c r="O16" s="534"/>
      <c r="P16" s="302">
        <f>ROUND(P15*(P11+2*P12)/(P13+2*P14),4)</f>
        <v>0.1066</v>
      </c>
      <c r="Q16" s="302">
        <f>ROUND(Q15*(Q11+2*Q12)/(Q13+2*Q14),4)</f>
        <v>8.2000000000000003E-2</v>
      </c>
      <c r="R16" s="377"/>
      <c r="S16" s="556" t="s">
        <v>48</v>
      </c>
      <c r="T16" s="532"/>
      <c r="U16" s="532"/>
      <c r="V16" s="532"/>
      <c r="W16" s="534"/>
      <c r="X16" s="302">
        <f>ROUND(X15*(X11+2*X12)/(X13+2*X14),4)</f>
        <v>0.1132</v>
      </c>
      <c r="Y16" s="302">
        <f>ROUND(Y15*(Y11+2*Y12)/(Y13+2*Y14),4)</f>
        <v>8.7099999999999997E-2</v>
      </c>
    </row>
    <row r="17" spans="1:28" ht="12.75" x14ac:dyDescent="0.2">
      <c r="A17" s="312"/>
      <c r="B17" s="38"/>
      <c r="C17" s="569" t="s">
        <v>49</v>
      </c>
      <c r="D17" s="532"/>
      <c r="E17" s="532"/>
      <c r="F17" s="532"/>
      <c r="G17" s="532"/>
      <c r="H17" s="85" t="s">
        <v>50</v>
      </c>
      <c r="I17" s="85" t="s">
        <v>51</v>
      </c>
      <c r="J17" s="242"/>
      <c r="K17" s="569" t="s">
        <v>49</v>
      </c>
      <c r="L17" s="532"/>
      <c r="M17" s="532"/>
      <c r="N17" s="532"/>
      <c r="O17" s="532"/>
      <c r="P17" s="85" t="s">
        <v>50</v>
      </c>
      <c r="Q17" s="85" t="s">
        <v>51</v>
      </c>
      <c r="R17" s="378"/>
      <c r="S17" s="569" t="s">
        <v>49</v>
      </c>
      <c r="T17" s="532"/>
      <c r="U17" s="532"/>
      <c r="V17" s="532"/>
      <c r="W17" s="532"/>
      <c r="X17" s="85" t="s">
        <v>50</v>
      </c>
      <c r="Y17" s="85" t="s">
        <v>51</v>
      </c>
    </row>
    <row r="18" spans="1:28" ht="12.75" x14ac:dyDescent="0.2">
      <c r="A18" s="312"/>
      <c r="B18" s="38"/>
      <c r="C18" s="555" t="s">
        <v>52</v>
      </c>
      <c r="D18" s="530"/>
      <c r="E18" s="530"/>
      <c r="F18" s="530"/>
      <c r="G18" s="530"/>
      <c r="H18" s="404">
        <f>I18/1.05</f>
        <v>2.5238095238095237</v>
      </c>
      <c r="I18" s="404">
        <v>2.65</v>
      </c>
      <c r="J18" s="238"/>
      <c r="K18" s="555" t="s">
        <v>52</v>
      </c>
      <c r="L18" s="530"/>
      <c r="M18" s="530"/>
      <c r="N18" s="530"/>
      <c r="O18" s="530"/>
      <c r="P18" s="404">
        <f>Q18/1.05</f>
        <v>3.8095238095238093</v>
      </c>
      <c r="Q18" s="404">
        <v>4</v>
      </c>
      <c r="R18" s="379"/>
      <c r="S18" s="555" t="s">
        <v>52</v>
      </c>
      <c r="T18" s="530"/>
      <c r="U18" s="530"/>
      <c r="V18" s="530"/>
      <c r="W18" s="530"/>
      <c r="X18" s="404">
        <f>Y18/1.05</f>
        <v>3.8095238095238093</v>
      </c>
      <c r="Y18" s="404">
        <v>4</v>
      </c>
    </row>
    <row r="19" spans="1:28" ht="12.75" x14ac:dyDescent="0.2">
      <c r="A19" s="312"/>
      <c r="B19" s="38"/>
      <c r="C19" s="555" t="s">
        <v>53</v>
      </c>
      <c r="D19" s="530"/>
      <c r="E19" s="530"/>
      <c r="F19" s="530"/>
      <c r="G19" s="530"/>
      <c r="H19" s="87">
        <f>'Dados de Entrada'!O30</f>
        <v>6.15</v>
      </c>
      <c r="I19" s="87">
        <f>'Dados de Entrada'!O30</f>
        <v>6.15</v>
      </c>
      <c r="J19" s="238"/>
      <c r="K19" s="555" t="s">
        <v>53</v>
      </c>
      <c r="L19" s="530"/>
      <c r="M19" s="530"/>
      <c r="N19" s="530"/>
      <c r="O19" s="530"/>
      <c r="P19" s="87">
        <f>'Dados de Entrada'!$O$30</f>
        <v>6.15</v>
      </c>
      <c r="Q19" s="87">
        <f>'Dados de Entrada'!$O$30</f>
        <v>6.15</v>
      </c>
      <c r="R19" s="379"/>
      <c r="S19" s="555" t="s">
        <v>53</v>
      </c>
      <c r="T19" s="530"/>
      <c r="U19" s="530"/>
      <c r="V19" s="530"/>
      <c r="W19" s="530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12"/>
      <c r="B20" s="38"/>
      <c r="C20" s="349" t="s">
        <v>365</v>
      </c>
      <c r="D20" s="77"/>
      <c r="E20" s="77"/>
      <c r="F20" s="77"/>
      <c r="G20" s="77"/>
      <c r="H20" s="405">
        <v>0.05</v>
      </c>
      <c r="I20" s="405">
        <v>0.05</v>
      </c>
      <c r="J20" s="238"/>
      <c r="K20" s="349" t="s">
        <v>365</v>
      </c>
      <c r="L20" s="77"/>
      <c r="M20" s="77"/>
      <c r="N20" s="77"/>
      <c r="O20" s="77"/>
      <c r="P20" s="405">
        <v>0.05</v>
      </c>
      <c r="Q20" s="405">
        <v>0.05</v>
      </c>
      <c r="R20" s="379"/>
      <c r="S20" s="349" t="s">
        <v>365</v>
      </c>
      <c r="T20" s="77"/>
      <c r="U20" s="77"/>
      <c r="V20" s="77"/>
      <c r="W20" s="77"/>
      <c r="X20" s="405">
        <v>0.05</v>
      </c>
      <c r="Y20" s="405">
        <v>0.05</v>
      </c>
    </row>
    <row r="21" spans="1:28" ht="12.75" x14ac:dyDescent="0.2">
      <c r="A21" s="312"/>
      <c r="B21" s="38"/>
      <c r="C21" s="349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9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9"/>
      <c r="S21" s="349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12"/>
      <c r="B22" s="38"/>
      <c r="C22" s="556" t="s">
        <v>366</v>
      </c>
      <c r="D22" s="532"/>
      <c r="E22" s="532"/>
      <c r="F22" s="532"/>
      <c r="G22" s="532"/>
      <c r="H22" s="302">
        <f>ROUND((H19/H18)+((H21*H20)/H18),4)</f>
        <v>2.5114999999999998</v>
      </c>
      <c r="I22" s="302">
        <f>ROUND((I19/I18)+((I21*I20)/I18),4)</f>
        <v>2.3919000000000001</v>
      </c>
      <c r="J22" s="241"/>
      <c r="K22" s="556" t="s">
        <v>366</v>
      </c>
      <c r="L22" s="532"/>
      <c r="M22" s="532"/>
      <c r="N22" s="532"/>
      <c r="O22" s="532"/>
      <c r="P22" s="302">
        <f>ROUND((P19/P18)+((P21*P20)/P18),4)</f>
        <v>1.6638999999999999</v>
      </c>
      <c r="Q22" s="302">
        <f>ROUND((Q19/Q18)+((Q21*Q20)/Q18),4)</f>
        <v>1.5846</v>
      </c>
      <c r="R22" s="377"/>
      <c r="S22" s="556" t="s">
        <v>366</v>
      </c>
      <c r="T22" s="532"/>
      <c r="U22" s="532"/>
      <c r="V22" s="532"/>
      <c r="W22" s="532"/>
      <c r="X22" s="302">
        <f>ROUND((X19/X18)+((X21*X20)/X18),4)</f>
        <v>1.6638999999999999</v>
      </c>
      <c r="Y22" s="302">
        <f>ROUND((Y19/Y18)+((Y21*Y20)/Y18),4)</f>
        <v>1.5846</v>
      </c>
    </row>
    <row r="23" spans="1:28" ht="12.75" x14ac:dyDescent="0.2">
      <c r="A23" s="312"/>
      <c r="B23" s="38"/>
      <c r="C23" s="558" t="s">
        <v>56</v>
      </c>
      <c r="D23" s="532"/>
      <c r="E23" s="532"/>
      <c r="F23" s="532"/>
      <c r="G23" s="532"/>
      <c r="H23" s="85" t="s">
        <v>50</v>
      </c>
      <c r="I23" s="85" t="s">
        <v>51</v>
      </c>
      <c r="J23" s="242"/>
      <c r="K23" s="558" t="s">
        <v>56</v>
      </c>
      <c r="L23" s="532"/>
      <c r="M23" s="532"/>
      <c r="N23" s="532"/>
      <c r="O23" s="532"/>
      <c r="P23" s="85" t="s">
        <v>50</v>
      </c>
      <c r="Q23" s="85" t="s">
        <v>51</v>
      </c>
      <c r="R23" s="378"/>
      <c r="S23" s="558" t="s">
        <v>56</v>
      </c>
      <c r="T23" s="532"/>
      <c r="U23" s="532"/>
      <c r="V23" s="532"/>
      <c r="W23" s="532"/>
      <c r="X23" s="85" t="s">
        <v>50</v>
      </c>
      <c r="Y23" s="85" t="s">
        <v>51</v>
      </c>
    </row>
    <row r="24" spans="1:28" ht="12.75" x14ac:dyDescent="0.2">
      <c r="A24" s="312"/>
      <c r="B24" s="38"/>
      <c r="C24" s="89"/>
      <c r="D24" s="552" t="s">
        <v>55</v>
      </c>
      <c r="E24" s="551"/>
      <c r="F24" s="552" t="s">
        <v>58</v>
      </c>
      <c r="G24" s="551"/>
      <c r="H24" s="90" t="s">
        <v>59</v>
      </c>
      <c r="I24" s="90" t="s">
        <v>59</v>
      </c>
      <c r="J24" s="243"/>
      <c r="K24" s="89"/>
      <c r="L24" s="552" t="s">
        <v>55</v>
      </c>
      <c r="M24" s="551"/>
      <c r="N24" s="552" t="s">
        <v>58</v>
      </c>
      <c r="O24" s="551"/>
      <c r="P24" s="90" t="s">
        <v>59</v>
      </c>
      <c r="Q24" s="90" t="s">
        <v>59</v>
      </c>
      <c r="R24" s="243"/>
      <c r="S24" s="89"/>
      <c r="T24" s="552" t="s">
        <v>55</v>
      </c>
      <c r="U24" s="551"/>
      <c r="V24" s="552" t="s">
        <v>58</v>
      </c>
      <c r="W24" s="551"/>
      <c r="X24" s="90" t="s">
        <v>59</v>
      </c>
      <c r="Y24" s="90" t="s">
        <v>59</v>
      </c>
    </row>
    <row r="25" spans="1:28" ht="12.75" x14ac:dyDescent="0.2">
      <c r="A25" s="312"/>
      <c r="B25" s="38"/>
      <c r="C25" s="91" t="s">
        <v>61</v>
      </c>
      <c r="D25" s="553">
        <v>1.9E-3</v>
      </c>
      <c r="E25" s="554"/>
      <c r="F25" s="550">
        <f>'Dados de Entrada'!$O32</f>
        <v>48.13</v>
      </c>
      <c r="G25" s="551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53">
        <v>1.1000000000000001E-3</v>
      </c>
      <c r="M25" s="554"/>
      <c r="N25" s="550">
        <f>'Dados de Entrada'!$O32</f>
        <v>48.13</v>
      </c>
      <c r="O25" s="551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53">
        <v>1.1000000000000001E-3</v>
      </c>
      <c r="U25" s="554"/>
      <c r="V25" s="550">
        <f>'Dados de Entrada'!$O32</f>
        <v>48.13</v>
      </c>
      <c r="W25" s="551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12"/>
      <c r="B26" s="38"/>
      <c r="C26" s="91" t="s">
        <v>63</v>
      </c>
      <c r="D26" s="553">
        <v>4.8000000000000001E-4</v>
      </c>
      <c r="E26" s="554"/>
      <c r="F26" s="550">
        <f>'Dados de Entrada'!$O33</f>
        <v>38.39</v>
      </c>
      <c r="G26" s="551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53">
        <v>4.0000000000000002E-4</v>
      </c>
      <c r="M26" s="554"/>
      <c r="N26" s="550">
        <f>'Dados de Entrada'!$O33</f>
        <v>38.39</v>
      </c>
      <c r="O26" s="551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53">
        <v>4.0000000000000002E-4</v>
      </c>
      <c r="U26" s="554"/>
      <c r="V26" s="550">
        <f>'Dados de Entrada'!$O33</f>
        <v>38.39</v>
      </c>
      <c r="W26" s="551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12"/>
      <c r="B27" s="38"/>
      <c r="C27" s="91" t="s">
        <v>65</v>
      </c>
      <c r="D27" s="553">
        <v>4.4000000000000002E-4</v>
      </c>
      <c r="E27" s="554"/>
      <c r="F27" s="550">
        <f>'Dados de Entrada'!$O34</f>
        <v>40</v>
      </c>
      <c r="G27" s="551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53">
        <v>2.0000000000000001E-4</v>
      </c>
      <c r="M27" s="554"/>
      <c r="N27" s="550">
        <f>'Dados de Entrada'!$O34</f>
        <v>40</v>
      </c>
      <c r="O27" s="551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53">
        <v>2.0000000000000001E-4</v>
      </c>
      <c r="U27" s="554"/>
      <c r="V27" s="550">
        <f>'Dados de Entrada'!$O34</f>
        <v>40</v>
      </c>
      <c r="W27" s="551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12"/>
      <c r="B28" s="38"/>
      <c r="C28" s="91" t="s">
        <v>67</v>
      </c>
      <c r="D28" s="553">
        <v>2.0000000000000002E-5</v>
      </c>
      <c r="E28" s="554"/>
      <c r="F28" s="550">
        <f>'Dados de Entrada'!$O35</f>
        <v>40.17</v>
      </c>
      <c r="G28" s="551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53">
        <v>4.0000000000000003E-5</v>
      </c>
      <c r="M28" s="554"/>
      <c r="N28" s="550">
        <f>'Dados de Entrada'!$O35</f>
        <v>40.17</v>
      </c>
      <c r="O28" s="551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53">
        <v>4.0000000000000003E-5</v>
      </c>
      <c r="U28" s="554"/>
      <c r="V28" s="550">
        <f>'Dados de Entrada'!$O35</f>
        <v>40.17</v>
      </c>
      <c r="W28" s="551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12"/>
      <c r="B29" s="38"/>
      <c r="C29" s="91" t="s">
        <v>69</v>
      </c>
      <c r="D29" s="553">
        <v>6.0000000000000002E-5</v>
      </c>
      <c r="E29" s="554"/>
      <c r="F29" s="550">
        <f>'Dados de Entrada'!$O36</f>
        <v>33.4</v>
      </c>
      <c r="G29" s="551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53">
        <v>3.0000000000000001E-5</v>
      </c>
      <c r="M29" s="554"/>
      <c r="N29" s="550">
        <f>'Dados de Entrada'!$O36</f>
        <v>33.4</v>
      </c>
      <c r="O29" s="551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53">
        <v>3.0000000000000001E-5</v>
      </c>
      <c r="U29" s="554"/>
      <c r="V29" s="550">
        <f>'Dados de Entrada'!$O36</f>
        <v>33.4</v>
      </c>
      <c r="W29" s="551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12"/>
      <c r="B30" s="38"/>
      <c r="C30" s="556" t="s">
        <v>70</v>
      </c>
      <c r="D30" s="532"/>
      <c r="E30" s="532"/>
      <c r="F30" s="532"/>
      <c r="G30" s="532"/>
      <c r="H30" s="302">
        <f>ROUND(SUM(H25:H29),4)</f>
        <v>0.1694</v>
      </c>
      <c r="I30" s="302">
        <f>ROUND(SUM(I25:I29),4)</f>
        <v>0.1303</v>
      </c>
      <c r="J30" s="241"/>
      <c r="K30" s="556" t="s">
        <v>70</v>
      </c>
      <c r="L30" s="532"/>
      <c r="M30" s="532"/>
      <c r="N30" s="532"/>
      <c r="O30" s="532"/>
      <c r="P30" s="302">
        <f>ROUND(SUM(P25:P29),4)</f>
        <v>0.1026</v>
      </c>
      <c r="Q30" s="302">
        <f>ROUND(SUM(Q25:Q29),4)</f>
        <v>7.8899999999999998E-2</v>
      </c>
      <c r="R30" s="377"/>
      <c r="S30" s="556" t="s">
        <v>70</v>
      </c>
      <c r="T30" s="532"/>
      <c r="U30" s="532"/>
      <c r="V30" s="532"/>
      <c r="W30" s="532"/>
      <c r="X30" s="302">
        <f>ROUND(SUM(X25:X29),4)</f>
        <v>0.1026</v>
      </c>
      <c r="Y30" s="302">
        <f>ROUND(SUM(Y25:Y29),4)</f>
        <v>7.8899999999999998E-2</v>
      </c>
    </row>
    <row r="31" spans="1:28" ht="12.75" x14ac:dyDescent="0.2">
      <c r="A31" s="312"/>
      <c r="B31" s="38"/>
      <c r="C31" s="557" t="s">
        <v>73</v>
      </c>
      <c r="D31" s="532"/>
      <c r="E31" s="532"/>
      <c r="F31" s="532"/>
      <c r="G31" s="532"/>
      <c r="H31" s="85" t="s">
        <v>50</v>
      </c>
      <c r="I31" s="85" t="s">
        <v>51</v>
      </c>
      <c r="J31" s="242"/>
      <c r="K31" s="557" t="s">
        <v>73</v>
      </c>
      <c r="L31" s="532"/>
      <c r="M31" s="532"/>
      <c r="N31" s="532"/>
      <c r="O31" s="532"/>
      <c r="P31" s="85" t="s">
        <v>50</v>
      </c>
      <c r="Q31" s="85" t="s">
        <v>51</v>
      </c>
      <c r="R31" s="378"/>
      <c r="S31" s="557" t="s">
        <v>73</v>
      </c>
      <c r="T31" s="532"/>
      <c r="U31" s="532"/>
      <c r="V31" s="532"/>
      <c r="W31" s="532"/>
      <c r="X31" s="85" t="s">
        <v>50</v>
      </c>
      <c r="Y31" s="85" t="s">
        <v>51</v>
      </c>
    </row>
    <row r="32" spans="1:28" ht="12.75" x14ac:dyDescent="0.2">
      <c r="A32" s="312"/>
      <c r="B32" s="38"/>
      <c r="C32" s="555" t="s">
        <v>74</v>
      </c>
      <c r="D32" s="530"/>
      <c r="E32" s="530"/>
      <c r="F32" s="530"/>
      <c r="G32" s="530"/>
      <c r="H32" s="303">
        <f>H16</f>
        <v>0.24229999999999999</v>
      </c>
      <c r="I32" s="303">
        <f>I16</f>
        <v>0.18640000000000001</v>
      </c>
      <c r="J32" s="239"/>
      <c r="K32" s="555" t="s">
        <v>74</v>
      </c>
      <c r="L32" s="530"/>
      <c r="M32" s="530"/>
      <c r="N32" s="530"/>
      <c r="O32" s="530"/>
      <c r="P32" s="303">
        <f>P16</f>
        <v>0.1066</v>
      </c>
      <c r="Q32" s="303">
        <f>Q16</f>
        <v>8.2000000000000003E-2</v>
      </c>
      <c r="R32" s="380"/>
      <c r="S32" s="555" t="s">
        <v>74</v>
      </c>
      <c r="T32" s="530"/>
      <c r="U32" s="530"/>
      <c r="V32" s="530"/>
      <c r="W32" s="530"/>
      <c r="X32" s="303">
        <f>X16</f>
        <v>0.1132</v>
      </c>
      <c r="Y32" s="303">
        <f>Y16</f>
        <v>8.7099999999999997E-2</v>
      </c>
    </row>
    <row r="33" spans="1:25" ht="12.75" x14ac:dyDescent="0.2">
      <c r="A33" s="36"/>
      <c r="B33" s="36"/>
      <c r="C33" s="555" t="s">
        <v>75</v>
      </c>
      <c r="D33" s="530"/>
      <c r="E33" s="530"/>
      <c r="F33" s="530"/>
      <c r="G33" s="530"/>
      <c r="H33" s="304">
        <f>H22</f>
        <v>2.5114999999999998</v>
      </c>
      <c r="I33" s="304">
        <f>I22</f>
        <v>2.3919000000000001</v>
      </c>
      <c r="J33" s="239"/>
      <c r="K33" s="555" t="s">
        <v>75</v>
      </c>
      <c r="L33" s="530"/>
      <c r="M33" s="530"/>
      <c r="N33" s="530"/>
      <c r="O33" s="530"/>
      <c r="P33" s="304">
        <f>P22</f>
        <v>1.6638999999999999</v>
      </c>
      <c r="Q33" s="304">
        <f>Q22</f>
        <v>1.5846</v>
      </c>
      <c r="R33" s="380"/>
      <c r="S33" s="555" t="s">
        <v>75</v>
      </c>
      <c r="T33" s="530"/>
      <c r="U33" s="530"/>
      <c r="V33" s="530"/>
      <c r="W33" s="530"/>
      <c r="X33" s="304">
        <f>X22</f>
        <v>1.6638999999999999</v>
      </c>
      <c r="Y33" s="304">
        <f>Y22</f>
        <v>1.5846</v>
      </c>
    </row>
    <row r="34" spans="1:25" ht="12.75" x14ac:dyDescent="0.2">
      <c r="A34" s="36"/>
      <c r="B34" s="36"/>
      <c r="C34" s="555" t="s">
        <v>76</v>
      </c>
      <c r="D34" s="530"/>
      <c r="E34" s="530"/>
      <c r="F34" s="530"/>
      <c r="G34" s="530"/>
      <c r="H34" s="304">
        <f>H30</f>
        <v>0.1694</v>
      </c>
      <c r="I34" s="304">
        <f>I30</f>
        <v>0.1303</v>
      </c>
      <c r="J34" s="239"/>
      <c r="K34" s="555" t="s">
        <v>76</v>
      </c>
      <c r="L34" s="530"/>
      <c r="M34" s="530"/>
      <c r="N34" s="530"/>
      <c r="O34" s="530"/>
      <c r="P34" s="304">
        <f>P30</f>
        <v>0.1026</v>
      </c>
      <c r="Q34" s="304">
        <f>Q30</f>
        <v>7.8899999999999998E-2</v>
      </c>
      <c r="R34" s="380"/>
      <c r="S34" s="555" t="s">
        <v>76</v>
      </c>
      <c r="T34" s="530"/>
      <c r="U34" s="530"/>
      <c r="V34" s="530"/>
      <c r="W34" s="530"/>
      <c r="X34" s="304">
        <f>X30</f>
        <v>0.1026</v>
      </c>
      <c r="Y34" s="304">
        <f>Y30</f>
        <v>7.8899999999999998E-2</v>
      </c>
    </row>
    <row r="35" spans="1:25" ht="12.75" x14ac:dyDescent="0.2">
      <c r="A35" s="36"/>
      <c r="B35" s="36"/>
      <c r="C35" s="531" t="s">
        <v>77</v>
      </c>
      <c r="D35" s="532"/>
      <c r="E35" s="532"/>
      <c r="F35" s="532"/>
      <c r="G35" s="534"/>
      <c r="H35" s="302">
        <f>SUM(H32:H34)</f>
        <v>2.9232</v>
      </c>
      <c r="I35" s="302">
        <f>SUM(I32:I34)</f>
        <v>2.7086000000000001</v>
      </c>
      <c r="J35" s="245"/>
      <c r="K35" s="531" t="s">
        <v>77</v>
      </c>
      <c r="L35" s="532"/>
      <c r="M35" s="532"/>
      <c r="N35" s="532"/>
      <c r="O35" s="534"/>
      <c r="P35" s="302">
        <f>SUM(P32:P34)</f>
        <v>1.8731</v>
      </c>
      <c r="Q35" s="302">
        <f>SUM(Q32:Q34)</f>
        <v>1.7455000000000001</v>
      </c>
      <c r="R35" s="381"/>
      <c r="S35" s="531" t="s">
        <v>77</v>
      </c>
      <c r="T35" s="532"/>
      <c r="U35" s="532"/>
      <c r="V35" s="532"/>
      <c r="W35" s="534"/>
      <c r="X35" s="302">
        <f>SUM(X32:X34)</f>
        <v>1.8796999999999999</v>
      </c>
      <c r="Y35" s="302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ms3oSlJ+TZIa9JGEKD4sdMY+UZx3PXpHv0YJT7FNvLxHiuxTVro5ODGRo1qWtGw3FK6/i/qb26PSbBDBda8MIw==" saltValue="280d9U07iMFVNFxPHHyEgQ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sqref="A1:B1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4" t="s">
        <v>257</v>
      </c>
      <c r="D2" s="314"/>
      <c r="E2" s="314"/>
      <c r="F2" s="314"/>
      <c r="G2" s="314"/>
      <c r="H2" s="314"/>
      <c r="I2" s="314"/>
      <c r="J2" s="314"/>
      <c r="K2" s="314"/>
      <c r="L2" s="314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6" t="s">
        <v>251</v>
      </c>
      <c r="L5" s="406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7" t="s">
        <v>387</v>
      </c>
      <c r="L7" s="407" t="s">
        <v>387</v>
      </c>
    </row>
    <row r="8" spans="3:12" x14ac:dyDescent="0.2">
      <c r="C8" s="106"/>
      <c r="D8" s="110" t="s">
        <v>118</v>
      </c>
      <c r="E8" s="408" t="s">
        <v>388</v>
      </c>
      <c r="F8" s="111" t="s">
        <v>119</v>
      </c>
      <c r="G8" s="111"/>
      <c r="H8" s="409"/>
      <c r="I8" s="410"/>
      <c r="J8" s="411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423</v>
      </c>
      <c r="E13" s="108"/>
      <c r="F13" s="108"/>
      <c r="G13" s="108"/>
      <c r="H13" s="108"/>
      <c r="I13" s="108"/>
      <c r="J13" s="109"/>
      <c r="K13" s="412">
        <v>869</v>
      </c>
      <c r="L13" s="412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13">
        <v>0.2</v>
      </c>
      <c r="L14" s="413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12">
        <v>8.5</v>
      </c>
      <c r="L15" s="412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421</v>
      </c>
      <c r="E18" s="108"/>
      <c r="F18" s="108"/>
      <c r="G18" s="108"/>
      <c r="H18" s="108"/>
      <c r="I18" s="108"/>
      <c r="J18" s="109"/>
      <c r="K18" s="414">
        <f>241.46</f>
        <v>241.46</v>
      </c>
      <c r="L18" s="414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4">
        <f t="shared" ref="K19:L19" si="0">222.6/0.8</f>
        <v>278.25</v>
      </c>
      <c r="L19" s="414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13">
        <v>0.2</v>
      </c>
      <c r="L20" s="413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8"/>
      <c r="L21" s="438"/>
    </row>
    <row r="22" spans="3:12" x14ac:dyDescent="0.2">
      <c r="C22" s="106" t="s">
        <v>361</v>
      </c>
      <c r="D22" s="409"/>
      <c r="E22" s="410"/>
      <c r="F22" s="410"/>
      <c r="G22" s="410"/>
      <c r="H22" s="410"/>
      <c r="I22" s="410"/>
      <c r="J22" s="411"/>
      <c r="K22" s="412"/>
      <c r="L22" s="412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7" t="s">
        <v>414</v>
      </c>
      <c r="L25" s="407" t="s">
        <v>414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7">
        <v>7823</v>
      </c>
      <c r="L26" s="407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5">
        <v>46174</v>
      </c>
      <c r="L29" s="415">
        <v>46174</v>
      </c>
    </row>
    <row r="30" spans="3:12" ht="6" customHeight="1" x14ac:dyDescent="0.2"/>
    <row r="31" spans="3:12" x14ac:dyDescent="0.2">
      <c r="C31" s="315" t="s">
        <v>151</v>
      </c>
      <c r="D31" s="315"/>
      <c r="E31" s="316"/>
      <c r="F31" s="317"/>
      <c r="G31" s="317"/>
      <c r="H31" s="317"/>
      <c r="I31" s="317"/>
      <c r="J31" s="317"/>
      <c r="K31" s="318"/>
      <c r="L31" s="318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9"/>
      <c r="K35" s="440"/>
      <c r="L35" s="440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7"/>
      <c r="E40" s="409"/>
      <c r="F40" s="410"/>
      <c r="G40" s="410"/>
      <c r="H40" s="410"/>
      <c r="I40" s="410"/>
      <c r="J40" s="418"/>
      <c r="K40" s="416"/>
      <c r="L40" s="416"/>
    </row>
    <row r="41" spans="3:12" x14ac:dyDescent="0.2">
      <c r="C41" s="315" t="s">
        <v>160</v>
      </c>
      <c r="D41" s="316"/>
      <c r="E41" s="317"/>
      <c r="F41" s="317"/>
      <c r="G41" s="317"/>
      <c r="H41" s="317"/>
      <c r="I41" s="317"/>
      <c r="J41" s="318"/>
      <c r="K41" s="319">
        <f>TRUNC(SUM(K33:K40),2)</f>
        <v>3968.15</v>
      </c>
      <c r="L41" s="319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5" t="s">
        <v>163</v>
      </c>
      <c r="D47" s="316"/>
      <c r="E47" s="317"/>
      <c r="F47" s="317"/>
      <c r="G47" s="317"/>
      <c r="H47" s="317"/>
      <c r="I47" s="318"/>
      <c r="J47" s="320">
        <f>TRUNC(SUM(J45:J46),4)</f>
        <v>0.1943</v>
      </c>
      <c r="K47" s="321">
        <f>TRUNC(SUM(K45:K46),2)</f>
        <v>771.32</v>
      </c>
      <c r="L47" s="321">
        <f>TRUNC(SUM(L45:L46),2)</f>
        <v>655.21</v>
      </c>
    </row>
    <row r="48" spans="3:12" ht="6" customHeight="1" x14ac:dyDescent="0.2">
      <c r="C48" s="328"/>
      <c r="D48" s="328"/>
      <c r="E48" s="328"/>
      <c r="F48" s="328"/>
      <c r="G48" s="328"/>
      <c r="H48" s="328"/>
      <c r="I48" s="328"/>
      <c r="J48" s="328"/>
      <c r="K48" s="328"/>
      <c r="L48" s="328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9">
        <v>0.03</v>
      </c>
      <c r="I52" s="420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5" t="s">
        <v>173</v>
      </c>
      <c r="D58" s="316"/>
      <c r="E58" s="317"/>
      <c r="F58" s="317"/>
      <c r="G58" s="317"/>
      <c r="H58" s="317"/>
      <c r="I58" s="318"/>
      <c r="J58" s="320">
        <f>SUM(J50:J57)</f>
        <v>0.39800000000000008</v>
      </c>
      <c r="K58" s="321">
        <f>TRUNC(SUM(K50:K57),2)</f>
        <v>1886.3</v>
      </c>
      <c r="L58" s="321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9"/>
      <c r="E66" s="410"/>
      <c r="F66" s="410"/>
      <c r="G66" s="410"/>
      <c r="H66" s="410"/>
      <c r="I66" s="410"/>
      <c r="J66" s="421"/>
      <c r="K66" s="422"/>
      <c r="L66" s="422"/>
    </row>
    <row r="67" spans="3:12" x14ac:dyDescent="0.2">
      <c r="C67" s="315" t="s">
        <v>178</v>
      </c>
      <c r="D67" s="316"/>
      <c r="E67" s="317"/>
      <c r="F67" s="317"/>
      <c r="G67" s="317"/>
      <c r="H67" s="317"/>
      <c r="I67" s="317"/>
      <c r="J67" s="318"/>
      <c r="K67" s="321">
        <f>TRUNC(SUM(K61:K66),2)</f>
        <v>1273.92</v>
      </c>
      <c r="L67" s="321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5" t="s">
        <v>185</v>
      </c>
      <c r="D74" s="316"/>
      <c r="E74" s="317"/>
      <c r="F74" s="317"/>
      <c r="G74" s="317"/>
      <c r="H74" s="317"/>
      <c r="I74" s="317"/>
      <c r="J74" s="318"/>
      <c r="K74" s="321">
        <f>TRUNC(SUM(K71:K73),2)</f>
        <v>3931.54</v>
      </c>
      <c r="L74" s="321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5" t="s">
        <v>195</v>
      </c>
      <c r="D85" s="315"/>
      <c r="E85" s="316"/>
      <c r="F85" s="317"/>
      <c r="G85" s="317"/>
      <c r="H85" s="317"/>
      <c r="I85" s="318"/>
      <c r="J85" s="320">
        <f>TRUNC(SUM(J78:J84),4)</f>
        <v>7.1199999999999999E-2</v>
      </c>
      <c r="K85" s="321">
        <f>TRUNC(SUM(K78:K84),2)</f>
        <v>282.79000000000002</v>
      </c>
      <c r="L85" s="321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7"/>
      <c r="E95" s="409"/>
      <c r="F95" s="410"/>
      <c r="G95" s="410"/>
      <c r="H95" s="410"/>
      <c r="I95" s="411"/>
      <c r="J95" s="423"/>
      <c r="K95" s="412"/>
      <c r="L95" s="416"/>
    </row>
    <row r="96" spans="3:12" x14ac:dyDescent="0.2">
      <c r="C96" s="315" t="s">
        <v>203</v>
      </c>
      <c r="D96" s="316"/>
      <c r="E96" s="317"/>
      <c r="F96" s="317"/>
      <c r="G96" s="317"/>
      <c r="H96" s="317"/>
      <c r="I96" s="318"/>
      <c r="J96" s="320">
        <f>TRUNC(SUM(J89:J95),4)</f>
        <v>1.8499999999999999E-2</v>
      </c>
      <c r="K96" s="321">
        <f>TRUNC(SUM(K89:K95),2)</f>
        <v>73.540000000000006</v>
      </c>
      <c r="L96" s="321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5" t="s">
        <v>206</v>
      </c>
      <c r="D100" s="316"/>
      <c r="E100" s="317"/>
      <c r="F100" s="317"/>
      <c r="G100" s="317"/>
      <c r="H100" s="317"/>
      <c r="I100" s="318"/>
      <c r="J100" s="322">
        <f>J99</f>
        <v>3.4738494222855678E-3</v>
      </c>
      <c r="K100" s="321">
        <f>K99</f>
        <v>13.784755585042475</v>
      </c>
      <c r="L100" s="321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5" t="s">
        <v>209</v>
      </c>
      <c r="D104" s="316"/>
      <c r="E104" s="317"/>
      <c r="F104" s="317"/>
      <c r="G104" s="317"/>
      <c r="H104" s="317"/>
      <c r="I104" s="318"/>
      <c r="J104" s="322">
        <f>J103</f>
        <v>7.3762628144219168E-3</v>
      </c>
      <c r="K104" s="321">
        <f>K103</f>
        <v>29.270117287048329</v>
      </c>
      <c r="L104" s="321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5" t="s">
        <v>215</v>
      </c>
      <c r="D111" s="316"/>
      <c r="E111" s="317"/>
      <c r="F111" s="317"/>
      <c r="G111" s="317"/>
      <c r="H111" s="317"/>
      <c r="I111" s="317"/>
      <c r="J111" s="318"/>
      <c r="K111" s="321">
        <f>TRUNC(SUM(K108:K110),2)</f>
        <v>116.59</v>
      </c>
      <c r="L111" s="321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6" t="s">
        <v>253</v>
      </c>
      <c r="D113" s="323"/>
      <c r="E113" s="324"/>
      <c r="F113" s="324"/>
      <c r="G113" s="324"/>
      <c r="H113" s="324"/>
      <c r="I113" s="324"/>
      <c r="J113" s="325"/>
      <c r="K113" s="327">
        <f>SUM(K41,K74,K85,K111)</f>
        <v>8299.07</v>
      </c>
      <c r="L113" s="327">
        <f>SUM(L41,L74,L85,L111)</f>
        <v>7277.35</v>
      </c>
    </row>
  </sheetData>
  <sheetProtection algorithmName="SHA-512" hashValue="8g1WHstFsvdYYlITUIDJQ2G6MkmvUIhqi7fpAV6DwAJelkE79S+E1MstDWIfSSbebiGWQfqKMz6qEHVuD/mEvg==" saltValue="YLQCsuaV1+grTn+88X9LRA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4" t="s">
        <v>258</v>
      </c>
      <c r="D2" s="314"/>
      <c r="E2" s="314"/>
      <c r="F2" s="314"/>
      <c r="G2" s="314"/>
      <c r="H2" s="314"/>
      <c r="I2" s="314"/>
      <c r="J2" s="314"/>
      <c r="K2" s="314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4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7" t="s">
        <v>387</v>
      </c>
    </row>
    <row r="8" spans="3:15" x14ac:dyDescent="0.2">
      <c r="C8" s="106"/>
      <c r="D8" s="110" t="s">
        <v>118</v>
      </c>
      <c r="E8" s="408"/>
      <c r="F8" s="111" t="s">
        <v>119</v>
      </c>
      <c r="G8" s="111"/>
      <c r="H8" s="409"/>
      <c r="I8" s="410"/>
      <c r="J8" s="411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422</v>
      </c>
      <c r="E13" s="108"/>
      <c r="F13" s="108"/>
      <c r="G13" s="108"/>
      <c r="H13" s="108"/>
      <c r="I13" s="108"/>
      <c r="J13" s="109"/>
      <c r="K13" s="412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5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12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4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4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8"/>
    </row>
    <row r="21" spans="3:11" x14ac:dyDescent="0.2">
      <c r="C21" s="106" t="s">
        <v>143</v>
      </c>
      <c r="D21" s="409"/>
      <c r="E21" s="410"/>
      <c r="F21" s="410"/>
      <c r="G21" s="410"/>
      <c r="H21" s="410"/>
      <c r="I21" s="410"/>
      <c r="J21" s="411"/>
      <c r="K21" s="412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7" t="s">
        <v>415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7" t="s">
        <v>416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9"/>
      <c r="K34" s="440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9"/>
      <c r="E39" s="410"/>
      <c r="F39" s="410"/>
      <c r="G39" s="410"/>
      <c r="H39" s="410"/>
      <c r="I39" s="410"/>
      <c r="J39" s="418"/>
      <c r="K39" s="416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31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9">
        <f>TRUNC(SUM(J44:J45),4)</f>
        <v>0.1943</v>
      </c>
      <c r="K46" s="330">
        <f>TRUNC(SUM(K44:K45),2)</f>
        <v>333.93</v>
      </c>
      <c r="M46" s="131"/>
    </row>
    <row r="47" spans="3:14" ht="6" customHeight="1" x14ac:dyDescent="0.2">
      <c r="C47" s="328"/>
      <c r="D47" s="328"/>
      <c r="E47" s="328"/>
      <c r="F47" s="328"/>
      <c r="G47" s="328"/>
      <c r="H47" s="328"/>
      <c r="I47" s="328"/>
      <c r="J47" s="328"/>
      <c r="K47" s="328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9">
        <v>0.03</v>
      </c>
      <c r="I51" s="420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9">
        <f>SUM(J49:J56)</f>
        <v>0.39800000000000008</v>
      </c>
      <c r="K57" s="330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9"/>
      <c r="E65" s="426"/>
      <c r="F65" s="426"/>
      <c r="G65" s="426"/>
      <c r="H65" s="426"/>
      <c r="I65" s="426"/>
      <c r="J65" s="421"/>
      <c r="K65" s="422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30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30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4" t="s">
        <v>186</v>
      </c>
      <c r="D75" s="335"/>
      <c r="E75" s="335"/>
      <c r="F75" s="335"/>
      <c r="G75" s="335"/>
      <c r="H75" s="335"/>
      <c r="I75" s="335"/>
      <c r="J75" s="335"/>
      <c r="K75" s="336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9">
        <f>TRUNC(SUM(J77:J83),4)</f>
        <v>7.1199999999999999E-2</v>
      </c>
      <c r="K84" s="330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9"/>
      <c r="E94" s="409"/>
      <c r="F94" s="410"/>
      <c r="G94" s="410"/>
      <c r="H94" s="410"/>
      <c r="I94" s="411"/>
      <c r="J94" s="413"/>
      <c r="K94" s="416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9">
        <f>TRUNC(SUM(J88:J94),4)</f>
        <v>1.8499999999999999E-2</v>
      </c>
      <c r="K95" s="330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9">
        <f>J98</f>
        <v>3.4738494222855678E-3</v>
      </c>
      <c r="K99" s="330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32">
        <f>J102</f>
        <v>7.3762628144219168E-3</v>
      </c>
      <c r="K103" s="330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33">
        <f>TRUNC(SUM(J106),4)</f>
        <v>0</v>
      </c>
      <c r="K107" s="330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30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6" t="s">
        <v>253</v>
      </c>
      <c r="D117" s="323"/>
      <c r="E117" s="324"/>
      <c r="F117" s="324"/>
      <c r="G117" s="324"/>
      <c r="H117" s="324"/>
      <c r="I117" s="324"/>
      <c r="J117" s="325"/>
      <c r="K117" s="327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Z64koxk18ekrn1Hl6Nj3d5Z88OHfUx4f8nFpk5X28WZlmOFwJGy2GO1kzb6NRM4XnP5N/tExukNThOhdxGW8ZQ==" saltValue="+p0sjyaCt9LVeL2pOfu6Wg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82" t="s">
        <v>3</v>
      </c>
      <c r="B1" s="453"/>
      <c r="C1" s="453"/>
      <c r="D1" s="453"/>
      <c r="E1" s="453"/>
      <c r="F1" s="453"/>
      <c r="G1" s="453"/>
      <c r="H1" s="453"/>
    </row>
    <row r="2" spans="1:10" ht="12.75" x14ac:dyDescent="0.2">
      <c r="A2" s="581" t="s">
        <v>78</v>
      </c>
      <c r="B2" s="453"/>
      <c r="C2" s="453"/>
      <c r="D2" s="453"/>
      <c r="E2" s="453"/>
      <c r="F2" s="453"/>
      <c r="G2" s="453"/>
      <c r="H2" s="453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82" t="s">
        <v>381</v>
      </c>
      <c r="B4" s="453"/>
      <c r="C4" s="453"/>
      <c r="D4" s="453"/>
      <c r="E4" s="453"/>
      <c r="F4" s="453"/>
      <c r="G4" s="453"/>
      <c r="H4" s="453"/>
    </row>
    <row r="5" spans="1:10" ht="12.75" x14ac:dyDescent="0.2">
      <c r="A5" s="581" t="s">
        <v>79</v>
      </c>
      <c r="B5" s="453"/>
      <c r="C5" s="453"/>
      <c r="D5" s="453"/>
      <c r="E5" s="453"/>
      <c r="F5" s="453"/>
      <c r="G5" s="453"/>
      <c r="H5" s="453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82" t="s">
        <v>80</v>
      </c>
      <c r="B7" s="453"/>
      <c r="C7" s="453"/>
      <c r="D7" s="453"/>
      <c r="E7" s="453"/>
      <c r="F7" s="453"/>
      <c r="G7" s="453"/>
      <c r="H7" s="453"/>
    </row>
    <row r="8" spans="1:10" ht="12.75" x14ac:dyDescent="0.2">
      <c r="A8" s="581" t="s">
        <v>81</v>
      </c>
      <c r="B8" s="453"/>
      <c r="C8" s="453"/>
      <c r="D8" s="453"/>
      <c r="E8" s="453"/>
      <c r="F8" s="453"/>
      <c r="G8" s="453"/>
      <c r="H8" s="453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82" t="s">
        <v>82</v>
      </c>
      <c r="B10" s="453"/>
      <c r="C10" s="453"/>
      <c r="D10" s="453"/>
      <c r="E10" s="453"/>
      <c r="F10" s="453"/>
      <c r="G10" s="453"/>
      <c r="H10" s="453"/>
    </row>
    <row r="11" spans="1:10" ht="12.75" x14ac:dyDescent="0.2">
      <c r="A11" s="581" t="s">
        <v>83</v>
      </c>
      <c r="B11" s="453"/>
      <c r="C11" s="453"/>
      <c r="D11" s="453"/>
      <c r="E11" s="453"/>
      <c r="F11" s="453"/>
      <c r="G11" s="453"/>
      <c r="H11" s="453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41" t="s">
        <v>22</v>
      </c>
      <c r="C13" s="342"/>
      <c r="D13" s="342"/>
      <c r="E13" s="343"/>
      <c r="G13" s="341" t="s">
        <v>386</v>
      </c>
      <c r="H13" s="342"/>
      <c r="I13" s="342"/>
      <c r="J13" s="343"/>
    </row>
    <row r="14" spans="1:10" ht="27.75" customHeight="1" x14ac:dyDescent="0.2">
      <c r="A14" s="58"/>
      <c r="B14" s="340" t="s">
        <v>84</v>
      </c>
      <c r="C14" s="340" t="s">
        <v>254</v>
      </c>
      <c r="D14" s="340" t="s">
        <v>419</v>
      </c>
      <c r="E14" s="340" t="s">
        <v>335</v>
      </c>
      <c r="G14" s="340" t="s">
        <v>84</v>
      </c>
      <c r="H14" s="340" t="s">
        <v>254</v>
      </c>
      <c r="I14" s="340" t="s">
        <v>419</v>
      </c>
      <c r="J14" s="340" t="s">
        <v>335</v>
      </c>
    </row>
    <row r="15" spans="1:10" ht="12.75" x14ac:dyDescent="0.2">
      <c r="A15" s="36"/>
      <c r="B15" s="337">
        <v>0</v>
      </c>
      <c r="C15" s="338">
        <f t="shared" ref="C15:C35" si="0">-0.0200788202748401 +0.691025454662637/(B15+1) -1.84853650131968/(B15+1)^2 +1.33466828255716/(B15+1)^3</f>
        <v>0.15707841562527713</v>
      </c>
      <c r="D15" s="339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7">
        <v>0</v>
      </c>
      <c r="H15" s="338">
        <f t="shared" ref="H15:H20" si="2">0.070580632761148 -0.175867025361679/(G15+1) +0.160146777920703/(G15+1)^2 +0.100712622149732/(G15+1)^3</f>
        <v>0.15557300746990399</v>
      </c>
      <c r="I15" s="339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9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9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9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9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9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9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9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9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9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9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9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9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9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9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9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9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9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9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9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9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9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9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9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9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9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9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9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9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9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9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9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9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9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9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9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9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9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9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9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9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7">
        <v>5.0099999999999999E-2</v>
      </c>
      <c r="D42" s="36" t="s">
        <v>420</v>
      </c>
      <c r="E42" s="63"/>
      <c r="F42" s="63"/>
      <c r="G42" s="36"/>
    </row>
    <row r="43" spans="1:10" ht="12.75" x14ac:dyDescent="0.2">
      <c r="A43" s="36"/>
      <c r="B43" s="62">
        <v>2027</v>
      </c>
      <c r="C43" s="427">
        <v>4.2999999999999997E-2</v>
      </c>
      <c r="D43" s="36" t="s">
        <v>420</v>
      </c>
      <c r="E43" s="63"/>
      <c r="F43" s="63"/>
      <c r="G43" s="36"/>
    </row>
    <row r="44" spans="1:10" ht="12.75" x14ac:dyDescent="0.2">
      <c r="A44" s="36"/>
      <c r="B44" s="62">
        <v>2028</v>
      </c>
      <c r="C44" s="427">
        <v>3.7999999999999999E-2</v>
      </c>
      <c r="D44" s="36" t="s">
        <v>420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VDkAkMgEgTMYQW6209ZR29p6vrd3oIL7UnDOos6HGn9/crSCzTYvmNU7U6sa/gUtzphCUqusf1AeQ0I/yEK2zw==" saltValue="rxg3RIjoT1rGtVb+qjVtXg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41" t="s">
        <v>87</v>
      </c>
      <c r="B1" s="442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43">
        <v>0</v>
      </c>
      <c r="B2" s="444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43">
        <v>1</v>
      </c>
      <c r="B3" s="444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43">
        <v>2</v>
      </c>
      <c r="B4" s="444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43">
        <v>3</v>
      </c>
      <c r="B5" s="444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43">
        <v>4</v>
      </c>
      <c r="B6" s="444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43">
        <v>5</v>
      </c>
      <c r="B7" s="444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43">
        <v>6</v>
      </c>
      <c r="B8" s="444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43">
        <v>7</v>
      </c>
      <c r="B9" s="444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43">
        <v>8</v>
      </c>
      <c r="B10" s="444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43">
        <v>9</v>
      </c>
      <c r="B11" s="444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43">
        <v>10</v>
      </c>
      <c r="B12" s="444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43">
        <v>11</v>
      </c>
      <c r="B13" s="444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43">
        <v>12</v>
      </c>
      <c r="B14" s="444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43">
        <v>13</v>
      </c>
      <c r="B15" s="444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43">
        <v>14</v>
      </c>
      <c r="B16" s="444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5">
        <v>15</v>
      </c>
      <c r="B17" s="446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wttIz5rkMNKBveeqR+wB8cZ4ERMGsDogsV5DMXtH16Rz6NE706nW5mreqnbtCjQyq67xxvbkdJjtCKPrz19WYA==" saltValue="cn4buvVssJ+1qxNjUX82tg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83" t="s">
        <v>90</v>
      </c>
      <c r="B1" s="58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5" t="s">
        <v>91</v>
      </c>
      <c r="B2" s="58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3" t="s">
        <v>92</v>
      </c>
      <c r="B4" s="294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2" t="s">
        <v>94</v>
      </c>
      <c r="B5" s="295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8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8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7" t="s">
        <v>247</v>
      </c>
      <c r="F13" s="298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6" t="s">
        <v>102</v>
      </c>
      <c r="F14" s="296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6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6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70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9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rEH6KJIYIYtRX6IX5rmj4G970NkFQ+RPeQrOe1LcvZ5+rc1sn4SKZWDSdhTDM6yZSI6Oq8xpikPiZdLEMONBzw==" saltValue="N668zNqURCb1cd/j63ocQw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50" t="s">
        <v>360</v>
      </c>
      <c r="B3" s="351"/>
      <c r="C3" s="351"/>
      <c r="D3" s="352"/>
    </row>
    <row r="4" spans="1:4" ht="25.5" customHeight="1" x14ac:dyDescent="0.2">
      <c r="A4" s="353" t="s">
        <v>352</v>
      </c>
      <c r="B4" s="354" t="str">
        <f>Motorista!K5</f>
        <v>Motorista de ônibus</v>
      </c>
      <c r="C4" s="355" t="str">
        <f>Motorista!L5</f>
        <v>Motorista de Ônibus Curto</v>
      </c>
      <c r="D4" s="354" t="s">
        <v>109</v>
      </c>
    </row>
    <row r="5" spans="1:4" x14ac:dyDescent="0.2">
      <c r="A5" s="356"/>
      <c r="B5" s="357"/>
      <c r="C5" s="358"/>
      <c r="D5" s="357"/>
    </row>
    <row r="6" spans="1:4" x14ac:dyDescent="0.2">
      <c r="A6" s="359" t="s">
        <v>259</v>
      </c>
      <c r="B6" s="360">
        <f>Motorista!K41</f>
        <v>3968.15</v>
      </c>
      <c r="C6" s="360">
        <f>Motorista!L41</f>
        <v>3370.78</v>
      </c>
      <c r="D6" s="360">
        <f>Monitor!K40</f>
        <v>1717.96</v>
      </c>
    </row>
    <row r="7" spans="1:4" x14ac:dyDescent="0.2">
      <c r="A7" s="359" t="s">
        <v>260</v>
      </c>
      <c r="B7" s="359">
        <v>220</v>
      </c>
      <c r="C7" s="359">
        <v>220</v>
      </c>
      <c r="D7" s="359">
        <v>220</v>
      </c>
    </row>
    <row r="8" spans="1:4" x14ac:dyDescent="0.2">
      <c r="A8" s="359" t="s">
        <v>261</v>
      </c>
      <c r="B8" s="360">
        <f>B6/B7</f>
        <v>18.037045454545456</v>
      </c>
      <c r="C8" s="360">
        <f>C6/C7</f>
        <v>15.321727272727273</v>
      </c>
      <c r="D8" s="360">
        <f>D6/D7</f>
        <v>7.8089090909090908</v>
      </c>
    </row>
    <row r="9" spans="1:4" x14ac:dyDescent="0.2">
      <c r="A9" s="359" t="s">
        <v>262</v>
      </c>
      <c r="B9" s="360">
        <f>B8*1.5</f>
        <v>27.055568181818185</v>
      </c>
      <c r="C9" s="360">
        <f>C8*1.5</f>
        <v>22.982590909090909</v>
      </c>
      <c r="D9" s="360">
        <f>D8*1.5</f>
        <v>11.713363636363637</v>
      </c>
    </row>
    <row r="10" spans="1:4" x14ac:dyDescent="0.2">
      <c r="A10" s="359" t="s">
        <v>263</v>
      </c>
      <c r="B10" s="360">
        <f>B9/Motorista!$H$38*Motorista!$I$38</f>
        <v>5.4554407614937395</v>
      </c>
      <c r="C10" s="360">
        <f>C9/Motorista!$H$38*Motorista!$I$38</f>
        <v>4.6341722490399473</v>
      </c>
      <c r="D10" s="360">
        <f>D9/Monitor!$G$37*Monitor!$H$37</f>
        <v>2.3618635915012751</v>
      </c>
    </row>
    <row r="11" spans="1:4" x14ac:dyDescent="0.2">
      <c r="A11" s="359" t="s">
        <v>264</v>
      </c>
      <c r="B11" s="360">
        <f>B9+B10</f>
        <v>32.511008943311921</v>
      </c>
      <c r="C11" s="360">
        <f>C9+C10</f>
        <v>27.616763158130858</v>
      </c>
      <c r="D11" s="360">
        <f>D9+D10</f>
        <v>14.075227227864911</v>
      </c>
    </row>
    <row r="12" spans="1:4" x14ac:dyDescent="0.2">
      <c r="A12" s="361" t="s">
        <v>265</v>
      </c>
      <c r="B12" s="362">
        <f>Motorista!$J$47</f>
        <v>0.1943</v>
      </c>
      <c r="C12" s="362">
        <f>Motorista!$J$47</f>
        <v>0.1943</v>
      </c>
      <c r="D12" s="362">
        <f>Monitor!J46</f>
        <v>0.1943</v>
      </c>
    </row>
    <row r="13" spans="1:4" x14ac:dyDescent="0.2">
      <c r="A13" s="363" t="s">
        <v>266</v>
      </c>
      <c r="B13" s="364">
        <f>Motorista!$J$58</f>
        <v>0.39800000000000008</v>
      </c>
      <c r="C13" s="364">
        <f>Motorista!$J$58</f>
        <v>0.39800000000000008</v>
      </c>
      <c r="D13" s="364">
        <f>Monitor!J57</f>
        <v>0.39800000000000008</v>
      </c>
    </row>
    <row r="14" spans="1:4" x14ac:dyDescent="0.2">
      <c r="A14" s="363" t="s">
        <v>267</v>
      </c>
      <c r="B14" s="364">
        <f>B13*B12</f>
        <v>7.7331400000000008E-2</v>
      </c>
      <c r="C14" s="364">
        <f>C13*C12</f>
        <v>7.7331400000000008E-2</v>
      </c>
      <c r="D14" s="364">
        <f>D13*D12</f>
        <v>7.7331400000000008E-2</v>
      </c>
    </row>
    <row r="15" spans="1:4" x14ac:dyDescent="0.2">
      <c r="A15" s="365" t="s">
        <v>268</v>
      </c>
      <c r="B15" s="366">
        <f>SUM(B12:B14)</f>
        <v>0.6696314000000001</v>
      </c>
      <c r="C15" s="366">
        <f>SUM(C12:C14)</f>
        <v>0.6696314000000001</v>
      </c>
      <c r="D15" s="366">
        <f>SUM(D12:D14)</f>
        <v>0.6696314000000001</v>
      </c>
    </row>
    <row r="16" spans="1:4" x14ac:dyDescent="0.2">
      <c r="A16" s="359" t="s">
        <v>269</v>
      </c>
      <c r="B16" s="360">
        <f>B15*B11</f>
        <v>21.770392434122485</v>
      </c>
      <c r="C16" s="360">
        <f>C15*C11</f>
        <v>18.49305177704759</v>
      </c>
      <c r="D16" s="360">
        <f>D15*D11</f>
        <v>9.4252141139133006</v>
      </c>
    </row>
    <row r="17" spans="1:4" ht="27" customHeight="1" x14ac:dyDescent="0.2">
      <c r="A17" s="359" t="s">
        <v>270</v>
      </c>
      <c r="B17" s="367">
        <f>B11+B16</f>
        <v>54.281401377434406</v>
      </c>
      <c r="C17" s="367">
        <f>C11+C16</f>
        <v>46.109814935178449</v>
      </c>
      <c r="D17" s="367">
        <f>D11+D16</f>
        <v>23.500441341778213</v>
      </c>
    </row>
    <row r="18" spans="1:4" ht="29.25" customHeight="1" x14ac:dyDescent="0.2">
      <c r="A18" s="359" t="s">
        <v>353</v>
      </c>
      <c r="B18" s="367">
        <f>B17/(1-BDI!$B$11)-B17</f>
        <v>7.9322391697683443</v>
      </c>
      <c r="C18" s="367">
        <f>C17/(1-BDI!$B$11)-C17</f>
        <v>6.7381104919601711</v>
      </c>
      <c r="D18" s="367">
        <f>D17/(1-BDI!$B$11)-D17</f>
        <v>3.4341619152741778</v>
      </c>
    </row>
    <row r="19" spans="1:4" x14ac:dyDescent="0.2">
      <c r="A19" s="356" t="s">
        <v>271</v>
      </c>
      <c r="B19" s="368">
        <f>ROUND(B17+B18,2)</f>
        <v>62.21</v>
      </c>
      <c r="C19" s="368">
        <f>ROUND(C17+C18,2)</f>
        <v>52.85</v>
      </c>
      <c r="D19" s="368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jcFsErqqO8VZjcLNO8314lhZVjdpHlcD/b+cNjaMJ9Zz6+oERgVvJ281Vk+NeoqNFpZq0Sm1XeMGDYtXJBbKYg==" saltValue="jHpUH7zHB+4ls9zTOcBX/A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S8" sqref="S8:Y8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9" t="s">
        <v>26</v>
      </c>
      <c r="T1" s="279" t="s">
        <v>324</v>
      </c>
      <c r="U1" s="279" t="s">
        <v>325</v>
      </c>
      <c r="V1" s="279" t="s">
        <v>326</v>
      </c>
      <c r="W1" s="279" t="s">
        <v>327</v>
      </c>
      <c r="X1" s="279" t="s">
        <v>321</v>
      </c>
      <c r="Y1" s="279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5">
        <f>CV_Comuns!$H$35</f>
        <v>2.9232</v>
      </c>
      <c r="H2" s="305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9" t="s">
        <v>225</v>
      </c>
      <c r="T2" s="389"/>
      <c r="U2" s="389" t="s">
        <v>349</v>
      </c>
      <c r="V2" s="432" t="s">
        <v>407</v>
      </c>
      <c r="W2" s="389">
        <v>2012</v>
      </c>
      <c r="X2" s="389" t="s">
        <v>359</v>
      </c>
      <c r="Y2" s="391">
        <v>152664</v>
      </c>
    </row>
    <row r="3" spans="1:25" x14ac:dyDescent="0.2">
      <c r="A3" s="220">
        <v>1</v>
      </c>
      <c r="B3" s="220">
        <f>COUNTIF(Rotas!$A$5:$A$8,$A3)</f>
        <v>0</v>
      </c>
      <c r="D3" s="220" t="s">
        <v>107</v>
      </c>
      <c r="E3" s="220" t="s">
        <v>251</v>
      </c>
      <c r="F3" s="220" t="s">
        <v>22</v>
      </c>
      <c r="G3" s="305">
        <f>CV_Comuns!$H$35</f>
        <v>2.9232</v>
      </c>
      <c r="H3" s="305">
        <f>CV_Comuns!$I$35</f>
        <v>2.7086000000000001</v>
      </c>
      <c r="I3" s="249">
        <f>CF_Comuns!$E$41</f>
        <v>13473.68</v>
      </c>
      <c r="J3" s="220" t="str" cm="1">
        <f t="array" ref="J3">IFERROR(SMALL(IF(Rotas!$A$5:$A$8=BD!$A3,Rotas!$B$5:$B$8,""),J$2),"")</f>
        <v/>
      </c>
      <c r="K3" s="220" t="str" cm="1">
        <f t="array" ref="K3">IFERROR(SMALL(IF(Rotas!$A$5:$A$8=BD!$A3,Rotas!$B$5:$B$8,""),K$2),"")</f>
        <v/>
      </c>
      <c r="L3" s="220" t="str" cm="1">
        <f t="array" ref="L3">IFERROR(SMALL(IF(Rotas!$A$5:$A$8=BD!$A3,Rotas!$B$5:$B$8,""),L$2),"")</f>
        <v/>
      </c>
      <c r="M3" s="220" t="str" cm="1">
        <f t="array" ref="M3">IFERROR(SMALL(IF(Rotas!$A$5:$A$8=BD!$A3,Rotas!$B$5:$B$8,""),M$2),"")</f>
        <v/>
      </c>
      <c r="N3" s="220" t="str" cm="1">
        <f t="array" ref="N3">IFERROR(SMALL(IF(Rotas!$A$5:$A$8=BD!$A3,Rotas!$B$5:$B$8,""),N$2),"")</f>
        <v/>
      </c>
      <c r="O3" s="220" t="str" cm="1">
        <f t="array" ref="O3">IFERROR(SMALL(IF(Rotas!$A$5:$A$8=BD!$A3,Rotas!$B$5:$B$8,""),O$2),"")</f>
        <v/>
      </c>
      <c r="P3" s="220" t="str" cm="1">
        <f t="array" ref="P3">IFERROR(SMALL(IF(Rotas!$A$5:$A$8=BD!$A3,Rotas!$B$5:$B$8,""),P$2),"")</f>
        <v/>
      </c>
      <c r="Q3" s="220">
        <f>COUNTIF(J3:P3,"&gt;0")</f>
        <v>0</v>
      </c>
      <c r="S3" s="390" t="s">
        <v>107</v>
      </c>
      <c r="T3" s="390"/>
      <c r="U3" s="390" t="s">
        <v>349</v>
      </c>
      <c r="V3" s="433" t="s">
        <v>408</v>
      </c>
      <c r="W3" s="390">
        <v>2012</v>
      </c>
      <c r="X3" s="390" t="s">
        <v>359</v>
      </c>
      <c r="Y3" s="391">
        <v>152664</v>
      </c>
    </row>
    <row r="4" spans="1:25" ht="25.5" x14ac:dyDescent="0.2">
      <c r="A4" s="220">
        <v>2</v>
      </c>
      <c r="B4" s="220">
        <f>COUNTIF(Rotas!$A$5:$A$8,$A4)</f>
        <v>0</v>
      </c>
      <c r="D4" s="220" t="s">
        <v>372</v>
      </c>
      <c r="E4" s="220" t="s">
        <v>377</v>
      </c>
      <c r="F4" s="220" t="s">
        <v>379</v>
      </c>
      <c r="G4" s="305">
        <f>CV_Comuns!$X$35</f>
        <v>1.8796999999999999</v>
      </c>
      <c r="H4" s="305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IFERROR(SMALL(IF(Rotas!$A$5:$A$8=BD!$A4,Rotas!$B$5:$B$8,""),J$2),"")</f>
        <v/>
      </c>
      <c r="K4" s="220" t="str" cm="1">
        <f t="array" ref="K4">IFERROR(SMALL(IF(Rotas!$A$5:$A$8=BD!$A4,Rotas!$B$5:$B$8,""),K$2),"")</f>
        <v/>
      </c>
      <c r="L4" s="220" t="str" cm="1">
        <f t="array" ref="L4">IFERROR(SMALL(IF(Rotas!$A$5:$A$8=BD!$A4,Rotas!$B$5:$B$8,""),L$2),"")</f>
        <v/>
      </c>
      <c r="M4" s="220" t="str" cm="1">
        <f t="array" ref="M4">IFERROR(SMALL(IF(Rotas!$A$5:$A$8=BD!$A4,Rotas!$B$5:$B$8,""),M$2),"")</f>
        <v/>
      </c>
      <c r="N4" s="220" t="str" cm="1">
        <f t="array" ref="N4">IFERROR(SMALL(IF(Rotas!$A$5:$A$8=BD!$A4,Rotas!$B$5:$B$8,""),N$2),"")</f>
        <v/>
      </c>
      <c r="O4" s="220" t="str" cm="1">
        <f t="array" ref="O4">IFERROR(SMALL(IF(Rotas!$A$5:$A$8=BD!$A4,Rotas!$B$5:$B$8,""),O$2),"")</f>
        <v/>
      </c>
      <c r="P4" s="220" t="str" cm="1">
        <f t="array" ref="P4">IFERROR(SMALL(IF(Rotas!$A$5:$A$8=BD!$A4,Rotas!$B$5:$B$8,""),P$2),"")</f>
        <v/>
      </c>
      <c r="Q4" s="220">
        <f t="shared" ref="Q4:Q17" si="0">COUNTIF(J4:P4,"&gt;0")</f>
        <v>0</v>
      </c>
      <c r="S4" s="390" t="s">
        <v>372</v>
      </c>
      <c r="T4" s="390"/>
      <c r="U4" s="390" t="s">
        <v>349</v>
      </c>
      <c r="V4" s="431" t="s">
        <v>409</v>
      </c>
      <c r="W4" s="390">
        <v>2012</v>
      </c>
      <c r="X4" s="390" t="s">
        <v>403</v>
      </c>
      <c r="Y4" s="392">
        <v>87545</v>
      </c>
    </row>
    <row r="5" spans="1:25" x14ac:dyDescent="0.2">
      <c r="A5" s="220">
        <v>3</v>
      </c>
      <c r="B5" s="220">
        <f>COUNTIF(Rotas!$A$5:$A$8,$A5)</f>
        <v>0</v>
      </c>
      <c r="D5" s="220" t="s">
        <v>375</v>
      </c>
      <c r="E5" s="220" t="s">
        <v>377</v>
      </c>
      <c r="F5" s="220" t="s">
        <v>417</v>
      </c>
      <c r="G5" s="305">
        <f>CV_Comuns!$P$35</f>
        <v>1.8731</v>
      </c>
      <c r="H5" s="305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IFERROR(SMALL(IF(Rotas!$A$5:$A$8=BD!$A5,Rotas!$B$5:$B$8,""),J$2),"")</f>
        <v/>
      </c>
      <c r="K5" s="220" t="str" cm="1">
        <f t="array" ref="K5">IFERROR(SMALL(IF(Rotas!$A$5:$A$8=BD!$A5,Rotas!$B$5:$B$8,""),K$2),"")</f>
        <v/>
      </c>
      <c r="L5" s="220" t="str" cm="1">
        <f t="array" ref="L5">IFERROR(SMALL(IF(Rotas!$A$5:$A$8=BD!$A5,Rotas!$B$5:$B$8,""),L$2),"")</f>
        <v/>
      </c>
      <c r="M5" s="220" t="str" cm="1">
        <f t="array" ref="M5">IFERROR(SMALL(IF(Rotas!$A$5:$A$8=BD!$A5,Rotas!$B$5:$B$8,""),M$2),"")</f>
        <v/>
      </c>
      <c r="N5" s="220" t="str" cm="1">
        <f t="array" ref="N5">IFERROR(SMALL(IF(Rotas!$A$5:$A$8=BD!$A5,Rotas!$B$5:$B$8,""),N$2),"")</f>
        <v/>
      </c>
      <c r="O5" s="220" t="str" cm="1">
        <f t="array" ref="O5">IFERROR(SMALL(IF(Rotas!$A$5:$A$8=BD!$A5,Rotas!$B$5:$B$8,""),O$2),"")</f>
        <v/>
      </c>
      <c r="P5" s="220" t="str" cm="1">
        <f t="array" ref="P5">IFERROR(SMALL(IF(Rotas!$A$5:$A$8=BD!$A5,Rotas!$B$5:$B$8,""),P$2),"")</f>
        <v/>
      </c>
      <c r="Q5" s="220">
        <f t="shared" si="0"/>
        <v>0</v>
      </c>
      <c r="S5" s="390" t="s">
        <v>375</v>
      </c>
      <c r="T5" s="390"/>
      <c r="U5" s="390" t="s">
        <v>349</v>
      </c>
      <c r="V5" s="433" t="s">
        <v>410</v>
      </c>
      <c r="W5" s="390">
        <v>2013</v>
      </c>
      <c r="X5" s="390" t="s">
        <v>404</v>
      </c>
      <c r="Y5" s="392">
        <v>200574</v>
      </c>
    </row>
    <row r="6" spans="1:25" x14ac:dyDescent="0.2">
      <c r="A6" s="220">
        <v>4</v>
      </c>
      <c r="B6" s="220">
        <f>COUNTIF(Rotas!$A$5:$A$8,$A6)</f>
        <v>0</v>
      </c>
      <c r="D6" s="220" t="s">
        <v>374</v>
      </c>
      <c r="E6" s="220" t="s">
        <v>377</v>
      </c>
      <c r="F6" s="220" t="s">
        <v>379</v>
      </c>
      <c r="G6" s="305">
        <f>CV_Comuns!$X$35</f>
        <v>1.8796999999999999</v>
      </c>
      <c r="H6" s="305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IFERROR(SMALL(IF(Rotas!$A$5:$A$8=BD!$A6,Rotas!$B$5:$B$8,""),J$2),"")</f>
        <v/>
      </c>
      <c r="K6" s="220" t="str" cm="1">
        <f t="array" ref="K6">IFERROR(SMALL(IF(Rotas!$A$5:$A$8=BD!$A6,Rotas!$B$5:$B$8,""),K$2),"")</f>
        <v/>
      </c>
      <c r="L6" s="220" t="str" cm="1">
        <f t="array" ref="L6">IFERROR(SMALL(IF(Rotas!$A$5:$A$8=BD!$A6,Rotas!$B$5:$B$8,""),L$2),"")</f>
        <v/>
      </c>
      <c r="M6" s="220" t="str" cm="1">
        <f t="array" ref="M6">IFERROR(SMALL(IF(Rotas!$A$5:$A$8=BD!$A6,Rotas!$B$5:$B$8,""),M$2),"")</f>
        <v/>
      </c>
      <c r="N6" s="220" t="str" cm="1">
        <f t="array" ref="N6">IFERROR(SMALL(IF(Rotas!$A$5:$A$8=BD!$A6,Rotas!$B$5:$B$8,""),N$2),"")</f>
        <v/>
      </c>
      <c r="O6" s="220" t="str" cm="1">
        <f t="array" ref="O6">IFERROR(SMALL(IF(Rotas!$A$5:$A$8=BD!$A6,Rotas!$B$5:$B$8,""),O$2),"")</f>
        <v/>
      </c>
      <c r="P6" s="220" t="str" cm="1">
        <f t="array" ref="P6">IFERROR(SMALL(IF(Rotas!$A$5:$A$8=BD!$A6,Rotas!$B$5:$B$8,""),P$2),"")</f>
        <v/>
      </c>
      <c r="Q6" s="220">
        <f t="shared" si="0"/>
        <v>0</v>
      </c>
      <c r="S6" s="390" t="s">
        <v>374</v>
      </c>
      <c r="T6" s="390"/>
      <c r="U6" s="390" t="s">
        <v>349</v>
      </c>
      <c r="V6" s="433" t="s">
        <v>411</v>
      </c>
      <c r="W6" s="390">
        <v>2012</v>
      </c>
      <c r="X6" s="390" t="s">
        <v>405</v>
      </c>
      <c r="Y6" s="392">
        <v>90773</v>
      </c>
    </row>
    <row r="7" spans="1:25" ht="25.5" x14ac:dyDescent="0.2">
      <c r="A7" s="220">
        <v>5</v>
      </c>
      <c r="B7" s="220">
        <f>COUNTIF(Rotas!$A$5:$A$8,$A7)</f>
        <v>0</v>
      </c>
      <c r="D7" s="220" t="s">
        <v>376</v>
      </c>
      <c r="E7" s="220" t="s">
        <v>377</v>
      </c>
      <c r="F7" s="220" t="s">
        <v>379</v>
      </c>
      <c r="G7" s="305">
        <f>CV_Comuns!$X$35</f>
        <v>1.8796999999999999</v>
      </c>
      <c r="H7" s="305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IFERROR(SMALL(IF(Rotas!$A$5:$A$8=BD!$A7,Rotas!$B$5:$B$8,""),J$2),"")</f>
        <v/>
      </c>
      <c r="K7" s="220" t="str" cm="1">
        <f t="array" ref="K7">IFERROR(SMALL(IF(Rotas!$A$5:$A$8=BD!$A7,Rotas!$B$5:$B$8,""),K$2),"")</f>
        <v/>
      </c>
      <c r="L7" s="220" t="str" cm="1">
        <f t="array" ref="L7">IFERROR(SMALL(IF(Rotas!$A$5:$A$8=BD!$A7,Rotas!$B$5:$B$8,""),L$2),"")</f>
        <v/>
      </c>
      <c r="M7" s="220" t="str" cm="1">
        <f t="array" ref="M7">IFERROR(SMALL(IF(Rotas!$A$5:$A$8=BD!$A7,Rotas!$B$5:$B$8,""),M$2),"")</f>
        <v/>
      </c>
      <c r="N7" s="220" t="str" cm="1">
        <f t="array" ref="N7">IFERROR(SMALL(IF(Rotas!$A$5:$A$8=BD!$A7,Rotas!$B$5:$B$8,""),N$2),"")</f>
        <v/>
      </c>
      <c r="O7" s="220" t="str" cm="1">
        <f t="array" ref="O7">IFERROR(SMALL(IF(Rotas!$A$5:$A$8=BD!$A7,Rotas!$B$5:$B$8,""),O$2),"")</f>
        <v/>
      </c>
      <c r="P7" s="220" t="str" cm="1">
        <f t="array" ref="P7">IFERROR(SMALL(IF(Rotas!$A$5:$A$8=BD!$A7,Rotas!$B$5:$B$8,""),P$2),"")</f>
        <v/>
      </c>
      <c r="Q7" s="220">
        <f t="shared" si="0"/>
        <v>0</v>
      </c>
      <c r="S7" s="390" t="s">
        <v>376</v>
      </c>
      <c r="T7" s="390"/>
      <c r="U7" s="390" t="s">
        <v>349</v>
      </c>
      <c r="V7" s="431" t="s">
        <v>412</v>
      </c>
      <c r="W7" s="390">
        <v>2012</v>
      </c>
      <c r="X7" s="390" t="s">
        <v>406</v>
      </c>
      <c r="Y7" s="392">
        <v>117914</v>
      </c>
    </row>
    <row r="8" spans="1:25" ht="25.5" x14ac:dyDescent="0.2">
      <c r="A8" s="220">
        <v>6</v>
      </c>
      <c r="B8" s="220">
        <f>COUNTIF(Rotas!$A$5:$A$8,$A8)</f>
        <v>0</v>
      </c>
      <c r="D8" s="220" t="s">
        <v>373</v>
      </c>
      <c r="E8" s="220" t="s">
        <v>377</v>
      </c>
      <c r="F8" s="220" t="s">
        <v>379</v>
      </c>
      <c r="G8" s="305">
        <f>CV_Comuns!$X$35</f>
        <v>1.8796999999999999</v>
      </c>
      <c r="H8" s="305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IFERROR(SMALL(IF(Rotas!$A$5:$A$8=BD!$A8,Rotas!$B$5:$B$8,""),J$2),"")</f>
        <v/>
      </c>
      <c r="K8" s="220" t="str" cm="1">
        <f t="array" ref="K8">IFERROR(SMALL(IF(Rotas!$A$5:$A$8=BD!$A8,Rotas!$B$5:$B$8,""),K$2),"")</f>
        <v/>
      </c>
      <c r="L8" s="220" t="str" cm="1">
        <f t="array" ref="L8">IFERROR(SMALL(IF(Rotas!$A$5:$A$8=BD!$A8,Rotas!$B$5:$B$8,""),L$2),"")</f>
        <v/>
      </c>
      <c r="M8" s="220" t="str" cm="1">
        <f t="array" ref="M8">IFERROR(SMALL(IF(Rotas!$A$5:$A$8=BD!$A8,Rotas!$B$5:$B$8,""),M$2),"")</f>
        <v/>
      </c>
      <c r="N8" s="220" t="str" cm="1">
        <f t="array" ref="N8">IFERROR(SMALL(IF(Rotas!$A$5:$A$8=BD!$A8,Rotas!$B$5:$B$8,""),N$2),"")</f>
        <v/>
      </c>
      <c r="O8" s="220" t="str" cm="1">
        <f t="array" ref="O8">IFERROR(SMALL(IF(Rotas!$A$5:$A$8=BD!$A8,Rotas!$B$5:$B$8,""),O$2),"")</f>
        <v/>
      </c>
      <c r="P8" s="220" t="str" cm="1">
        <f t="array" ref="P8">IFERROR(SMALL(IF(Rotas!$A$5:$A$8=BD!$A8,Rotas!$B$5:$B$8,""),P$2),"")</f>
        <v/>
      </c>
      <c r="Q8" s="220">
        <f t="shared" si="0"/>
        <v>0</v>
      </c>
      <c r="S8" s="390" t="s">
        <v>373</v>
      </c>
      <c r="T8" s="390"/>
      <c r="U8" s="390" t="s">
        <v>349</v>
      </c>
      <c r="V8" s="431" t="s">
        <v>413</v>
      </c>
      <c r="W8" s="390">
        <v>2012</v>
      </c>
      <c r="X8" s="390" t="s">
        <v>403</v>
      </c>
      <c r="Y8" s="392">
        <v>87545</v>
      </c>
    </row>
    <row r="9" spans="1:25" x14ac:dyDescent="0.2">
      <c r="A9" s="220">
        <v>7</v>
      </c>
      <c r="B9" s="220">
        <f>COUNTIF(Rotas!$A$5:$A$8,$A9)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IFERROR(SMALL(IF(Rotas!$A$5:$A$8=BD!$A9,Rotas!$B$5:$B$8,""),J$2),"")</f>
        <v/>
      </c>
      <c r="K9" s="220" t="str" cm="1">
        <f t="array" ref="K9">IFERROR(SMALL(IF(Rotas!$A$5:$A$8=BD!$A9,Rotas!$B$5:$B$8,""),K$2),"")</f>
        <v/>
      </c>
      <c r="L9" s="220" t="str" cm="1">
        <f t="array" ref="L9">IFERROR(SMALL(IF(Rotas!$A$5:$A$8=BD!$A9,Rotas!$B$5:$B$8,""),L$2),"")</f>
        <v/>
      </c>
      <c r="M9" s="220" t="str" cm="1">
        <f t="array" ref="M9">IFERROR(SMALL(IF(Rotas!$A$5:$A$8=BD!$A9,Rotas!$B$5:$B$8,""),M$2),"")</f>
        <v/>
      </c>
      <c r="N9" s="220" t="str" cm="1">
        <f t="array" ref="N9">IFERROR(SMALL(IF(Rotas!$A$5:$A$8=BD!$A9,Rotas!$B$5:$B$8,""),N$2),"")</f>
        <v/>
      </c>
      <c r="O9" s="220" t="str" cm="1">
        <f t="array" ref="O9">IFERROR(SMALL(IF(Rotas!$A$5:$A$8=BD!$A9,Rotas!$B$5:$B$8,""),O$2),"")</f>
        <v/>
      </c>
      <c r="P9" s="220" t="str" cm="1">
        <f t="array" ref="P9">IFERROR(SMALL(IF(Rotas!$A$5:$A$8=BD!$A9,Rotas!$B$5:$B$8,""),P$2),"")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COUNTIF(Rotas!$A$5:$A$8,$A10)</f>
        <v>0</v>
      </c>
      <c r="J10" s="220" t="str" cm="1">
        <f t="array" ref="J10">IFERROR(SMALL(IF(Rotas!$A$5:$A$8=BD!$A10,Rotas!$B$5:$B$8,""),J$2),"")</f>
        <v/>
      </c>
      <c r="K10" s="220" t="str" cm="1">
        <f t="array" ref="K10">IFERROR(SMALL(IF(Rotas!$A$5:$A$8=BD!$A10,Rotas!$B$5:$B$8,""),K$2),"")</f>
        <v/>
      </c>
      <c r="L10" s="220" t="str" cm="1">
        <f t="array" ref="L10">IFERROR(SMALL(IF(Rotas!$A$5:$A$8=BD!$A10,Rotas!$B$5:$B$8,""),L$2),"")</f>
        <v/>
      </c>
      <c r="M10" s="220" t="str" cm="1">
        <f t="array" ref="M10">IFERROR(SMALL(IF(Rotas!$A$5:$A$8=BD!$A10,Rotas!$B$5:$B$8,""),M$2),"")</f>
        <v/>
      </c>
      <c r="N10" s="220" t="str" cm="1">
        <f t="array" ref="N10">IFERROR(SMALL(IF(Rotas!$A$5:$A$8=BD!$A10,Rotas!$B$5:$B$8,""),N$2),"")</f>
        <v/>
      </c>
      <c r="O10" s="220" t="str" cm="1">
        <f t="array" ref="O10">IFERROR(SMALL(IF(Rotas!$A$5:$A$8=BD!$A10,Rotas!$B$5:$B$8,""),O$2),"")</f>
        <v/>
      </c>
      <c r="P10" s="220" t="str" cm="1">
        <f t="array" ref="P10">IFERROR(SMALL(IF(Rotas!$A$5:$A$8=BD!$A10,Rotas!$B$5:$B$8,""),P$2),"")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COUNTIF(Rotas!$A$5:$A$8,$A11)</f>
        <v>0</v>
      </c>
      <c r="J11" s="220" t="str" cm="1">
        <f t="array" ref="J11">IFERROR(SMALL(IF(Rotas!$A$5:$A$8=BD!$A11,Rotas!$B$5:$B$8,""),J$2),"")</f>
        <v/>
      </c>
      <c r="K11" s="220" t="str" cm="1">
        <f t="array" ref="K11">IFERROR(SMALL(IF(Rotas!$A$5:$A$8=BD!$A11,Rotas!$B$5:$B$8,""),K$2),"")</f>
        <v/>
      </c>
      <c r="L11" s="220" t="str" cm="1">
        <f t="array" ref="L11">IFERROR(SMALL(IF(Rotas!$A$5:$A$8=BD!$A11,Rotas!$B$5:$B$8,""),L$2),"")</f>
        <v/>
      </c>
      <c r="M11" s="220" t="str" cm="1">
        <f t="array" ref="M11">IFERROR(SMALL(IF(Rotas!$A$5:$A$8=BD!$A11,Rotas!$B$5:$B$8,""),M$2),"")</f>
        <v/>
      </c>
      <c r="N11" s="220" t="str" cm="1">
        <f t="array" ref="N11">IFERROR(SMALL(IF(Rotas!$A$5:$A$8=BD!$A11,Rotas!$B$5:$B$8,""),N$2),"")</f>
        <v/>
      </c>
      <c r="O11" s="220" t="str" cm="1">
        <f t="array" ref="O11">IFERROR(SMALL(IF(Rotas!$A$5:$A$8=BD!$A11,Rotas!$B$5:$B$8,""),O$2),"")</f>
        <v/>
      </c>
      <c r="P11" s="220" t="str" cm="1">
        <f t="array" ref="P11">IFERROR(SMALL(IF(Rotas!$A$5:$A$8=BD!$A11,Rotas!$B$5:$B$8,""),P$2),"")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COUNTIF(Rotas!$A$5:$A$8,$A12)</f>
        <v>0</v>
      </c>
      <c r="D12" s="223" t="s">
        <v>315</v>
      </c>
      <c r="J12" s="220" t="str" cm="1">
        <f t="array" ref="J12">IFERROR(SMALL(IF(Rotas!$A$5:$A$8=BD!$A12,Rotas!$B$5:$B$8,""),J$2),"")</f>
        <v/>
      </c>
      <c r="K12" s="220" t="str" cm="1">
        <f t="array" ref="K12">IFERROR(SMALL(IF(Rotas!$A$5:$A$8=BD!$A12,Rotas!$B$5:$B$8,""),K$2),"")</f>
        <v/>
      </c>
      <c r="L12" s="220" t="str" cm="1">
        <f t="array" ref="L12">IFERROR(SMALL(IF(Rotas!$A$5:$A$8=BD!$A12,Rotas!$B$5:$B$8,""),L$2),"")</f>
        <v/>
      </c>
      <c r="M12" s="220" t="str" cm="1">
        <f t="array" ref="M12">IFERROR(SMALL(IF(Rotas!$A$5:$A$8=BD!$A12,Rotas!$B$5:$B$8,""),M$2),"")</f>
        <v/>
      </c>
      <c r="N12" s="220" t="str" cm="1">
        <f t="array" ref="N12">IFERROR(SMALL(IF(Rotas!$A$5:$A$8=BD!$A12,Rotas!$B$5:$B$8,""),N$2),"")</f>
        <v/>
      </c>
      <c r="O12" s="220" t="str" cm="1">
        <f t="array" ref="O12">IFERROR(SMALL(IF(Rotas!$A$5:$A$8=BD!$A12,Rotas!$B$5:$B$8,""),O$2),"")</f>
        <v/>
      </c>
      <c r="P12" s="220" t="str" cm="1">
        <f t="array" ref="P12">IFERROR(SMALL(IF(Rotas!$A$5:$A$8=BD!$A12,Rotas!$B$5:$B$8,""),P$2),"")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COUNTIF(Rotas!$A$5:$A$8,$A13)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IFERROR(SMALL(IF(Rotas!$A$5:$A$8=BD!$A13,Rotas!$B$5:$B$8,""),J$2),"")</f>
        <v/>
      </c>
      <c r="K13" s="220" t="str" cm="1">
        <f t="array" ref="K13">IFERROR(SMALL(IF(Rotas!$A$5:$A$8=BD!$A13,Rotas!$B$5:$B$8,""),K$2),"")</f>
        <v/>
      </c>
      <c r="L13" s="220" t="str" cm="1">
        <f t="array" ref="L13">IFERROR(SMALL(IF(Rotas!$A$5:$A$8=BD!$A13,Rotas!$B$5:$B$8,""),L$2),"")</f>
        <v/>
      </c>
      <c r="M13" s="220" t="str" cm="1">
        <f t="array" ref="M13">IFERROR(SMALL(IF(Rotas!$A$5:$A$8=BD!$A13,Rotas!$B$5:$B$8,""),M$2),"")</f>
        <v/>
      </c>
      <c r="N13" s="220" t="str" cm="1">
        <f t="array" ref="N13">IFERROR(SMALL(IF(Rotas!$A$5:$A$8=BD!$A13,Rotas!$B$5:$B$8,""),N$2),"")</f>
        <v/>
      </c>
      <c r="O13" s="220" t="str" cm="1">
        <f t="array" ref="O13">IFERROR(SMALL(IF(Rotas!$A$5:$A$8=BD!$A13,Rotas!$B$5:$B$8,""),O$2),"")</f>
        <v/>
      </c>
      <c r="P13" s="220" t="str" cm="1">
        <f t="array" ref="P13">IFERROR(SMALL(IF(Rotas!$A$5:$A$8=BD!$A13,Rotas!$B$5:$B$8,""),P$2),"")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COUNTIF(Rotas!$A$5:$A$8,$A14)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IFERROR(SMALL(IF(Rotas!$A$5:$A$8=BD!$A14,Rotas!$B$5:$B$8,""),J$2),"")</f>
        <v/>
      </c>
      <c r="K14" s="220" t="str" cm="1">
        <f t="array" ref="K14">IFERROR(SMALL(IF(Rotas!$A$5:$A$8=BD!$A14,Rotas!$B$5:$B$8,""),K$2),"")</f>
        <v/>
      </c>
      <c r="L14" s="220" t="str" cm="1">
        <f t="array" ref="L14">IFERROR(SMALL(IF(Rotas!$A$5:$A$8=BD!$A14,Rotas!$B$5:$B$8,""),L$2),"")</f>
        <v/>
      </c>
      <c r="M14" s="220" t="str" cm="1">
        <f t="array" ref="M14">IFERROR(SMALL(IF(Rotas!$A$5:$A$8=BD!$A14,Rotas!$B$5:$B$8,""),M$2),"")</f>
        <v/>
      </c>
      <c r="N14" s="220" t="str" cm="1">
        <f t="array" ref="N14">IFERROR(SMALL(IF(Rotas!$A$5:$A$8=BD!$A14,Rotas!$B$5:$B$8,""),N$2),"")</f>
        <v/>
      </c>
      <c r="O14" s="220" t="str" cm="1">
        <f t="array" ref="O14">IFERROR(SMALL(IF(Rotas!$A$5:$A$8=BD!$A14,Rotas!$B$5:$B$8,""),O$2),"")</f>
        <v/>
      </c>
      <c r="P14" s="220" t="str" cm="1">
        <f t="array" ref="P14">IFERROR(SMALL(IF(Rotas!$A$5:$A$8=BD!$A14,Rotas!$B$5:$B$8,""),P$2),"")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COUNTIF(Rotas!$A$5:$A$8,$A15)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IFERROR(SMALL(IF(Rotas!$A$5:$A$8=BD!$A15,Rotas!$B$5:$B$8,""),J$2),"")</f>
        <v/>
      </c>
      <c r="K15" s="220" t="str" cm="1">
        <f t="array" ref="K15">IFERROR(SMALL(IF(Rotas!$A$5:$A$8=BD!$A15,Rotas!$B$5:$B$8,""),K$2),"")</f>
        <v/>
      </c>
      <c r="L15" s="220" t="str" cm="1">
        <f t="array" ref="L15">IFERROR(SMALL(IF(Rotas!$A$5:$A$8=BD!$A15,Rotas!$B$5:$B$8,""),L$2),"")</f>
        <v/>
      </c>
      <c r="M15" s="220" t="str" cm="1">
        <f t="array" ref="M15">IFERROR(SMALL(IF(Rotas!$A$5:$A$8=BD!$A15,Rotas!$B$5:$B$8,""),M$2),"")</f>
        <v/>
      </c>
      <c r="N15" s="220" t="str" cm="1">
        <f t="array" ref="N15">IFERROR(SMALL(IF(Rotas!$A$5:$A$8=BD!$A15,Rotas!$B$5:$B$8,""),N$2),"")</f>
        <v/>
      </c>
      <c r="O15" s="220" t="str" cm="1">
        <f t="array" ref="O15">IFERROR(SMALL(IF(Rotas!$A$5:$A$8=BD!$A15,Rotas!$B$5:$B$8,""),O$2),"")</f>
        <v/>
      </c>
      <c r="P15" s="220" t="str" cm="1">
        <f t="array" ref="P15">IFERROR(SMALL(IF(Rotas!$A$5:$A$8=BD!$A15,Rotas!$B$5:$B$8,""),P$2),"")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COUNTIF(Rotas!$A$5:$A$8,$A16)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IFERROR(SMALL(IF(Rotas!$A$5:$A$8=BD!$A16,Rotas!$B$5:$B$8,""),J$2),"")</f>
        <v/>
      </c>
      <c r="K16" s="220" t="str" cm="1">
        <f t="array" ref="K16">IFERROR(SMALL(IF(Rotas!$A$5:$A$8=BD!$A16,Rotas!$B$5:$B$8,""),K$2),"")</f>
        <v/>
      </c>
      <c r="L16" s="220" t="str" cm="1">
        <f t="array" ref="L16">IFERROR(SMALL(IF(Rotas!$A$5:$A$8=BD!$A16,Rotas!$B$5:$B$8,""),L$2),"")</f>
        <v/>
      </c>
      <c r="M16" s="220" t="str" cm="1">
        <f t="array" ref="M16">IFERROR(SMALL(IF(Rotas!$A$5:$A$8=BD!$A16,Rotas!$B$5:$B$8,""),M$2),"")</f>
        <v/>
      </c>
      <c r="N16" s="220" t="str" cm="1">
        <f t="array" ref="N16">IFERROR(SMALL(IF(Rotas!$A$5:$A$8=BD!$A16,Rotas!$B$5:$B$8,""),N$2),"")</f>
        <v/>
      </c>
      <c r="O16" s="220" t="str" cm="1">
        <f t="array" ref="O16">IFERROR(SMALL(IF(Rotas!$A$5:$A$8=BD!$A16,Rotas!$B$5:$B$8,""),O$2),"")</f>
        <v/>
      </c>
      <c r="P16" s="220" t="str" cm="1">
        <f t="array" ref="P16">IFERROR(SMALL(IF(Rotas!$A$5:$A$8=BD!$A16,Rotas!$B$5:$B$8,""),P$2),"")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COUNTIF(Rotas!$A$5:$A$8,$A17)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IFERROR(SMALL(IF(Rotas!$A$5:$A$8=BD!$A17,Rotas!$B$5:$B$8,""),J$2),"")</f>
        <v/>
      </c>
      <c r="K17" s="220" t="str" cm="1">
        <f t="array" ref="K17">IFERROR(SMALL(IF(Rotas!$A$5:$A$8=BD!$A17,Rotas!$B$5:$B$8,""),K$2),"")</f>
        <v/>
      </c>
      <c r="L17" s="220" t="str" cm="1">
        <f t="array" ref="L17">IFERROR(SMALL(IF(Rotas!$A$5:$A$8=BD!$A17,Rotas!$B$5:$B$8,""),L$2),"")</f>
        <v/>
      </c>
      <c r="M17" s="220" t="str" cm="1">
        <f t="array" ref="M17">IFERROR(SMALL(IF(Rotas!$A$5:$A$8=BD!$A17,Rotas!$B$5:$B$8,""),M$2),"")</f>
        <v/>
      </c>
      <c r="N17" s="220" t="str" cm="1">
        <f t="array" ref="N17">IFERROR(SMALL(IF(Rotas!$A$5:$A$8=BD!$A17,Rotas!$B$5:$B$8,""),N$2),"")</f>
        <v/>
      </c>
      <c r="O17" s="220" t="str" cm="1">
        <f t="array" ref="O17">IFERROR(SMALL(IF(Rotas!$A$5:$A$8=BD!$A17,Rotas!$B$5:$B$8,""),O$2),"")</f>
        <v/>
      </c>
      <c r="P17" s="220" t="str" cm="1">
        <f t="array" ref="P17">IFERROR(SMALL(IF(Rotas!$A$5:$A$8=BD!$A17,Rotas!$B$5:$B$8,""),P$2),"")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COUNTIF(Rotas!$A$5:$A$8,$A18)</f>
        <v>3</v>
      </c>
      <c r="D18" s="229">
        <v>46143</v>
      </c>
      <c r="E18" s="220" t="str">
        <f t="shared" si="1"/>
        <v>sexta-feira</v>
      </c>
      <c r="F18" s="220" t="s">
        <v>398</v>
      </c>
      <c r="J18" s="220" cm="1">
        <f t="array" ref="J18">IFERROR(SMALL(IF(Rotas!$A$5:$A$8=BD!$A18,Rotas!$B$5:$B$8,""),J$2),"")</f>
        <v>112</v>
      </c>
      <c r="K18" s="220" cm="1">
        <f t="array" ref="K18">IFERROR(SMALL(IF(Rotas!$A$5:$A$8=BD!$A18,Rotas!$B$5:$B$8,""),K$2),"")</f>
        <v>113</v>
      </c>
      <c r="L18" s="220" cm="1">
        <f t="array" ref="L18">IFERROR(SMALL(IF(Rotas!$A$5:$A$8=BD!$A18,Rotas!$B$5:$B$8,""),L$2),"")</f>
        <v>114</v>
      </c>
      <c r="M18" s="220" t="str" cm="1">
        <f t="array" ref="M18">IFERROR(SMALL(IF(Rotas!$A$5:$A$8=BD!$A18,Rotas!$B$5:$B$8,""),M$2),"")</f>
        <v/>
      </c>
      <c r="N18" s="220" t="str" cm="1">
        <f t="array" ref="N18">IFERROR(SMALL(IF(Rotas!$A$5:$A$8=BD!$A18,Rotas!$B$5:$B$8,""),N$2),"")</f>
        <v/>
      </c>
      <c r="O18" s="220" t="str" cm="1">
        <f t="array" ref="O18">IFERROR(SMALL(IF(Rotas!$A$5:$A$8=BD!$A18,Rotas!$B$5:$B$8,""),O$2),"")</f>
        <v/>
      </c>
      <c r="P18" s="220" t="str" cm="1">
        <f t="array" ref="P18">IFERROR(SMALL(IF(Rotas!$A$5:$A$8=BD!$A18,Rotas!$B$5:$B$8,""),P$2),"")</f>
        <v/>
      </c>
    </row>
    <row r="19" spans="1:17" x14ac:dyDescent="0.2">
      <c r="A19" s="220">
        <v>17</v>
      </c>
      <c r="B19" s="220">
        <f>COUNTIF(Rotas!$A$5:$A$8,$A19)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IFERROR(SMALL(IF(Rotas!$A$5:$A$8=BD!$A19,Rotas!$B$5:$B$8,""),J$2),"")</f>
        <v/>
      </c>
      <c r="K19" s="220" t="str" cm="1">
        <f t="array" ref="K19">IFERROR(SMALL(IF(Rotas!$A$5:$A$8=BD!$A19,Rotas!$B$5:$B$8,""),K$2),"")</f>
        <v/>
      </c>
      <c r="L19" s="220" t="str" cm="1">
        <f t="array" ref="L19">IFERROR(SMALL(IF(Rotas!$A$5:$A$8=BD!$A19,Rotas!$B$5:$B$8,""),L$2),"")</f>
        <v/>
      </c>
      <c r="M19" s="220" t="str" cm="1">
        <f t="array" ref="M19">IFERROR(SMALL(IF(Rotas!$A$5:$A$8=BD!$A19,Rotas!$B$5:$B$8,""),M$2),"")</f>
        <v/>
      </c>
      <c r="N19" s="220" t="str" cm="1">
        <f t="array" ref="N19">IFERROR(SMALL(IF(Rotas!$A$5:$A$8=BD!$A19,Rotas!$B$5:$B$8,""),N$2),"")</f>
        <v/>
      </c>
      <c r="O19" s="220" t="str" cm="1">
        <f t="array" ref="O19">IFERROR(SMALL(IF(Rotas!$A$5:$A$8=BD!$A19,Rotas!$B$5:$B$8,""),O$2),"")</f>
        <v/>
      </c>
      <c r="P19" s="220" t="str" cm="1">
        <f t="array" ref="P19">IFERROR(SMALL(IF(Rotas!$A$5:$A$8=BD!$A19,Rotas!$B$5:$B$8,""),P$2),"")</f>
        <v/>
      </c>
    </row>
    <row r="20" spans="1:17" x14ac:dyDescent="0.2">
      <c r="A20" s="220">
        <v>18</v>
      </c>
      <c r="B20" s="220">
        <f>COUNTIF(Rotas!$A$5:$A$8,$A20)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IFERROR(SMALL(IF(Rotas!$A$5:$A$8=BD!$A20,Rotas!$B$5:$B$8,""),J$2),"")</f>
        <v/>
      </c>
      <c r="K20" s="220" t="str" cm="1">
        <f t="array" ref="K20">IFERROR(SMALL(IF(Rotas!$A$5:$A$8=BD!$A20,Rotas!$B$5:$B$8,""),K$2),"")</f>
        <v/>
      </c>
      <c r="L20" s="220" t="str" cm="1">
        <f t="array" ref="L20">IFERROR(SMALL(IF(Rotas!$A$5:$A$8=BD!$A20,Rotas!$B$5:$B$8,""),L$2),"")</f>
        <v/>
      </c>
      <c r="M20" s="220" t="str" cm="1">
        <f t="array" ref="M20">IFERROR(SMALL(IF(Rotas!$A$5:$A$8=BD!$A20,Rotas!$B$5:$B$8,""),M$2),"")</f>
        <v/>
      </c>
      <c r="N20" s="220" t="str" cm="1">
        <f t="array" ref="N20">IFERROR(SMALL(IF(Rotas!$A$5:$A$8=BD!$A20,Rotas!$B$5:$B$8,""),N$2),"")</f>
        <v/>
      </c>
      <c r="O20" s="220" t="str" cm="1">
        <f t="array" ref="O20">IFERROR(SMALL(IF(Rotas!$A$5:$A$8=BD!$A20,Rotas!$B$5:$B$8,""),O$2),"")</f>
        <v/>
      </c>
      <c r="P20" s="220" t="str" cm="1">
        <f t="array" ref="P20">IFERROR(SMALL(IF(Rotas!$A$5:$A$8=BD!$A20,Rotas!$B$5:$B$8,""),P$2),"")</f>
        <v/>
      </c>
    </row>
    <row r="21" spans="1:17" x14ac:dyDescent="0.2">
      <c r="A21" s="220">
        <v>19</v>
      </c>
      <c r="B21" s="220">
        <f>COUNTIF(Rotas!$A$5:$A$8,$A21)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IFERROR(SMALL(IF(Rotas!$A$5:$A$8=BD!$A21,Rotas!$B$5:$B$8,""),J$2),"")</f>
        <v/>
      </c>
      <c r="K21" s="220" t="str" cm="1">
        <f t="array" ref="K21">IFERROR(SMALL(IF(Rotas!$A$5:$A$8=BD!$A21,Rotas!$B$5:$B$8,""),K$2),"")</f>
        <v/>
      </c>
      <c r="L21" s="220" t="str" cm="1">
        <f t="array" ref="L21">IFERROR(SMALL(IF(Rotas!$A$5:$A$8=BD!$A21,Rotas!$B$5:$B$8,""),L$2),"")</f>
        <v/>
      </c>
      <c r="M21" s="220" t="str" cm="1">
        <f t="array" ref="M21">IFERROR(SMALL(IF(Rotas!$A$5:$A$8=BD!$A21,Rotas!$B$5:$B$8,""),M$2),"")</f>
        <v/>
      </c>
      <c r="N21" s="220" t="str" cm="1">
        <f t="array" ref="N21">IFERROR(SMALL(IF(Rotas!$A$5:$A$8=BD!$A21,Rotas!$B$5:$B$8,""),N$2),"")</f>
        <v/>
      </c>
      <c r="O21" s="220" t="str" cm="1">
        <f t="array" ref="O21">IFERROR(SMALL(IF(Rotas!$A$5:$A$8=BD!$A21,Rotas!$B$5:$B$8,""),O$2),"")</f>
        <v/>
      </c>
      <c r="P21" s="220" t="str" cm="1">
        <f t="array" ref="P21">IFERROR(SMALL(IF(Rotas!$A$5:$A$8=BD!$A21,Rotas!$B$5:$B$8,""),P$2),"")</f>
        <v/>
      </c>
    </row>
    <row r="22" spans="1:17" x14ac:dyDescent="0.2">
      <c r="A22" s="220">
        <v>20</v>
      </c>
      <c r="B22" s="220">
        <f>COUNTIF(Rotas!$A$5:$A$8,$A22)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IFERROR(SMALL(IF(Rotas!$A$5:$A$8=BD!$A22,Rotas!$B$5:$B$8,""),J$2),"")</f>
        <v/>
      </c>
      <c r="K22" s="220" t="str" cm="1">
        <f t="array" ref="K22">IFERROR(SMALL(IF(Rotas!$A$5:$A$8=BD!$A22,Rotas!$B$5:$B$8,""),K$2),"")</f>
        <v/>
      </c>
      <c r="L22" s="220" t="str" cm="1">
        <f t="array" ref="L22">IFERROR(SMALL(IF(Rotas!$A$5:$A$8=BD!$A22,Rotas!$B$5:$B$8,""),L$2),"")</f>
        <v/>
      </c>
      <c r="M22" s="220" t="str" cm="1">
        <f t="array" ref="M22">IFERROR(SMALL(IF(Rotas!$A$5:$A$8=BD!$A22,Rotas!$B$5:$B$8,""),M$2),"")</f>
        <v/>
      </c>
      <c r="N22" s="220" t="str" cm="1">
        <f t="array" ref="N22">IFERROR(SMALL(IF(Rotas!$A$5:$A$8=BD!$A22,Rotas!$B$5:$B$8,""),N$2),"")</f>
        <v/>
      </c>
      <c r="O22" s="220" t="str" cm="1">
        <f t="array" ref="O22">IFERROR(SMALL(IF(Rotas!$A$5:$A$8=BD!$A22,Rotas!$B$5:$B$8,""),O$2),"")</f>
        <v/>
      </c>
      <c r="P22" s="220" t="str" cm="1">
        <f t="array" ref="P22">IFERROR(SMALL(IF(Rotas!$A$5:$A$8=BD!$A22,Rotas!$B$5:$B$8,""),P$2),"")</f>
        <v/>
      </c>
    </row>
    <row r="23" spans="1:17" x14ac:dyDescent="0.2">
      <c r="A23" s="220">
        <v>21</v>
      </c>
      <c r="B23" s="220">
        <f>COUNTIF(Rotas!$A$5:$A$8,$A23)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IFERROR(SMALL(IF(Rotas!$A$5:$A$8=BD!$A23,Rotas!$B$5:$B$8,""),J$2),"")</f>
        <v/>
      </c>
      <c r="K23" s="220" t="str" cm="1">
        <f t="array" ref="K23">IFERROR(SMALL(IF(Rotas!$A$5:$A$8=BD!$A23,Rotas!$B$5:$B$8,""),K$2),"")</f>
        <v/>
      </c>
      <c r="L23" s="220" t="str" cm="1">
        <f t="array" ref="L23">IFERROR(SMALL(IF(Rotas!$A$5:$A$8=BD!$A23,Rotas!$B$5:$B$8,""),L$2),"")</f>
        <v/>
      </c>
      <c r="M23" s="220" t="str" cm="1">
        <f t="array" ref="M23">IFERROR(SMALL(IF(Rotas!$A$5:$A$8=BD!$A23,Rotas!$B$5:$B$8,""),M$2),"")</f>
        <v/>
      </c>
      <c r="N23" s="220" t="str" cm="1">
        <f t="array" ref="N23">IFERROR(SMALL(IF(Rotas!$A$5:$A$8=BD!$A23,Rotas!$B$5:$B$8,""),N$2),"")</f>
        <v/>
      </c>
      <c r="O23" s="220" t="str" cm="1">
        <f t="array" ref="O23">IFERROR(SMALL(IF(Rotas!$A$5:$A$8=BD!$A23,Rotas!$B$5:$B$8,""),O$2),"")</f>
        <v/>
      </c>
      <c r="P23" s="220" t="str" cm="1">
        <f t="array" ref="P23">IFERROR(SMALL(IF(Rotas!$A$5:$A$8=BD!$A23,Rotas!$B$5:$B$8,""),P$2),"")</f>
        <v/>
      </c>
    </row>
    <row r="24" spans="1:17" x14ac:dyDescent="0.2">
      <c r="A24" s="220">
        <v>22</v>
      </c>
      <c r="B24" s="220">
        <f>COUNTIF(Rotas!$A$5:$A$8,$A24)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IFERROR(SMALL(IF(Rotas!$A$5:$A$8=BD!$A24,Rotas!$B$5:$B$8,""),J$2),"")</f>
        <v/>
      </c>
      <c r="K24" s="220" t="str" cm="1">
        <f t="array" ref="K24">IFERROR(SMALL(IF(Rotas!$A$5:$A$8=BD!$A24,Rotas!$B$5:$B$8,""),K$2),"")</f>
        <v/>
      </c>
      <c r="L24" s="220" t="str" cm="1">
        <f t="array" ref="L24">IFERROR(SMALL(IF(Rotas!$A$5:$A$8=BD!$A24,Rotas!$B$5:$B$8,""),L$2),"")</f>
        <v/>
      </c>
      <c r="M24" s="220" t="str" cm="1">
        <f t="array" ref="M24">IFERROR(SMALL(IF(Rotas!$A$5:$A$8=BD!$A24,Rotas!$B$5:$B$8,""),M$2),"")</f>
        <v/>
      </c>
      <c r="N24" s="220" t="str" cm="1">
        <f t="array" ref="N24">IFERROR(SMALL(IF(Rotas!$A$5:$A$8=BD!$A24,Rotas!$B$5:$B$8,""),N$2),"")</f>
        <v/>
      </c>
      <c r="O24" s="220" t="str" cm="1">
        <f t="array" ref="O24">IFERROR(SMALL(IF(Rotas!$A$5:$A$8=BD!$A24,Rotas!$B$5:$B$8,""),O$2),"")</f>
        <v/>
      </c>
      <c r="P24" s="220" t="str" cm="1">
        <f t="array" ref="P24">IFERROR(SMALL(IF(Rotas!$A$5:$A$8=BD!$A24,Rotas!$B$5:$B$8,""),P$2),"")</f>
        <v/>
      </c>
    </row>
    <row r="25" spans="1:17" x14ac:dyDescent="0.2">
      <c r="A25" s="220">
        <v>23</v>
      </c>
      <c r="B25" s="220">
        <f>COUNTIF(Rotas!$A$5:$A$8,$A25)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IFERROR(SMALL(IF(Rotas!$A$5:$A$8=BD!$A25,Rotas!$B$5:$B$8,""),J$2),"")</f>
        <v/>
      </c>
      <c r="K25" s="220" t="str" cm="1">
        <f t="array" ref="K25">IFERROR(SMALL(IF(Rotas!$A$5:$A$8=BD!$A25,Rotas!$B$5:$B$8,""),K$2),"")</f>
        <v/>
      </c>
      <c r="L25" s="220" t="str" cm="1">
        <f t="array" ref="L25">IFERROR(SMALL(IF(Rotas!$A$5:$A$8=BD!$A25,Rotas!$B$5:$B$8,""),L$2),"")</f>
        <v/>
      </c>
      <c r="M25" s="220" t="str" cm="1">
        <f t="array" ref="M25">IFERROR(SMALL(IF(Rotas!$A$5:$A$8=BD!$A25,Rotas!$B$5:$B$8,""),M$2),"")</f>
        <v/>
      </c>
      <c r="N25" s="220" t="str" cm="1">
        <f t="array" ref="N25">IFERROR(SMALL(IF(Rotas!$A$5:$A$8=BD!$A25,Rotas!$B$5:$B$8,""),N$2),"")</f>
        <v/>
      </c>
      <c r="O25" s="220" t="str" cm="1">
        <f t="array" ref="O25">IFERROR(SMALL(IF(Rotas!$A$5:$A$8=BD!$A25,Rotas!$B$5:$B$8,""),O$2),"")</f>
        <v/>
      </c>
      <c r="P25" s="220" t="str" cm="1">
        <f t="array" ref="P25">IFERROR(SMALL(IF(Rotas!$A$5:$A$8=BD!$A25,Rotas!$B$5:$B$8,""),P$2),"")</f>
        <v/>
      </c>
    </row>
    <row r="26" spans="1:17" x14ac:dyDescent="0.2">
      <c r="A26" s="220">
        <v>24</v>
      </c>
      <c r="B26" s="220">
        <f>COUNTIF(Rotas!$A$5:$A$8,$A26)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IFERROR(SMALL(IF(Rotas!$A$5:$A$8=BD!$A26,Rotas!$B$5:$B$8,""),J$2),"")</f>
        <v/>
      </c>
      <c r="K26" s="220" t="str" cm="1">
        <f t="array" ref="K26">IFERROR(SMALL(IF(Rotas!$A$5:$A$8=BD!$A26,Rotas!$B$5:$B$8,""),K$2),"")</f>
        <v/>
      </c>
      <c r="L26" s="220" t="str" cm="1">
        <f t="array" ref="L26">IFERROR(SMALL(IF(Rotas!$A$5:$A$8=BD!$A26,Rotas!$B$5:$B$8,""),L$2),"")</f>
        <v/>
      </c>
      <c r="M26" s="220" t="str" cm="1">
        <f t="array" ref="M26">IFERROR(SMALL(IF(Rotas!$A$5:$A$8=BD!$A26,Rotas!$B$5:$B$8,""),M$2),"")</f>
        <v/>
      </c>
      <c r="N26" s="220" t="str" cm="1">
        <f t="array" ref="N26">IFERROR(SMALL(IF(Rotas!$A$5:$A$8=BD!$A26,Rotas!$B$5:$B$8,""),N$2),"")</f>
        <v/>
      </c>
      <c r="O26" s="220" t="str" cm="1">
        <f t="array" ref="O26">IFERROR(SMALL(IF(Rotas!$A$5:$A$8=BD!$A26,Rotas!$B$5:$B$8,""),O$2),"")</f>
        <v/>
      </c>
      <c r="P26" s="220" t="str" cm="1">
        <f t="array" ref="P26">IFERROR(SMALL(IF(Rotas!$A$5:$A$8=BD!$A26,Rotas!$B$5:$B$8,""),P$2),"")</f>
        <v/>
      </c>
    </row>
    <row r="27" spans="1:17" x14ac:dyDescent="0.2">
      <c r="A27" s="220">
        <v>25</v>
      </c>
      <c r="B27" s="220">
        <f>COUNTIF(Rotas!$A$5:$A$8,$A27)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IFERROR(SMALL(IF(Rotas!$A$5:$A$8=BD!$A27,Rotas!$B$5:$B$8,""),J$2),"")</f>
        <v/>
      </c>
      <c r="K27" s="220" t="str" cm="1">
        <f t="array" ref="K27">IFERROR(SMALL(IF(Rotas!$A$5:$A$8=BD!$A27,Rotas!$B$5:$B$8,""),K$2),"")</f>
        <v/>
      </c>
      <c r="L27" s="220" t="str" cm="1">
        <f t="array" ref="L27">IFERROR(SMALL(IF(Rotas!$A$5:$A$8=BD!$A27,Rotas!$B$5:$B$8,""),L$2),"")</f>
        <v/>
      </c>
      <c r="M27" s="220" t="str" cm="1">
        <f t="array" ref="M27">IFERROR(SMALL(IF(Rotas!$A$5:$A$8=BD!$A27,Rotas!$B$5:$B$8,""),M$2),"")</f>
        <v/>
      </c>
      <c r="N27" s="220" t="str" cm="1">
        <f t="array" ref="N27">IFERROR(SMALL(IF(Rotas!$A$5:$A$8=BD!$A27,Rotas!$B$5:$B$8,""),N$2),"")</f>
        <v/>
      </c>
      <c r="O27" s="220" t="str" cm="1">
        <f t="array" ref="O27">IFERROR(SMALL(IF(Rotas!$A$5:$A$8=BD!$A27,Rotas!$B$5:$B$8,""),O$2),"")</f>
        <v/>
      </c>
      <c r="P27" s="220" t="str" cm="1">
        <f t="array" ref="P27">IFERROR(SMALL(IF(Rotas!$A$5:$A$8=BD!$A27,Rotas!$B$5:$B$8,""),P$2),"")</f>
        <v/>
      </c>
    </row>
    <row r="28" spans="1:17" x14ac:dyDescent="0.2">
      <c r="A28" s="220">
        <v>26</v>
      </c>
      <c r="B28" s="220">
        <f>COUNTIF(Rotas!$A$5:$A$8,$A28)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IFERROR(SMALL(IF(Rotas!$A$5:$A$8=BD!$A28,Rotas!$B$5:$B$8,""),J$2),"")</f>
        <v/>
      </c>
      <c r="K28" s="220" t="str" cm="1">
        <f t="array" ref="K28">IFERROR(SMALL(IF(Rotas!$A$5:$A$8=BD!$A28,Rotas!$B$5:$B$8,""),K$2),"")</f>
        <v/>
      </c>
      <c r="L28" s="220" t="str" cm="1">
        <f t="array" ref="L28">IFERROR(SMALL(IF(Rotas!$A$5:$A$8=BD!$A28,Rotas!$B$5:$B$8,""),L$2),"")</f>
        <v/>
      </c>
      <c r="M28" s="220" t="str" cm="1">
        <f t="array" ref="M28">IFERROR(SMALL(IF(Rotas!$A$5:$A$8=BD!$A28,Rotas!$B$5:$B$8,""),M$2),"")</f>
        <v/>
      </c>
      <c r="N28" s="220" t="str" cm="1">
        <f t="array" ref="N28">IFERROR(SMALL(IF(Rotas!$A$5:$A$8=BD!$A28,Rotas!$B$5:$B$8,""),N$2),"")</f>
        <v/>
      </c>
      <c r="O28" s="220" t="str" cm="1">
        <f t="array" ref="O28">IFERROR(SMALL(IF(Rotas!$A$5:$A$8=BD!$A28,Rotas!$B$5:$B$8,""),O$2),"")</f>
        <v/>
      </c>
      <c r="P28" s="220" t="str" cm="1">
        <f t="array" ref="P28">IFERROR(SMALL(IF(Rotas!$A$5:$A$8=BD!$A28,Rotas!$B$5:$B$8,""),P$2),"")</f>
        <v/>
      </c>
    </row>
    <row r="29" spans="1:17" x14ac:dyDescent="0.2">
      <c r="A29" s="220">
        <v>27</v>
      </c>
      <c r="B29" s="220">
        <f>COUNTIF(Rotas!$A$5:$A$8,$A29)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IFERROR(SMALL(IF(Rotas!$A$5:$A$8=BD!$A29,Rotas!$B$5:$B$8,""),J$2),"")</f>
        <v/>
      </c>
      <c r="K29" s="220" t="str" cm="1">
        <f t="array" ref="K29">IFERROR(SMALL(IF(Rotas!$A$5:$A$8=BD!$A29,Rotas!$B$5:$B$8,""),K$2),"")</f>
        <v/>
      </c>
      <c r="L29" s="220" t="str" cm="1">
        <f t="array" ref="L29">IFERROR(SMALL(IF(Rotas!$A$5:$A$8=BD!$A29,Rotas!$B$5:$B$8,""),L$2),"")</f>
        <v/>
      </c>
      <c r="M29" s="220" t="str" cm="1">
        <f t="array" ref="M29">IFERROR(SMALL(IF(Rotas!$A$5:$A$8=BD!$A29,Rotas!$B$5:$B$8,""),M$2),"")</f>
        <v/>
      </c>
      <c r="N29" s="220" t="str" cm="1">
        <f t="array" ref="N29">IFERROR(SMALL(IF(Rotas!$A$5:$A$8=BD!$A29,Rotas!$B$5:$B$8,""),N$2),"")</f>
        <v/>
      </c>
      <c r="O29" s="220" t="str" cm="1">
        <f t="array" ref="O29">IFERROR(SMALL(IF(Rotas!$A$5:$A$8=BD!$A29,Rotas!$B$5:$B$8,""),O$2),"")</f>
        <v/>
      </c>
      <c r="P29" s="220" t="str" cm="1">
        <f t="array" ref="P29">IFERROR(SMALL(IF(Rotas!$A$5:$A$8=BD!$A29,Rotas!$B$5:$B$8,""),P$2),"")</f>
        <v/>
      </c>
    </row>
    <row r="30" spans="1:17" x14ac:dyDescent="0.2">
      <c r="A30" s="220">
        <v>28</v>
      </c>
      <c r="B30" s="220">
        <f>COUNTIF(Rotas!$A$5:$A$8,$A30)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IFERROR(SMALL(IF(Rotas!$A$5:$A$8=BD!$A30,Rotas!$B$5:$B$8,""),J$2),"")</f>
        <v/>
      </c>
      <c r="K30" s="220" t="str" cm="1">
        <f t="array" ref="K30">IFERROR(SMALL(IF(Rotas!$A$5:$A$8=BD!$A30,Rotas!$B$5:$B$8,""),K$2),"")</f>
        <v/>
      </c>
      <c r="L30" s="220" t="str" cm="1">
        <f t="array" ref="L30">IFERROR(SMALL(IF(Rotas!$A$5:$A$8=BD!$A30,Rotas!$B$5:$B$8,""),L$2),"")</f>
        <v/>
      </c>
      <c r="M30" s="220" t="str" cm="1">
        <f t="array" ref="M30">IFERROR(SMALL(IF(Rotas!$A$5:$A$8=BD!$A30,Rotas!$B$5:$B$8,""),M$2),"")</f>
        <v/>
      </c>
      <c r="N30" s="220" t="str" cm="1">
        <f t="array" ref="N30">IFERROR(SMALL(IF(Rotas!$A$5:$A$8=BD!$A30,Rotas!$B$5:$B$8,""),N$2),"")</f>
        <v/>
      </c>
      <c r="O30" s="220" t="str" cm="1">
        <f t="array" ref="O30">IFERROR(SMALL(IF(Rotas!$A$5:$A$8=BD!$A30,Rotas!$B$5:$B$8,""),O$2),"")</f>
        <v/>
      </c>
      <c r="P30" s="220" t="str" cm="1">
        <f t="array" ref="P30">IFERROR(SMALL(IF(Rotas!$A$5:$A$8=BD!$A30,Rotas!$B$5:$B$8,""),P$2),"")</f>
        <v/>
      </c>
    </row>
    <row r="31" spans="1:17" x14ac:dyDescent="0.2">
      <c r="A31" s="220">
        <v>29</v>
      </c>
      <c r="B31" s="220">
        <f>COUNTIF(Rotas!$A$5:$A$8,$A31)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IFERROR(SMALL(IF(Rotas!$A$5:$A$8=BD!$A31,Rotas!$B$5:$B$8,""),J$2),"")</f>
        <v/>
      </c>
      <c r="K31" s="220" t="str" cm="1">
        <f t="array" ref="K31">IFERROR(SMALL(IF(Rotas!$A$5:$A$8=BD!$A31,Rotas!$B$5:$B$8,""),K$2),"")</f>
        <v/>
      </c>
      <c r="L31" s="220" t="str" cm="1">
        <f t="array" ref="L31">IFERROR(SMALL(IF(Rotas!$A$5:$A$8=BD!$A31,Rotas!$B$5:$B$8,""),L$2),"")</f>
        <v/>
      </c>
      <c r="M31" s="220" t="str" cm="1">
        <f t="array" ref="M31">IFERROR(SMALL(IF(Rotas!$A$5:$A$8=BD!$A31,Rotas!$B$5:$B$8,""),M$2),"")</f>
        <v/>
      </c>
      <c r="N31" s="220" t="str" cm="1">
        <f t="array" ref="N31">IFERROR(SMALL(IF(Rotas!$A$5:$A$8=BD!$A31,Rotas!$B$5:$B$8,""),N$2),"")</f>
        <v/>
      </c>
      <c r="O31" s="220" t="str" cm="1">
        <f t="array" ref="O31">IFERROR(SMALL(IF(Rotas!$A$5:$A$8=BD!$A31,Rotas!$B$5:$B$8,""),O$2),"")</f>
        <v/>
      </c>
      <c r="P31" s="220" t="str" cm="1">
        <f t="array" ref="P31">IFERROR(SMALL(IF(Rotas!$A$5:$A$8=BD!$A31,Rotas!$B$5:$B$8,""),P$2),"")</f>
        <v/>
      </c>
    </row>
    <row r="32" spans="1:17" x14ac:dyDescent="0.2">
      <c r="A32" s="220">
        <v>30</v>
      </c>
      <c r="B32" s="220">
        <f>COUNTIF(Rotas!$A$5:$A$8,$A32)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IFERROR(SMALL(IF(Rotas!$A$5:$A$8=BD!$A32,Rotas!$B$5:$B$8,""),J$2),"")</f>
        <v/>
      </c>
      <c r="K32" s="220" t="str" cm="1">
        <f t="array" ref="K32">IFERROR(SMALL(IF(Rotas!$A$5:$A$8=BD!$A32,Rotas!$B$5:$B$8,""),K$2),"")</f>
        <v/>
      </c>
      <c r="L32" s="220" t="str" cm="1">
        <f t="array" ref="L32">IFERROR(SMALL(IF(Rotas!$A$5:$A$8=BD!$A32,Rotas!$B$5:$B$8,""),L$2),"")</f>
        <v/>
      </c>
      <c r="M32" s="220" t="str" cm="1">
        <f t="array" ref="M32">IFERROR(SMALL(IF(Rotas!$A$5:$A$8=BD!$A32,Rotas!$B$5:$B$8,""),M$2),"")</f>
        <v/>
      </c>
      <c r="N32" s="220" t="str" cm="1">
        <f t="array" ref="N32">IFERROR(SMALL(IF(Rotas!$A$5:$A$8=BD!$A32,Rotas!$B$5:$B$8,""),N$2),"")</f>
        <v/>
      </c>
      <c r="O32" s="220" t="str" cm="1">
        <f t="array" ref="O32">IFERROR(SMALL(IF(Rotas!$A$5:$A$8=BD!$A32,Rotas!$B$5:$B$8,""),O$2),"")</f>
        <v/>
      </c>
      <c r="P32" s="220" t="str" cm="1">
        <f t="array" ref="P32">IFERROR(SMALL(IF(Rotas!$A$5:$A$8=BD!$A32,Rotas!$B$5:$B$8,""),P$2),"")</f>
        <v/>
      </c>
    </row>
    <row r="33" spans="1:16" x14ac:dyDescent="0.2">
      <c r="A33" s="220">
        <v>31</v>
      </c>
      <c r="B33" s="220">
        <f>COUNTIF(Rotas!$A$5:$A$8,$A33)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IFERROR(SMALL(IF(Rotas!$A$5:$A$8=BD!$A33,Rotas!$B$5:$B$8,""),J$2),"")</f>
        <v/>
      </c>
      <c r="K33" s="220" t="str" cm="1">
        <f t="array" ref="K33">IFERROR(SMALL(IF(Rotas!$A$5:$A$8=BD!$A33,Rotas!$B$5:$B$8,""),K$2),"")</f>
        <v/>
      </c>
      <c r="L33" s="220" t="str" cm="1">
        <f t="array" ref="L33">IFERROR(SMALL(IF(Rotas!$A$5:$A$8=BD!$A33,Rotas!$B$5:$B$8,""),L$2),"")</f>
        <v/>
      </c>
      <c r="M33" s="220" t="str" cm="1">
        <f t="array" ref="M33">IFERROR(SMALL(IF(Rotas!$A$5:$A$8=BD!$A33,Rotas!$B$5:$B$8,""),M$2),"")</f>
        <v/>
      </c>
      <c r="N33" s="220" t="str" cm="1">
        <f t="array" ref="N33">IFERROR(SMALL(IF(Rotas!$A$5:$A$8=BD!$A33,Rotas!$B$5:$B$8,""),N$2),"")</f>
        <v/>
      </c>
      <c r="O33" s="220" t="str" cm="1">
        <f t="array" ref="O33">IFERROR(SMALL(IF(Rotas!$A$5:$A$8=BD!$A33,Rotas!$B$5:$B$8,""),O$2),"")</f>
        <v/>
      </c>
      <c r="P33" s="220" t="str" cm="1">
        <f t="array" ref="P33">IFERROR(SMALL(IF(Rotas!$A$5:$A$8=BD!$A33,Rotas!$B$5:$B$8,""),P$2),"")</f>
        <v/>
      </c>
    </row>
    <row r="34" spans="1:16" x14ac:dyDescent="0.2">
      <c r="A34" s="220">
        <v>32</v>
      </c>
      <c r="B34" s="220">
        <f>COUNTIF(Rotas!$A$5:$A$8,$A34)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IFERROR(SMALL(IF(Rotas!$A$5:$A$8=BD!$A34,Rotas!$B$5:$B$8,""),J$2),"")</f>
        <v/>
      </c>
      <c r="K34" s="220" t="str" cm="1">
        <f t="array" ref="K34">IFERROR(SMALL(IF(Rotas!$A$5:$A$8=BD!$A34,Rotas!$B$5:$B$8,""),K$2),"")</f>
        <v/>
      </c>
      <c r="L34" s="220" t="str" cm="1">
        <f t="array" ref="L34">IFERROR(SMALL(IF(Rotas!$A$5:$A$8=BD!$A34,Rotas!$B$5:$B$8,""),L$2),"")</f>
        <v/>
      </c>
      <c r="M34" s="220" t="str" cm="1">
        <f t="array" ref="M34">IFERROR(SMALL(IF(Rotas!$A$5:$A$8=BD!$A34,Rotas!$B$5:$B$8,""),M$2),"")</f>
        <v/>
      </c>
      <c r="N34" s="220" t="str" cm="1">
        <f t="array" ref="N34">IFERROR(SMALL(IF(Rotas!$A$5:$A$8=BD!$A34,Rotas!$B$5:$B$8,""),N$2),"")</f>
        <v/>
      </c>
      <c r="O34" s="220" t="str" cm="1">
        <f t="array" ref="O34">IFERROR(SMALL(IF(Rotas!$A$5:$A$8=BD!$A34,Rotas!$B$5:$B$8,""),O$2),"")</f>
        <v/>
      </c>
      <c r="P34" s="220" t="str" cm="1">
        <f t="array" ref="P34">IFERROR(SMALL(IF(Rotas!$A$5:$A$8=BD!$A34,Rotas!$B$5:$B$8,""),P$2),"")</f>
        <v/>
      </c>
    </row>
    <row r="35" spans="1:16" x14ac:dyDescent="0.2">
      <c r="A35" s="220">
        <v>33</v>
      </c>
      <c r="B35" s="220">
        <f>COUNTIF(Rotas!$A$5:$A$8,$A35)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IFERROR(SMALL(IF(Rotas!$A$5:$A$8=BD!$A35,Rotas!$B$5:$B$8,""),J$2),"")</f>
        <v/>
      </c>
      <c r="K35" s="220" t="str" cm="1">
        <f t="array" ref="K35">IFERROR(SMALL(IF(Rotas!$A$5:$A$8=BD!$A35,Rotas!$B$5:$B$8,""),K$2),"")</f>
        <v/>
      </c>
      <c r="L35" s="220" t="str" cm="1">
        <f t="array" ref="L35">IFERROR(SMALL(IF(Rotas!$A$5:$A$8=BD!$A35,Rotas!$B$5:$B$8,""),L$2),"")</f>
        <v/>
      </c>
      <c r="M35" s="220" t="str" cm="1">
        <f t="array" ref="M35">IFERROR(SMALL(IF(Rotas!$A$5:$A$8=BD!$A35,Rotas!$B$5:$B$8,""),M$2),"")</f>
        <v/>
      </c>
      <c r="N35" s="220" t="str" cm="1">
        <f t="array" ref="N35">IFERROR(SMALL(IF(Rotas!$A$5:$A$8=BD!$A35,Rotas!$B$5:$B$8,""),N$2),"")</f>
        <v/>
      </c>
      <c r="O35" s="220" t="str" cm="1">
        <f t="array" ref="O35">IFERROR(SMALL(IF(Rotas!$A$5:$A$8=BD!$A35,Rotas!$B$5:$B$8,""),O$2),"")</f>
        <v/>
      </c>
      <c r="P35" s="220" t="str" cm="1">
        <f t="array" ref="P35">IFERROR(SMALL(IF(Rotas!$A$5:$A$8=BD!$A35,Rotas!$B$5:$B$8,""),P$2),"")</f>
        <v/>
      </c>
    </row>
    <row r="36" spans="1:16" x14ac:dyDescent="0.2">
      <c r="A36" s="220">
        <v>34</v>
      </c>
      <c r="B36" s="220">
        <f>COUNTIF(Rotas!$A$5:$A$8,$A36)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IFERROR(SMALL(IF(Rotas!$A$5:$A$8=BD!$A36,Rotas!$B$5:$B$8,""),J$2),"")</f>
        <v/>
      </c>
      <c r="K36" s="220" t="str" cm="1">
        <f t="array" ref="K36">IFERROR(SMALL(IF(Rotas!$A$5:$A$8=BD!$A36,Rotas!$B$5:$B$8,""),K$2),"")</f>
        <v/>
      </c>
      <c r="L36" s="220" t="str" cm="1">
        <f t="array" ref="L36">IFERROR(SMALL(IF(Rotas!$A$5:$A$8=BD!$A36,Rotas!$B$5:$B$8,""),L$2),"")</f>
        <v/>
      </c>
      <c r="M36" s="220" t="str" cm="1">
        <f t="array" ref="M36">IFERROR(SMALL(IF(Rotas!$A$5:$A$8=BD!$A36,Rotas!$B$5:$B$8,""),M$2),"")</f>
        <v/>
      </c>
      <c r="N36" s="220" t="str" cm="1">
        <f t="array" ref="N36">IFERROR(SMALL(IF(Rotas!$A$5:$A$8=BD!$A36,Rotas!$B$5:$B$8,""),N$2),"")</f>
        <v/>
      </c>
      <c r="O36" s="220" t="str" cm="1">
        <f t="array" ref="O36">IFERROR(SMALL(IF(Rotas!$A$5:$A$8=BD!$A36,Rotas!$B$5:$B$8,""),O$2),"")</f>
        <v/>
      </c>
      <c r="P36" s="220" t="str" cm="1">
        <f t="array" ref="P36">IFERROR(SMALL(IF(Rotas!$A$5:$A$8=BD!$A36,Rotas!$B$5:$B$8,""),P$2),"")</f>
        <v/>
      </c>
    </row>
    <row r="37" spans="1:16" x14ac:dyDescent="0.2">
      <c r="A37" s="220">
        <v>35</v>
      </c>
      <c r="B37" s="220">
        <f>COUNTIF(Rotas!$A$5:$A$8,$A37)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IFERROR(SMALL(IF(Rotas!$A$5:$A$8=BD!$A37,Rotas!$B$5:$B$8,""),J$2),"")</f>
        <v/>
      </c>
      <c r="K37" s="220" t="str" cm="1">
        <f t="array" ref="K37">IFERROR(SMALL(IF(Rotas!$A$5:$A$8=BD!$A37,Rotas!$B$5:$B$8,""),K$2),"")</f>
        <v/>
      </c>
      <c r="L37" s="220" t="str" cm="1">
        <f t="array" ref="L37">IFERROR(SMALL(IF(Rotas!$A$5:$A$8=BD!$A37,Rotas!$B$5:$B$8,""),L$2),"")</f>
        <v/>
      </c>
      <c r="M37" s="220" t="str" cm="1">
        <f t="array" ref="M37">IFERROR(SMALL(IF(Rotas!$A$5:$A$8=BD!$A37,Rotas!$B$5:$B$8,""),M$2),"")</f>
        <v/>
      </c>
      <c r="N37" s="220" t="str" cm="1">
        <f t="array" ref="N37">IFERROR(SMALL(IF(Rotas!$A$5:$A$8=BD!$A37,Rotas!$B$5:$B$8,""),N$2),"")</f>
        <v/>
      </c>
      <c r="O37" s="220" t="str" cm="1">
        <f t="array" ref="O37">IFERROR(SMALL(IF(Rotas!$A$5:$A$8=BD!$A37,Rotas!$B$5:$B$8,""),O$2),"")</f>
        <v/>
      </c>
      <c r="P37" s="220" t="str" cm="1">
        <f t="array" ref="P37">IFERROR(SMALL(IF(Rotas!$A$5:$A$8=BD!$A37,Rotas!$B$5:$B$8,""),P$2),"")</f>
        <v/>
      </c>
    </row>
    <row r="38" spans="1:16" x14ac:dyDescent="0.2">
      <c r="A38" s="220">
        <v>36</v>
      </c>
      <c r="B38" s="220">
        <f>COUNTIF(Rotas!$A$5:$A$8,$A38)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IFERROR(SMALL(IF(Rotas!$A$5:$A$8=BD!$A38,Rotas!$B$5:$B$8,""),J$2),"")</f>
        <v/>
      </c>
      <c r="K38" s="220" t="str" cm="1">
        <f t="array" ref="K38">IFERROR(SMALL(IF(Rotas!$A$5:$A$8=BD!$A38,Rotas!$B$5:$B$8,""),K$2),"")</f>
        <v/>
      </c>
      <c r="L38" s="220" t="str" cm="1">
        <f t="array" ref="L38">IFERROR(SMALL(IF(Rotas!$A$5:$A$8=BD!$A38,Rotas!$B$5:$B$8,""),L$2),"")</f>
        <v/>
      </c>
      <c r="M38" s="220" t="str" cm="1">
        <f t="array" ref="M38">IFERROR(SMALL(IF(Rotas!$A$5:$A$8=BD!$A38,Rotas!$B$5:$B$8,""),M$2),"")</f>
        <v/>
      </c>
      <c r="N38" s="220" t="str" cm="1">
        <f t="array" ref="N38">IFERROR(SMALL(IF(Rotas!$A$5:$A$8=BD!$A38,Rotas!$B$5:$B$8,""),N$2),"")</f>
        <v/>
      </c>
      <c r="O38" s="220" t="str" cm="1">
        <f t="array" ref="O38">IFERROR(SMALL(IF(Rotas!$A$5:$A$8=BD!$A38,Rotas!$B$5:$B$8,""),O$2),"")</f>
        <v/>
      </c>
      <c r="P38" s="220" t="str" cm="1">
        <f t="array" ref="P38">IFERROR(SMALL(IF(Rotas!$A$5:$A$8=BD!$A38,Rotas!$B$5:$B$8,""),P$2),"")</f>
        <v/>
      </c>
    </row>
    <row r="39" spans="1:16" x14ac:dyDescent="0.2">
      <c r="A39" s="220">
        <v>37</v>
      </c>
      <c r="B39" s="220">
        <f>COUNTIF(Rotas!$A$5:$A$8,$A39)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IFERROR(SMALL(IF(Rotas!$A$5:$A$8=BD!$A39,Rotas!$B$5:$B$8,""),J$2),"")</f>
        <v/>
      </c>
      <c r="K39" s="220" t="str" cm="1">
        <f t="array" ref="K39">IFERROR(SMALL(IF(Rotas!$A$5:$A$8=BD!$A39,Rotas!$B$5:$B$8,""),K$2),"")</f>
        <v/>
      </c>
      <c r="L39" s="220" t="str" cm="1">
        <f t="array" ref="L39">IFERROR(SMALL(IF(Rotas!$A$5:$A$8=BD!$A39,Rotas!$B$5:$B$8,""),L$2),"")</f>
        <v/>
      </c>
      <c r="M39" s="220" t="str" cm="1">
        <f t="array" ref="M39">IFERROR(SMALL(IF(Rotas!$A$5:$A$8=BD!$A39,Rotas!$B$5:$B$8,""),M$2),"")</f>
        <v/>
      </c>
      <c r="N39" s="220" t="str" cm="1">
        <f t="array" ref="N39">IFERROR(SMALL(IF(Rotas!$A$5:$A$8=BD!$A39,Rotas!$B$5:$B$8,""),N$2),"")</f>
        <v/>
      </c>
      <c r="O39" s="220" t="str" cm="1">
        <f t="array" ref="O39">IFERROR(SMALL(IF(Rotas!$A$5:$A$8=BD!$A39,Rotas!$B$5:$B$8,""),O$2),"")</f>
        <v/>
      </c>
      <c r="P39" s="220" t="str" cm="1">
        <f t="array" ref="P39">IFERROR(SMALL(IF(Rotas!$A$5:$A$8=BD!$A39,Rotas!$B$5:$B$8,""),P$2),"")</f>
        <v/>
      </c>
    </row>
    <row r="40" spans="1:16" x14ac:dyDescent="0.2">
      <c r="A40" s="220">
        <v>38</v>
      </c>
      <c r="B40" s="220">
        <f>COUNTIF(Rotas!$A$5:$A$8,$A40)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IFERROR(SMALL(IF(Rotas!$A$5:$A$8=BD!$A40,Rotas!$B$5:$B$8,""),J$2),"")</f>
        <v/>
      </c>
      <c r="K40" s="220" t="str" cm="1">
        <f t="array" ref="K40">IFERROR(SMALL(IF(Rotas!$A$5:$A$8=BD!$A40,Rotas!$B$5:$B$8,""),K$2),"")</f>
        <v/>
      </c>
      <c r="L40" s="220" t="str" cm="1">
        <f t="array" ref="L40">IFERROR(SMALL(IF(Rotas!$A$5:$A$8=BD!$A40,Rotas!$B$5:$B$8,""),L$2),"")</f>
        <v/>
      </c>
      <c r="M40" s="220" t="str" cm="1">
        <f t="array" ref="M40">IFERROR(SMALL(IF(Rotas!$A$5:$A$8=BD!$A40,Rotas!$B$5:$B$8,""),M$2),"")</f>
        <v/>
      </c>
      <c r="N40" s="220" t="str" cm="1">
        <f t="array" ref="N40">IFERROR(SMALL(IF(Rotas!$A$5:$A$8=BD!$A40,Rotas!$B$5:$B$8,""),N$2),"")</f>
        <v/>
      </c>
      <c r="O40" s="220" t="str" cm="1">
        <f t="array" ref="O40">IFERROR(SMALL(IF(Rotas!$A$5:$A$8=BD!$A40,Rotas!$B$5:$B$8,""),O$2),"")</f>
        <v/>
      </c>
      <c r="P40" s="220" t="str" cm="1">
        <f t="array" ref="P40">IFERROR(SMALL(IF(Rotas!$A$5:$A$8=BD!$A40,Rotas!$B$5:$B$8,""),P$2),"")</f>
        <v/>
      </c>
    </row>
    <row r="41" spans="1:16" x14ac:dyDescent="0.2">
      <c r="A41" s="220">
        <v>39</v>
      </c>
      <c r="B41" s="220">
        <f>COUNTIF(Rotas!$A$5:$A$8,$A41)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IFERROR(SMALL(IF(Rotas!$A$5:$A$8=BD!$A41,Rotas!$B$5:$B$8,""),J$2),"")</f>
        <v/>
      </c>
      <c r="K41" s="220" t="str" cm="1">
        <f t="array" ref="K41">IFERROR(SMALL(IF(Rotas!$A$5:$A$8=BD!$A41,Rotas!$B$5:$B$8,""),K$2),"")</f>
        <v/>
      </c>
      <c r="L41" s="220" t="str" cm="1">
        <f t="array" ref="L41">IFERROR(SMALL(IF(Rotas!$A$5:$A$8=BD!$A41,Rotas!$B$5:$B$8,""),L$2),"")</f>
        <v/>
      </c>
      <c r="M41" s="220" t="str" cm="1">
        <f t="array" ref="M41">IFERROR(SMALL(IF(Rotas!$A$5:$A$8=BD!$A41,Rotas!$B$5:$B$8,""),M$2),"")</f>
        <v/>
      </c>
      <c r="N41" s="220" t="str" cm="1">
        <f t="array" ref="N41">IFERROR(SMALL(IF(Rotas!$A$5:$A$8=BD!$A41,Rotas!$B$5:$B$8,""),N$2),"")</f>
        <v/>
      </c>
      <c r="O41" s="220" t="str" cm="1">
        <f t="array" ref="O41">IFERROR(SMALL(IF(Rotas!$A$5:$A$8=BD!$A41,Rotas!$B$5:$B$8,""),O$2),"")</f>
        <v/>
      </c>
      <c r="P41" s="220" t="str" cm="1">
        <f t="array" ref="P41">IFERROR(SMALL(IF(Rotas!$A$5:$A$8=BD!$A41,Rotas!$B$5:$B$8,""),P$2),"")</f>
        <v/>
      </c>
    </row>
    <row r="42" spans="1:16" x14ac:dyDescent="0.2">
      <c r="A42" s="220">
        <v>40</v>
      </c>
      <c r="B42" s="220">
        <f>COUNTIF(Rotas!$A$5:$A$8,$A42)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IFERROR(SMALL(IF(Rotas!$A$5:$A$8=BD!$A42,Rotas!$B$5:$B$8,""),J$2),"")</f>
        <v/>
      </c>
      <c r="K42" s="220" t="str" cm="1">
        <f t="array" ref="K42">IFERROR(SMALL(IF(Rotas!$A$5:$A$8=BD!$A42,Rotas!$B$5:$B$8,""),K$2),"")</f>
        <v/>
      </c>
      <c r="L42" s="220" t="str" cm="1">
        <f t="array" ref="L42">IFERROR(SMALL(IF(Rotas!$A$5:$A$8=BD!$A42,Rotas!$B$5:$B$8,""),L$2),"")</f>
        <v/>
      </c>
      <c r="M42" s="220" t="str" cm="1">
        <f t="array" ref="M42">IFERROR(SMALL(IF(Rotas!$A$5:$A$8=BD!$A42,Rotas!$B$5:$B$8,""),M$2),"")</f>
        <v/>
      </c>
      <c r="N42" s="220" t="str" cm="1">
        <f t="array" ref="N42">IFERROR(SMALL(IF(Rotas!$A$5:$A$8=BD!$A42,Rotas!$B$5:$B$8,""),N$2),"")</f>
        <v/>
      </c>
      <c r="O42" s="220" t="str" cm="1">
        <f t="array" ref="O42">IFERROR(SMALL(IF(Rotas!$A$5:$A$8=BD!$A42,Rotas!$B$5:$B$8,""),O$2),"")</f>
        <v/>
      </c>
      <c r="P42" s="220" t="str" cm="1">
        <f t="array" ref="P42">IFERROR(SMALL(IF(Rotas!$A$5:$A$8=BD!$A42,Rotas!$B$5:$B$8,""),P$2),"")</f>
        <v/>
      </c>
    </row>
    <row r="43" spans="1:16" x14ac:dyDescent="0.2">
      <c r="A43" s="220">
        <v>41</v>
      </c>
      <c r="B43" s="220">
        <f>COUNTIF(Rotas!$A$5:$A$8,$A43)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IFERROR(SMALL(IF(Rotas!$A$5:$A$8=BD!$A43,Rotas!$B$5:$B$8,""),J$2),"")</f>
        <v/>
      </c>
      <c r="K43" s="220" t="str" cm="1">
        <f t="array" ref="K43">IFERROR(SMALL(IF(Rotas!$A$5:$A$8=BD!$A43,Rotas!$B$5:$B$8,""),K$2),"")</f>
        <v/>
      </c>
      <c r="L43" s="220" t="str" cm="1">
        <f t="array" ref="L43">IFERROR(SMALL(IF(Rotas!$A$5:$A$8=BD!$A43,Rotas!$B$5:$B$8,""),L$2),"")</f>
        <v/>
      </c>
      <c r="M43" s="220" t="str" cm="1">
        <f t="array" ref="M43">IFERROR(SMALL(IF(Rotas!$A$5:$A$8=BD!$A43,Rotas!$B$5:$B$8,""),M$2),"")</f>
        <v/>
      </c>
      <c r="N43" s="220" t="str" cm="1">
        <f t="array" ref="N43">IFERROR(SMALL(IF(Rotas!$A$5:$A$8=BD!$A43,Rotas!$B$5:$B$8,""),N$2),"")</f>
        <v/>
      </c>
      <c r="O43" s="220" t="str" cm="1">
        <f t="array" ref="O43">IFERROR(SMALL(IF(Rotas!$A$5:$A$8=BD!$A43,Rotas!$B$5:$B$8,""),O$2),"")</f>
        <v/>
      </c>
      <c r="P43" s="220" t="str" cm="1">
        <f t="array" ref="P43">IFERROR(SMALL(IF(Rotas!$A$5:$A$8=BD!$A43,Rotas!$B$5:$B$8,""),P$2),"")</f>
        <v/>
      </c>
    </row>
    <row r="44" spans="1:16" x14ac:dyDescent="0.2">
      <c r="A44" s="220">
        <v>42</v>
      </c>
      <c r="B44" s="220">
        <f>COUNTIF(Rotas!$A$5:$A$8,$A44)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IFERROR(SMALL(IF(Rotas!$A$5:$A$8=BD!$A44,Rotas!$B$5:$B$8,""),J$2),"")</f>
        <v/>
      </c>
      <c r="K44" s="220" t="str" cm="1">
        <f t="array" ref="K44">IFERROR(SMALL(IF(Rotas!$A$5:$A$8=BD!$A44,Rotas!$B$5:$B$8,""),K$2),"")</f>
        <v/>
      </c>
      <c r="L44" s="220" t="str" cm="1">
        <f t="array" ref="L44">IFERROR(SMALL(IF(Rotas!$A$5:$A$8=BD!$A44,Rotas!$B$5:$B$8,""),L$2),"")</f>
        <v/>
      </c>
      <c r="M44" s="220" t="str" cm="1">
        <f t="array" ref="M44">IFERROR(SMALL(IF(Rotas!$A$5:$A$8=BD!$A44,Rotas!$B$5:$B$8,""),M$2),"")</f>
        <v/>
      </c>
      <c r="N44" s="220" t="str" cm="1">
        <f t="array" ref="N44">IFERROR(SMALL(IF(Rotas!$A$5:$A$8=BD!$A44,Rotas!$B$5:$B$8,""),N$2),"")</f>
        <v/>
      </c>
      <c r="O44" s="220" t="str" cm="1">
        <f t="array" ref="O44">IFERROR(SMALL(IF(Rotas!$A$5:$A$8=BD!$A44,Rotas!$B$5:$B$8,""),O$2),"")</f>
        <v/>
      </c>
      <c r="P44" s="220" t="str" cm="1">
        <f t="array" ref="P44">IFERROR(SMALL(IF(Rotas!$A$5:$A$8=BD!$A44,Rotas!$B$5:$B$8,""),P$2),"")</f>
        <v/>
      </c>
    </row>
    <row r="45" spans="1:16" x14ac:dyDescent="0.2">
      <c r="A45" s="220">
        <v>43</v>
      </c>
      <c r="B45" s="220">
        <f>COUNTIF(Rotas!$A$5:$A$8,$A45)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IFERROR(SMALL(IF(Rotas!$A$5:$A$8=BD!$A45,Rotas!$B$5:$B$8,""),J$2),"")</f>
        <v/>
      </c>
      <c r="K45" s="220" t="str" cm="1">
        <f t="array" ref="K45">IFERROR(SMALL(IF(Rotas!$A$5:$A$8=BD!$A45,Rotas!$B$5:$B$8,""),K$2),"")</f>
        <v/>
      </c>
      <c r="L45" s="220" t="str" cm="1">
        <f t="array" ref="L45">IFERROR(SMALL(IF(Rotas!$A$5:$A$8=BD!$A45,Rotas!$B$5:$B$8,""),L$2),"")</f>
        <v/>
      </c>
      <c r="M45" s="220" t="str" cm="1">
        <f t="array" ref="M45">IFERROR(SMALL(IF(Rotas!$A$5:$A$8=BD!$A45,Rotas!$B$5:$B$8,""),M$2),"")</f>
        <v/>
      </c>
      <c r="N45" s="220" t="str" cm="1">
        <f t="array" ref="N45">IFERROR(SMALL(IF(Rotas!$A$5:$A$8=BD!$A45,Rotas!$B$5:$B$8,""),N$2),"")</f>
        <v/>
      </c>
      <c r="O45" s="220" t="str" cm="1">
        <f t="array" ref="O45">IFERROR(SMALL(IF(Rotas!$A$5:$A$8=BD!$A45,Rotas!$B$5:$B$8,""),O$2),"")</f>
        <v/>
      </c>
      <c r="P45" s="220" t="str" cm="1">
        <f t="array" ref="P45">IFERROR(SMALL(IF(Rotas!$A$5:$A$8=BD!$A45,Rotas!$B$5:$B$8,""),P$2),"")</f>
        <v/>
      </c>
    </row>
    <row r="46" spans="1:16" x14ac:dyDescent="0.2">
      <c r="A46" s="220">
        <v>44</v>
      </c>
      <c r="B46" s="220">
        <f>COUNTIF(Rotas!$A$5:$A$8,$A46)</f>
        <v>0</v>
      </c>
      <c r="J46" s="220" t="str" cm="1">
        <f t="array" ref="J46">IFERROR(SMALL(IF(Rotas!$A$5:$A$8=BD!$A46,Rotas!$B$5:$B$8,""),J$2),"")</f>
        <v/>
      </c>
      <c r="K46" s="220" t="str" cm="1">
        <f t="array" ref="K46">IFERROR(SMALL(IF(Rotas!$A$5:$A$8=BD!$A46,Rotas!$B$5:$B$8,""),K$2),"")</f>
        <v/>
      </c>
      <c r="L46" s="220" t="str" cm="1">
        <f t="array" ref="L46">IFERROR(SMALL(IF(Rotas!$A$5:$A$8=BD!$A46,Rotas!$B$5:$B$8,""),L$2),"")</f>
        <v/>
      </c>
      <c r="M46" s="220" t="str" cm="1">
        <f t="array" ref="M46">IFERROR(SMALL(IF(Rotas!$A$5:$A$8=BD!$A46,Rotas!$B$5:$B$8,""),M$2),"")</f>
        <v/>
      </c>
      <c r="N46" s="220" t="str" cm="1">
        <f t="array" ref="N46">IFERROR(SMALL(IF(Rotas!$A$5:$A$8=BD!$A46,Rotas!$B$5:$B$8,""),N$2),"")</f>
        <v/>
      </c>
      <c r="O46" s="220" t="str" cm="1">
        <f t="array" ref="O46">IFERROR(SMALL(IF(Rotas!$A$5:$A$8=BD!$A46,Rotas!$B$5:$B$8,""),O$2),"")</f>
        <v/>
      </c>
      <c r="P46" s="220" t="str" cm="1">
        <f t="array" ref="P46">IFERROR(SMALL(IF(Rotas!$A$5:$A$8=BD!$A46,Rotas!$B$5:$B$8,""),P$2),"")</f>
        <v/>
      </c>
    </row>
    <row r="47" spans="1:16" x14ac:dyDescent="0.2">
      <c r="A47" s="220">
        <v>45</v>
      </c>
      <c r="B47" s="220">
        <f>COUNTIF(Rotas!$A$5:$A$8,$A47)</f>
        <v>0</v>
      </c>
      <c r="J47" s="220" t="str" cm="1">
        <f t="array" ref="J47">IFERROR(SMALL(IF(Rotas!$A$5:$A$8=BD!$A47,Rotas!$B$5:$B$8,""),J$2),"")</f>
        <v/>
      </c>
      <c r="K47" s="220" t="str" cm="1">
        <f t="array" ref="K47">IFERROR(SMALL(IF(Rotas!$A$5:$A$8=BD!$A47,Rotas!$B$5:$B$8,""),K$2),"")</f>
        <v/>
      </c>
      <c r="L47" s="220" t="str" cm="1">
        <f t="array" ref="L47">IFERROR(SMALL(IF(Rotas!$A$5:$A$8=BD!$A47,Rotas!$B$5:$B$8,""),L$2),"")</f>
        <v/>
      </c>
      <c r="M47" s="220" t="str" cm="1">
        <f t="array" ref="M47">IFERROR(SMALL(IF(Rotas!$A$5:$A$8=BD!$A47,Rotas!$B$5:$B$8,""),M$2),"")</f>
        <v/>
      </c>
      <c r="N47" s="220" t="str" cm="1">
        <f t="array" ref="N47">IFERROR(SMALL(IF(Rotas!$A$5:$A$8=BD!$A47,Rotas!$B$5:$B$8,""),N$2),"")</f>
        <v/>
      </c>
      <c r="O47" s="220" t="str" cm="1">
        <f t="array" ref="O47">IFERROR(SMALL(IF(Rotas!$A$5:$A$8=BD!$A47,Rotas!$B$5:$B$8,""),O$2),"")</f>
        <v/>
      </c>
      <c r="P47" s="220" t="str" cm="1">
        <f t="array" ref="P47">IFERROR(SMALL(IF(Rotas!$A$5:$A$8=BD!$A47,Rotas!$B$5:$B$8,""),P$2),"")</f>
        <v/>
      </c>
    </row>
    <row r="48" spans="1:16" x14ac:dyDescent="0.2">
      <c r="A48" s="220">
        <v>46</v>
      </c>
      <c r="B48" s="220">
        <f>COUNTIF(Rotas!$A$5:$A$8,$A48)</f>
        <v>0</v>
      </c>
      <c r="D48" s="223" t="s">
        <v>316</v>
      </c>
      <c r="J48" s="220" t="str" cm="1">
        <f t="array" ref="J48">IFERROR(SMALL(IF(Rotas!$A$5:$A$8=BD!$A48,Rotas!$B$5:$B$8,""),J$2),"")</f>
        <v/>
      </c>
      <c r="K48" s="220" t="str" cm="1">
        <f t="array" ref="K48">IFERROR(SMALL(IF(Rotas!$A$5:$A$8=BD!$A48,Rotas!$B$5:$B$8,""),K$2),"")</f>
        <v/>
      </c>
      <c r="L48" s="220" t="str" cm="1">
        <f t="array" ref="L48">IFERROR(SMALL(IF(Rotas!$A$5:$A$8=BD!$A48,Rotas!$B$5:$B$8,""),L$2),"")</f>
        <v/>
      </c>
      <c r="M48" s="220" t="str" cm="1">
        <f t="array" ref="M48">IFERROR(SMALL(IF(Rotas!$A$5:$A$8=BD!$A48,Rotas!$B$5:$B$8,""),M$2),"")</f>
        <v/>
      </c>
      <c r="N48" s="220" t="str" cm="1">
        <f t="array" ref="N48">IFERROR(SMALL(IF(Rotas!$A$5:$A$8=BD!$A48,Rotas!$B$5:$B$8,""),N$2),"")</f>
        <v/>
      </c>
      <c r="O48" s="220" t="str" cm="1">
        <f t="array" ref="O48">IFERROR(SMALL(IF(Rotas!$A$5:$A$8=BD!$A48,Rotas!$B$5:$B$8,""),O$2),"")</f>
        <v/>
      </c>
      <c r="P48" s="220" t="str" cm="1">
        <f t="array" ref="P48">IFERROR(SMALL(IF(Rotas!$A$5:$A$8=BD!$A48,Rotas!$B$5:$B$8,""),P$2),"")</f>
        <v/>
      </c>
    </row>
    <row r="49" spans="1:16" x14ac:dyDescent="0.2">
      <c r="A49" s="220">
        <v>47</v>
      </c>
      <c r="B49" s="220">
        <f>COUNTIF(Rotas!$A$5:$A$8,$A49)</f>
        <v>0</v>
      </c>
      <c r="D49" s="220" t="s">
        <v>38</v>
      </c>
      <c r="E49" s="231">
        <v>1518</v>
      </c>
      <c r="J49" s="220" t="str" cm="1">
        <f t="array" ref="J49">IFERROR(SMALL(IF(Rotas!$A$5:$A$8=BD!$A49,Rotas!$B$5:$B$8,""),J$2),"")</f>
        <v/>
      </c>
      <c r="K49" s="220" t="str" cm="1">
        <f t="array" ref="K49">IFERROR(SMALL(IF(Rotas!$A$5:$A$8=BD!$A49,Rotas!$B$5:$B$8,""),K$2),"")</f>
        <v/>
      </c>
      <c r="L49" s="220" t="str" cm="1">
        <f t="array" ref="L49">IFERROR(SMALL(IF(Rotas!$A$5:$A$8=BD!$A49,Rotas!$B$5:$B$8,""),L$2),"")</f>
        <v/>
      </c>
      <c r="M49" s="220" t="str" cm="1">
        <f t="array" ref="M49">IFERROR(SMALL(IF(Rotas!$A$5:$A$8=BD!$A49,Rotas!$B$5:$B$8,""),M$2),"")</f>
        <v/>
      </c>
      <c r="N49" s="220" t="str" cm="1">
        <f t="array" ref="N49">IFERROR(SMALL(IF(Rotas!$A$5:$A$8=BD!$A49,Rotas!$B$5:$B$8,""),N$2),"")</f>
        <v/>
      </c>
      <c r="O49" s="220" t="str" cm="1">
        <f t="array" ref="O49">IFERROR(SMALL(IF(Rotas!$A$5:$A$8=BD!$A49,Rotas!$B$5:$B$8,""),O$2),"")</f>
        <v/>
      </c>
      <c r="P49" s="220" t="str" cm="1">
        <f t="array" ref="P49">IFERROR(SMALL(IF(Rotas!$A$5:$A$8=BD!$A49,Rotas!$B$5:$B$8,""),P$2),"")</f>
        <v/>
      </c>
    </row>
    <row r="50" spans="1:16" x14ac:dyDescent="0.2">
      <c r="A50" s="220">
        <v>48</v>
      </c>
      <c r="B50" s="220">
        <f>COUNTIF(Rotas!$A$5:$A$8,$A50)</f>
        <v>0</v>
      </c>
      <c r="D50" s="230" t="s">
        <v>317</v>
      </c>
      <c r="J50" s="220" t="str" cm="1">
        <f t="array" ref="J50">IFERROR(SMALL(IF(Rotas!$A$5:$A$8=BD!$A50,Rotas!$B$5:$B$8,""),J$2),"")</f>
        <v/>
      </c>
      <c r="K50" s="220" t="str" cm="1">
        <f t="array" ref="K50">IFERROR(SMALL(IF(Rotas!$A$5:$A$8=BD!$A50,Rotas!$B$5:$B$8,""),K$2),"")</f>
        <v/>
      </c>
      <c r="L50" s="220" t="str" cm="1">
        <f t="array" ref="L50">IFERROR(SMALL(IF(Rotas!$A$5:$A$8=BD!$A50,Rotas!$B$5:$B$8,""),L$2),"")</f>
        <v/>
      </c>
      <c r="M50" s="220" t="str" cm="1">
        <f t="array" ref="M50">IFERROR(SMALL(IF(Rotas!$A$5:$A$8=BD!$A50,Rotas!$B$5:$B$8,""),M$2),"")</f>
        <v/>
      </c>
      <c r="N50" s="220" t="str" cm="1">
        <f t="array" ref="N50">IFERROR(SMALL(IF(Rotas!$A$5:$A$8=BD!$A50,Rotas!$B$5:$B$8,""),N$2),"")</f>
        <v/>
      </c>
      <c r="O50" s="220" t="str" cm="1">
        <f t="array" ref="O50">IFERROR(SMALL(IF(Rotas!$A$5:$A$8=BD!$A50,Rotas!$B$5:$B$8,""),O$2),"")</f>
        <v/>
      </c>
      <c r="P50" s="220" t="str" cm="1">
        <f t="array" ref="P50">IFERROR(SMALL(IF(Rotas!$A$5:$A$8=BD!$A50,Rotas!$B$5:$B$8,""),P$2),"")</f>
        <v/>
      </c>
    </row>
    <row r="51" spans="1:16" x14ac:dyDescent="0.2">
      <c r="A51" s="220">
        <v>49</v>
      </c>
      <c r="B51" s="220">
        <f>COUNTIF(Rotas!$A$5:$A$8,$A51)</f>
        <v>0</v>
      </c>
      <c r="J51" s="220" t="str" cm="1">
        <f t="array" ref="J51">IFERROR(SMALL(IF(Rotas!$A$5:$A$8=BD!$A51,Rotas!$B$5:$B$8,""),J$2),"")</f>
        <v/>
      </c>
      <c r="K51" s="220" t="str" cm="1">
        <f t="array" ref="K51">IFERROR(SMALL(IF(Rotas!$A$5:$A$8=BD!$A51,Rotas!$B$5:$B$8,""),K$2),"")</f>
        <v/>
      </c>
      <c r="L51" s="220" t="str" cm="1">
        <f t="array" ref="L51">IFERROR(SMALL(IF(Rotas!$A$5:$A$8=BD!$A51,Rotas!$B$5:$B$8,""),L$2),"")</f>
        <v/>
      </c>
      <c r="M51" s="220" t="str" cm="1">
        <f t="array" ref="M51">IFERROR(SMALL(IF(Rotas!$A$5:$A$8=BD!$A51,Rotas!$B$5:$B$8,""),M$2),"")</f>
        <v/>
      </c>
      <c r="N51" s="220" t="str" cm="1">
        <f t="array" ref="N51">IFERROR(SMALL(IF(Rotas!$A$5:$A$8=BD!$A51,Rotas!$B$5:$B$8,""),N$2),"")</f>
        <v/>
      </c>
      <c r="O51" s="220" t="str" cm="1">
        <f t="array" ref="O51">IFERROR(SMALL(IF(Rotas!$A$5:$A$8=BD!$A51,Rotas!$B$5:$B$8,""),O$2),"")</f>
        <v/>
      </c>
      <c r="P51" s="220" t="str" cm="1">
        <f t="array" ref="P51">IFERROR(SMALL(IF(Rotas!$A$5:$A$8=BD!$A51,Rotas!$B$5:$B$8,""),P$2),"")</f>
        <v/>
      </c>
    </row>
    <row r="52" spans="1:16" x14ac:dyDescent="0.2">
      <c r="A52" s="220">
        <v>50</v>
      </c>
      <c r="B52" s="220">
        <f>COUNTIF(Rotas!$A$5:$A$8,$A52)</f>
        <v>0</v>
      </c>
      <c r="J52" s="220" t="str" cm="1">
        <f t="array" ref="J52">IFERROR(SMALL(IF(Rotas!$A$5:$A$8=BD!$A52,Rotas!$B$5:$B$8,""),J$2),"")</f>
        <v/>
      </c>
      <c r="K52" s="220" t="str" cm="1">
        <f t="array" ref="K52">IFERROR(SMALL(IF(Rotas!$A$5:$A$8=BD!$A52,Rotas!$B$5:$B$8,""),K$2),"")</f>
        <v/>
      </c>
      <c r="L52" s="220" t="str" cm="1">
        <f t="array" ref="L52">IFERROR(SMALL(IF(Rotas!$A$5:$A$8=BD!$A52,Rotas!$B$5:$B$8,""),L$2),"")</f>
        <v/>
      </c>
      <c r="M52" s="220" t="str" cm="1">
        <f t="array" ref="M52">IFERROR(SMALL(IF(Rotas!$A$5:$A$8=BD!$A52,Rotas!$B$5:$B$8,""),M$2),"")</f>
        <v/>
      </c>
      <c r="N52" s="220" t="str" cm="1">
        <f t="array" ref="N52">IFERROR(SMALL(IF(Rotas!$A$5:$A$8=BD!$A52,Rotas!$B$5:$B$8,""),N$2),"")</f>
        <v/>
      </c>
      <c r="O52" s="220" t="str" cm="1">
        <f t="array" ref="O52">IFERROR(SMALL(IF(Rotas!$A$5:$A$8=BD!$A52,Rotas!$B$5:$B$8,""),O$2),"")</f>
        <v/>
      </c>
      <c r="P52" s="220" t="str" cm="1">
        <f t="array" ref="P52">IFERROR(SMALL(IF(Rotas!$A$5:$A$8=BD!$A52,Rotas!$B$5:$B$8,""),P$2),"")</f>
        <v/>
      </c>
    </row>
    <row r="53" spans="1:16" x14ac:dyDescent="0.2">
      <c r="A53" s="220">
        <v>51</v>
      </c>
      <c r="B53" s="220">
        <f>COUNTIF(Rotas!$A$5:$A$8,$A53)</f>
        <v>0</v>
      </c>
      <c r="J53" s="220" t="str" cm="1">
        <f t="array" ref="J53">IFERROR(SMALL(IF(Rotas!$A$5:$A$8=BD!$A53,Rotas!$B$5:$B$8,""),J$2),"")</f>
        <v/>
      </c>
      <c r="K53" s="220" t="str" cm="1">
        <f t="array" ref="K53">IFERROR(SMALL(IF(Rotas!$A$5:$A$8=BD!$A53,Rotas!$B$5:$B$8,""),K$2),"")</f>
        <v/>
      </c>
      <c r="L53" s="220" t="str" cm="1">
        <f t="array" ref="L53">IFERROR(SMALL(IF(Rotas!$A$5:$A$8=BD!$A53,Rotas!$B$5:$B$8,""),L$2),"")</f>
        <v/>
      </c>
      <c r="M53" s="220" t="str" cm="1">
        <f t="array" ref="M53">IFERROR(SMALL(IF(Rotas!$A$5:$A$8=BD!$A53,Rotas!$B$5:$B$8,""),M$2),"")</f>
        <v/>
      </c>
      <c r="N53" s="220" t="str" cm="1">
        <f t="array" ref="N53">IFERROR(SMALL(IF(Rotas!$A$5:$A$8=BD!$A53,Rotas!$B$5:$B$8,""),N$2),"")</f>
        <v/>
      </c>
      <c r="O53" s="220" t="str" cm="1">
        <f t="array" ref="O53">IFERROR(SMALL(IF(Rotas!$A$5:$A$8=BD!$A53,Rotas!$B$5:$B$8,""),O$2),"")</f>
        <v/>
      </c>
      <c r="P53" s="220" t="str" cm="1">
        <f t="array" ref="P53">IFERROR(SMALL(IF(Rotas!$A$5:$A$8=BD!$A53,Rotas!$B$5:$B$8,""),P$2),"")</f>
        <v/>
      </c>
    </row>
    <row r="54" spans="1:16" x14ac:dyDescent="0.2">
      <c r="A54" s="220">
        <v>52</v>
      </c>
      <c r="B54" s="220">
        <f>COUNTIF(Rotas!$A$5:$A$8,$A54)</f>
        <v>0</v>
      </c>
      <c r="J54" s="220" t="str" cm="1">
        <f t="array" ref="J54">IFERROR(SMALL(IF(Rotas!$A$5:$A$8=BD!$A54,Rotas!$B$5:$B$8,""),J$2),"")</f>
        <v/>
      </c>
      <c r="K54" s="220" t="str" cm="1">
        <f t="array" ref="K54">IFERROR(SMALL(IF(Rotas!$A$5:$A$8=BD!$A54,Rotas!$B$5:$B$8,""),K$2),"")</f>
        <v/>
      </c>
      <c r="L54" s="220" t="str" cm="1">
        <f t="array" ref="L54">IFERROR(SMALL(IF(Rotas!$A$5:$A$8=BD!$A54,Rotas!$B$5:$B$8,""),L$2),"")</f>
        <v/>
      </c>
      <c r="M54" s="220" t="str" cm="1">
        <f t="array" ref="M54">IFERROR(SMALL(IF(Rotas!$A$5:$A$8=BD!$A54,Rotas!$B$5:$B$8,""),M$2),"")</f>
        <v/>
      </c>
      <c r="N54" s="220" t="str" cm="1">
        <f t="array" ref="N54">IFERROR(SMALL(IF(Rotas!$A$5:$A$8=BD!$A54,Rotas!$B$5:$B$8,""),N$2),"")</f>
        <v/>
      </c>
      <c r="O54" s="220" t="str" cm="1">
        <f t="array" ref="O54">IFERROR(SMALL(IF(Rotas!$A$5:$A$8=BD!$A54,Rotas!$B$5:$B$8,""),O$2),"")</f>
        <v/>
      </c>
      <c r="P54" s="220" t="str" cm="1">
        <f t="array" ref="P54">IFERROR(SMALL(IF(Rotas!$A$5:$A$8=BD!$A54,Rotas!$B$5:$B$8,""),P$2),"")</f>
        <v/>
      </c>
    </row>
    <row r="55" spans="1:16" x14ac:dyDescent="0.2">
      <c r="A55" s="220">
        <v>53</v>
      </c>
      <c r="B55" s="220">
        <f>COUNTIF(Rotas!$A$5:$A$8,$A55)</f>
        <v>0</v>
      </c>
      <c r="J55" s="220" t="str" cm="1">
        <f t="array" ref="J55">IFERROR(SMALL(IF(Rotas!$A$5:$A$8=BD!$A55,Rotas!$B$5:$B$8,""),J$2),"")</f>
        <v/>
      </c>
      <c r="K55" s="220" t="str" cm="1">
        <f t="array" ref="K55">IFERROR(SMALL(IF(Rotas!$A$5:$A$8=BD!$A55,Rotas!$B$5:$B$8,""),K$2),"")</f>
        <v/>
      </c>
      <c r="L55" s="220" t="str" cm="1">
        <f t="array" ref="L55">IFERROR(SMALL(IF(Rotas!$A$5:$A$8=BD!$A55,Rotas!$B$5:$B$8,""),L$2),"")</f>
        <v/>
      </c>
      <c r="M55" s="220" t="str" cm="1">
        <f t="array" ref="M55">IFERROR(SMALL(IF(Rotas!$A$5:$A$8=BD!$A55,Rotas!$B$5:$B$8,""),M$2),"")</f>
        <v/>
      </c>
      <c r="N55" s="220" t="str" cm="1">
        <f t="array" ref="N55">IFERROR(SMALL(IF(Rotas!$A$5:$A$8=BD!$A55,Rotas!$B$5:$B$8,""),N$2),"")</f>
        <v/>
      </c>
      <c r="O55" s="220" t="str" cm="1">
        <f t="array" ref="O55">IFERROR(SMALL(IF(Rotas!$A$5:$A$8=BD!$A55,Rotas!$B$5:$B$8,""),O$2),"")</f>
        <v/>
      </c>
      <c r="P55" s="220" t="str" cm="1">
        <f t="array" ref="P55">IFERROR(SMALL(IF(Rotas!$A$5:$A$8=BD!$A55,Rotas!$B$5:$B$8,""),P$2),"")</f>
        <v/>
      </c>
    </row>
    <row r="56" spans="1:16" x14ac:dyDescent="0.2">
      <c r="A56" s="220">
        <v>54</v>
      </c>
      <c r="B56" s="220">
        <f>COUNTIF(Rotas!$A$5:$A$8,$A56)</f>
        <v>0</v>
      </c>
      <c r="J56" s="220" t="str" cm="1">
        <f t="array" ref="J56">IFERROR(SMALL(IF(Rotas!$A$5:$A$8=BD!$A56,Rotas!$B$5:$B$8,""),J$2),"")</f>
        <v/>
      </c>
      <c r="K56" s="220" t="str" cm="1">
        <f t="array" ref="K56">IFERROR(SMALL(IF(Rotas!$A$5:$A$8=BD!$A56,Rotas!$B$5:$B$8,""),K$2),"")</f>
        <v/>
      </c>
      <c r="L56" s="220" t="str" cm="1">
        <f t="array" ref="L56">IFERROR(SMALL(IF(Rotas!$A$5:$A$8=BD!$A56,Rotas!$B$5:$B$8,""),L$2),"")</f>
        <v/>
      </c>
      <c r="M56" s="220" t="str" cm="1">
        <f t="array" ref="M56">IFERROR(SMALL(IF(Rotas!$A$5:$A$8=BD!$A56,Rotas!$B$5:$B$8,""),M$2),"")</f>
        <v/>
      </c>
      <c r="N56" s="220" t="str" cm="1">
        <f t="array" ref="N56">IFERROR(SMALL(IF(Rotas!$A$5:$A$8=BD!$A56,Rotas!$B$5:$B$8,""),N$2),"")</f>
        <v/>
      </c>
      <c r="O56" s="220" t="str" cm="1">
        <f t="array" ref="O56">IFERROR(SMALL(IF(Rotas!$A$5:$A$8=BD!$A56,Rotas!$B$5:$B$8,""),O$2),"")</f>
        <v/>
      </c>
      <c r="P56" s="220" t="str" cm="1">
        <f t="array" ref="P56">IFERROR(SMALL(IF(Rotas!$A$5:$A$8=BD!$A56,Rotas!$B$5:$B$8,""),P$2),"")</f>
        <v/>
      </c>
    </row>
    <row r="57" spans="1:16" x14ac:dyDescent="0.2">
      <c r="A57" s="220">
        <v>55</v>
      </c>
      <c r="B57" s="220">
        <f>COUNTIF(Rotas!$A$5:$A$8,$A57)</f>
        <v>0</v>
      </c>
      <c r="J57" s="220" t="str" cm="1">
        <f t="array" ref="J57">IFERROR(SMALL(IF(Rotas!$A$5:$A$8=BD!$A57,Rotas!$B$5:$B$8,""),J$2),"")</f>
        <v/>
      </c>
      <c r="K57" s="220" t="str" cm="1">
        <f t="array" ref="K57">IFERROR(SMALL(IF(Rotas!$A$5:$A$8=BD!$A57,Rotas!$B$5:$B$8,""),K$2),"")</f>
        <v/>
      </c>
      <c r="L57" s="220" t="str" cm="1">
        <f t="array" ref="L57">IFERROR(SMALL(IF(Rotas!$A$5:$A$8=BD!$A57,Rotas!$B$5:$B$8,""),L$2),"")</f>
        <v/>
      </c>
      <c r="M57" s="220" t="str" cm="1">
        <f t="array" ref="M57">IFERROR(SMALL(IF(Rotas!$A$5:$A$8=BD!$A57,Rotas!$B$5:$B$8,""),M$2),"")</f>
        <v/>
      </c>
      <c r="N57" s="220" t="str" cm="1">
        <f t="array" ref="N57">IFERROR(SMALL(IF(Rotas!$A$5:$A$8=BD!$A57,Rotas!$B$5:$B$8,""),N$2),"")</f>
        <v/>
      </c>
      <c r="O57" s="220" t="str" cm="1">
        <f t="array" ref="O57">IFERROR(SMALL(IF(Rotas!$A$5:$A$8=BD!$A57,Rotas!$B$5:$B$8,""),O$2),"")</f>
        <v/>
      </c>
      <c r="P57" s="220" t="str" cm="1">
        <f t="array" ref="P57">IFERROR(SMALL(IF(Rotas!$A$5:$A$8=BD!$A57,Rotas!$B$5:$B$8,""),P$2),"")</f>
        <v/>
      </c>
    </row>
    <row r="58" spans="1:16" x14ac:dyDescent="0.2">
      <c r="A58" s="220">
        <v>56</v>
      </c>
      <c r="B58" s="220">
        <f>COUNTIF(Rotas!$A$5:$A$8,$A58)</f>
        <v>0</v>
      </c>
      <c r="J58" s="220" t="str" cm="1">
        <f t="array" ref="J58">IFERROR(SMALL(IF(Rotas!$A$5:$A$8=BD!$A58,Rotas!$B$5:$B$8,""),J$2),"")</f>
        <v/>
      </c>
      <c r="K58" s="220" t="str" cm="1">
        <f t="array" ref="K58">IFERROR(SMALL(IF(Rotas!$A$5:$A$8=BD!$A58,Rotas!$B$5:$B$8,""),K$2),"")</f>
        <v/>
      </c>
      <c r="L58" s="220" t="str" cm="1">
        <f t="array" ref="L58">IFERROR(SMALL(IF(Rotas!$A$5:$A$8=BD!$A58,Rotas!$B$5:$B$8,""),L$2),"")</f>
        <v/>
      </c>
      <c r="M58" s="220" t="str" cm="1">
        <f t="array" ref="M58">IFERROR(SMALL(IF(Rotas!$A$5:$A$8=BD!$A58,Rotas!$B$5:$B$8,""),M$2),"")</f>
        <v/>
      </c>
      <c r="N58" s="220" t="str" cm="1">
        <f t="array" ref="N58">IFERROR(SMALL(IF(Rotas!$A$5:$A$8=BD!$A58,Rotas!$B$5:$B$8,""),N$2),"")</f>
        <v/>
      </c>
      <c r="O58" s="220" t="str" cm="1">
        <f t="array" ref="O58">IFERROR(SMALL(IF(Rotas!$A$5:$A$8=BD!$A58,Rotas!$B$5:$B$8,""),O$2),"")</f>
        <v/>
      </c>
      <c r="P58" s="220" t="str" cm="1">
        <f t="array" ref="P58">IFERROR(SMALL(IF(Rotas!$A$5:$A$8=BD!$A58,Rotas!$B$5:$B$8,""),P$2),"")</f>
        <v/>
      </c>
    </row>
    <row r="59" spans="1:16" x14ac:dyDescent="0.2">
      <c r="A59" s="220">
        <v>57</v>
      </c>
      <c r="B59" s="220">
        <f>COUNTIF(Rotas!$A$5:$A$8,$A59)</f>
        <v>0</v>
      </c>
      <c r="J59" s="220" t="str" cm="1">
        <f t="array" ref="J59">IFERROR(SMALL(IF(Rotas!$A$5:$A$8=BD!$A59,Rotas!$B$5:$B$8,""),J$2),"")</f>
        <v/>
      </c>
      <c r="K59" s="220" t="str" cm="1">
        <f t="array" ref="K59">IFERROR(SMALL(IF(Rotas!$A$5:$A$8=BD!$A59,Rotas!$B$5:$B$8,""),K$2),"")</f>
        <v/>
      </c>
      <c r="L59" s="220" t="str" cm="1">
        <f t="array" ref="L59">IFERROR(SMALL(IF(Rotas!$A$5:$A$8=BD!$A59,Rotas!$B$5:$B$8,""),L$2),"")</f>
        <v/>
      </c>
      <c r="M59" s="220" t="str" cm="1">
        <f t="array" ref="M59">IFERROR(SMALL(IF(Rotas!$A$5:$A$8=BD!$A59,Rotas!$B$5:$B$8,""),M$2),"")</f>
        <v/>
      </c>
      <c r="N59" s="220" t="str" cm="1">
        <f t="array" ref="N59">IFERROR(SMALL(IF(Rotas!$A$5:$A$8=BD!$A59,Rotas!$B$5:$B$8,""),N$2),"")</f>
        <v/>
      </c>
      <c r="O59" s="220" t="str" cm="1">
        <f t="array" ref="O59">IFERROR(SMALL(IF(Rotas!$A$5:$A$8=BD!$A59,Rotas!$B$5:$B$8,""),O$2),"")</f>
        <v/>
      </c>
      <c r="P59" s="220" t="str" cm="1">
        <f t="array" ref="P59">IFERROR(SMALL(IF(Rotas!$A$5:$A$8=BD!$A59,Rotas!$B$5:$B$8,""),P$2),"")</f>
        <v/>
      </c>
    </row>
    <row r="60" spans="1:16" x14ac:dyDescent="0.2">
      <c r="A60" s="220">
        <v>58</v>
      </c>
      <c r="B60" s="220">
        <f>COUNTIF(Rotas!$A$5:$A$8,$A60)</f>
        <v>0</v>
      </c>
      <c r="J60" s="220" t="str" cm="1">
        <f t="array" ref="J60">IFERROR(SMALL(IF(Rotas!$A$5:$A$8=BD!$A60,Rotas!$B$5:$B$8,""),J$2),"")</f>
        <v/>
      </c>
      <c r="K60" s="220" t="str" cm="1">
        <f t="array" ref="K60">IFERROR(SMALL(IF(Rotas!$A$5:$A$8=BD!$A60,Rotas!$B$5:$B$8,""),K$2),"")</f>
        <v/>
      </c>
      <c r="L60" s="220" t="str" cm="1">
        <f t="array" ref="L60">IFERROR(SMALL(IF(Rotas!$A$5:$A$8=BD!$A60,Rotas!$B$5:$B$8,""),L$2),"")</f>
        <v/>
      </c>
      <c r="M60" s="220" t="str" cm="1">
        <f t="array" ref="M60">IFERROR(SMALL(IF(Rotas!$A$5:$A$8=BD!$A60,Rotas!$B$5:$B$8,""),M$2),"")</f>
        <v/>
      </c>
      <c r="N60" s="220" t="str" cm="1">
        <f t="array" ref="N60">IFERROR(SMALL(IF(Rotas!$A$5:$A$8=BD!$A60,Rotas!$B$5:$B$8,""),N$2),"")</f>
        <v/>
      </c>
      <c r="O60" s="220" t="str" cm="1">
        <f t="array" ref="O60">IFERROR(SMALL(IF(Rotas!$A$5:$A$8=BD!$A60,Rotas!$B$5:$B$8,""),O$2),"")</f>
        <v/>
      </c>
      <c r="P60" s="220" t="str" cm="1">
        <f t="array" ref="P60">IFERROR(SMALL(IF(Rotas!$A$5:$A$8=BD!$A60,Rotas!$B$5:$B$8,""),P$2),"")</f>
        <v/>
      </c>
    </row>
    <row r="61" spans="1:16" x14ac:dyDescent="0.2">
      <c r="A61" s="220">
        <v>59</v>
      </c>
      <c r="B61" s="220">
        <f>COUNTIF(Rotas!$A$5:$A$8,$A61)</f>
        <v>0</v>
      </c>
      <c r="J61" s="220" t="str" cm="1">
        <f t="array" ref="J61">IFERROR(SMALL(IF(Rotas!$A$5:$A$8=BD!$A61,Rotas!$B$5:$B$8,""),J$2),"")</f>
        <v/>
      </c>
      <c r="K61" s="220" t="str" cm="1">
        <f t="array" ref="K61">IFERROR(SMALL(IF(Rotas!$A$5:$A$8=BD!$A61,Rotas!$B$5:$B$8,""),K$2),"")</f>
        <v/>
      </c>
      <c r="L61" s="220" t="str" cm="1">
        <f t="array" ref="L61">IFERROR(SMALL(IF(Rotas!$A$5:$A$8=BD!$A61,Rotas!$B$5:$B$8,""),L$2),"")</f>
        <v/>
      </c>
      <c r="M61" s="220" t="str" cm="1">
        <f t="array" ref="M61">IFERROR(SMALL(IF(Rotas!$A$5:$A$8=BD!$A61,Rotas!$B$5:$B$8,""),M$2),"")</f>
        <v/>
      </c>
      <c r="N61" s="220" t="str" cm="1">
        <f t="array" ref="N61">IFERROR(SMALL(IF(Rotas!$A$5:$A$8=BD!$A61,Rotas!$B$5:$B$8,""),N$2),"")</f>
        <v/>
      </c>
      <c r="O61" s="220" t="str" cm="1">
        <f t="array" ref="O61">IFERROR(SMALL(IF(Rotas!$A$5:$A$8=BD!$A61,Rotas!$B$5:$B$8,""),O$2),"")</f>
        <v/>
      </c>
      <c r="P61" s="220" t="str" cm="1">
        <f t="array" ref="P61">IFERROR(SMALL(IF(Rotas!$A$5:$A$8=BD!$A61,Rotas!$B$5:$B$8,""),P$2),"")</f>
        <v/>
      </c>
    </row>
    <row r="62" spans="1:16" x14ac:dyDescent="0.2">
      <c r="A62" s="220">
        <v>60</v>
      </c>
      <c r="B62" s="220">
        <f>COUNTIF(Rotas!$A$5:$A$8,$A62)</f>
        <v>0</v>
      </c>
      <c r="J62" s="220" t="str" cm="1">
        <f t="array" ref="J62">IFERROR(SMALL(IF(Rotas!$A$5:$A$8=BD!$A62,Rotas!$B$5:$B$8,""),J$2),"")</f>
        <v/>
      </c>
      <c r="K62" s="220" t="str" cm="1">
        <f t="array" ref="K62">IFERROR(SMALL(IF(Rotas!$A$5:$A$8=BD!$A62,Rotas!$B$5:$B$8,""),K$2),"")</f>
        <v/>
      </c>
      <c r="L62" s="220" t="str" cm="1">
        <f t="array" ref="L62">IFERROR(SMALL(IF(Rotas!$A$5:$A$8=BD!$A62,Rotas!$B$5:$B$8,""),L$2),"")</f>
        <v/>
      </c>
      <c r="M62" s="220" t="str" cm="1">
        <f t="array" ref="M62">IFERROR(SMALL(IF(Rotas!$A$5:$A$8=BD!$A62,Rotas!$B$5:$B$8,""),M$2),"")</f>
        <v/>
      </c>
      <c r="N62" s="220" t="str" cm="1">
        <f t="array" ref="N62">IFERROR(SMALL(IF(Rotas!$A$5:$A$8=BD!$A62,Rotas!$B$5:$B$8,""),N$2),"")</f>
        <v/>
      </c>
      <c r="O62" s="220" t="str" cm="1">
        <f t="array" ref="O62">IFERROR(SMALL(IF(Rotas!$A$5:$A$8=BD!$A62,Rotas!$B$5:$B$8,""),O$2),"")</f>
        <v/>
      </c>
      <c r="P62" s="220" t="str" cm="1">
        <f t="array" ref="P62">IFERROR(SMALL(IF(Rotas!$A$5:$A$8=BD!$A62,Rotas!$B$5:$B$8,""),P$2),"")</f>
        <v/>
      </c>
    </row>
    <row r="63" spans="1:16" x14ac:dyDescent="0.2">
      <c r="A63" s="220">
        <v>61</v>
      </c>
      <c r="B63" s="220">
        <f>COUNTIF(Rotas!$A$5:$A$8,$A63)</f>
        <v>0</v>
      </c>
      <c r="J63" s="220" t="str" cm="1">
        <f t="array" ref="J63">IFERROR(SMALL(IF(Rotas!$A$5:$A$8=BD!$A63,Rotas!$B$5:$B$8,""),J$2),"")</f>
        <v/>
      </c>
      <c r="K63" s="220" t="str" cm="1">
        <f t="array" ref="K63">IFERROR(SMALL(IF(Rotas!$A$5:$A$8=BD!$A63,Rotas!$B$5:$B$8,""),K$2),"")</f>
        <v/>
      </c>
      <c r="L63" s="220" t="str" cm="1">
        <f t="array" ref="L63">IFERROR(SMALL(IF(Rotas!$A$5:$A$8=BD!$A63,Rotas!$B$5:$B$8,""),L$2),"")</f>
        <v/>
      </c>
      <c r="M63" s="220" t="str" cm="1">
        <f t="array" ref="M63">IFERROR(SMALL(IF(Rotas!$A$5:$A$8=BD!$A63,Rotas!$B$5:$B$8,""),M$2),"")</f>
        <v/>
      </c>
      <c r="N63" s="220" t="str" cm="1">
        <f t="array" ref="N63">IFERROR(SMALL(IF(Rotas!$A$5:$A$8=BD!$A63,Rotas!$B$5:$B$8,""),N$2),"")</f>
        <v/>
      </c>
      <c r="O63" s="220" t="str" cm="1">
        <f t="array" ref="O63">IFERROR(SMALL(IF(Rotas!$A$5:$A$8=BD!$A63,Rotas!$B$5:$B$8,""),O$2),"")</f>
        <v/>
      </c>
      <c r="P63" s="220" t="str" cm="1">
        <f t="array" ref="P63">IFERROR(SMALL(IF(Rotas!$A$5:$A$8=BD!$A63,Rotas!$B$5:$B$8,""),P$2),"")</f>
        <v/>
      </c>
    </row>
    <row r="64" spans="1:16" x14ac:dyDescent="0.2">
      <c r="A64" s="220">
        <v>62</v>
      </c>
      <c r="B64" s="220">
        <f>COUNTIF(Rotas!$A$5:$A$8,$A64)</f>
        <v>0</v>
      </c>
      <c r="J64" s="220" t="str" cm="1">
        <f t="array" ref="J64">IFERROR(SMALL(IF(Rotas!$A$5:$A$8=BD!$A64,Rotas!$B$5:$B$8,""),J$2),"")</f>
        <v/>
      </c>
      <c r="K64" s="220" t="str" cm="1">
        <f t="array" ref="K64">IFERROR(SMALL(IF(Rotas!$A$5:$A$8=BD!$A64,Rotas!$B$5:$B$8,""),K$2),"")</f>
        <v/>
      </c>
      <c r="L64" s="220" t="str" cm="1">
        <f t="array" ref="L64">IFERROR(SMALL(IF(Rotas!$A$5:$A$8=BD!$A64,Rotas!$B$5:$B$8,""),L$2),"")</f>
        <v/>
      </c>
      <c r="M64" s="220" t="str" cm="1">
        <f t="array" ref="M64">IFERROR(SMALL(IF(Rotas!$A$5:$A$8=BD!$A64,Rotas!$B$5:$B$8,""),M$2),"")</f>
        <v/>
      </c>
      <c r="N64" s="220" t="str" cm="1">
        <f t="array" ref="N64">IFERROR(SMALL(IF(Rotas!$A$5:$A$8=BD!$A64,Rotas!$B$5:$B$8,""),N$2),"")</f>
        <v/>
      </c>
      <c r="O64" s="220" t="str" cm="1">
        <f t="array" ref="O64">IFERROR(SMALL(IF(Rotas!$A$5:$A$8=BD!$A64,Rotas!$B$5:$B$8,""),O$2),"")</f>
        <v/>
      </c>
      <c r="P64" s="220" t="str" cm="1">
        <f t="array" ref="P64">IFERROR(SMALL(IF(Rotas!$A$5:$A$8=BD!$A64,Rotas!$B$5:$B$8,""),P$2),"")</f>
        <v/>
      </c>
    </row>
    <row r="65" spans="1:16" x14ac:dyDescent="0.2">
      <c r="A65" s="220">
        <v>63</v>
      </c>
      <c r="B65" s="220">
        <f>COUNTIF(Rotas!$A$5:$A$8,$A65)</f>
        <v>0</v>
      </c>
      <c r="J65" s="220" t="str" cm="1">
        <f t="array" ref="J65">IFERROR(SMALL(IF(Rotas!$A$5:$A$8=BD!$A65,Rotas!$B$5:$B$8,""),J$2),"")</f>
        <v/>
      </c>
      <c r="K65" s="220" t="str" cm="1">
        <f t="array" ref="K65">IFERROR(SMALL(IF(Rotas!$A$5:$A$8=BD!$A65,Rotas!$B$5:$B$8,""),K$2),"")</f>
        <v/>
      </c>
      <c r="L65" s="220" t="str" cm="1">
        <f t="array" ref="L65">IFERROR(SMALL(IF(Rotas!$A$5:$A$8=BD!$A65,Rotas!$B$5:$B$8,""),L$2),"")</f>
        <v/>
      </c>
      <c r="M65" s="220" t="str" cm="1">
        <f t="array" ref="M65">IFERROR(SMALL(IF(Rotas!$A$5:$A$8=BD!$A65,Rotas!$B$5:$B$8,""),M$2),"")</f>
        <v/>
      </c>
      <c r="N65" s="220" t="str" cm="1">
        <f t="array" ref="N65">IFERROR(SMALL(IF(Rotas!$A$5:$A$8=BD!$A65,Rotas!$B$5:$B$8,""),N$2),"")</f>
        <v/>
      </c>
      <c r="O65" s="220" t="str" cm="1">
        <f t="array" ref="O65">IFERROR(SMALL(IF(Rotas!$A$5:$A$8=BD!$A65,Rotas!$B$5:$B$8,""),O$2),"")</f>
        <v/>
      </c>
      <c r="P65" s="220" t="str" cm="1">
        <f t="array" ref="P65">IFERROR(SMALL(IF(Rotas!$A$5:$A$8=BD!$A65,Rotas!$B$5:$B$8,""),P$2),"")</f>
        <v/>
      </c>
    </row>
    <row r="66" spans="1:16" x14ac:dyDescent="0.2">
      <c r="A66" s="220">
        <v>64</v>
      </c>
      <c r="B66" s="220">
        <f>COUNTIF(Rotas!$A$5:$A$8,$A66)</f>
        <v>0</v>
      </c>
      <c r="J66" s="220" t="str" cm="1">
        <f t="array" ref="J66">IFERROR(SMALL(IF(Rotas!$A$5:$A$8=BD!$A66,Rotas!$B$5:$B$8,""),J$2),"")</f>
        <v/>
      </c>
      <c r="K66" s="220" t="str" cm="1">
        <f t="array" ref="K66">IFERROR(SMALL(IF(Rotas!$A$5:$A$8=BD!$A66,Rotas!$B$5:$B$8,""),K$2),"")</f>
        <v/>
      </c>
      <c r="L66" s="220" t="str" cm="1">
        <f t="array" ref="L66">IFERROR(SMALL(IF(Rotas!$A$5:$A$8=BD!$A66,Rotas!$B$5:$B$8,""),L$2),"")</f>
        <v/>
      </c>
      <c r="M66" s="220" t="str" cm="1">
        <f t="array" ref="M66">IFERROR(SMALL(IF(Rotas!$A$5:$A$8=BD!$A66,Rotas!$B$5:$B$8,""),M$2),"")</f>
        <v/>
      </c>
      <c r="N66" s="220" t="str" cm="1">
        <f t="array" ref="N66">IFERROR(SMALL(IF(Rotas!$A$5:$A$8=BD!$A66,Rotas!$B$5:$B$8,""),N$2),"")</f>
        <v/>
      </c>
      <c r="O66" s="220" t="str" cm="1">
        <f t="array" ref="O66">IFERROR(SMALL(IF(Rotas!$A$5:$A$8=BD!$A66,Rotas!$B$5:$B$8,""),O$2),"")</f>
        <v/>
      </c>
      <c r="P66" s="220" t="str" cm="1">
        <f t="array" ref="P66">IFERROR(SMALL(IF(Rotas!$A$5:$A$8=BD!$A66,Rotas!$B$5:$B$8,""),P$2),"")</f>
        <v/>
      </c>
    </row>
    <row r="67" spans="1:16" x14ac:dyDescent="0.2">
      <c r="A67" s="220">
        <v>65</v>
      </c>
      <c r="B67" s="220">
        <f>COUNTIF(Rotas!$A$5:$A$8,$A67)</f>
        <v>0</v>
      </c>
      <c r="J67" s="220" t="str" cm="1">
        <f t="array" ref="J67">IFERROR(SMALL(IF(Rotas!$A$5:$A$8=BD!$A67,Rotas!$B$5:$B$8,""),J$2),"")</f>
        <v/>
      </c>
      <c r="K67" s="220" t="str" cm="1">
        <f t="array" ref="K67">IFERROR(SMALL(IF(Rotas!$A$5:$A$8=BD!$A67,Rotas!$B$5:$B$8,""),K$2),"")</f>
        <v/>
      </c>
      <c r="L67" s="220" t="str" cm="1">
        <f t="array" ref="L67">IFERROR(SMALL(IF(Rotas!$A$5:$A$8=BD!$A67,Rotas!$B$5:$B$8,""),L$2),"")</f>
        <v/>
      </c>
      <c r="M67" s="220" t="str" cm="1">
        <f t="array" ref="M67">IFERROR(SMALL(IF(Rotas!$A$5:$A$8=BD!$A67,Rotas!$B$5:$B$8,""),M$2),"")</f>
        <v/>
      </c>
      <c r="N67" s="220" t="str" cm="1">
        <f t="array" ref="N67">IFERROR(SMALL(IF(Rotas!$A$5:$A$8=BD!$A67,Rotas!$B$5:$B$8,""),N$2),"")</f>
        <v/>
      </c>
      <c r="O67" s="220" t="str" cm="1">
        <f t="array" ref="O67">IFERROR(SMALL(IF(Rotas!$A$5:$A$8=BD!$A67,Rotas!$B$5:$B$8,""),O$2),"")</f>
        <v/>
      </c>
      <c r="P67" s="220" t="str" cm="1">
        <f t="array" ref="P67">IFERROR(SMALL(IF(Rotas!$A$5:$A$8=BD!$A67,Rotas!$B$5:$B$8,""),P$2),"")</f>
        <v/>
      </c>
    </row>
    <row r="68" spans="1:16" x14ac:dyDescent="0.2">
      <c r="A68" s="220">
        <v>66</v>
      </c>
      <c r="B68" s="220">
        <f>COUNTIF(Rotas!$A$5:$A$8,$A68)</f>
        <v>0</v>
      </c>
      <c r="J68" s="220" t="str" cm="1">
        <f t="array" ref="J68">IFERROR(SMALL(IF(Rotas!$A$5:$A$8=BD!$A68,Rotas!$B$5:$B$8,""),J$2),"")</f>
        <v/>
      </c>
      <c r="K68" s="220" t="str" cm="1">
        <f t="array" ref="K68">IFERROR(SMALL(IF(Rotas!$A$5:$A$8=BD!$A68,Rotas!$B$5:$B$8,""),K$2),"")</f>
        <v/>
      </c>
      <c r="L68" s="220" t="str" cm="1">
        <f t="array" ref="L68">IFERROR(SMALL(IF(Rotas!$A$5:$A$8=BD!$A68,Rotas!$B$5:$B$8,""),L$2),"")</f>
        <v/>
      </c>
      <c r="M68" s="220" t="str" cm="1">
        <f t="array" ref="M68">IFERROR(SMALL(IF(Rotas!$A$5:$A$8=BD!$A68,Rotas!$B$5:$B$8,""),M$2),"")</f>
        <v/>
      </c>
      <c r="N68" s="220" t="str" cm="1">
        <f t="array" ref="N68">IFERROR(SMALL(IF(Rotas!$A$5:$A$8=BD!$A68,Rotas!$B$5:$B$8,""),N$2),"")</f>
        <v/>
      </c>
      <c r="O68" s="220" t="str" cm="1">
        <f t="array" ref="O68">IFERROR(SMALL(IF(Rotas!$A$5:$A$8=BD!$A68,Rotas!$B$5:$B$8,""),O$2),"")</f>
        <v/>
      </c>
      <c r="P68" s="220" t="str" cm="1">
        <f t="array" ref="P68">IFERROR(SMALL(IF(Rotas!$A$5:$A$8=BD!$A68,Rotas!$B$5:$B$8,""),P$2),"")</f>
        <v/>
      </c>
    </row>
    <row r="69" spans="1:16" x14ac:dyDescent="0.2">
      <c r="A69" s="220">
        <v>67</v>
      </c>
      <c r="B69" s="220">
        <f>COUNTIF(Rotas!$A$5:$A$8,$A69)</f>
        <v>0</v>
      </c>
      <c r="J69" s="220" t="str" cm="1">
        <f t="array" ref="J69">IFERROR(SMALL(IF(Rotas!$A$5:$A$8=BD!$A69,Rotas!$B$5:$B$8,""),J$2),"")</f>
        <v/>
      </c>
      <c r="K69" s="220" t="str" cm="1">
        <f t="array" ref="K69">IFERROR(SMALL(IF(Rotas!$A$5:$A$8=BD!$A69,Rotas!$B$5:$B$8,""),K$2),"")</f>
        <v/>
      </c>
      <c r="L69" s="220" t="str" cm="1">
        <f t="array" ref="L69">IFERROR(SMALL(IF(Rotas!$A$5:$A$8=BD!$A69,Rotas!$B$5:$B$8,""),L$2),"")</f>
        <v/>
      </c>
      <c r="M69" s="220" t="str" cm="1">
        <f t="array" ref="M69">IFERROR(SMALL(IF(Rotas!$A$5:$A$8=BD!$A69,Rotas!$B$5:$B$8,""),M$2),"")</f>
        <v/>
      </c>
      <c r="N69" s="220" t="str" cm="1">
        <f t="array" ref="N69">IFERROR(SMALL(IF(Rotas!$A$5:$A$8=BD!$A69,Rotas!$B$5:$B$8,""),N$2),"")</f>
        <v/>
      </c>
      <c r="O69" s="220" t="str" cm="1">
        <f t="array" ref="O69">IFERROR(SMALL(IF(Rotas!$A$5:$A$8=BD!$A69,Rotas!$B$5:$B$8,""),O$2),"")</f>
        <v/>
      </c>
      <c r="P69" s="220" t="str" cm="1">
        <f t="array" ref="P69">IFERROR(SMALL(IF(Rotas!$A$5:$A$8=BD!$A69,Rotas!$B$5:$B$8,""),P$2),"")</f>
        <v/>
      </c>
    </row>
    <row r="70" spans="1:16" x14ac:dyDescent="0.2">
      <c r="A70" s="220">
        <v>68</v>
      </c>
      <c r="B70" s="220">
        <f>COUNTIF(Rotas!$A$5:$A$8,$A70)</f>
        <v>0</v>
      </c>
      <c r="J70" s="220" t="str" cm="1">
        <f t="array" ref="J70">IFERROR(SMALL(IF(Rotas!$A$5:$A$8=BD!$A70,Rotas!$B$5:$B$8,""),J$2),"")</f>
        <v/>
      </c>
      <c r="K70" s="220" t="str" cm="1">
        <f t="array" ref="K70">IFERROR(SMALL(IF(Rotas!$A$5:$A$8=BD!$A70,Rotas!$B$5:$B$8,""),K$2),"")</f>
        <v/>
      </c>
      <c r="L70" s="220" t="str" cm="1">
        <f t="array" ref="L70">IFERROR(SMALL(IF(Rotas!$A$5:$A$8=BD!$A70,Rotas!$B$5:$B$8,""),L$2),"")</f>
        <v/>
      </c>
      <c r="M70" s="220" t="str" cm="1">
        <f t="array" ref="M70">IFERROR(SMALL(IF(Rotas!$A$5:$A$8=BD!$A70,Rotas!$B$5:$B$8,""),M$2),"")</f>
        <v/>
      </c>
      <c r="N70" s="220" t="str" cm="1">
        <f t="array" ref="N70">IFERROR(SMALL(IF(Rotas!$A$5:$A$8=BD!$A70,Rotas!$B$5:$B$8,""),N$2),"")</f>
        <v/>
      </c>
      <c r="O70" s="220" t="str" cm="1">
        <f t="array" ref="O70">IFERROR(SMALL(IF(Rotas!$A$5:$A$8=BD!$A70,Rotas!$B$5:$B$8,""),O$2),"")</f>
        <v/>
      </c>
      <c r="P70" s="220" t="str" cm="1">
        <f t="array" ref="P70">IFERROR(SMALL(IF(Rotas!$A$5:$A$8=BD!$A70,Rotas!$B$5:$B$8,""),P$2),"")</f>
        <v/>
      </c>
    </row>
    <row r="71" spans="1:16" x14ac:dyDescent="0.2">
      <c r="A71" s="220">
        <v>69</v>
      </c>
      <c r="B71" s="220">
        <f>COUNTIF(Rotas!$A$5:$A$8,$A71)</f>
        <v>0</v>
      </c>
      <c r="J71" s="220" t="str" cm="1">
        <f t="array" ref="J71">IFERROR(SMALL(IF(Rotas!$A$5:$A$8=BD!$A71,Rotas!$B$5:$B$8,""),J$2),"")</f>
        <v/>
      </c>
      <c r="K71" s="220" t="str" cm="1">
        <f t="array" ref="K71">IFERROR(SMALL(IF(Rotas!$A$5:$A$8=BD!$A71,Rotas!$B$5:$B$8,""),K$2),"")</f>
        <v/>
      </c>
      <c r="L71" s="220" t="str" cm="1">
        <f t="array" ref="L71">IFERROR(SMALL(IF(Rotas!$A$5:$A$8=BD!$A71,Rotas!$B$5:$B$8,""),L$2),"")</f>
        <v/>
      </c>
      <c r="M71" s="220" t="str" cm="1">
        <f t="array" ref="M71">IFERROR(SMALL(IF(Rotas!$A$5:$A$8=BD!$A71,Rotas!$B$5:$B$8,""),M$2),"")</f>
        <v/>
      </c>
      <c r="N71" s="220" t="str" cm="1">
        <f t="array" ref="N71">IFERROR(SMALL(IF(Rotas!$A$5:$A$8=BD!$A71,Rotas!$B$5:$B$8,""),N$2),"")</f>
        <v/>
      </c>
      <c r="O71" s="220" t="str" cm="1">
        <f t="array" ref="O71">IFERROR(SMALL(IF(Rotas!$A$5:$A$8=BD!$A71,Rotas!$B$5:$B$8,""),O$2),"")</f>
        <v/>
      </c>
      <c r="P71" s="220" t="str" cm="1">
        <f t="array" ref="P71">IFERROR(SMALL(IF(Rotas!$A$5:$A$8=BD!$A71,Rotas!$B$5:$B$8,""),P$2),"")</f>
        <v/>
      </c>
    </row>
    <row r="72" spans="1:16" x14ac:dyDescent="0.2">
      <c r="A72" s="220">
        <v>70</v>
      </c>
      <c r="B72" s="220">
        <f>COUNTIF(Rotas!$A$5:$A$8,$A72)</f>
        <v>0</v>
      </c>
      <c r="J72" s="220" t="str" cm="1">
        <f t="array" ref="J72">IFERROR(SMALL(IF(Rotas!$A$5:$A$8=BD!$A72,Rotas!$B$5:$B$8,""),J$2),"")</f>
        <v/>
      </c>
      <c r="K72" s="220" t="str" cm="1">
        <f t="array" ref="K72">IFERROR(SMALL(IF(Rotas!$A$5:$A$8=BD!$A72,Rotas!$B$5:$B$8,""),K$2),"")</f>
        <v/>
      </c>
      <c r="L72" s="220" t="str" cm="1">
        <f t="array" ref="L72">IFERROR(SMALL(IF(Rotas!$A$5:$A$8=BD!$A72,Rotas!$B$5:$B$8,""),L$2),"")</f>
        <v/>
      </c>
      <c r="M72" s="220" t="str" cm="1">
        <f t="array" ref="M72">IFERROR(SMALL(IF(Rotas!$A$5:$A$8=BD!$A72,Rotas!$B$5:$B$8,""),M$2),"")</f>
        <v/>
      </c>
      <c r="N72" s="220" t="str" cm="1">
        <f t="array" ref="N72">IFERROR(SMALL(IF(Rotas!$A$5:$A$8=BD!$A72,Rotas!$B$5:$B$8,""),N$2),"")</f>
        <v/>
      </c>
      <c r="O72" s="220" t="str" cm="1">
        <f t="array" ref="O72">IFERROR(SMALL(IF(Rotas!$A$5:$A$8=BD!$A72,Rotas!$B$5:$B$8,""),O$2),"")</f>
        <v/>
      </c>
      <c r="P72" s="220" t="str" cm="1">
        <f t="array" ref="P72">IFERROR(SMALL(IF(Rotas!$A$5:$A$8=BD!$A72,Rotas!$B$5:$B$8,""),P$2),"")</f>
        <v/>
      </c>
    </row>
    <row r="73" spans="1:16" x14ac:dyDescent="0.2">
      <c r="A73" s="220">
        <v>71</v>
      </c>
      <c r="B73" s="220">
        <f>COUNTIF(Rotas!$A$5:$A$8,$A73)</f>
        <v>0</v>
      </c>
      <c r="J73" s="220" t="str" cm="1">
        <f t="array" ref="J73">IFERROR(SMALL(IF(Rotas!$A$5:$A$8=BD!$A73,Rotas!$B$5:$B$8,""),J$2),"")</f>
        <v/>
      </c>
      <c r="K73" s="220" t="str" cm="1">
        <f t="array" ref="K73">IFERROR(SMALL(IF(Rotas!$A$5:$A$8=BD!$A73,Rotas!$B$5:$B$8,""),K$2),"")</f>
        <v/>
      </c>
      <c r="L73" s="220" t="str" cm="1">
        <f t="array" ref="L73">IFERROR(SMALL(IF(Rotas!$A$5:$A$8=BD!$A73,Rotas!$B$5:$B$8,""),L$2),"")</f>
        <v/>
      </c>
      <c r="M73" s="220" t="str" cm="1">
        <f t="array" ref="M73">IFERROR(SMALL(IF(Rotas!$A$5:$A$8=BD!$A73,Rotas!$B$5:$B$8,""),M$2),"")</f>
        <v/>
      </c>
      <c r="N73" s="220" t="str" cm="1">
        <f t="array" ref="N73">IFERROR(SMALL(IF(Rotas!$A$5:$A$8=BD!$A73,Rotas!$B$5:$B$8,""),N$2),"")</f>
        <v/>
      </c>
      <c r="O73" s="220" t="str" cm="1">
        <f t="array" ref="O73">IFERROR(SMALL(IF(Rotas!$A$5:$A$8=BD!$A73,Rotas!$B$5:$B$8,""),O$2),"")</f>
        <v/>
      </c>
      <c r="P73" s="220" t="str" cm="1">
        <f t="array" ref="P73">IFERROR(SMALL(IF(Rotas!$A$5:$A$8=BD!$A73,Rotas!$B$5:$B$8,""),P$2),"")</f>
        <v/>
      </c>
    </row>
    <row r="74" spans="1:16" x14ac:dyDescent="0.2">
      <c r="A74" s="220">
        <v>72</v>
      </c>
      <c r="B74" s="220">
        <f>COUNTIF(Rotas!$A$5:$A$8,$A74)</f>
        <v>0</v>
      </c>
      <c r="J74" s="220" t="str" cm="1">
        <f t="array" ref="J74">IFERROR(SMALL(IF(Rotas!$A$5:$A$8=BD!$A74,Rotas!$B$5:$B$8,""),J$2),"")</f>
        <v/>
      </c>
      <c r="K74" s="220" t="str" cm="1">
        <f t="array" ref="K74">IFERROR(SMALL(IF(Rotas!$A$5:$A$8=BD!$A74,Rotas!$B$5:$B$8,""),K$2),"")</f>
        <v/>
      </c>
      <c r="L74" s="220" t="str" cm="1">
        <f t="array" ref="L74">IFERROR(SMALL(IF(Rotas!$A$5:$A$8=BD!$A74,Rotas!$B$5:$B$8,""),L$2),"")</f>
        <v/>
      </c>
      <c r="M74" s="220" t="str" cm="1">
        <f t="array" ref="M74">IFERROR(SMALL(IF(Rotas!$A$5:$A$8=BD!$A74,Rotas!$B$5:$B$8,""),M$2),"")</f>
        <v/>
      </c>
      <c r="N74" s="220" t="str" cm="1">
        <f t="array" ref="N74">IFERROR(SMALL(IF(Rotas!$A$5:$A$8=BD!$A74,Rotas!$B$5:$B$8,""),N$2),"")</f>
        <v/>
      </c>
      <c r="O74" s="220" t="str" cm="1">
        <f t="array" ref="O74">IFERROR(SMALL(IF(Rotas!$A$5:$A$8=BD!$A74,Rotas!$B$5:$B$8,""),O$2),"")</f>
        <v/>
      </c>
      <c r="P74" s="220" t="str" cm="1">
        <f t="array" ref="P74">IFERROR(SMALL(IF(Rotas!$A$5:$A$8=BD!$A74,Rotas!$B$5:$B$8,""),P$2),"")</f>
        <v/>
      </c>
    </row>
    <row r="75" spans="1:16" x14ac:dyDescent="0.2">
      <c r="A75" s="220">
        <v>73</v>
      </c>
      <c r="B75" s="220">
        <f>COUNTIF(Rotas!$A$5:$A$8,$A75)</f>
        <v>0</v>
      </c>
      <c r="J75" s="220" t="str" cm="1">
        <f t="array" ref="J75">IFERROR(SMALL(IF(Rotas!$A$5:$A$8=BD!$A75,Rotas!$B$5:$B$8,""),J$2),"")</f>
        <v/>
      </c>
      <c r="K75" s="220" t="str" cm="1">
        <f t="array" ref="K75">IFERROR(SMALL(IF(Rotas!$A$5:$A$8=BD!$A75,Rotas!$B$5:$B$8,""),K$2),"")</f>
        <v/>
      </c>
      <c r="L75" s="220" t="str" cm="1">
        <f t="array" ref="L75">IFERROR(SMALL(IF(Rotas!$A$5:$A$8=BD!$A75,Rotas!$B$5:$B$8,""),L$2),"")</f>
        <v/>
      </c>
      <c r="M75" s="220" t="str" cm="1">
        <f t="array" ref="M75">IFERROR(SMALL(IF(Rotas!$A$5:$A$8=BD!$A75,Rotas!$B$5:$B$8,""),M$2),"")</f>
        <v/>
      </c>
      <c r="N75" s="220" t="str" cm="1">
        <f t="array" ref="N75">IFERROR(SMALL(IF(Rotas!$A$5:$A$8=BD!$A75,Rotas!$B$5:$B$8,""),N$2),"")</f>
        <v/>
      </c>
      <c r="O75" s="220" t="str" cm="1">
        <f t="array" ref="O75">IFERROR(SMALL(IF(Rotas!$A$5:$A$8=BD!$A75,Rotas!$B$5:$B$8,""),O$2),"")</f>
        <v/>
      </c>
      <c r="P75" s="220" t="str" cm="1">
        <f t="array" ref="P75">IFERROR(SMALL(IF(Rotas!$A$5:$A$8=BD!$A75,Rotas!$B$5:$B$8,""),P$2),"")</f>
        <v/>
      </c>
    </row>
    <row r="76" spans="1:16" x14ac:dyDescent="0.2">
      <c r="A76" s="220">
        <v>74</v>
      </c>
      <c r="B76" s="220">
        <f>COUNTIF(Rotas!$A$5:$A$8,$A76)</f>
        <v>0</v>
      </c>
      <c r="J76" s="220" t="str" cm="1">
        <f t="array" ref="J76">IFERROR(SMALL(IF(Rotas!$A$5:$A$8=BD!$A76,Rotas!$B$5:$B$8,""),J$2),"")</f>
        <v/>
      </c>
      <c r="K76" s="220" t="str" cm="1">
        <f t="array" ref="K76">IFERROR(SMALL(IF(Rotas!$A$5:$A$8=BD!$A76,Rotas!$B$5:$B$8,""),K$2),"")</f>
        <v/>
      </c>
      <c r="L76" s="220" t="str" cm="1">
        <f t="array" ref="L76">IFERROR(SMALL(IF(Rotas!$A$5:$A$8=BD!$A76,Rotas!$B$5:$B$8,""),L$2),"")</f>
        <v/>
      </c>
      <c r="M76" s="220" t="str" cm="1">
        <f t="array" ref="M76">IFERROR(SMALL(IF(Rotas!$A$5:$A$8=BD!$A76,Rotas!$B$5:$B$8,""),M$2),"")</f>
        <v/>
      </c>
      <c r="N76" s="220" t="str" cm="1">
        <f t="array" ref="N76">IFERROR(SMALL(IF(Rotas!$A$5:$A$8=BD!$A76,Rotas!$B$5:$B$8,""),N$2),"")</f>
        <v/>
      </c>
      <c r="O76" s="220" t="str" cm="1">
        <f t="array" ref="O76">IFERROR(SMALL(IF(Rotas!$A$5:$A$8=BD!$A76,Rotas!$B$5:$B$8,""),O$2),"")</f>
        <v/>
      </c>
      <c r="P76" s="220" t="str" cm="1">
        <f t="array" ref="P76">IFERROR(SMALL(IF(Rotas!$A$5:$A$8=BD!$A76,Rotas!$B$5:$B$8,""),P$2),"")</f>
        <v/>
      </c>
    </row>
    <row r="77" spans="1:16" x14ac:dyDescent="0.2">
      <c r="A77" s="220">
        <v>75</v>
      </c>
      <c r="B77" s="220">
        <f>COUNTIF(Rotas!$A$5:$A$8,$A77)</f>
        <v>0</v>
      </c>
      <c r="J77" s="220" t="str" cm="1">
        <f t="array" ref="J77">IFERROR(SMALL(IF(Rotas!$A$5:$A$8=BD!$A77,Rotas!$B$5:$B$8,""),J$2),"")</f>
        <v/>
      </c>
      <c r="K77" s="220" t="str" cm="1">
        <f t="array" ref="K77">IFERROR(SMALL(IF(Rotas!$A$5:$A$8=BD!$A77,Rotas!$B$5:$B$8,""),K$2),"")</f>
        <v/>
      </c>
      <c r="L77" s="220" t="str" cm="1">
        <f t="array" ref="L77">IFERROR(SMALL(IF(Rotas!$A$5:$A$8=BD!$A77,Rotas!$B$5:$B$8,""),L$2),"")</f>
        <v/>
      </c>
      <c r="M77" s="220" t="str" cm="1">
        <f t="array" ref="M77">IFERROR(SMALL(IF(Rotas!$A$5:$A$8=BD!$A77,Rotas!$B$5:$B$8,""),M$2),"")</f>
        <v/>
      </c>
      <c r="N77" s="220" t="str" cm="1">
        <f t="array" ref="N77">IFERROR(SMALL(IF(Rotas!$A$5:$A$8=BD!$A77,Rotas!$B$5:$B$8,""),N$2),"")</f>
        <v/>
      </c>
      <c r="O77" s="220" t="str" cm="1">
        <f t="array" ref="O77">IFERROR(SMALL(IF(Rotas!$A$5:$A$8=BD!$A77,Rotas!$B$5:$B$8,""),O$2),"")</f>
        <v/>
      </c>
      <c r="P77" s="220" t="str" cm="1">
        <f t="array" ref="P77">IFERROR(SMALL(IF(Rotas!$A$5:$A$8=BD!$A77,Rotas!$B$5:$B$8,""),P$2),"")</f>
        <v/>
      </c>
    </row>
    <row r="78" spans="1:16" x14ac:dyDescent="0.2">
      <c r="A78" s="220">
        <v>76</v>
      </c>
      <c r="B78" s="220">
        <f>COUNTIF(Rotas!$A$5:$A$8,$A78)</f>
        <v>0</v>
      </c>
      <c r="J78" s="220" t="str" cm="1">
        <f t="array" ref="J78">IFERROR(SMALL(IF(Rotas!$A$5:$A$8=BD!$A78,Rotas!$B$5:$B$8,""),J$2),"")</f>
        <v/>
      </c>
      <c r="K78" s="220" t="str" cm="1">
        <f t="array" ref="K78">IFERROR(SMALL(IF(Rotas!$A$5:$A$8=BD!$A78,Rotas!$B$5:$B$8,""),K$2),"")</f>
        <v/>
      </c>
      <c r="L78" s="220" t="str" cm="1">
        <f t="array" ref="L78">IFERROR(SMALL(IF(Rotas!$A$5:$A$8=BD!$A78,Rotas!$B$5:$B$8,""),L$2),"")</f>
        <v/>
      </c>
      <c r="M78" s="220" t="str" cm="1">
        <f t="array" ref="M78">IFERROR(SMALL(IF(Rotas!$A$5:$A$8=BD!$A78,Rotas!$B$5:$B$8,""),M$2),"")</f>
        <v/>
      </c>
      <c r="N78" s="220" t="str" cm="1">
        <f t="array" ref="N78">IFERROR(SMALL(IF(Rotas!$A$5:$A$8=BD!$A78,Rotas!$B$5:$B$8,""),N$2),"")</f>
        <v/>
      </c>
      <c r="O78" s="220" t="str" cm="1">
        <f t="array" ref="O78">IFERROR(SMALL(IF(Rotas!$A$5:$A$8=BD!$A78,Rotas!$B$5:$B$8,""),O$2),"")</f>
        <v/>
      </c>
      <c r="P78" s="220" t="str" cm="1">
        <f t="array" ref="P78">IFERROR(SMALL(IF(Rotas!$A$5:$A$8=BD!$A78,Rotas!$B$5:$B$8,""),P$2),"")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2026-10-07T15:57:34Z</cp:lastPrinted>
  <dcterms:created xsi:type="dcterms:W3CDTF">2023-08-15T12:17:24Z</dcterms:created>
  <dcterms:modified xsi:type="dcterms:W3CDTF">2026-10-08T16:54:36Z</dcterms:modified>
</cp:coreProperties>
</file>