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SEINFRA\02 - PROJETOS ESTRATÉGICOS\5 - CONTRATAÇÕES 2025\TR BANHEIROS PÚBLICOS\LICITAÇÃO CONTRATO BANHEIROS PÚBLICOS 2025\ESCLARECIMENTOS SMAT\"/>
    </mc:Choice>
  </mc:AlternateContent>
  <xr:revisionPtr revIDLastSave="0" documentId="13_ncr:1_{70F54392-1334-41C8-BE25-D9817B64FA72}" xr6:coauthVersionLast="47" xr6:coauthVersionMax="47" xr10:uidLastSave="{00000000-0000-0000-0000-000000000000}"/>
  <bookViews>
    <workbookView xWindow="-28920" yWindow="-120" windowWidth="29040" windowHeight="15720" tabRatio="802" xr2:uid="{00000000-000D-0000-FFFF-FFFF00000000}"/>
  </bookViews>
  <sheets>
    <sheet name="ORÇAMENTO" sheetId="13" r:id="rId1"/>
    <sheet name="BDI S DES" sheetId="14" r:id="rId2"/>
    <sheet name="Encargos Sociais" sheetId="8" r:id="rId3"/>
    <sheet name="MATERIAIS" sheetId="10" r:id="rId4"/>
  </sheets>
  <externalReferences>
    <externalReference r:id="rId5"/>
  </externalReferences>
  <definedNames>
    <definedName name="AbaDeprec">#REF!</definedName>
    <definedName name="AbaRemun">#REF!</definedName>
    <definedName name="_xlnm.Print_Area" localSheetId="1">'BDI S DES'!$A$1:$IV$43</definedName>
    <definedName name="_xlnm.Print_Area" localSheetId="2">'Encargos Sociais'!$A$1:$C$52</definedName>
    <definedName name="_xlnm.Print_Area" localSheetId="3">MATERIAIS!$A$1:$AJ$60</definedName>
    <definedName name="_xlnm.Print_Area" localSheetId="0">ORÇAMENTO!$A$1:$F$282</definedName>
    <definedName name="DESONERACAO" localSheetId="1" hidden="1">IF(OR('BDI S DES'!Import.Desoneracao="DESONERADO",'BDI S DES'!Import.Desoneracao="SIM"),"SIM","NÃO")</definedName>
    <definedName name="DESONERACAO" hidden="1">IF(OR([0]!Import.Desoneracao="DESONERADO",[0]!Import.Desoneracao="SIM"),"SIM","NÃO")</definedName>
    <definedName name="Import.Desoneracao" localSheetId="1" hidden="1">OFFSET([1]DADOS!$G$18,0,-1)</definedName>
    <definedName name="Import.Desoneracao" hidden="1">OFFSET([1]DADOS!$G$18,0,-1)</definedName>
    <definedName name="_xlnm.Print_Titles" localSheetId="0">ORÇAMENTO!$1:$8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1" i="13" l="1"/>
  <c r="E26" i="13"/>
  <c r="E23" i="13"/>
  <c r="E24" i="13"/>
  <c r="C259" i="13"/>
  <c r="D201" i="13" l="1"/>
  <c r="C78" i="10"/>
  <c r="C76" i="10" s="1"/>
  <c r="C75" i="10"/>
  <c r="C179" i="13"/>
  <c r="C177" i="13"/>
  <c r="C191" i="13"/>
  <c r="E190" i="13"/>
  <c r="E189" i="13"/>
  <c r="C188" i="13"/>
  <c r="E188" i="13" s="1"/>
  <c r="D191" i="13" s="1"/>
  <c r="C47" i="13"/>
  <c r="C48" i="13"/>
  <c r="C92" i="13"/>
  <c r="C91" i="13"/>
  <c r="C167" i="13"/>
  <c r="C160" i="13"/>
  <c r="C153" i="13"/>
  <c r="C152" i="13"/>
  <c r="C145" i="13"/>
  <c r="C144" i="13"/>
  <c r="A18" i="13"/>
  <c r="C135" i="13"/>
  <c r="D133" i="13"/>
  <c r="E133" i="13" s="1"/>
  <c r="C130" i="13"/>
  <c r="C127" i="13"/>
  <c r="C124" i="13"/>
  <c r="C77" i="10" l="1"/>
  <c r="C201" i="13"/>
  <c r="D72" i="13" l="1"/>
  <c r="D75" i="13" l="1"/>
  <c r="D74" i="13"/>
  <c r="O21" i="14"/>
  <c r="O22" i="14" s="1"/>
  <c r="R20" i="14"/>
  <c r="R19" i="14"/>
  <c r="R18" i="14"/>
  <c r="R17" i="14"/>
  <c r="R16" i="14"/>
  <c r="A22" i="13"/>
  <c r="A17" i="13"/>
  <c r="R21" i="14" l="1"/>
  <c r="E39" i="13"/>
  <c r="A39" i="13"/>
  <c r="A27" i="13"/>
  <c r="A26" i="13"/>
  <c r="A25" i="13"/>
  <c r="A24" i="13"/>
  <c r="A23" i="13"/>
  <c r="E248" i="13"/>
  <c r="E247" i="13"/>
  <c r="E242" i="13"/>
  <c r="E241" i="13"/>
  <c r="E240" i="13"/>
  <c r="E239" i="13"/>
  <c r="E238" i="13"/>
  <c r="E237" i="13"/>
  <c r="E236" i="13"/>
  <c r="E235" i="13"/>
  <c r="E234" i="13"/>
  <c r="E233" i="13"/>
  <c r="E232" i="13"/>
  <c r="E231" i="13"/>
  <c r="E230" i="13"/>
  <c r="E229" i="13"/>
  <c r="E228" i="13"/>
  <c r="E227" i="13"/>
  <c r="E226" i="13"/>
  <c r="E225" i="13"/>
  <c r="E224" i="13"/>
  <c r="E223" i="13"/>
  <c r="E222" i="13"/>
  <c r="E221" i="13"/>
  <c r="E220" i="13"/>
  <c r="E219" i="13"/>
  <c r="E218" i="13"/>
  <c r="E217" i="13"/>
  <c r="E216" i="13"/>
  <c r="E215" i="13"/>
  <c r="E214" i="13"/>
  <c r="E213" i="13"/>
  <c r="E212" i="13"/>
  <c r="E211" i="13"/>
  <c r="E210" i="13"/>
  <c r="E209" i="13"/>
  <c r="E200" i="13"/>
  <c r="E181" i="13"/>
  <c r="E180" i="13"/>
  <c r="E179" i="13"/>
  <c r="E178" i="13"/>
  <c r="E177" i="13"/>
  <c r="A13" i="13"/>
  <c r="A14" i="13"/>
  <c r="A15" i="13"/>
  <c r="A16" i="13"/>
  <c r="A19" i="13"/>
  <c r="A20" i="13"/>
  <c r="A21" i="13"/>
  <c r="AL29" i="10"/>
  <c r="AM29" i="10" s="1"/>
  <c r="AJ29" i="10"/>
  <c r="AL20" i="10"/>
  <c r="AM20" i="10" s="1"/>
  <c r="AL19" i="10"/>
  <c r="AM19" i="10" s="1"/>
  <c r="AL43" i="10"/>
  <c r="AM43" i="10" s="1"/>
  <c r="AL42" i="10"/>
  <c r="AM42" i="10" s="1"/>
  <c r="AL25" i="10"/>
  <c r="AM25" i="10"/>
  <c r="AL24" i="10"/>
  <c r="AM24" i="10" s="1"/>
  <c r="AL23" i="10"/>
  <c r="AM23" i="10" s="1"/>
  <c r="AL22" i="10"/>
  <c r="AM22" i="10" s="1"/>
  <c r="AL31" i="10"/>
  <c r="AM31" i="10" s="1"/>
  <c r="AL30" i="10"/>
  <c r="AM30" i="10" s="1"/>
  <c r="AL35" i="10"/>
  <c r="AM35" i="10" s="1"/>
  <c r="AL10" i="10"/>
  <c r="AM10" i="10" s="1"/>
  <c r="AL38" i="10"/>
  <c r="AM38" i="10" s="1"/>
  <c r="AL18" i="10"/>
  <c r="AM18" i="10" s="1"/>
  <c r="AL45" i="10"/>
  <c r="AM45" i="10" s="1"/>
  <c r="AL44" i="10"/>
  <c r="AL51" i="10"/>
  <c r="AM51" i="10" s="1"/>
  <c r="AL13" i="10"/>
  <c r="AM13" i="10" s="1"/>
  <c r="AL16" i="10"/>
  <c r="AM16" i="10" s="1"/>
  <c r="AL17" i="10"/>
  <c r="AM17" i="10" s="1"/>
  <c r="AL39" i="10"/>
  <c r="AM39" i="10"/>
  <c r="AL41" i="10"/>
  <c r="AM41" i="10" s="1"/>
  <c r="AL27" i="10"/>
  <c r="AM27" i="10" s="1"/>
  <c r="AL50" i="10"/>
  <c r="AM50" i="10" s="1"/>
  <c r="AL34" i="10"/>
  <c r="AM34" i="10"/>
  <c r="AL54" i="10"/>
  <c r="AM54" i="10" s="1"/>
  <c r="AL53" i="10"/>
  <c r="AM53" i="10" s="1"/>
  <c r="AL12" i="10"/>
  <c r="AM12" i="10" s="1"/>
  <c r="AL8" i="10"/>
  <c r="AM8" i="10" s="1"/>
  <c r="AM11" i="10"/>
  <c r="AM14" i="10"/>
  <c r="AM15" i="10"/>
  <c r="AM26" i="10"/>
  <c r="AM28" i="10"/>
  <c r="AM32" i="10"/>
  <c r="AM33" i="10"/>
  <c r="AM36" i="10"/>
  <c r="AM37" i="10"/>
  <c r="AM40" i="10"/>
  <c r="AM44" i="10"/>
  <c r="AM46" i="10"/>
  <c r="AM47" i="10"/>
  <c r="AM48" i="10"/>
  <c r="AM49" i="10"/>
  <c r="AM52" i="10"/>
  <c r="AM55" i="10"/>
  <c r="AM56" i="10"/>
  <c r="AM57" i="10"/>
  <c r="AM58" i="10"/>
  <c r="AM59" i="10"/>
  <c r="AM60" i="10"/>
  <c r="AL9" i="10"/>
  <c r="AM9" i="10" s="1"/>
  <c r="AJ59" i="10"/>
  <c r="AK59" i="10"/>
  <c r="AK9" i="10"/>
  <c r="AK10" i="10"/>
  <c r="AK11" i="10"/>
  <c r="AK12" i="10"/>
  <c r="AK13" i="10"/>
  <c r="AK14" i="10"/>
  <c r="AK15" i="10"/>
  <c r="AK16" i="10"/>
  <c r="AK17" i="10"/>
  <c r="AK18" i="10"/>
  <c r="AK19" i="10"/>
  <c r="AK20" i="10"/>
  <c r="AK21" i="10"/>
  <c r="AK22" i="10"/>
  <c r="AK23" i="10"/>
  <c r="AK24" i="10"/>
  <c r="AK26" i="10"/>
  <c r="AK27" i="10"/>
  <c r="AK28" i="10"/>
  <c r="AK29" i="10"/>
  <c r="AK30" i="10"/>
  <c r="AK31" i="10"/>
  <c r="AK32" i="10"/>
  <c r="AK33" i="10"/>
  <c r="AK34" i="10"/>
  <c r="AK35" i="10"/>
  <c r="AK36" i="10"/>
  <c r="AK37" i="10"/>
  <c r="AK38" i="10"/>
  <c r="AK41" i="10"/>
  <c r="AK42" i="10"/>
  <c r="AK43" i="10"/>
  <c r="AK44" i="10"/>
  <c r="AK45" i="10"/>
  <c r="AK46" i="10"/>
  <c r="AK48" i="10"/>
  <c r="AK50" i="10"/>
  <c r="AK51" i="10"/>
  <c r="AK52" i="10"/>
  <c r="AK53" i="10"/>
  <c r="AK54" i="10"/>
  <c r="AK55" i="10"/>
  <c r="AK56" i="10"/>
  <c r="AK57" i="10"/>
  <c r="AK58" i="10"/>
  <c r="AK60" i="10"/>
  <c r="AK8" i="10"/>
  <c r="AJ14" i="10"/>
  <c r="AJ15" i="10"/>
  <c r="AJ16" i="10"/>
  <c r="AN16" i="10" s="1"/>
  <c r="AJ17" i="10"/>
  <c r="AN17" i="10" s="1"/>
  <c r="AJ18" i="10"/>
  <c r="AJ19" i="10"/>
  <c r="AN19" i="10" s="1"/>
  <c r="AJ20" i="10"/>
  <c r="AJ21" i="10"/>
  <c r="AJ22" i="10"/>
  <c r="AJ23" i="10"/>
  <c r="AJ24" i="10"/>
  <c r="AN24" i="10" s="1"/>
  <c r="AJ26" i="10"/>
  <c r="AN26" i="10" s="1"/>
  <c r="AJ27" i="10"/>
  <c r="AJ28" i="10"/>
  <c r="AN28" i="10" s="1"/>
  <c r="AJ30" i="10"/>
  <c r="AJ31" i="10"/>
  <c r="AJ32" i="10"/>
  <c r="AJ33" i="10"/>
  <c r="AJ34" i="10"/>
  <c r="AJ35" i="10"/>
  <c r="AJ36" i="10"/>
  <c r="AJ37" i="10"/>
  <c r="AJ38" i="10"/>
  <c r="AJ41" i="10"/>
  <c r="AJ42" i="10"/>
  <c r="AJ43" i="10"/>
  <c r="AJ44" i="10"/>
  <c r="AJ45" i="10"/>
  <c r="AN45" i="10" s="1"/>
  <c r="AJ46" i="10"/>
  <c r="AN46" i="10" s="1"/>
  <c r="AJ48" i="10"/>
  <c r="AJ50" i="10"/>
  <c r="AJ51" i="10"/>
  <c r="AN51" i="10" s="1"/>
  <c r="AJ52" i="10"/>
  <c r="AN52" i="10" s="1"/>
  <c r="AJ53" i="10"/>
  <c r="AJ54" i="10"/>
  <c r="AJ55" i="10"/>
  <c r="AN55" i="10" s="1"/>
  <c r="AJ56" i="10"/>
  <c r="AN56" i="10" s="1"/>
  <c r="AJ57" i="10"/>
  <c r="AN57" i="10" s="1"/>
  <c r="AJ58" i="10"/>
  <c r="AN20" i="10" l="1"/>
  <c r="AN32" i="10"/>
  <c r="AN58" i="10"/>
  <c r="AN48" i="10"/>
  <c r="AN53" i="10"/>
  <c r="AN31" i="10"/>
  <c r="F249" i="13"/>
  <c r="D182" i="13"/>
  <c r="F243" i="13"/>
  <c r="E25" i="13" s="1"/>
  <c r="AN30" i="10"/>
  <c r="AN54" i="10"/>
  <c r="AN23" i="10"/>
  <c r="AN50" i="10"/>
  <c r="AN27" i="10"/>
  <c r="AN44" i="10"/>
  <c r="AN43" i="10"/>
  <c r="AN15" i="10"/>
  <c r="AN14" i="10"/>
  <c r="AN37" i="10"/>
  <c r="AN59" i="10"/>
  <c r="AN36" i="10"/>
  <c r="AN35" i="10"/>
  <c r="AN29" i="10"/>
  <c r="AN34" i="10"/>
  <c r="AN18" i="10"/>
  <c r="AN42" i="10"/>
  <c r="AN41" i="10"/>
  <c r="AN33" i="10"/>
  <c r="AN38" i="10"/>
  <c r="AN22" i="10"/>
  <c r="AL21" i="10"/>
  <c r="AM21" i="10" s="1"/>
  <c r="AN21" i="10" s="1"/>
  <c r="AJ60" i="10"/>
  <c r="AN60" i="10" s="1"/>
  <c r="E33" i="13"/>
  <c r="C182" i="13" s="1"/>
  <c r="C166" i="13" l="1"/>
  <c r="E182" i="13"/>
  <c r="F183" i="13" s="1"/>
  <c r="F251" i="13"/>
  <c r="D87" i="13"/>
  <c r="D93" i="13" s="1"/>
  <c r="C93" i="13"/>
  <c r="D59" i="13"/>
  <c r="D46" i="13"/>
  <c r="D167" i="13"/>
  <c r="G161" i="13"/>
  <c r="D160" i="13" s="1"/>
  <c r="E160" i="13" s="1"/>
  <c r="F161" i="13" s="1"/>
  <c r="E21" i="13" s="1"/>
  <c r="A153" i="13"/>
  <c r="A167" i="13" s="1"/>
  <c r="G152" i="13"/>
  <c r="D153" i="13" s="1"/>
  <c r="A152" i="13"/>
  <c r="A160" i="13" s="1"/>
  <c r="A166" i="13" s="1"/>
  <c r="D99" i="13"/>
  <c r="C99" i="13"/>
  <c r="C96" i="13"/>
  <c r="C90" i="13"/>
  <c r="D78" i="13"/>
  <c r="E78" i="13" s="1"/>
  <c r="A35" i="13"/>
  <c r="E34" i="13"/>
  <c r="A34" i="13"/>
  <c r="A33" i="13"/>
  <c r="D48" i="13" l="1"/>
  <c r="E48" i="13" s="1"/>
  <c r="D108" i="13"/>
  <c r="E108" i="13" s="1"/>
  <c r="D61" i="13"/>
  <c r="E61" i="13" s="1"/>
  <c r="E59" i="13"/>
  <c r="D150" i="13"/>
  <c r="D94" i="13"/>
  <c r="E94" i="13" s="1"/>
  <c r="E72" i="13"/>
  <c r="D145" i="13" s="1"/>
  <c r="E75" i="13"/>
  <c r="D152" i="13"/>
  <c r="E152" i="13" s="1"/>
  <c r="E36" i="13"/>
  <c r="D166" i="13"/>
  <c r="E166" i="13" s="1"/>
  <c r="E167" i="13"/>
  <c r="E46" i="13"/>
  <c r="D96" i="13"/>
  <c r="E96" i="13" s="1"/>
  <c r="D47" i="13"/>
  <c r="E47" i="13" s="1"/>
  <c r="E191" i="13" s="1"/>
  <c r="F192" i="13" s="1"/>
  <c r="F194" i="13" s="1"/>
  <c r="E74" i="13"/>
  <c r="D60" i="13"/>
  <c r="E60" i="13" s="1"/>
  <c r="D90" i="13"/>
  <c r="E90" i="13" s="1"/>
  <c r="D91" i="13"/>
  <c r="E91" i="13" s="1"/>
  <c r="E87" i="13"/>
  <c r="E93" i="13"/>
  <c r="E99" i="13"/>
  <c r="E153" i="13"/>
  <c r="D158" i="13"/>
  <c r="AJ8" i="10"/>
  <c r="AN8" i="10" s="1"/>
  <c r="K40" i="10"/>
  <c r="H25" i="10"/>
  <c r="F25" i="10"/>
  <c r="AJ9" i="10"/>
  <c r="AN9" i="10" s="1"/>
  <c r="AJ10" i="10"/>
  <c r="AN10" i="10" s="1"/>
  <c r="AJ11" i="10"/>
  <c r="AN11" i="10" s="1"/>
  <c r="AJ12" i="10"/>
  <c r="AN12" i="10" s="1"/>
  <c r="AJ13" i="10"/>
  <c r="AN13" i="10" s="1"/>
  <c r="AC39" i="10"/>
  <c r="M47" i="10"/>
  <c r="M49" i="10"/>
  <c r="L49" i="10"/>
  <c r="E121" i="13" l="1"/>
  <c r="D130" i="13"/>
  <c r="E130" i="13" s="1"/>
  <c r="D125" i="13"/>
  <c r="E125" i="13" s="1"/>
  <c r="D127" i="13"/>
  <c r="E127" i="13" s="1"/>
  <c r="D128" i="13"/>
  <c r="E128" i="13" s="1"/>
  <c r="D124" i="13"/>
  <c r="E124" i="13" s="1"/>
  <c r="D144" i="13"/>
  <c r="E144" i="13" s="1"/>
  <c r="D49" i="13"/>
  <c r="E49" i="13" s="1"/>
  <c r="D50" i="13" s="1"/>
  <c r="E50" i="13" s="1"/>
  <c r="D76" i="13"/>
  <c r="E76" i="13" s="1"/>
  <c r="E79" i="13" s="1"/>
  <c r="D80" i="13" s="1"/>
  <c r="AJ49" i="10"/>
  <c r="AN49" i="10" s="1"/>
  <c r="AK49" i="10"/>
  <c r="AJ39" i="10"/>
  <c r="AN39" i="10" s="1"/>
  <c r="AK39" i="10"/>
  <c r="AJ47" i="10"/>
  <c r="AN47" i="10" s="1"/>
  <c r="AK47" i="10"/>
  <c r="AJ25" i="10"/>
  <c r="AN25" i="10" s="1"/>
  <c r="AK25" i="10"/>
  <c r="AJ40" i="10"/>
  <c r="AN40" i="10" s="1"/>
  <c r="AK40" i="10"/>
  <c r="D62" i="13"/>
  <c r="E62" i="13" s="1"/>
  <c r="D63" i="13" s="1"/>
  <c r="E63" i="13" s="1"/>
  <c r="E64" i="13" s="1"/>
  <c r="F168" i="13"/>
  <c r="F154" i="13"/>
  <c r="E20" i="13" s="1"/>
  <c r="D97" i="13"/>
  <c r="E97" i="13" s="1"/>
  <c r="E100" i="13" s="1"/>
  <c r="D101" i="13" s="1"/>
  <c r="E145" i="13"/>
  <c r="D131" i="13" l="1"/>
  <c r="E131" i="13" s="1"/>
  <c r="E134" i="13" s="1"/>
  <c r="D135" i="13" s="1"/>
  <c r="E135" i="13" s="1"/>
  <c r="E136" i="13" s="1"/>
  <c r="D137" i="13" s="1"/>
  <c r="E137" i="13" s="1"/>
  <c r="F138" i="13" s="1"/>
  <c r="E18" i="13" s="1"/>
  <c r="E22" i="13"/>
  <c r="E51" i="13"/>
  <c r="D52" i="13" s="1"/>
  <c r="AN61" i="10"/>
  <c r="F146" i="13"/>
  <c r="D65" i="13"/>
  <c r="E19" i="13" l="1"/>
  <c r="D109" i="13"/>
  <c r="E109" i="13" s="1"/>
  <c r="D110" i="13"/>
  <c r="E110" i="13" s="1"/>
  <c r="D111" i="13" l="1"/>
  <c r="E111" i="13" s="1"/>
  <c r="D112" i="13" s="1"/>
  <c r="E112" i="13" s="1"/>
  <c r="E113" i="13" s="1"/>
  <c r="D114" i="13" s="1"/>
  <c r="C27" i="8"/>
  <c r="C17" i="8"/>
  <c r="C35" i="8" l="1"/>
  <c r="C39" i="8"/>
  <c r="C40" i="8" l="1"/>
  <c r="C114" i="13" l="1"/>
  <c r="E114" i="13" s="1"/>
  <c r="E115" i="13" s="1"/>
  <c r="D116" i="13" s="1"/>
  <c r="E116" i="13" s="1"/>
  <c r="F117" i="13" s="1"/>
  <c r="E17" i="13" s="1"/>
  <c r="C101" i="13"/>
  <c r="E101" i="13" s="1"/>
  <c r="E102" i="13" s="1"/>
  <c r="D103" i="13" s="1"/>
  <c r="E103" i="13" s="1"/>
  <c r="F104" i="13" s="1"/>
  <c r="C52" i="13"/>
  <c r="E52" i="13" s="1"/>
  <c r="E53" i="13" s="1"/>
  <c r="D54" i="13" s="1"/>
  <c r="E54" i="13" s="1"/>
  <c r="F55" i="13" s="1"/>
  <c r="C65" i="13"/>
  <c r="E65" i="13" s="1"/>
  <c r="E66" i="13" s="1"/>
  <c r="D67" i="13" s="1"/>
  <c r="E67" i="13" s="1"/>
  <c r="F68" i="13" s="1"/>
  <c r="C80" i="13"/>
  <c r="E80" i="13" s="1"/>
  <c r="E81" i="13" s="1"/>
  <c r="D82" i="13" s="1"/>
  <c r="E82" i="13" s="1"/>
  <c r="F83" i="13" s="1"/>
  <c r="E15" i="13" s="1"/>
  <c r="F170" i="13" l="1"/>
  <c r="E14" i="13"/>
  <c r="E16" i="13"/>
  <c r="E13" i="13" s="1"/>
  <c r="E201" i="13" l="1"/>
  <c r="F202" i="13" s="1"/>
  <c r="F204" i="13" l="1"/>
  <c r="F254" i="13" s="1"/>
  <c r="D259" i="13" l="1"/>
  <c r="E259" i="13"/>
  <c r="F260" i="13" s="1"/>
  <c r="E27" i="13" s="1"/>
  <c r="E28" i="13" s="1"/>
  <c r="F262" i="13" l="1"/>
  <c r="F265" i="13"/>
  <c r="F266" i="13" s="1"/>
  <c r="G265" i="13"/>
  <c r="F13" i="13" l="1"/>
  <c r="F23" i="13"/>
  <c r="F18" i="13"/>
  <c r="F26" i="13"/>
  <c r="G28" i="13"/>
  <c r="F19" i="13"/>
  <c r="F25" i="13"/>
  <c r="F16" i="13"/>
  <c r="F21" i="13"/>
  <c r="F22" i="13"/>
  <c r="F15" i="13"/>
  <c r="F17" i="13"/>
  <c r="F14" i="13"/>
  <c r="F20" i="13"/>
  <c r="F24" i="13"/>
  <c r="F27" i="13"/>
  <c r="F28" i="1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1" authorId="0" shapeId="0" xr:uid="{DC21CDAF-8269-4CFB-BEF7-674DBD509B0E}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6" authorId="0" shapeId="0" xr:uid="{4324EB87-64D8-46F9-A25E-84FBDBB07663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47" authorId="0" shapeId="0" xr:uid="{79FFCD80-C886-4AEC-8C6D-C68A0435FE3F}">
      <text>
        <r>
          <rPr>
            <sz val="9"/>
            <color indexed="81"/>
            <rFont val="Tahoma"/>
            <family val="2"/>
          </rPr>
          <t>Informar o número de horas extras trabalhadas nos domingos e feriados em horário diurno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8" authorId="0" shapeId="0" xr:uid="{3B39E7A6-B73C-4342-84C6-2FB049516CCA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49" authorId="0" shapeId="0" xr:uid="{CAF7B1F4-0D29-4E06-9C2B-C6C08EDD560D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2" authorId="0" shapeId="0" xr:uid="{B70F51F9-720C-46F2-A80F-460ACCD1763B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54" authorId="0" shapeId="0" xr:uid="{BF08489A-CA23-45FF-86C0-B23968B49F98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59" authorId="0" shapeId="0" xr:uid="{D41EF995-79C3-4B33-8AAA-45FC612C0562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60" authorId="0" shapeId="0" xr:uid="{A89208D3-0C02-460D-A887-16E9129BD935}">
      <text>
        <r>
          <rPr>
            <sz val="9"/>
            <color indexed="81"/>
            <rFont val="Tahoma"/>
            <family val="2"/>
          </rPr>
          <t>Informar o número de horas extras trabalhadas nos domingos e feriados em horário diurno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1" authorId="0" shapeId="0" xr:uid="{294F9C93-2A1B-412C-9351-2C238A1C61A9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62" authorId="0" shapeId="0" xr:uid="{0F42EE2B-E2C7-4630-B727-CEDA2AE7C66B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5" authorId="0" shapeId="0" xr:uid="{4C63FF4D-CBA6-4B9A-A7AD-6F9AAC886F1C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67" authorId="0" shapeId="0" xr:uid="{473E48FA-D90D-4A53-AE12-77049F0F5D54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72" authorId="0" shapeId="0" xr:uid="{FD8EC78E-F31A-48EB-B311-644F9378365E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73" authorId="0" shapeId="0" xr:uid="{7578FE13-C9DB-4D4A-9518-A068DDE9A97F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74" authorId="0" shapeId="0" xr:uid="{749DDB06-830B-416C-B79C-5FBAD63415C6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75" authorId="0" shapeId="0" xr:uid="{38F7BAD3-CF93-45AC-AE8C-C718D0CDF92C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76" authorId="0" shapeId="0" xr:uid="{816BDA17-9930-44B1-9960-8F0388369A34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7" authorId="0" shapeId="0" xr:uid="{3E5598A0-B3F4-4840-829A-F6627495D668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78" authorId="0" shapeId="0" xr:uid="{B7D79C28-55FA-475F-884D-9C0D9D4D4A3C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80" authorId="0" shapeId="0" xr:uid="{000600F1-0105-441D-89CF-C84414C28CE5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82" authorId="0" shapeId="0" xr:uid="{00CB0444-4A2F-4D29-91F2-E9C31D5F0E41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89" authorId="0" shapeId="0" xr:uid="{FAE43AB1-8D96-4405-9F57-BF0C5498D9DD}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91" authorId="0" shapeId="0" xr:uid="{1ABCBCFD-6EC8-4DC7-ABC0-05E3E4338A5E}">
      <text>
        <r>
          <rPr>
            <sz val="9"/>
            <color indexed="81"/>
            <rFont val="Tahoma"/>
            <family val="2"/>
          </rPr>
          <t>Informar o número de horas extras trabalhadas em horário noturno nos domingos e feriados</t>
        </r>
      </text>
    </comment>
    <comment ref="C92" authorId="0" shapeId="0" xr:uid="{FA842D9D-D328-47BE-84E4-60860813DAEC}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94" authorId="0" shapeId="0" xr:uid="{CB0E2C35-BFF5-4796-8AE9-FCFF92216081}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95" authorId="0" shapeId="0" xr:uid="{5D16F3EF-4ABC-4430-B3BD-F81E73E07BF8}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97" authorId="0" shapeId="0" xr:uid="{2A865973-CD97-4640-8F40-47F8D76FA184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8" authorId="0" shapeId="0" xr:uid="{B89B26C9-E544-4B92-9708-904FC5D7B037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101" authorId="0" shapeId="0" xr:uid="{E8D4744F-C536-4565-BFB7-407046FA91F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103" authorId="0" shapeId="0" xr:uid="{9E776DFA-68D6-4247-BC51-FAEF68480B26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108" authorId="0" shapeId="0" xr:uid="{5F05CAE2-3EC5-490F-8FFC-D73F33AB5786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109" authorId="0" shapeId="0" xr:uid="{4E2EDF42-AB43-456E-9614-C46094FF0CB0}">
      <text>
        <r>
          <rPr>
            <sz val="9"/>
            <color indexed="81"/>
            <rFont val="Tahoma"/>
            <family val="2"/>
          </rPr>
          <t>Informar o número de horas extras trabalhadas nos domingos e feriados em horário diurno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0" authorId="0" shapeId="0" xr:uid="{C2FFCC17-0EB2-48CB-B34F-A6072A42D00F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111" authorId="0" shapeId="0" xr:uid="{902CC27E-44B7-4692-A7D3-061F33C73E7B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4" authorId="0" shapeId="0" xr:uid="{DF53CD2C-C685-4BC1-95EB-499C7EA986F1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116" authorId="0" shapeId="0" xr:uid="{69D5E307-2A81-401F-96F1-E32AA88AC72F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123" authorId="0" shapeId="0" xr:uid="{9F2A41DE-EA90-4F59-81D0-6273D6E03B65}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125" authorId="0" shapeId="0" xr:uid="{7571CA5F-9D56-4B2E-8D6A-8745DB722B21}">
      <text>
        <r>
          <rPr>
            <sz val="9"/>
            <color indexed="81"/>
            <rFont val="Tahoma"/>
            <family val="2"/>
          </rPr>
          <t>Informar o número de horas extras trabalhadas em horário noturno nos domingos e feriados</t>
        </r>
      </text>
    </comment>
    <comment ref="C126" authorId="0" shapeId="0" xr:uid="{017E213E-9A39-42E3-A412-DB2507594C2F}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128" authorId="0" shapeId="0" xr:uid="{91EB5429-690E-450C-915A-B001C8852100}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129" authorId="0" shapeId="0" xr:uid="{C45430AB-B5B3-40B7-B42A-DF240169CD5F}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131" authorId="0" shapeId="0" xr:uid="{CB89782A-7E46-43DA-800A-C8303773B63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2" authorId="0" shapeId="0" xr:uid="{10DAA3E5-050E-407F-B8DD-98DE9C056426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135" authorId="0" shapeId="0" xr:uid="{815FA797-9525-4E9F-B881-7AFF93FF8BBE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137" authorId="0" shapeId="0" xr:uid="{9E01B820-6444-4584-8F89-7AD1A879F583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142" authorId="0" shapeId="0" xr:uid="{39F1839F-7FDE-47A8-BCFC-C47DAEA5D744}">
      <text>
        <r>
          <rPr>
            <sz val="9"/>
            <color indexed="81"/>
            <rFont val="Tahoma"/>
            <family val="2"/>
          </rPr>
          <t>Informar o valor unitário do VT no município</t>
        </r>
      </text>
    </comment>
    <comment ref="C143" authorId="0" shapeId="0" xr:uid="{B9909B69-5385-41E8-9E8D-E20C7FB58B59}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144" authorId="0" shapeId="0" xr:uid="{81BC07AD-CEFF-4348-AB79-C23E0C2AE02A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145" authorId="0" shapeId="0" xr:uid="{9038EB31-934F-4EA8-A515-19C30C273F02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150" authorId="0" shapeId="0" xr:uid="{81BA2538-E055-4E13-9CBB-3467DEB99E69}">
      <text>
        <r>
          <rPr>
            <sz val="9"/>
            <color indexed="81"/>
            <rFont val="Tahoma"/>
            <family val="2"/>
          </rPr>
          <t>Informar o valor unitário do VT no município</t>
        </r>
      </text>
    </comment>
    <comment ref="C151" authorId="0" shapeId="0" xr:uid="{30E81947-101D-43D4-B56B-9971F3149DA8}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152" authorId="0" shapeId="0" xr:uid="{F0D572E3-B4DD-48E1-993B-81DB9D962B86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53" authorId="0" shapeId="0" xr:uid="{5633EDE7-1AA2-4DAD-B5C1-B8A52F64FD8C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58" authorId="0" shapeId="0" xr:uid="{BB551A0B-2366-4845-A2EE-5ACED15DCBBD}">
      <text>
        <r>
          <rPr>
            <sz val="9"/>
            <color indexed="81"/>
            <rFont val="Tahoma"/>
            <family val="2"/>
          </rPr>
          <t>Informar o valor unitário do VT no município</t>
        </r>
      </text>
    </comment>
    <comment ref="C159" authorId="0" shapeId="0" xr:uid="{1E75F482-1D36-4281-AB77-CE0757745C9F}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160" authorId="0" shapeId="0" xr:uid="{CB8FC65F-B94C-4EBA-B00A-6B37BFE1C4F7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165" authorId="0" shapeId="0" xr:uid="{C2279A2A-A18F-45BA-A2FA-F21DBBD69805}">
      <text>
        <r>
          <rPr>
            <sz val="9"/>
            <color indexed="81"/>
            <rFont val="Tahoma"/>
            <family val="2"/>
          </rPr>
          <t>Informar o valor unitário do VT no município</t>
        </r>
      </text>
    </comment>
    <comment ref="D166" authorId="0" shapeId="0" xr:uid="{73DD8693-692E-479F-8D3A-F2EB2928F75D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167" authorId="0" shapeId="0" xr:uid="{2ED026AB-4E5D-4221-9AC0-B443BAB68E6E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C177" authorId="0" shapeId="0" xr:uid="{6EC6111B-E051-45E9-8499-942C49F8CCF5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77" authorId="0" shapeId="0" xr:uid="{D6E1D653-30B4-432E-9565-9F5D2870DAAC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78" authorId="0" shapeId="0" xr:uid="{126DF090-C2E5-4F97-A3DB-DDB7C93D949F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78" authorId="0" shapeId="0" xr:uid="{5FB15186-1E33-4E1D-B575-8F1A6F71529F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79" authorId="0" shapeId="0" xr:uid="{AD5205D4-C61B-43C7-8C9D-BC76259A6E43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79" authorId="0" shapeId="0" xr:uid="{BB2FA9A5-8166-442D-8D42-CFDA5E0C454D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80" authorId="0" shapeId="0" xr:uid="{F148E984-10E1-4B89-931D-937341C68CFF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80" authorId="0" shapeId="0" xr:uid="{8B5110A1-0828-4781-8CED-F82CF8A7DBFA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81" authorId="0" shapeId="0" xr:uid="{4C2FCB91-0834-49F8-98AF-7D1BA15540AF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81" authorId="0" shapeId="0" xr:uid="{31B31314-C99A-4279-A2E3-C2A8B2DCB2B7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88" authorId="0" shapeId="0" xr:uid="{175EF775-CEEC-4DBA-B100-1B4FE9C188DC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88" authorId="0" shapeId="0" xr:uid="{DFB13EF4-6108-417F-AB28-A17CAA423FFE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89" authorId="0" shapeId="0" xr:uid="{A622704B-5E4B-4033-B9B1-0184468B9DC3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89" authorId="0" shapeId="0" xr:uid="{D895E45C-ECCD-4239-B87C-8F424DDC1A65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90" authorId="0" shapeId="0" xr:uid="{F21A306E-9A74-4274-A6B2-4460BD1DF26F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90" authorId="0" shapeId="0" xr:uid="{47E6EEF6-4C43-4380-BD63-AF6E9779E09B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259" authorId="0" shapeId="0" xr:uid="{49779E2B-835D-4BFC-8CB9-3A6886B4A9A2}">
      <text>
        <r>
          <rPr>
            <sz val="9"/>
            <color indexed="81"/>
            <rFont val="Tahoma"/>
            <family val="2"/>
          </rPr>
          <t>Preencher a aba 4.BDI</t>
        </r>
      </text>
    </comment>
  </commentList>
</comments>
</file>

<file path=xl/sharedStrings.xml><?xml version="1.0" encoding="utf-8"?>
<sst xmlns="http://schemas.openxmlformats.org/spreadsheetml/2006/main" count="668" uniqueCount="304">
  <si>
    <t>hora</t>
  </si>
  <si>
    <t>Adicional de Insalubridade</t>
  </si>
  <si>
    <t>%</t>
  </si>
  <si>
    <t>Soma</t>
  </si>
  <si>
    <t>Encargos Sociais</t>
  </si>
  <si>
    <t>Total do Efetivo</t>
  </si>
  <si>
    <t>homem</t>
  </si>
  <si>
    <t>Adicional Noturno</t>
  </si>
  <si>
    <t>mês</t>
  </si>
  <si>
    <t>vale</t>
  </si>
  <si>
    <t>unidade</t>
  </si>
  <si>
    <t>R$</t>
  </si>
  <si>
    <t>Horas Extras (100%)</t>
  </si>
  <si>
    <t>Horas Extras (50%)</t>
  </si>
  <si>
    <t>Benefícios e despesas indiretas</t>
  </si>
  <si>
    <t>Custo (R$/mês)</t>
  </si>
  <si>
    <t>Mão-de-obra</t>
  </si>
  <si>
    <t>Quantidade</t>
  </si>
  <si>
    <t>INSS</t>
  </si>
  <si>
    <t>FGTS</t>
  </si>
  <si>
    <t>2. Uniformes e Equipamentos de Proteção Individual</t>
  </si>
  <si>
    <t>1. Mão-de-obra</t>
  </si>
  <si>
    <t>par</t>
  </si>
  <si>
    <t>Veículos e Equipamentos</t>
  </si>
  <si>
    <t>Total de mão-de-obra (postos de trabalho)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</si>
  <si>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</si>
  <si>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</si>
  <si>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</si>
  <si>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</si>
  <si>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Total por Coletor</t>
  </si>
  <si>
    <t>Administração Central</t>
  </si>
  <si>
    <t>AC</t>
  </si>
  <si>
    <t>SRG</t>
  </si>
  <si>
    <t>Lucro</t>
  </si>
  <si>
    <t>L</t>
  </si>
  <si>
    <t>Despesas Financeiras</t>
  </si>
  <si>
    <t>DF</t>
  </si>
  <si>
    <t>6. Benefícios e Despesas Indiretas - BDI</t>
  </si>
  <si>
    <t>Vale Transporte</t>
  </si>
  <si>
    <t>Dias Trabalhados por mês</t>
  </si>
  <si>
    <t>dia</t>
  </si>
  <si>
    <t>Custo Mensal com Mão-de-obra (R$/mês)</t>
  </si>
  <si>
    <t>Meia de algodão com cano alto</t>
  </si>
  <si>
    <t>Quantitativos</t>
  </si>
  <si>
    <t>horas trabalhadas</t>
  </si>
  <si>
    <t>Horas Extras Noturnas (100%)</t>
  </si>
  <si>
    <t>hora contabilizada</t>
  </si>
  <si>
    <t>1.5. Vale Transporte</t>
  </si>
  <si>
    <t>R$ mensal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</si>
  <si>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</si>
  <si>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</si>
  <si>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</si>
  <si>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</si>
  <si>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</si>
  <si>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</si>
  <si>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</si>
  <si>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</si>
  <si>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</si>
  <si>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</si>
  <si>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</si>
  <si>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</si>
  <si>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</si>
  <si>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</si>
  <si>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A8</t>
  </si>
  <si>
    <t>A</t>
  </si>
  <si>
    <t>SOMA GRUPO A</t>
  </si>
  <si>
    <t>B1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</si>
  <si>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</si>
  <si>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</si>
  <si>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</si>
  <si>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</si>
  <si>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</si>
  <si>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</si>
  <si>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</si>
  <si>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</si>
  <si>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</si>
  <si>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</si>
  <si>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</si>
  <si>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</si>
  <si>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</si>
  <si>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</si>
  <si>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>C4</t>
  </si>
  <si>
    <t>C5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</si>
  <si>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</si>
  <si>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</si>
  <si>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</si>
  <si>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</si>
  <si>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</si>
  <si>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</si>
  <si>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</si>
  <si>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</si>
  <si>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Médio</t>
  </si>
  <si>
    <t>Fator de utilização</t>
  </si>
  <si>
    <t>2.1. Uniformes e EPIs para Coletor</t>
  </si>
  <si>
    <t>Custo Mensal com Uniformes e EPIs (R$/mês)</t>
  </si>
  <si>
    <t>Descrição do Item</t>
  </si>
  <si>
    <t>Orçamento Sintético</t>
  </si>
  <si>
    <t>Piso da categoria</t>
  </si>
  <si>
    <t>Base de cálculo da Insalubridade</t>
  </si>
  <si>
    <t>Horas Extras Noturnas (50%)</t>
  </si>
  <si>
    <t>Excluir esta linha caso a contratação não tenha previsão de horas extras explícita no edital</t>
  </si>
  <si>
    <t>Descanso Semanal Remunerado (DSR) - hora extra</t>
  </si>
  <si>
    <t>C2</t>
  </si>
  <si>
    <t>B3</t>
  </si>
  <si>
    <t>CUSTO TOTAL MENSAL COM DESPESAS OPERACIONAIS (R$/mês)</t>
  </si>
  <si>
    <t>PREÇO MENSAL TOTAL (R$/mês)</t>
  </si>
  <si>
    <t>Custo unitário</t>
  </si>
  <si>
    <t>PREÇO TOTAL MENSAL COM A COLETA</t>
  </si>
  <si>
    <t>CUSTO MENSAL COM BDI (R$/mês)</t>
  </si>
  <si>
    <t>Excluir esta linha caso a contratação não tenha previsão de horas extras 100% explícita no edital</t>
  </si>
  <si>
    <t>Excluir esta linha caso a contratação não tenha previsão de horas extras noturnas 100% explícita no edital</t>
  </si>
  <si>
    <t>Excluir esta linha caso a contratação não tenha previsão de horas extras 50% explícita no edital</t>
  </si>
  <si>
    <t>Excluir esta linha caso a contratação não tenha previsão de horas extras noturnas 50% explícita no edital</t>
  </si>
  <si>
    <t>Total por Motorista</t>
  </si>
  <si>
    <t>Durabilidade (meses)</t>
  </si>
  <si>
    <t>Reincidência de FGTS sobre aviso prévio indenizado</t>
  </si>
  <si>
    <t>Piso da categoria (2)</t>
  </si>
  <si>
    <t>Salário mínimo nacional (1)</t>
  </si>
  <si>
    <t>1.2. Supervisor</t>
  </si>
  <si>
    <t>Aux. De Limpeza</t>
  </si>
  <si>
    <t>Vigia</t>
  </si>
  <si>
    <t>1.6. Auxílio Alimentação (diário)</t>
  </si>
  <si>
    <t>1.7. Auxílio Lanche (diário)</t>
  </si>
  <si>
    <t>Aux. Alimentação</t>
  </si>
  <si>
    <t>Aux. Lanche</t>
  </si>
  <si>
    <t>Plano Benefício Familiar</t>
  </si>
  <si>
    <t>Máscara semifacial filtrante PFF2</t>
  </si>
  <si>
    <t>Luvas nitrílicas</t>
  </si>
  <si>
    <t>MATERIAL</t>
  </si>
  <si>
    <t>UNIDADE</t>
  </si>
  <si>
    <t>5L</t>
  </si>
  <si>
    <t>100 und</t>
  </si>
  <si>
    <t>und</t>
  </si>
  <si>
    <t>Pano para limpeza (pano de chão alvejado) - branco</t>
  </si>
  <si>
    <t>cx</t>
  </si>
  <si>
    <t>Luvas tam. G, 100% látex narural, palma antiderrpante, interior em algodão flocado - pacote c/01 par</t>
  </si>
  <si>
    <t>Luvas tam. M, 100% látex narural, palma antiderrpante, interior em algodão flocado - pacote c/01 par</t>
  </si>
  <si>
    <t>Álcool Etílico Hidratado 70° INPM - 1L</t>
  </si>
  <si>
    <t>1L</t>
  </si>
  <si>
    <t>Cera Líquida, incolor, auto brilho antiderrapante - 750 ml</t>
  </si>
  <si>
    <t>Balde de plástico 15 litros - arco de aço</t>
  </si>
  <si>
    <t>Lixeira para banheiro em PVC c/ tampa e pedal - 25 litros</t>
  </si>
  <si>
    <t>Saco de Lixo Preto 50L - 10 micras</t>
  </si>
  <si>
    <t>Saco de Lixo Preto 30L - 10 micras</t>
  </si>
  <si>
    <t>Escova para sanitário c/ suporte</t>
  </si>
  <si>
    <t>Saco de Lixo Preto 100L - 10 micras</t>
  </si>
  <si>
    <t>Borrifador spray de plástico transparente, 500ml</t>
  </si>
  <si>
    <t>ATA Nº 40/2024 (reajustada)</t>
  </si>
  <si>
    <t>ITEM</t>
  </si>
  <si>
    <t xml:space="preserve">https://pncp.gov.br/app/editais/87849923000109/2025/270 </t>
  </si>
  <si>
    <t xml:space="preserve">https://pncp.gov.br/app/atas/89848949000150/2025/994/12 </t>
  </si>
  <si>
    <t>Cabo de madeira para vassoura com encaixe de rosca</t>
  </si>
  <si>
    <t xml:space="preserve">https://pncp.gov.br/app/editais/87838330000139/2025/640 </t>
  </si>
  <si>
    <t>Balde mop giratório, cap. 16 litros, cabo aço inox com angulação 180° e altura extensível, centrifugação 360° e cesto removível em inox, refil multi uso</t>
  </si>
  <si>
    <t>Dispenser para papel toalha intercalado em plástico</t>
  </si>
  <si>
    <t>Dispenser para papel higiênico em bobina/rolão para até 500m, na cor branca, fixação na parede (com parafusos e buchas), fabricado em plástico reforçado.</t>
  </si>
  <si>
    <t>https://pncp.gov.br/app/editais/89814693000160/2025/377</t>
  </si>
  <si>
    <t>Aromatizante de Ambiente aerosol - 360/400 ml</t>
  </si>
  <si>
    <t>Flanela para limpeza geral, 100% algodão aprox. 20x30cm</t>
  </si>
  <si>
    <t>Papel Higiênico rolão, folha picotada, 100% fibras naturais, alta qualidade - fardo c/8 unidades de 300m - extra branco</t>
  </si>
  <si>
    <t>Dispenser para sabonete líquido de parede com frasco interno para reposição , bico dosador de látex, com capacidade para 800ml, com kit de fixação (parafusos e buchas)</t>
  </si>
  <si>
    <t>Desinfetante bactericida a base de Pinho e Eucalipto - 1 litro</t>
  </si>
  <si>
    <t>Esponja dupla face, para limpeza geral, medindo aprox. 110x72x23 cm</t>
  </si>
  <si>
    <t>Detergente desincrustante - 5 litros</t>
  </si>
  <si>
    <t>Vassoura para limpeza de teto</t>
  </si>
  <si>
    <t>Escova multiuso de limpeza</t>
  </si>
  <si>
    <t>Flotador para limpeza - 5 litros</t>
  </si>
  <si>
    <t>Limpa vidro c/ álcool - 500ml</t>
  </si>
  <si>
    <t>fardo</t>
  </si>
  <si>
    <t>BANCO DE PREÇOS - VER RELATÓRIO</t>
  </si>
  <si>
    <t>Placa sinalizadora de piso molhado</t>
  </si>
  <si>
    <t>Água Sanitária</t>
  </si>
  <si>
    <t>conj.</t>
  </si>
  <si>
    <t>Conjunto Jaleco manga curta com dois bolsos, gola V, fechamento com botões, com Bordado Do Lado Esquerdo Com Logo da Contratada e Calça longa em tecido oxford, na cor azul.</t>
  </si>
  <si>
    <t>Máscara de proteção descartável PFF2 - N95</t>
  </si>
  <si>
    <t>MÉDIA (R$)</t>
  </si>
  <si>
    <t>Lixeira para banheiro em PVC c/ tampa e pedal - 15 litros</t>
  </si>
  <si>
    <t xml:space="preserve">https://www.portaldecompraspublicas.com.br/processos/rs/prefeitura-municipal-de-santiago-277/pe-137-2025-2025-426697 </t>
  </si>
  <si>
    <t xml:space="preserve">https://www.portaldecompraspublicas.com.br/processos/rs/consorcio-intermunicipal-de-saude-do-noroeste-do-estado-do-rio-grande-do-sul-cisa-184/rpe-9-2025-2025-436580 </t>
  </si>
  <si>
    <t xml:space="preserve">https://www.portaldecompraspublicas.com.br/processos/rs/prefeitura-municipal-de-erechim-39/pe-200-2025-2025-434492 </t>
  </si>
  <si>
    <t>Saponáceo cremoso s/ cloro 300 ml</t>
  </si>
  <si>
    <t>Fibra de limpeza, serviço pesado, abrasiva</t>
  </si>
  <si>
    <t xml:space="preserve">https://www.portaldecompraspublicas.com.br/processos/rs/consorcio-intermunicipal-do-medio-alto-uruguai-cimau-842/rpe-06-2025-2025-436109 </t>
  </si>
  <si>
    <t>Papel Toalha Branco interfolhado, 100% celulose - cx c/ 1000fls</t>
  </si>
  <si>
    <t>https://www.portaldecompraspublicas.com.br/processos/rs/prefeitura-municipal-de-sao-leopoldo-4967/de-55-2025-2025-435544</t>
  </si>
  <si>
    <t>https://www.portaldecompraspublicas.com.br/processos/rs/prefeitura-municipal-de-sao-jose-do-sul-1262/rpe-pe26-2025-2025-432408</t>
  </si>
  <si>
    <t>Pano microfibra aprox. 39 x 39cm</t>
  </si>
  <si>
    <t>Escovão de limpeza, mínimo 38 cm com cabo de no mínimo 1,8cm</t>
  </si>
  <si>
    <t>Pá de plástico c/cabo longo em madeira, mím. de 90cm</t>
  </si>
  <si>
    <t>Vassoura cerda de nylon plumadas e firmes c/ cabo de madeira mín. 1,20cm</t>
  </si>
  <si>
    <t>Sanonete Líquido (viscoso), PH neutro, perfumado, sua formula deve
conter uma combinação
balanceada de matérias
primas naturais e agentes
umectantes, proporcionando
uma limpeza eficiente e
deixando as mãos sem
ressecamentos e hidratada.</t>
  </si>
  <si>
    <t>https://www.portaldecompraspublicas.com.br/processos/rs/camara-municipal-de-farroupilha-4240/de-16-2025-2025-433073</t>
  </si>
  <si>
    <t>https://www.portaldecompraspublicas.com.br/processos/rs/prefeitura-municipal-de-itaqui-525/rpe-071-2025-2025-429905</t>
  </si>
  <si>
    <t>Rodo lâmina de borracha dupla 40cm c/ cabo de madeira , mín. 1,20cm, para piso</t>
  </si>
  <si>
    <t>https://www.portaldecompraspublicas.com.br/processos/rs/prefeitura-municipal-de-vacaria-2941/rpe-300022-2025-2025-430577</t>
  </si>
  <si>
    <t>Rodo espuma de alta densidade para passar cera, com rodo de no míniimo 1,20cm e base de madeira.</t>
  </si>
  <si>
    <t>Refil Mop giratório16cm</t>
  </si>
  <si>
    <t>https://www.portaldecompraspublicas.com.br/processos/rs/prefeitura-municipal-de-tres-passos-1247/rpe-149-2025-2025-428954</t>
  </si>
  <si>
    <t>https://www.portaldecompraspublicas.com.br/processos/rs/prefeitura-municipal-de-porto-alegre-206/pe-211-2025-2025-407784</t>
  </si>
  <si>
    <t>Crachá  de identificação</t>
  </si>
  <si>
    <t>Botina hidrofugada preta</t>
  </si>
  <si>
    <t>Meia 100% algodão</t>
  </si>
  <si>
    <t>EMPREENDIMENTO:</t>
  </si>
  <si>
    <t>Nome:  LIMPEZA DOS BANHEIROS PÚBLICOS</t>
  </si>
  <si>
    <t>Proponente: Prefeitura Municipal de Gravataí</t>
  </si>
  <si>
    <t>Estimativa de percentual da base de cáculo para o de ISSQN:</t>
  </si>
  <si>
    <t>Alíquota Municipal de ISSQN:</t>
  </si>
  <si>
    <t>Situação</t>
  </si>
  <si>
    <t>1º Quartil</t>
  </si>
  <si>
    <t>3º Quartil</t>
  </si>
  <si>
    <t>Itens</t>
  </si>
  <si>
    <t>Siglas</t>
  </si>
  <si>
    <t>% Adotado</t>
  </si>
  <si>
    <t>SG</t>
  </si>
  <si>
    <t>Seguro Risco e Garantia</t>
  </si>
  <si>
    <t>R</t>
  </si>
  <si>
    <t>CP</t>
  </si>
  <si>
    <t>Tributos (impostos COFINS 3%, e  PIS 0,65%)</t>
  </si>
  <si>
    <t>ISS</t>
  </si>
  <si>
    <t>"B" incide Sobre "A": ISSQN (BDI)</t>
  </si>
  <si>
    <r>
      <t>ISSQN</t>
    </r>
    <r>
      <rPr>
        <vertAlign val="subscript"/>
        <sz val="10"/>
        <rFont val="Arial"/>
        <family val="2"/>
      </rPr>
      <t>BDI</t>
    </r>
  </si>
  <si>
    <t>CPRB</t>
  </si>
  <si>
    <t>BDI COM desoneração</t>
  </si>
  <si>
    <t>BDI</t>
  </si>
  <si>
    <t>O BDI foi calculado com o emprego da seguinte fórmula:</t>
  </si>
  <si>
    <t>BDI=</t>
  </si>
  <si>
    <t>(1 + AC + SRG)*(1 + DF)*(1+L)</t>
  </si>
  <si>
    <r>
      <t>(1 - CP - ISSQN</t>
    </r>
    <r>
      <rPr>
        <i/>
        <vertAlign val="subscript"/>
        <sz val="10"/>
        <rFont val="Arial"/>
        <family val="2"/>
      </rPr>
      <t>BDI</t>
    </r>
    <r>
      <rPr>
        <i/>
        <sz val="10"/>
        <rFont val="Arial"/>
        <family val="2"/>
      </rPr>
      <t>)</t>
    </r>
  </si>
  <si>
    <t>Engº Civil: Diego Pinheiro Figueiredo</t>
  </si>
  <si>
    <t>Data</t>
  </si>
  <si>
    <t>CREA:RS181427</t>
  </si>
  <si>
    <t>VALOR (R$)</t>
  </si>
  <si>
    <t xml:space="preserve">https://www.portaldecompraspublicas.com.br/processos/rs/prefeitura-municipal-de-toropi-1107/rpe-24-2025-2025-436682 </t>
  </si>
  <si>
    <t>Salário Maternidade</t>
  </si>
  <si>
    <t>B7</t>
  </si>
  <si>
    <t>B8</t>
  </si>
  <si>
    <t>Férias e adicionais de férias</t>
  </si>
  <si>
    <t>C6</t>
  </si>
  <si>
    <t xml:space="preserve">Incidência do FGTS sobre Aviso Prévio indenizado </t>
  </si>
  <si>
    <t xml:space="preserve">Incidência da Multa s/ FGTS incidente no API </t>
  </si>
  <si>
    <t xml:space="preserve">Aviso prévio trabalhado  </t>
  </si>
  <si>
    <t xml:space="preserve">Multa sobre FGTS e contribuições sociais incidentes </t>
  </si>
  <si>
    <t xml:space="preserve">Incidência dos encargos do grupo A sobre item C4  </t>
  </si>
  <si>
    <t>A9</t>
  </si>
  <si>
    <t>GILL/RAT (RAT 0,03 x FAP 1)</t>
  </si>
  <si>
    <t>PEQUISA INTERNET</t>
  </si>
  <si>
    <t>Líquido para polimento de metais 200ML</t>
  </si>
  <si>
    <t>Lixeira para banheiro em PVC c/ tampa e pedal - 35/36 litros</t>
  </si>
  <si>
    <t>Lixeira para banheiro em PVC c/ tampa e pedal - 65 litros</t>
  </si>
  <si>
    <t xml:space="preserve">https://www.portaldecompraspublicas.com.br/processos/rs/autarquia-municipal-de-turismo-gramadotur-1081/pe-38-2025-2025-434387 </t>
  </si>
  <si>
    <t xml:space="preserve">https://www.portaldecompraspublicas.com.br/processos/rs/prefeitura-municipal-de-sao-borja-1482/pe-32-2023-2023-243133 </t>
  </si>
  <si>
    <t>https://www.portaldecompraspublicas.com.br/processos/rs/prefeitura-municipal-de-nova-prata-50/pe-51-2025-2025-423831</t>
  </si>
  <si>
    <t>https://www.portaldecompraspublicas.com.br/processos/rs/prefeitura-municipal-de-sao-borja-1482/rpe-18-2025-2025-416554</t>
  </si>
  <si>
    <t>https://www.portaldecompraspublicas.com.br/processos/rs/prefeitura-municipal-de-passo-fundo-31/pe-055-2025-2025-407721</t>
  </si>
  <si>
    <t>Banco de Preços</t>
  </si>
  <si>
    <t xml:space="preserve">https://pncp.gov.br/app/atas/07926117000140/2025/31/1 </t>
  </si>
  <si>
    <t xml:space="preserve">https://pncp.gov.br/app/atas/04712762000171/2025/30/1 </t>
  </si>
  <si>
    <t xml:space="preserve">https://pncp.gov.br/app/atas/87890992000158/2025/781/1 </t>
  </si>
  <si>
    <t xml:space="preserve">https://pncp.gov.br/app/atas/90936956000192/2025/51/1 </t>
  </si>
  <si>
    <t xml:space="preserve">https://pncp.gov.br/app/atas/88824099000197/2025/60/2 </t>
  </si>
  <si>
    <t xml:space="preserve">LOCAÇÃO VEÍCULO HATCH </t>
  </si>
  <si>
    <t>file:///C:/Users/luciane.freitas/Downloads/269_ATA+050.2025+-+PRE+095.2025+-+Aquisicao+de+EPIs.pdf</t>
  </si>
  <si>
    <t xml:space="preserve">https://www.gov.br/anp/pt-br/assuntos/precos-e-defesa-da-concorrencia/precos/levantamento-de-precos-de-combustiveis-ultimas-semanas-pesquisadas </t>
  </si>
  <si>
    <t>VALOR MÉDIO VEÍCULO S/ COMBUSTÍVEL (R$)</t>
  </si>
  <si>
    <t>Conjunto Jaleco e Calça em tecido</t>
  </si>
  <si>
    <t>conj</t>
  </si>
  <si>
    <t>Escada de alumínio, 6 degraus, capacidade mínima 120kg c/ certificação do INMETRO</t>
  </si>
  <si>
    <t>Calçado de segurança hidrofugado e antiderrapante c/ palmilha macia</t>
  </si>
  <si>
    <t>3 pares</t>
  </si>
  <si>
    <t>5. Equipamentos de Consumo Anual</t>
  </si>
  <si>
    <t>ESTIMATIVA QUANT ANO</t>
  </si>
  <si>
    <t>MÊS</t>
  </si>
  <si>
    <t>Palha de aço</t>
  </si>
  <si>
    <t>Detergente multiuso líquido Ypê, Veja ou similar - 2 litros</t>
  </si>
  <si>
    <t>VALOR MÊS</t>
  </si>
  <si>
    <t>Kit Rodo limpa vidro com spray e reservatório</t>
  </si>
  <si>
    <t>TOTAL</t>
  </si>
  <si>
    <t>Custo Mensal com Veículos (R$/mês)</t>
  </si>
  <si>
    <t xml:space="preserve">3. Veículos </t>
  </si>
  <si>
    <t>4. Materiais de Consumo Mensal</t>
  </si>
  <si>
    <t>Custo Mensal com Materiais de Consumo e Equipamentos (R$/mês)</t>
  </si>
  <si>
    <t>3.1. Aluguel veículo popular s/ combustível</t>
  </si>
  <si>
    <t>Subtituto na cobertura ausências legais</t>
  </si>
  <si>
    <t>1.8. Plano Benefício Familiar (mensal)</t>
  </si>
  <si>
    <t>PREÇO ANUAL TOTAL (R$/mês)</t>
  </si>
  <si>
    <t>RISCO MÉDIO</t>
  </si>
  <si>
    <t>1.1. Auxiliar de Limpeza</t>
  </si>
  <si>
    <t xml:space="preserve">1.1. Auxiliar de Limpeza </t>
  </si>
  <si>
    <t>1.5. Folguista Vigia Turno Noite</t>
  </si>
  <si>
    <t>ANEXO 1 - BDI</t>
  </si>
  <si>
    <t xml:space="preserve">Composição dos Encargos Sociais </t>
  </si>
  <si>
    <t>ANEXO 2 - ENCARGOS SOCIAIS</t>
  </si>
  <si>
    <t xml:space="preserve">1.3. Vigia Turno Noite </t>
  </si>
  <si>
    <t xml:space="preserve">1.4. Folguista Auxiliar de Limpeza </t>
  </si>
  <si>
    <t>2.2. Uniformes para Vigia</t>
  </si>
  <si>
    <t xml:space="preserve">VALOR TOTAL VEÍCULO C/ COMBUSTÍVEL </t>
  </si>
  <si>
    <t>3.2. Combustível (consumo de 13Km/litro)</t>
  </si>
  <si>
    <t>ANEXO 3 - PLANILHA DE CUSTOS ESTIMADOS</t>
  </si>
  <si>
    <t>Limpeza e asseio dos banheiros públicos de Praças</t>
  </si>
  <si>
    <t xml:space="preserve">Cálculo do BDI </t>
  </si>
  <si>
    <t>ESTIMATIVA km RODADO MÊS</t>
  </si>
  <si>
    <t>R$/L (ANP 06/12/2025)</t>
  </si>
  <si>
    <t>TOTAL GASOLINA (ANP 06/12/2025) (R$)</t>
  </si>
  <si>
    <t>ANEXO 4 - PESQUISA DE PREÇOS MATERIAIS/EQUIPAMENTOS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</si>
</sst>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&quot;R$ &quot;#,##0.00"/>
    <numFmt numFmtId="168" formatCode="dd&quot; de &quot;mmmm&quot; de &quot;yyyy"/>
    <numFmt numFmtId="169" formatCode="_(* #,##0.000_);_(* \(#,##0.000\);_(* &quot;-&quot;??_);_(@_)"/>
  </numFmts>
  <fonts count="41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10"/>
      <color indexed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u/>
      <sz val="9"/>
      <color indexed="12"/>
      <name val="Arial"/>
      <family val="2"/>
    </font>
    <font>
      <sz val="8"/>
      <name val="Calibri"/>
      <family val="2"/>
    </font>
    <font>
      <b/>
      <sz val="11"/>
      <color indexed="10"/>
      <name val="MS Sans Serif"/>
      <family val="2"/>
    </font>
    <font>
      <sz val="11"/>
      <color indexed="10"/>
      <name val="Arial"/>
      <family val="2"/>
    </font>
    <font>
      <sz val="8"/>
      <color indexed="10"/>
      <name val="MS Sans Serif"/>
      <family val="2"/>
    </font>
    <font>
      <b/>
      <sz val="11"/>
      <name val="MS Sans Serif"/>
      <family val="2"/>
    </font>
    <font>
      <sz val="11"/>
      <color indexed="10"/>
      <name val="MS Sans Serif"/>
      <family val="2"/>
    </font>
    <font>
      <b/>
      <sz val="14"/>
      <name val="Calibri"/>
      <family val="2"/>
    </font>
    <font>
      <sz val="8"/>
      <color indexed="50"/>
      <name val="Calibri"/>
      <family val="2"/>
    </font>
    <font>
      <b/>
      <sz val="11"/>
      <name val="Calibri"/>
      <family val="2"/>
    </font>
    <font>
      <sz val="8"/>
      <color rgb="FFFF0000"/>
      <name val="Calibri"/>
      <family val="2"/>
    </font>
    <font>
      <vertAlign val="subscript"/>
      <sz val="10"/>
      <name val="Arial"/>
      <family val="2"/>
    </font>
    <font>
      <b/>
      <sz val="8"/>
      <name val="Calibri"/>
      <family val="2"/>
    </font>
    <font>
      <sz val="11"/>
      <name val="Calibri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i/>
      <sz val="10"/>
      <name val="Arial"/>
      <family val="2"/>
    </font>
    <font>
      <i/>
      <vertAlign val="subscript"/>
      <sz val="10"/>
      <name val="Arial"/>
      <family val="2"/>
    </font>
    <font>
      <sz val="9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22"/>
        <bgColor indexed="4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</cellStyleXfs>
  <cellXfs count="382">
    <xf numFmtId="0" fontId="0" fillId="0" borderId="0" xfId="0"/>
    <xf numFmtId="0" fontId="6" fillId="0" borderId="0" xfId="0" applyFont="1"/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3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5" fontId="6" fillId="0" borderId="0" xfId="3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165" fontId="6" fillId="0" borderId="2" xfId="3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5" fontId="6" fillId="0" borderId="1" xfId="3" applyFont="1" applyBorder="1" applyAlignment="1">
      <alignment horizontal="center" vertical="center"/>
    </xf>
    <xf numFmtId="165" fontId="3" fillId="2" borderId="4" xfId="3" applyFont="1" applyFill="1" applyBorder="1" applyAlignment="1">
      <alignment horizontal="center" vertical="center"/>
    </xf>
    <xf numFmtId="165" fontId="3" fillId="2" borderId="4" xfId="3" applyFont="1" applyFill="1" applyBorder="1" applyAlignment="1">
      <alignment vertical="center"/>
    </xf>
    <xf numFmtId="165" fontId="3" fillId="0" borderId="0" xfId="3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65" fontId="3" fillId="0" borderId="6" xfId="3" applyFont="1" applyBorder="1" applyAlignment="1">
      <alignment vertical="center"/>
    </xf>
    <xf numFmtId="165" fontId="3" fillId="0" borderId="7" xfId="3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5" fontId="6" fillId="0" borderId="6" xfId="3" applyFont="1" applyBorder="1" applyAlignment="1">
      <alignment vertical="center"/>
    </xf>
    <xf numFmtId="165" fontId="6" fillId="0" borderId="7" xfId="3" applyFont="1" applyBorder="1" applyAlignment="1">
      <alignment vertical="center"/>
    </xf>
    <xf numFmtId="165" fontId="3" fillId="0" borderId="0" xfId="3" applyFont="1" applyFill="1" applyBorder="1" applyAlignment="1">
      <alignment horizontal="center" vertical="center"/>
    </xf>
    <xf numFmtId="165" fontId="3" fillId="0" borderId="0" xfId="3" applyFont="1" applyBorder="1" applyAlignment="1">
      <alignment vertical="center"/>
    </xf>
    <xf numFmtId="165" fontId="5" fillId="0" borderId="0" xfId="3" applyFont="1" applyAlignment="1">
      <alignment vertical="center"/>
    </xf>
    <xf numFmtId="165" fontId="0" fillId="0" borderId="11" xfId="3" applyFont="1" applyBorder="1" applyAlignment="1">
      <alignment vertical="center"/>
    </xf>
    <xf numFmtId="165" fontId="3" fillId="0" borderId="12" xfId="3" applyFont="1" applyBorder="1" applyAlignment="1">
      <alignment horizontal="center" vertical="center"/>
    </xf>
    <xf numFmtId="165" fontId="3" fillId="0" borderId="5" xfId="3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Continuous" vertical="center"/>
    </xf>
    <xf numFmtId="165" fontId="3" fillId="0" borderId="0" xfId="3" applyFont="1" applyAlignment="1">
      <alignment vertical="center"/>
    </xf>
    <xf numFmtId="165" fontId="0" fillId="0" borderId="9" xfId="0" applyNumberFormat="1" applyBorder="1" applyAlignment="1">
      <alignment vertical="center"/>
    </xf>
    <xf numFmtId="165" fontId="0" fillId="0" borderId="9" xfId="3" applyFont="1" applyBorder="1" applyAlignment="1">
      <alignment vertical="center"/>
    </xf>
    <xf numFmtId="165" fontId="3" fillId="0" borderId="13" xfId="3" applyFont="1" applyBorder="1" applyAlignment="1">
      <alignment horizontal="right" vertical="center"/>
    </xf>
    <xf numFmtId="165" fontId="0" fillId="0" borderId="14" xfId="3" applyFont="1" applyBorder="1" applyAlignment="1">
      <alignment vertical="center"/>
    </xf>
    <xf numFmtId="165" fontId="6" fillId="0" borderId="1" xfId="3" applyFont="1" applyBorder="1" applyAlignment="1">
      <alignment vertical="center"/>
    </xf>
    <xf numFmtId="165" fontId="6" fillId="0" borderId="0" xfId="3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0" fontId="0" fillId="0" borderId="15" xfId="2" applyNumberFormat="1" applyFont="1" applyBorder="1" applyAlignment="1">
      <alignment vertical="center"/>
    </xf>
    <xf numFmtId="165" fontId="6" fillId="0" borderId="0" xfId="3" applyFont="1" applyBorder="1" applyAlignment="1">
      <alignment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165" fontId="10" fillId="2" borderId="17" xfId="3" applyFont="1" applyFill="1" applyBorder="1" applyAlignment="1">
      <alignment horizontal="center" vertical="center"/>
    </xf>
    <xf numFmtId="165" fontId="10" fillId="2" borderId="18" xfId="3" applyFont="1" applyFill="1" applyBorder="1" applyAlignment="1">
      <alignment horizontal="center" vertical="center"/>
    </xf>
    <xf numFmtId="165" fontId="3" fillId="0" borderId="19" xfId="3" applyFont="1" applyBorder="1" applyAlignment="1">
      <alignment horizontal="center" vertical="center"/>
    </xf>
    <xf numFmtId="165" fontId="6" fillId="0" borderId="9" xfId="3" applyFont="1" applyBorder="1" applyAlignment="1">
      <alignment vertical="center"/>
    </xf>
    <xf numFmtId="165" fontId="6" fillId="0" borderId="14" xfId="3" applyFont="1" applyBorder="1" applyAlignment="1">
      <alignment vertical="center"/>
    </xf>
    <xf numFmtId="166" fontId="6" fillId="0" borderId="0" xfId="3" applyNumberFormat="1" applyFont="1" applyBorder="1" applyAlignment="1">
      <alignment horizontal="center" vertical="center"/>
    </xf>
    <xf numFmtId="1" fontId="6" fillId="0" borderId="20" xfId="3" applyNumberFormat="1" applyFont="1" applyBorder="1" applyAlignment="1">
      <alignment horizontal="center" vertical="center"/>
    </xf>
    <xf numFmtId="165" fontId="3" fillId="0" borderId="26" xfId="3" applyFont="1" applyBorder="1" applyAlignment="1">
      <alignment vertical="center"/>
    </xf>
    <xf numFmtId="4" fontId="3" fillId="0" borderId="27" xfId="0" applyNumberFormat="1" applyFont="1" applyBorder="1" applyAlignment="1">
      <alignment vertical="center"/>
    </xf>
    <xf numFmtId="165" fontId="6" fillId="0" borderId="19" xfId="3" applyFont="1" applyBorder="1" applyAlignment="1">
      <alignment vertical="center"/>
    </xf>
    <xf numFmtId="165" fontId="6" fillId="0" borderId="11" xfId="3" applyFont="1" applyBorder="1" applyAlignment="1">
      <alignment vertical="center"/>
    </xf>
    <xf numFmtId="0" fontId="0" fillId="0" borderId="11" xfId="0" applyBorder="1" applyAlignment="1">
      <alignment vertical="center"/>
    </xf>
    <xf numFmtId="1" fontId="6" fillId="0" borderId="12" xfId="3" applyNumberFormat="1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27" xfId="0" applyBorder="1" applyAlignment="1">
      <alignment vertical="center"/>
    </xf>
    <xf numFmtId="1" fontId="3" fillId="0" borderId="28" xfId="3" applyNumberFormat="1" applyFont="1" applyBorder="1" applyAlignment="1">
      <alignment horizontal="center" vertical="center"/>
    </xf>
    <xf numFmtId="165" fontId="6" fillId="0" borderId="1" xfId="3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5" fontId="6" fillId="3" borderId="2" xfId="3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/>
    </xf>
    <xf numFmtId="165" fontId="6" fillId="3" borderId="1" xfId="3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165" fontId="6" fillId="3" borderId="0" xfId="3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166" fontId="6" fillId="0" borderId="1" xfId="3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65" fontId="3" fillId="0" borderId="1" xfId="3" applyFont="1" applyBorder="1" applyAlignment="1">
      <alignment horizontal="center" vertical="center"/>
    </xf>
    <xf numFmtId="164" fontId="3" fillId="0" borderId="31" xfId="0" applyNumberFormat="1" applyFont="1" applyBorder="1" applyAlignment="1">
      <alignment vertical="center"/>
    </xf>
    <xf numFmtId="165" fontId="3" fillId="0" borderId="32" xfId="3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5" fontId="3" fillId="0" borderId="0" xfId="3" applyFont="1" applyAlignment="1">
      <alignment horizontal="center" vertical="center"/>
    </xf>
    <xf numFmtId="165" fontId="3" fillId="0" borderId="3" xfId="3" applyFont="1" applyBorder="1" applyAlignment="1">
      <alignment horizontal="center" vertical="center"/>
    </xf>
    <xf numFmtId="165" fontId="6" fillId="0" borderId="0" xfId="3" applyFont="1" applyAlignment="1">
      <alignment horizontal="right" vertical="center"/>
    </xf>
    <xf numFmtId="165" fontId="3" fillId="0" borderId="14" xfId="3" applyFont="1" applyBorder="1" applyAlignment="1">
      <alignment vertical="center"/>
    </xf>
    <xf numFmtId="165" fontId="3" fillId="0" borderId="9" xfId="0" applyNumberFormat="1" applyFont="1" applyBorder="1" applyAlignment="1">
      <alignment vertical="center"/>
    </xf>
    <xf numFmtId="165" fontId="3" fillId="0" borderId="9" xfId="3" applyFont="1" applyBorder="1" applyAlignment="1">
      <alignment vertical="center"/>
    </xf>
    <xf numFmtId="10" fontId="3" fillId="0" borderId="15" xfId="2" applyNumberFormat="1" applyFont="1" applyBorder="1" applyAlignment="1">
      <alignment vertical="center"/>
    </xf>
    <xf numFmtId="165" fontId="3" fillId="0" borderId="35" xfId="3" applyFont="1" applyBorder="1" applyAlignment="1">
      <alignment vertical="center"/>
    </xf>
    <xf numFmtId="4" fontId="3" fillId="0" borderId="0" xfId="0" applyNumberFormat="1" applyFont="1" applyAlignment="1">
      <alignment vertical="center"/>
    </xf>
    <xf numFmtId="165" fontId="6" fillId="0" borderId="36" xfId="3" applyFont="1" applyBorder="1" applyAlignment="1">
      <alignment vertical="center"/>
    </xf>
    <xf numFmtId="165" fontId="6" fillId="0" borderId="37" xfId="3" applyFont="1" applyBorder="1" applyAlignment="1">
      <alignment vertical="center"/>
    </xf>
    <xf numFmtId="165" fontId="6" fillId="0" borderId="38" xfId="3" applyFont="1" applyBorder="1" applyAlignment="1">
      <alignment vertical="center"/>
    </xf>
    <xf numFmtId="0" fontId="6" fillId="0" borderId="38" xfId="0" applyFont="1" applyBorder="1" applyAlignment="1">
      <alignment vertical="center"/>
    </xf>
    <xf numFmtId="1" fontId="6" fillId="0" borderId="34" xfId="3" applyNumberFormat="1" applyFont="1" applyBorder="1" applyAlignment="1">
      <alignment horizontal="center" vertical="center"/>
    </xf>
    <xf numFmtId="165" fontId="3" fillId="0" borderId="14" xfId="3" applyFont="1" applyBorder="1" applyAlignment="1">
      <alignment horizontal="left" vertical="center"/>
    </xf>
    <xf numFmtId="4" fontId="3" fillId="0" borderId="9" xfId="0" applyNumberFormat="1" applyFont="1" applyBorder="1" applyAlignment="1">
      <alignment horizontal="centerContinuous" vertical="center"/>
    </xf>
    <xf numFmtId="4" fontId="6" fillId="0" borderId="0" xfId="0" applyNumberFormat="1" applyFont="1" applyAlignment="1">
      <alignment vertical="center"/>
    </xf>
    <xf numFmtId="165" fontId="6" fillId="6" borderId="1" xfId="3" applyFont="1" applyFill="1" applyBorder="1" applyAlignment="1">
      <alignment horizontal="center" vertical="center"/>
    </xf>
    <xf numFmtId="9" fontId="3" fillId="0" borderId="18" xfId="2" applyFont="1" applyBorder="1" applyAlignment="1">
      <alignment vertical="center"/>
    </xf>
    <xf numFmtId="0" fontId="13" fillId="0" borderId="0" xfId="0" applyFont="1" applyAlignment="1">
      <alignment vertical="center"/>
    </xf>
    <xf numFmtId="0" fontId="0" fillId="0" borderId="35" xfId="0" applyBorder="1" applyAlignment="1">
      <alignment vertical="center"/>
    </xf>
    <xf numFmtId="165" fontId="0" fillId="0" borderId="0" xfId="3" applyFont="1" applyFill="1" applyBorder="1" applyAlignment="1">
      <alignment vertical="center"/>
    </xf>
    <xf numFmtId="165" fontId="0" fillId="0" borderId="36" xfId="3" applyFont="1" applyFill="1" applyBorder="1" applyAlignment="1">
      <alignment vertical="center"/>
    </xf>
    <xf numFmtId="0" fontId="14" fillId="0" borderId="23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4" fillId="0" borderId="20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10" fontId="14" fillId="0" borderId="20" xfId="0" applyNumberFormat="1" applyFont="1" applyBorder="1" applyAlignment="1">
      <alignment horizontal="right" vertical="center"/>
    </xf>
    <xf numFmtId="0" fontId="15" fillId="0" borderId="1" xfId="0" applyFont="1" applyBorder="1" applyAlignment="1">
      <alignment horizontal="left" vertical="center"/>
    </xf>
    <xf numFmtId="10" fontId="15" fillId="0" borderId="20" xfId="0" applyNumberFormat="1" applyFont="1" applyBorder="1" applyAlignment="1">
      <alignment horizontal="right" vertical="center"/>
    </xf>
    <xf numFmtId="0" fontId="14" fillId="5" borderId="23" xfId="0" applyFont="1" applyFill="1" applyBorder="1" applyAlignment="1">
      <alignment horizontal="left" vertical="center"/>
    </xf>
    <xf numFmtId="0" fontId="15" fillId="5" borderId="1" xfId="0" applyFont="1" applyFill="1" applyBorder="1" applyAlignment="1">
      <alignment horizontal="left" vertical="center"/>
    </xf>
    <xf numFmtId="10" fontId="15" fillId="5" borderId="20" xfId="0" applyNumberFormat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10" fontId="6" fillId="0" borderId="0" xfId="0" applyNumberFormat="1" applyFont="1"/>
    <xf numFmtId="9" fontId="14" fillId="0" borderId="0" xfId="2" applyFont="1" applyBorder="1" applyAlignment="1">
      <alignment horizontal="right" vertical="center"/>
    </xf>
    <xf numFmtId="0" fontId="14" fillId="0" borderId="1" xfId="0" applyFont="1" applyBorder="1" applyAlignment="1">
      <alignment horizontal="left" vertical="center" wrapText="1"/>
    </xf>
    <xf numFmtId="0" fontId="14" fillId="8" borderId="24" xfId="0" applyFont="1" applyFill="1" applyBorder="1" applyAlignment="1">
      <alignment horizontal="left" vertical="center"/>
    </xf>
    <xf numFmtId="0" fontId="15" fillId="8" borderId="33" xfId="0" applyFont="1" applyFill="1" applyBorder="1" applyAlignment="1">
      <alignment horizontal="left" vertical="center"/>
    </xf>
    <xf numFmtId="10" fontId="15" fillId="8" borderId="34" xfId="0" applyNumberFormat="1" applyFont="1" applyFill="1" applyBorder="1" applyAlignment="1">
      <alignment horizontal="right" vertical="center"/>
    </xf>
    <xf numFmtId="0" fontId="15" fillId="0" borderId="0" xfId="0" applyFont="1" applyAlignment="1">
      <alignment horizontal="left" vertical="center"/>
    </xf>
    <xf numFmtId="10" fontId="15" fillId="0" borderId="0" xfId="0" applyNumberFormat="1" applyFont="1" applyAlignment="1">
      <alignment horizontal="right" vertical="center"/>
    </xf>
    <xf numFmtId="0" fontId="17" fillId="4" borderId="0" xfId="0" applyFont="1" applyFill="1" applyAlignment="1">
      <alignment horizontal="left" vertical="center"/>
    </xf>
    <xf numFmtId="10" fontId="14" fillId="0" borderId="0" xfId="0" applyNumberFormat="1" applyFont="1" applyAlignment="1">
      <alignment horizontal="right" vertical="center"/>
    </xf>
    <xf numFmtId="0" fontId="14" fillId="4" borderId="0" xfId="0" applyFont="1" applyFill="1" applyAlignment="1">
      <alignment horizontal="left" vertical="center"/>
    </xf>
    <xf numFmtId="0" fontId="18" fillId="0" borderId="0" xfId="0" applyFont="1" applyAlignment="1">
      <alignment horizontal="justify" vertical="center"/>
    </xf>
    <xf numFmtId="0" fontId="8" fillId="0" borderId="0" xfId="1" applyBorder="1" applyAlignment="1" applyProtection="1">
      <alignment horizontal="left" vertical="center"/>
    </xf>
    <xf numFmtId="0" fontId="19" fillId="0" borderId="0" xfId="0" applyFont="1"/>
    <xf numFmtId="0" fontId="14" fillId="0" borderId="0" xfId="0" applyFont="1" applyAlignment="1">
      <alignment horizontal="right" vertical="center"/>
    </xf>
    <xf numFmtId="0" fontId="8" fillId="0" borderId="0" xfId="1" applyBorder="1" applyAlignment="1" applyProtection="1">
      <alignment vertical="center"/>
    </xf>
    <xf numFmtId="1" fontId="6" fillId="0" borderId="0" xfId="3" applyNumberFormat="1" applyFont="1" applyBorder="1" applyAlignment="1">
      <alignment horizontal="center" vertical="center"/>
    </xf>
    <xf numFmtId="167" fontId="3" fillId="0" borderId="1" xfId="0" applyNumberFormat="1" applyFont="1" applyBorder="1" applyAlignment="1">
      <alignment vertical="center"/>
    </xf>
    <xf numFmtId="167" fontId="0" fillId="0" borderId="1" xfId="0" applyNumberFormat="1" applyBorder="1" applyAlignment="1">
      <alignment vertical="center"/>
    </xf>
    <xf numFmtId="167" fontId="3" fillId="0" borderId="33" xfId="0" applyNumberFormat="1" applyFont="1" applyBorder="1" applyAlignment="1">
      <alignment vertical="center"/>
    </xf>
    <xf numFmtId="165" fontId="3" fillId="0" borderId="11" xfId="3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165" fontId="3" fillId="0" borderId="9" xfId="3" applyFont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1" fillId="0" borderId="0" xfId="0" applyFont="1"/>
    <xf numFmtId="0" fontId="20" fillId="0" borderId="0" xfId="0" applyFont="1" applyAlignment="1">
      <alignment vertical="center"/>
    </xf>
    <xf numFmtId="4" fontId="20" fillId="0" borderId="0" xfId="0" applyNumberFormat="1" applyFont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65" fontId="6" fillId="0" borderId="3" xfId="3" applyFont="1" applyBorder="1" applyAlignment="1">
      <alignment vertical="center"/>
    </xf>
    <xf numFmtId="166" fontId="6" fillId="0" borderId="2" xfId="3" applyNumberFormat="1" applyFont="1" applyBorder="1" applyAlignment="1">
      <alignment horizontal="center" vertical="center"/>
    </xf>
    <xf numFmtId="165" fontId="6" fillId="0" borderId="2" xfId="3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3" fontId="6" fillId="3" borderId="1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65" fontId="0" fillId="0" borderId="0" xfId="3" applyFon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3" fontId="0" fillId="0" borderId="0" xfId="0" applyNumberFormat="1"/>
    <xf numFmtId="0" fontId="23" fillId="0" borderId="0" xfId="4" applyFont="1"/>
    <xf numFmtId="0" fontId="23" fillId="10" borderId="0" xfId="4" applyFont="1" applyFill="1"/>
    <xf numFmtId="0" fontId="7" fillId="0" borderId="0" xfId="4" applyFont="1" applyAlignment="1" applyProtection="1">
      <alignment horizontal="left"/>
      <protection locked="0"/>
    </xf>
    <xf numFmtId="0" fontId="24" fillId="0" borderId="0" xfId="4" applyFont="1" applyAlignment="1">
      <alignment horizontal="left"/>
    </xf>
    <xf numFmtId="0" fontId="25" fillId="0" borderId="0" xfId="4" applyFont="1" applyAlignment="1">
      <alignment horizontal="left" wrapText="1"/>
    </xf>
    <xf numFmtId="0" fontId="26" fillId="0" borderId="0" xfId="4" applyFont="1" applyAlignment="1">
      <alignment horizontal="left"/>
    </xf>
    <xf numFmtId="0" fontId="23" fillId="0" borderId="0" xfId="4" applyFont="1" applyAlignment="1">
      <alignment horizontal="center"/>
    </xf>
    <xf numFmtId="0" fontId="23" fillId="0" borderId="46" xfId="4" applyFont="1" applyBorder="1" applyAlignment="1">
      <alignment horizontal="center"/>
    </xf>
    <xf numFmtId="0" fontId="5" fillId="0" borderId="47" xfId="0" applyFont="1" applyBorder="1" applyAlignment="1" applyProtection="1">
      <alignment horizontal="left"/>
      <protection locked="0"/>
    </xf>
    <xf numFmtId="0" fontId="25" fillId="0" borderId="0" xfId="4" applyFont="1" applyAlignment="1" applyProtection="1">
      <alignment horizontal="left"/>
      <protection locked="0"/>
    </xf>
    <xf numFmtId="0" fontId="27" fillId="0" borderId="0" xfId="4" applyFont="1" applyAlignment="1" applyProtection="1">
      <alignment horizontal="left"/>
      <protection locked="0"/>
    </xf>
    <xf numFmtId="0" fontId="25" fillId="0" borderId="0" xfId="4" applyFont="1" applyAlignment="1" applyProtection="1">
      <alignment horizontal="left" wrapText="1"/>
      <protection locked="0"/>
    </xf>
    <xf numFmtId="0" fontId="28" fillId="0" borderId="0" xfId="4" applyFont="1" applyAlignment="1">
      <alignment horizontal="left" wrapText="1"/>
    </xf>
    <xf numFmtId="0" fontId="9" fillId="0" borderId="0" xfId="4" applyFont="1"/>
    <xf numFmtId="0" fontId="30" fillId="0" borderId="0" xfId="4" applyFont="1" applyAlignment="1">
      <alignment horizontal="center" vertical="center"/>
    </xf>
    <xf numFmtId="0" fontId="31" fillId="0" borderId="1" xfId="4" applyFont="1" applyBorder="1" applyAlignment="1">
      <alignment horizontal="center" vertical="center"/>
    </xf>
    <xf numFmtId="0" fontId="1" fillId="0" borderId="1" xfId="4" applyBorder="1" applyAlignment="1">
      <alignment vertical="center" wrapText="1"/>
    </xf>
    <xf numFmtId="0" fontId="23" fillId="0" borderId="1" xfId="4" applyFont="1" applyBorder="1"/>
    <xf numFmtId="0" fontId="23" fillId="0" borderId="1" xfId="4" applyFont="1" applyBorder="1" applyAlignment="1">
      <alignment horizontal="center"/>
    </xf>
    <xf numFmtId="0" fontId="32" fillId="0" borderId="0" xfId="4" applyFont="1"/>
    <xf numFmtId="10" fontId="0" fillId="0" borderId="1" xfId="4" applyNumberFormat="1" applyFont="1" applyBorder="1" applyAlignment="1">
      <alignment vertical="center" wrapText="1"/>
    </xf>
    <xf numFmtId="0" fontId="7" fillId="0" borderId="1" xfId="4" applyFont="1" applyBorder="1" applyAlignment="1">
      <alignment horizontal="center" vertical="center"/>
    </xf>
    <xf numFmtId="0" fontId="7" fillId="0" borderId="1" xfId="4" applyFont="1" applyBorder="1" applyAlignment="1">
      <alignment vertical="center"/>
    </xf>
    <xf numFmtId="0" fontId="5" fillId="0" borderId="1" xfId="4" applyFont="1" applyBorder="1" applyAlignment="1">
      <alignment horizontal="center" vertical="center"/>
    </xf>
    <xf numFmtId="10" fontId="5" fillId="11" borderId="1" xfId="4" applyNumberFormat="1" applyFont="1" applyFill="1" applyBorder="1" applyAlignment="1" applyProtection="1">
      <alignment horizontal="center" vertical="center"/>
      <protection locked="0"/>
    </xf>
    <xf numFmtId="0" fontId="7" fillId="0" borderId="1" xfId="4" applyFont="1" applyBorder="1" applyAlignment="1">
      <alignment horizontal="center" vertical="center" wrapText="1"/>
    </xf>
    <xf numFmtId="0" fontId="1" fillId="0" borderId="55" xfId="4" applyBorder="1" applyAlignment="1">
      <alignment horizontal="center" vertical="center" wrapText="1"/>
    </xf>
    <xf numFmtId="0" fontId="0" fillId="0" borderId="55" xfId="4" applyFont="1" applyBorder="1" applyAlignment="1">
      <alignment vertical="center" wrapText="1"/>
    </xf>
    <xf numFmtId="0" fontId="5" fillId="0" borderId="55" xfId="4" applyFont="1" applyBorder="1" applyAlignment="1">
      <alignment horizontal="center" vertical="center"/>
    </xf>
    <xf numFmtId="10" fontId="5" fillId="11" borderId="55" xfId="4" applyNumberFormat="1" applyFont="1" applyFill="1" applyBorder="1" applyAlignment="1" applyProtection="1">
      <alignment horizontal="center" vertical="center"/>
      <protection locked="0"/>
    </xf>
    <xf numFmtId="0" fontId="23" fillId="0" borderId="55" xfId="4" applyFont="1" applyBorder="1"/>
    <xf numFmtId="10" fontId="0" fillId="0" borderId="55" xfId="4" applyNumberFormat="1" applyFont="1" applyBorder="1" applyAlignment="1">
      <alignment vertical="center" wrapText="1"/>
    </xf>
    <xf numFmtId="10" fontId="5" fillId="0" borderId="44" xfId="4" applyNumberFormat="1" applyFont="1" applyBorder="1" applyAlignment="1">
      <alignment horizontal="center" vertical="center"/>
    </xf>
    <xf numFmtId="0" fontId="1" fillId="0" borderId="56" xfId="4" applyBorder="1" applyAlignment="1">
      <alignment horizontal="center" vertical="center" wrapText="1"/>
    </xf>
    <xf numFmtId="0" fontId="0" fillId="0" borderId="56" xfId="4" applyFont="1" applyBorder="1" applyAlignment="1">
      <alignment vertical="center" wrapText="1"/>
    </xf>
    <xf numFmtId="0" fontId="5" fillId="0" borderId="56" xfId="4" applyFont="1" applyBorder="1" applyAlignment="1">
      <alignment horizontal="center" vertical="center"/>
    </xf>
    <xf numFmtId="10" fontId="5" fillId="11" borderId="56" xfId="4" applyNumberFormat="1" applyFont="1" applyFill="1" applyBorder="1" applyAlignment="1" applyProtection="1">
      <alignment horizontal="center" vertical="center"/>
      <protection locked="0"/>
    </xf>
    <xf numFmtId="0" fontId="23" fillId="0" borderId="56" xfId="4" applyFont="1" applyBorder="1"/>
    <xf numFmtId="10" fontId="0" fillId="0" borderId="56" xfId="4" applyNumberFormat="1" applyFont="1" applyBorder="1" applyAlignment="1">
      <alignment vertical="center" wrapText="1"/>
    </xf>
    <xf numFmtId="10" fontId="5" fillId="0" borderId="56" xfId="4" applyNumberFormat="1" applyFont="1" applyBorder="1" applyAlignment="1">
      <alignment horizontal="center" vertical="center"/>
    </xf>
    <xf numFmtId="0" fontId="7" fillId="12" borderId="1" xfId="4" applyFont="1" applyFill="1" applyBorder="1" applyAlignment="1">
      <alignment horizontal="center" vertical="center" wrapText="1"/>
    </xf>
    <xf numFmtId="0" fontId="7" fillId="12" borderId="1" xfId="4" applyFont="1" applyFill="1" applyBorder="1" applyAlignment="1">
      <alignment vertical="center" wrapText="1"/>
    </xf>
    <xf numFmtId="0" fontId="3" fillId="0" borderId="1" xfId="4" applyFont="1" applyBorder="1"/>
    <xf numFmtId="0" fontId="34" fillId="0" borderId="1" xfId="4" applyFont="1" applyBorder="1"/>
    <xf numFmtId="10" fontId="7" fillId="12" borderId="1" xfId="4" applyNumberFormat="1" applyFont="1" applyFill="1" applyBorder="1" applyAlignment="1">
      <alignment vertical="center" wrapText="1"/>
    </xf>
    <xf numFmtId="0" fontId="0" fillId="0" borderId="0" xfId="4" applyFont="1"/>
    <xf numFmtId="0" fontId="0" fillId="0" borderId="0" xfId="4" applyFont="1" applyAlignment="1">
      <alignment horizontal="center" vertical="top"/>
    </xf>
    <xf numFmtId="0" fontId="36" fillId="0" borderId="0" xfId="4" applyFont="1" applyAlignment="1">
      <alignment horizontal="right" vertical="center"/>
    </xf>
    <xf numFmtId="0" fontId="37" fillId="0" borderId="0" xfId="4" applyFont="1"/>
    <xf numFmtId="0" fontId="36" fillId="0" borderId="0" xfId="4" applyFont="1" applyAlignment="1">
      <alignment horizontal="left" vertical="center"/>
    </xf>
    <xf numFmtId="0" fontId="1" fillId="0" borderId="0" xfId="4" applyAlignment="1">
      <alignment vertical="center"/>
    </xf>
    <xf numFmtId="0" fontId="1" fillId="0" borderId="0" xfId="4" applyAlignment="1">
      <alignment wrapText="1"/>
    </xf>
    <xf numFmtId="0" fontId="1" fillId="0" borderId="0" xfId="4"/>
    <xf numFmtId="0" fontId="23" fillId="11" borderId="0" xfId="4" applyFont="1" applyFill="1" applyProtection="1">
      <protection locked="0"/>
    </xf>
    <xf numFmtId="0" fontId="3" fillId="0" borderId="49" xfId="4" applyFont="1" applyBorder="1"/>
    <xf numFmtId="0" fontId="1" fillId="0" borderId="49" xfId="4" applyBorder="1"/>
    <xf numFmtId="0" fontId="3" fillId="0" borderId="0" xfId="4" applyFont="1"/>
    <xf numFmtId="0" fontId="23" fillId="0" borderId="0" xfId="4" applyFont="1" applyAlignment="1">
      <alignment horizontal="left"/>
    </xf>
    <xf numFmtId="0" fontId="23" fillId="0" borderId="0" xfId="4" applyFont="1" applyAlignment="1">
      <alignment wrapText="1"/>
    </xf>
    <xf numFmtId="0" fontId="1" fillId="0" borderId="2" xfId="0" applyFont="1" applyBorder="1" applyAlignment="1">
      <alignment horizontal="center" vertical="center"/>
    </xf>
    <xf numFmtId="165" fontId="3" fillId="4" borderId="0" xfId="3" applyFont="1" applyFill="1" applyBorder="1" applyAlignment="1">
      <alignment horizontal="center" vertical="center"/>
    </xf>
    <xf numFmtId="0" fontId="1" fillId="0" borderId="22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center" vertical="center" wrapText="1"/>
    </xf>
    <xf numFmtId="165" fontId="1" fillId="0" borderId="22" xfId="3" applyFont="1" applyBorder="1" applyAlignment="1">
      <alignment horizontal="center" vertical="center" wrapText="1"/>
    </xf>
    <xf numFmtId="165" fontId="0" fillId="0" borderId="22" xfId="3" applyFont="1" applyBorder="1"/>
    <xf numFmtId="165" fontId="1" fillId="0" borderId="22" xfId="3" applyFont="1" applyFill="1" applyBorder="1" applyAlignment="1">
      <alignment horizontal="center" vertical="center" wrapText="1"/>
    </xf>
    <xf numFmtId="165" fontId="0" fillId="0" borderId="12" xfId="3" applyFont="1" applyBorder="1"/>
    <xf numFmtId="165" fontId="0" fillId="0" borderId="20" xfId="3" applyFont="1" applyBorder="1"/>
    <xf numFmtId="0" fontId="1" fillId="0" borderId="33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5" fontId="1" fillId="0" borderId="20" xfId="3" applyFont="1" applyBorder="1"/>
    <xf numFmtId="0" fontId="1" fillId="0" borderId="33" xfId="0" applyFont="1" applyBorder="1" applyAlignment="1">
      <alignment horizontal="left" vertical="center" wrapText="1"/>
    </xf>
    <xf numFmtId="165" fontId="0" fillId="0" borderId="33" xfId="3" applyFont="1" applyBorder="1"/>
    <xf numFmtId="0" fontId="0" fillId="0" borderId="33" xfId="0" applyBorder="1"/>
    <xf numFmtId="0" fontId="3" fillId="13" borderId="1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8" fillId="0" borderId="1" xfId="1" applyBorder="1" applyAlignment="1" applyProtection="1">
      <alignment horizontal="left" vertical="center" wrapText="1"/>
    </xf>
    <xf numFmtId="0" fontId="8" fillId="0" borderId="22" xfId="1" applyBorder="1" applyAlignment="1" applyProtection="1">
      <alignment horizontal="left" vertical="center" wrapText="1"/>
    </xf>
    <xf numFmtId="165" fontId="0" fillId="0" borderId="20" xfId="3" applyFont="1" applyBorder="1" applyAlignment="1">
      <alignment horizontal="center" vertical="center" wrapText="1"/>
    </xf>
    <xf numFmtId="0" fontId="8" fillId="0" borderId="33" xfId="1" applyBorder="1" applyAlignment="1" applyProtection="1">
      <alignment horizontal="left" vertical="center" wrapText="1"/>
    </xf>
    <xf numFmtId="165" fontId="0" fillId="0" borderId="34" xfId="3" applyFont="1" applyBorder="1" applyAlignment="1">
      <alignment horizontal="center" vertical="center" wrapText="1"/>
    </xf>
    <xf numFmtId="0" fontId="3" fillId="14" borderId="16" xfId="0" applyFont="1" applyFill="1" applyBorder="1" applyAlignment="1">
      <alignment horizontal="center" vertical="center" wrapText="1"/>
    </xf>
    <xf numFmtId="0" fontId="3" fillId="14" borderId="17" xfId="0" applyFont="1" applyFill="1" applyBorder="1" applyAlignment="1">
      <alignment horizontal="center" vertical="center" wrapText="1"/>
    </xf>
    <xf numFmtId="0" fontId="3" fillId="14" borderId="18" xfId="0" applyFont="1" applyFill="1" applyBorder="1" applyAlignment="1">
      <alignment horizontal="center" vertical="center" wrapText="1"/>
    </xf>
    <xf numFmtId="0" fontId="0" fillId="13" borderId="0" xfId="0" applyFill="1" applyAlignment="1">
      <alignment horizontal="center"/>
    </xf>
    <xf numFmtId="0" fontId="3" fillId="13" borderId="0" xfId="0" applyFont="1" applyFill="1" applyAlignment="1">
      <alignment horizontal="right" vertical="center" wrapText="1"/>
    </xf>
    <xf numFmtId="165" fontId="3" fillId="13" borderId="0" xfId="3" applyFont="1" applyFill="1" applyAlignment="1">
      <alignment horizontal="center" vertical="center" wrapText="1"/>
    </xf>
    <xf numFmtId="165" fontId="8" fillId="0" borderId="0" xfId="1" applyNumberFormat="1" applyAlignment="1" applyProtection="1"/>
    <xf numFmtId="165" fontId="0" fillId="0" borderId="32" xfId="3" applyFont="1" applyBorder="1"/>
    <xf numFmtId="165" fontId="0" fillId="0" borderId="8" xfId="3" applyFont="1" applyBorder="1"/>
    <xf numFmtId="165" fontId="1" fillId="0" borderId="8" xfId="3" applyFont="1" applyBorder="1"/>
    <xf numFmtId="0" fontId="0" fillId="0" borderId="57" xfId="0" applyBorder="1"/>
    <xf numFmtId="165" fontId="1" fillId="13" borderId="43" xfId="3" applyFont="1" applyFill="1" applyBorder="1"/>
    <xf numFmtId="165" fontId="1" fillId="13" borderId="15" xfId="3" applyFont="1" applyFill="1" applyBorder="1"/>
    <xf numFmtId="165" fontId="1" fillId="13" borderId="58" xfId="3" applyFont="1" applyFill="1" applyBorder="1"/>
    <xf numFmtId="0" fontId="0" fillId="0" borderId="34" xfId="0" applyBorder="1"/>
    <xf numFmtId="0" fontId="10" fillId="9" borderId="29" xfId="0" applyFont="1" applyFill="1" applyBorder="1" applyAlignment="1">
      <alignment horizontal="center" vertical="center" wrapText="1"/>
    </xf>
    <xf numFmtId="0" fontId="10" fillId="9" borderId="30" xfId="0" applyFont="1" applyFill="1" applyBorder="1" applyAlignment="1">
      <alignment horizontal="center" vertical="center" wrapText="1"/>
    </xf>
    <xf numFmtId="0" fontId="8" fillId="9" borderId="30" xfId="1" applyFill="1" applyBorder="1" applyAlignment="1" applyProtection="1">
      <alignment horizontal="center" vertical="center" wrapText="1"/>
    </xf>
    <xf numFmtId="165" fontId="10" fillId="9" borderId="30" xfId="3" applyFont="1" applyFill="1" applyBorder="1" applyAlignment="1">
      <alignment horizontal="center" vertical="center" wrapText="1"/>
    </xf>
    <xf numFmtId="165" fontId="8" fillId="9" borderId="30" xfId="1" applyNumberFormat="1" applyFill="1" applyBorder="1" applyAlignment="1" applyProtection="1">
      <alignment horizontal="center" vertical="center" wrapText="1"/>
    </xf>
    <xf numFmtId="0" fontId="22" fillId="9" borderId="30" xfId="1" applyFont="1" applyFill="1" applyBorder="1" applyAlignment="1" applyProtection="1">
      <alignment vertical="center" wrapText="1"/>
    </xf>
    <xf numFmtId="0" fontId="22" fillId="9" borderId="30" xfId="1" applyFont="1" applyFill="1" applyBorder="1" applyAlignment="1" applyProtection="1">
      <alignment horizontal="center" vertical="center" wrapText="1"/>
    </xf>
    <xf numFmtId="165" fontId="6" fillId="4" borderId="0" xfId="3" applyFont="1" applyFill="1" applyBorder="1" applyAlignment="1">
      <alignment horizontal="center" vertical="center"/>
    </xf>
    <xf numFmtId="0" fontId="1" fillId="4" borderId="0" xfId="0" applyFont="1" applyFill="1" applyAlignment="1">
      <alignment horizontal="left" vertical="center" wrapText="1"/>
    </xf>
    <xf numFmtId="0" fontId="1" fillId="4" borderId="0" xfId="0" applyFont="1" applyFill="1" applyAlignment="1">
      <alignment horizontal="center" vertical="center" wrapText="1"/>
    </xf>
    <xf numFmtId="13" fontId="6" fillId="4" borderId="0" xfId="0" applyNumberFormat="1" applyFont="1" applyFill="1" applyAlignment="1">
      <alignment vertical="center"/>
    </xf>
    <xf numFmtId="0" fontId="3" fillId="4" borderId="0" xfId="0" applyFont="1" applyFill="1" applyAlignment="1">
      <alignment vertical="center"/>
    </xf>
    <xf numFmtId="165" fontId="6" fillId="3" borderId="1" xfId="3" applyFont="1" applyFill="1" applyBorder="1" applyAlignment="1">
      <alignment vertical="center"/>
    </xf>
    <xf numFmtId="165" fontId="1" fillId="0" borderId="0" xfId="3" applyFont="1"/>
    <xf numFmtId="165" fontId="3" fillId="0" borderId="0" xfId="0" applyNumberFormat="1" applyFont="1"/>
    <xf numFmtId="2" fontId="1" fillId="3" borderId="1" xfId="0" applyNumberFormat="1" applyFont="1" applyFill="1" applyBorder="1" applyAlignment="1">
      <alignment vertical="center"/>
    </xf>
    <xf numFmtId="10" fontId="1" fillId="0" borderId="1" xfId="4" applyNumberFormat="1" applyBorder="1" applyAlignment="1">
      <alignment vertical="center" wrapText="1"/>
    </xf>
    <xf numFmtId="165" fontId="1" fillId="0" borderId="14" xfId="3" applyFont="1" applyBorder="1" applyAlignment="1">
      <alignment vertical="center"/>
    </xf>
    <xf numFmtId="4" fontId="3" fillId="0" borderId="9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65" fontId="3" fillId="15" borderId="4" xfId="3" applyFont="1" applyFill="1" applyBorder="1" applyAlignment="1">
      <alignment vertical="center"/>
    </xf>
    <xf numFmtId="165" fontId="3" fillId="15" borderId="4" xfId="3" applyFont="1" applyFill="1" applyBorder="1" applyAlignment="1">
      <alignment horizontal="center" vertical="center"/>
    </xf>
    <xf numFmtId="165" fontId="3" fillId="16" borderId="4" xfId="3" applyFont="1" applyFill="1" applyBorder="1" applyAlignment="1">
      <alignment vertical="center"/>
    </xf>
    <xf numFmtId="165" fontId="6" fillId="0" borderId="8" xfId="3" applyFont="1" applyBorder="1" applyAlignment="1">
      <alignment vertical="center"/>
    </xf>
    <xf numFmtId="165" fontId="3" fillId="6" borderId="4" xfId="3" applyFont="1" applyFill="1" applyBorder="1" applyAlignment="1">
      <alignment vertical="center"/>
    </xf>
    <xf numFmtId="165" fontId="3" fillId="13" borderId="4" xfId="3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39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14" fontId="6" fillId="0" borderId="0" xfId="3" applyNumberFormat="1" applyFont="1" applyAlignment="1">
      <alignment vertical="center"/>
    </xf>
    <xf numFmtId="0" fontId="40" fillId="0" borderId="0" xfId="0" applyFont="1"/>
    <xf numFmtId="0" fontId="3" fillId="0" borderId="0" xfId="0" applyFont="1"/>
    <xf numFmtId="14" fontId="14" fillId="0" borderId="0" xfId="0" applyNumberFormat="1" applyFont="1" applyAlignment="1">
      <alignment horizontal="right" vertical="center"/>
    </xf>
    <xf numFmtId="165" fontId="3" fillId="0" borderId="18" xfId="3" applyFont="1" applyBorder="1" applyAlignment="1">
      <alignment horizontal="right" vertical="center"/>
    </xf>
    <xf numFmtId="165" fontId="6" fillId="0" borderId="1" xfId="3" applyFont="1" applyFill="1" applyBorder="1" applyAlignment="1">
      <alignment vertical="center"/>
    </xf>
    <xf numFmtId="165" fontId="21" fillId="0" borderId="12" xfId="3" applyFont="1" applyBorder="1" applyAlignment="1">
      <alignment horizontal="center" vertical="center" wrapText="1"/>
    </xf>
    <xf numFmtId="0" fontId="0" fillId="4" borderId="0" xfId="0" applyFill="1"/>
    <xf numFmtId="165" fontId="0" fillId="4" borderId="22" xfId="3" applyFont="1" applyFill="1" applyBorder="1"/>
    <xf numFmtId="165" fontId="0" fillId="4" borderId="33" xfId="3" applyFont="1" applyFill="1" applyBorder="1"/>
    <xf numFmtId="0" fontId="0" fillId="4" borderId="33" xfId="0" applyFill="1" applyBorder="1"/>
    <xf numFmtId="167" fontId="1" fillId="0" borderId="1" xfId="0" applyNumberFormat="1" applyFont="1" applyBorder="1" applyAlignment="1">
      <alignment vertical="center"/>
    </xf>
    <xf numFmtId="2" fontId="1" fillId="3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Border="1" applyAlignment="1">
      <alignment vertical="center"/>
    </xf>
    <xf numFmtId="166" fontId="6" fillId="3" borderId="1" xfId="3" applyNumberFormat="1" applyFont="1" applyFill="1" applyBorder="1" applyAlignment="1">
      <alignment vertical="center"/>
    </xf>
    <xf numFmtId="165" fontId="6" fillId="0" borderId="66" xfId="3" applyFont="1" applyBorder="1" applyAlignment="1">
      <alignment vertical="center"/>
    </xf>
    <xf numFmtId="165" fontId="3" fillId="2" borderId="62" xfId="3" applyFont="1" applyFill="1" applyBorder="1" applyAlignment="1">
      <alignment horizontal="center" vertical="center"/>
    </xf>
    <xf numFmtId="0" fontId="1" fillId="0" borderId="65" xfId="0" applyFont="1" applyBorder="1" applyAlignment="1">
      <alignment vertical="center"/>
    </xf>
    <xf numFmtId="165" fontId="6" fillId="0" borderId="65" xfId="3" applyFont="1" applyBorder="1" applyAlignment="1">
      <alignment vertical="center"/>
    </xf>
    <xf numFmtId="0" fontId="7" fillId="7" borderId="41" xfId="0" applyFont="1" applyFill="1" applyBorder="1" applyAlignment="1">
      <alignment vertical="center"/>
    </xf>
    <xf numFmtId="0" fontId="7" fillId="7" borderId="39" xfId="0" applyFont="1" applyFill="1" applyBorder="1" applyAlignment="1">
      <alignment vertical="center"/>
    </xf>
    <xf numFmtId="0" fontId="7" fillId="7" borderId="42" xfId="0" applyFont="1" applyFill="1" applyBorder="1" applyAlignment="1">
      <alignment vertical="center"/>
    </xf>
    <xf numFmtId="0" fontId="3" fillId="13" borderId="0" xfId="0" applyFont="1" applyFill="1" applyAlignment="1">
      <alignment horizontal="center"/>
    </xf>
    <xf numFmtId="0" fontId="3" fillId="13" borderId="0" xfId="0" applyFont="1" applyFill="1" applyAlignment="1">
      <alignment horizontal="center" vertical="center" wrapText="1"/>
    </xf>
    <xf numFmtId="0" fontId="1" fillId="0" borderId="65" xfId="0" applyFont="1" applyBorder="1" applyAlignment="1">
      <alignment horizontal="left" vertical="center" wrapText="1"/>
    </xf>
    <xf numFmtId="0" fontId="1" fillId="0" borderId="65" xfId="0" applyFont="1" applyBorder="1" applyAlignment="1">
      <alignment horizontal="center" vertical="center" wrapText="1"/>
    </xf>
    <xf numFmtId="165" fontId="1" fillId="0" borderId="65" xfId="3" applyFont="1" applyBorder="1" applyAlignment="1">
      <alignment horizontal="center" vertical="center" wrapText="1"/>
    </xf>
    <xf numFmtId="165" fontId="0" fillId="0" borderId="65" xfId="3" applyFont="1" applyBorder="1"/>
    <xf numFmtId="165" fontId="0" fillId="4" borderId="65" xfId="3" applyFont="1" applyFill="1" applyBorder="1"/>
    <xf numFmtId="165" fontId="1" fillId="0" borderId="65" xfId="3" applyFont="1" applyBorder="1"/>
    <xf numFmtId="0" fontId="1" fillId="0" borderId="65" xfId="0" applyFont="1" applyBorder="1" applyAlignment="1">
      <alignment vertical="center" wrapText="1"/>
    </xf>
    <xf numFmtId="165" fontId="1" fillId="4" borderId="65" xfId="3" applyFont="1" applyFill="1" applyBorder="1"/>
    <xf numFmtId="165" fontId="21" fillId="0" borderId="65" xfId="3" applyFont="1" applyBorder="1" applyAlignment="1">
      <alignment horizontal="center" vertical="center" wrapText="1"/>
    </xf>
    <xf numFmtId="169" fontId="0" fillId="4" borderId="65" xfId="3" applyNumberFormat="1" applyFont="1" applyFill="1" applyBorder="1"/>
    <xf numFmtId="0" fontId="0" fillId="0" borderId="65" xfId="0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3" fillId="0" borderId="6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6" borderId="5" xfId="0" applyFont="1" applyFill="1" applyBorder="1" applyAlignment="1">
      <alignment horizontal="right" vertical="center"/>
    </xf>
    <xf numFmtId="0" fontId="3" fillId="6" borderId="6" xfId="0" applyFont="1" applyFill="1" applyBorder="1" applyAlignment="1">
      <alignment horizontal="right" vertical="center"/>
    </xf>
    <xf numFmtId="0" fontId="3" fillId="6" borderId="7" xfId="0" applyFont="1" applyFill="1" applyBorder="1" applyAlignment="1">
      <alignment horizontal="right" vertical="center"/>
    </xf>
    <xf numFmtId="0" fontId="3" fillId="13" borderId="5" xfId="0" applyFont="1" applyFill="1" applyBorder="1" applyAlignment="1">
      <alignment horizontal="right" vertical="center"/>
    </xf>
    <xf numFmtId="0" fontId="3" fillId="13" borderId="6" xfId="0" applyFont="1" applyFill="1" applyBorder="1" applyAlignment="1">
      <alignment horizontal="right" vertical="center"/>
    </xf>
    <xf numFmtId="0" fontId="3" fillId="13" borderId="7" xfId="0" applyFont="1" applyFill="1" applyBorder="1" applyAlignment="1">
      <alignment horizontal="right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165" fontId="4" fillId="7" borderId="5" xfId="3" applyFont="1" applyFill="1" applyBorder="1" applyAlignment="1">
      <alignment horizontal="center" vertical="center"/>
    </xf>
    <xf numFmtId="165" fontId="4" fillId="7" borderId="6" xfId="3" applyFont="1" applyFill="1" applyBorder="1" applyAlignment="1">
      <alignment horizontal="center" vertical="center"/>
    </xf>
    <xf numFmtId="165" fontId="4" fillId="7" borderId="7" xfId="3" applyFont="1" applyFill="1" applyBorder="1" applyAlignment="1">
      <alignment horizontal="center" vertical="center"/>
    </xf>
    <xf numFmtId="165" fontId="3" fillId="0" borderId="5" xfId="3" applyFont="1" applyBorder="1" applyAlignment="1">
      <alignment horizontal="center" vertical="center"/>
    </xf>
    <xf numFmtId="165" fontId="3" fillId="0" borderId="6" xfId="3" applyFont="1" applyBorder="1" applyAlignment="1">
      <alignment horizontal="center" vertical="center"/>
    </xf>
    <xf numFmtId="165" fontId="3" fillId="0" borderId="40" xfId="3" applyFont="1" applyBorder="1" applyAlignment="1">
      <alignment horizontal="center" vertical="center"/>
    </xf>
    <xf numFmtId="165" fontId="3" fillId="0" borderId="14" xfId="3" applyFont="1" applyBorder="1" applyAlignment="1">
      <alignment horizontal="left" vertical="center"/>
    </xf>
    <xf numFmtId="165" fontId="3" fillId="0" borderId="9" xfId="3" applyFont="1" applyBorder="1" applyAlignment="1">
      <alignment horizontal="left" vertical="center"/>
    </xf>
    <xf numFmtId="0" fontId="23" fillId="0" borderId="39" xfId="4" applyFont="1" applyBorder="1" applyAlignment="1">
      <alignment horizontal="center"/>
    </xf>
    <xf numFmtId="0" fontId="3" fillId="0" borderId="0" xfId="0" applyFont="1" applyAlignment="1">
      <alignment horizontal="center"/>
    </xf>
    <xf numFmtId="0" fontId="36" fillId="0" borderId="0" xfId="4" applyFont="1" applyAlignment="1">
      <alignment horizontal="right" vertical="center"/>
    </xf>
    <xf numFmtId="0" fontId="38" fillId="0" borderId="39" xfId="4" applyFont="1" applyBorder="1" applyAlignment="1">
      <alignment horizontal="center" vertical="top"/>
    </xf>
    <xf numFmtId="0" fontId="36" fillId="0" borderId="0" xfId="4" applyFont="1" applyAlignment="1">
      <alignment horizontal="left" vertical="center"/>
    </xf>
    <xf numFmtId="0" fontId="38" fillId="0" borderId="0" xfId="4" applyFont="1" applyAlignment="1">
      <alignment horizontal="center" vertical="top"/>
    </xf>
    <xf numFmtId="168" fontId="1" fillId="0" borderId="0" xfId="4" applyNumberFormat="1" applyAlignment="1" applyProtection="1">
      <alignment horizontal="left"/>
      <protection locked="0"/>
    </xf>
    <xf numFmtId="0" fontId="35" fillId="0" borderId="0" xfId="4" applyFont="1" applyAlignment="1">
      <alignment horizontal="center"/>
    </xf>
    <xf numFmtId="0" fontId="0" fillId="0" borderId="56" xfId="4" applyFont="1" applyBorder="1" applyAlignment="1">
      <alignment horizontal="center" vertical="center" wrapText="1"/>
    </xf>
    <xf numFmtId="4" fontId="7" fillId="0" borderId="44" xfId="4" applyNumberFormat="1" applyFont="1" applyBorder="1" applyAlignment="1">
      <alignment horizontal="center" vertical="center" wrapText="1"/>
    </xf>
    <xf numFmtId="0" fontId="1" fillId="0" borderId="56" xfId="4" applyBorder="1" applyAlignment="1">
      <alignment horizontal="center" vertical="center" wrapText="1"/>
    </xf>
    <xf numFmtId="0" fontId="7" fillId="12" borderId="1" xfId="4" applyFont="1" applyFill="1" applyBorder="1" applyAlignment="1">
      <alignment horizontal="center" vertical="center" wrapText="1"/>
    </xf>
    <xf numFmtId="0" fontId="3" fillId="0" borderId="45" xfId="4" applyFont="1" applyBorder="1" applyAlignment="1">
      <alignment horizontal="center" vertical="center"/>
    </xf>
    <xf numFmtId="0" fontId="3" fillId="0" borderId="54" xfId="4" applyFont="1" applyBorder="1" applyAlignment="1">
      <alignment horizontal="center" vertical="center"/>
    </xf>
    <xf numFmtId="0" fontId="7" fillId="0" borderId="1" xfId="4" applyFont="1" applyBorder="1" applyAlignment="1">
      <alignment horizontal="center" vertical="center"/>
    </xf>
    <xf numFmtId="0" fontId="0" fillId="0" borderId="55" xfId="4" applyFont="1" applyBorder="1" applyAlignment="1">
      <alignment horizontal="center" vertical="center" wrapText="1"/>
    </xf>
    <xf numFmtId="4" fontId="7" fillId="0" borderId="48" xfId="4" applyNumberFormat="1" applyFont="1" applyBorder="1" applyAlignment="1">
      <alignment horizontal="center" vertical="center" wrapText="1"/>
    </xf>
    <xf numFmtId="4" fontId="7" fillId="0" borderId="49" xfId="4" applyNumberFormat="1" applyFont="1" applyBorder="1" applyAlignment="1">
      <alignment horizontal="center" vertical="center" wrapText="1"/>
    </xf>
    <xf numFmtId="4" fontId="7" fillId="0" borderId="50" xfId="4" applyNumberFormat="1" applyFont="1" applyBorder="1" applyAlignment="1">
      <alignment horizontal="center" vertical="center" wrapText="1"/>
    </xf>
    <xf numFmtId="4" fontId="7" fillId="0" borderId="51" xfId="4" applyNumberFormat="1" applyFont="1" applyBorder="1" applyAlignment="1">
      <alignment horizontal="center" vertical="center" wrapText="1"/>
    </xf>
    <xf numFmtId="4" fontId="7" fillId="0" borderId="52" xfId="4" applyNumberFormat="1" applyFont="1" applyBorder="1" applyAlignment="1">
      <alignment horizontal="center" vertical="center" wrapText="1"/>
    </xf>
    <xf numFmtId="4" fontId="7" fillId="0" borderId="53" xfId="4" applyNumberFormat="1" applyFont="1" applyBorder="1" applyAlignment="1">
      <alignment horizontal="center" vertical="center" wrapText="1"/>
    </xf>
    <xf numFmtId="0" fontId="23" fillId="0" borderId="44" xfId="4" applyFont="1" applyBorder="1" applyAlignment="1">
      <alignment horizontal="center"/>
    </xf>
    <xf numFmtId="0" fontId="23" fillId="0" borderId="45" xfId="4" applyFont="1" applyBorder="1" applyAlignment="1">
      <alignment horizontal="center"/>
    </xf>
    <xf numFmtId="0" fontId="4" fillId="0" borderId="1" xfId="4" applyFont="1" applyBorder="1" applyAlignment="1" applyProtection="1">
      <alignment horizontal="center" vertical="center"/>
      <protection locked="0"/>
    </xf>
    <xf numFmtId="0" fontId="29" fillId="0" borderId="8" xfId="4" applyFont="1" applyBorder="1" applyAlignment="1">
      <alignment horizontal="center" vertical="center"/>
    </xf>
    <xf numFmtId="0" fontId="29" fillId="0" borderId="9" xfId="4" applyFont="1" applyBorder="1" applyAlignment="1">
      <alignment horizontal="center" vertical="center"/>
    </xf>
    <xf numFmtId="0" fontId="29" fillId="0" borderId="10" xfId="4" applyFont="1" applyBorder="1" applyAlignment="1">
      <alignment horizontal="center" vertical="center"/>
    </xf>
    <xf numFmtId="0" fontId="1" fillId="0" borderId="8" xfId="4" applyBorder="1" applyAlignment="1">
      <alignment horizontal="left" vertical="center" wrapText="1"/>
    </xf>
    <xf numFmtId="0" fontId="1" fillId="0" borderId="9" xfId="4" applyBorder="1" applyAlignment="1">
      <alignment horizontal="left" vertical="center" wrapText="1"/>
    </xf>
    <xf numFmtId="0" fontId="1" fillId="0" borderId="10" xfId="4" applyBorder="1" applyAlignment="1">
      <alignment horizontal="left" vertical="center" wrapText="1"/>
    </xf>
    <xf numFmtId="0" fontId="13" fillId="7" borderId="21" xfId="0" applyFont="1" applyFill="1" applyBorder="1" applyAlignment="1">
      <alignment horizontal="center" vertical="center"/>
    </xf>
    <xf numFmtId="0" fontId="13" fillId="7" borderId="22" xfId="0" applyFont="1" applyFill="1" applyBorder="1" applyAlignment="1">
      <alignment horizontal="center" vertical="center"/>
    </xf>
    <xf numFmtId="0" fontId="13" fillId="7" borderId="12" xfId="0" applyFont="1" applyFill="1" applyBorder="1" applyAlignment="1">
      <alignment horizontal="center" vertical="center"/>
    </xf>
    <xf numFmtId="0" fontId="3" fillId="17" borderId="27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13" borderId="0" xfId="0" applyFont="1" applyFill="1" applyAlignment="1">
      <alignment horizontal="right" vertical="center" wrapText="1"/>
    </xf>
    <xf numFmtId="0" fontId="3" fillId="9" borderId="59" xfId="0" applyFont="1" applyFill="1" applyBorder="1" applyAlignment="1">
      <alignment horizontal="center" vertical="center" wrapText="1"/>
    </xf>
    <xf numFmtId="0" fontId="3" fillId="9" borderId="25" xfId="0" applyFont="1" applyFill="1" applyBorder="1" applyAlignment="1">
      <alignment horizontal="center" vertical="center" wrapText="1"/>
    </xf>
    <xf numFmtId="0" fontId="3" fillId="9" borderId="60" xfId="0" applyFont="1" applyFill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1" fillId="0" borderId="64" xfId="0" applyFont="1" applyBorder="1" applyAlignment="1">
      <alignment horizontal="center" vertical="center"/>
    </xf>
    <xf numFmtId="0" fontId="1" fillId="0" borderId="63" xfId="0" applyFont="1" applyBorder="1" applyAlignment="1">
      <alignment horizontal="center" vertical="center"/>
    </xf>
  </cellXfs>
  <cellStyles count="5">
    <cellStyle name="Hiperlink" xfId="1" builtinId="8"/>
    <cellStyle name="Normal" xfId="0" builtinId="0"/>
    <cellStyle name="Normal 2" xfId="4" xr:uid="{58E2A493-0B22-4477-94C8-3119051FE700}"/>
    <cellStyle name="Porcentagem" xfId="2" builtinId="5"/>
    <cellStyle name="Vírgula" xfId="3" builtinId="3"/>
  </cellStyles>
  <dxfs count="3">
    <dxf>
      <font>
        <b val="0"/>
        <condense val="0"/>
        <extend val="0"/>
        <color indexed="17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ndense val="0"/>
        <extend val="0"/>
        <color indexed="10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MAT\SMAT_PROJETOS\Projetos\Reforma%20Telhado%20sede\Or&#231;amento\PLANILHA%20OR&#199;AMENT&#193;RIA%20-%20R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ortaldecompraspublicas.com.br/processos/rs/consorcio-intermunicipal-do-medio-alto-uruguai-cimau-842/rpe-06-2025-2025-436109" TargetMode="External"/><Relationship Id="rId13" Type="http://schemas.openxmlformats.org/officeDocument/2006/relationships/hyperlink" Target="https://www.portaldecompraspublicas.com.br/processos/rs/autarquia-municipal-de-turismo-gramadotur-1081/pe-38-2025-2025-434387" TargetMode="External"/><Relationship Id="rId18" Type="http://schemas.openxmlformats.org/officeDocument/2006/relationships/hyperlink" Target="https://pncp.gov.br/app/atas/04712762000171/2025/30/1" TargetMode="External"/><Relationship Id="rId3" Type="http://schemas.openxmlformats.org/officeDocument/2006/relationships/hyperlink" Target="https://pncp.gov.br/app/editais/87838330000139/2025/640" TargetMode="External"/><Relationship Id="rId21" Type="http://schemas.openxmlformats.org/officeDocument/2006/relationships/hyperlink" Target="https://pncp.gov.br/app/atas/88824099000197/2025/60/2" TargetMode="External"/><Relationship Id="rId7" Type="http://schemas.openxmlformats.org/officeDocument/2006/relationships/hyperlink" Target="https://www.portaldecompraspublicas.com.br/processos/rs/prefeitura-municipal-de-erechim-39/pe-200-2025-2025-434492" TargetMode="External"/><Relationship Id="rId12" Type="http://schemas.openxmlformats.org/officeDocument/2006/relationships/hyperlink" Target="https://www.portaldecompraspublicas.com.br/processos/rs/prefeitura-municipal-de-toropi-1107/rpe-24-2025-2025-436682" TargetMode="External"/><Relationship Id="rId17" Type="http://schemas.openxmlformats.org/officeDocument/2006/relationships/hyperlink" Target="https://pncp.gov.br/app/atas/07926117000140/2025/31/1" TargetMode="External"/><Relationship Id="rId2" Type="http://schemas.openxmlformats.org/officeDocument/2006/relationships/hyperlink" Target="https://pncp.gov.br/app/atas/89848949000150/2025/994/12" TargetMode="External"/><Relationship Id="rId16" Type="http://schemas.openxmlformats.org/officeDocument/2006/relationships/hyperlink" Target="https://www.portaldecompraspublicas.com.br/processos/rs/prefeitura-municipal-de-sao-borja-1482/rpe-18-2025-2025-416554" TargetMode="External"/><Relationship Id="rId20" Type="http://schemas.openxmlformats.org/officeDocument/2006/relationships/hyperlink" Target="https://pncp.gov.br/app/atas/90936956000192/2025/51/1" TargetMode="External"/><Relationship Id="rId1" Type="http://schemas.openxmlformats.org/officeDocument/2006/relationships/hyperlink" Target="https://pncp.gov.br/app/editais/87849923000109/2025/270" TargetMode="External"/><Relationship Id="rId6" Type="http://schemas.openxmlformats.org/officeDocument/2006/relationships/hyperlink" Target="https://www.portaldecompraspublicas.com.br/processos/rs/consorcio-intermunicipal-de-saude-do-noroeste-do-estado-do-rio-grande-do-sul-cisa-184/rpe-9-2025-2025-436580" TargetMode="External"/><Relationship Id="rId11" Type="http://schemas.openxmlformats.org/officeDocument/2006/relationships/hyperlink" Target="https://www.portaldecompraspublicas.com.br/processos/rs/prefeitura-municipal-de-tres-passos-1247/rpe-149-2025-2025-428954" TargetMode="External"/><Relationship Id="rId5" Type="http://schemas.openxmlformats.org/officeDocument/2006/relationships/hyperlink" Target="https://www.portaldecompraspublicas.com.br/processos/rs/prefeitura-municipal-de-santiago-277/pe-137-2025-2025-426697" TargetMode="External"/><Relationship Id="rId15" Type="http://schemas.openxmlformats.org/officeDocument/2006/relationships/hyperlink" Target="https://www.portaldecompraspublicas.com.br/processos/rs/prefeitura-municipal-de-nova-prata-50/pe-51-2025-2025-423831" TargetMode="External"/><Relationship Id="rId23" Type="http://schemas.openxmlformats.org/officeDocument/2006/relationships/printerSettings" Target="../printerSettings/printerSettings4.bin"/><Relationship Id="rId10" Type="http://schemas.openxmlformats.org/officeDocument/2006/relationships/hyperlink" Target="https://www.portaldecompraspublicas.com.br/processos/rs/prefeitura-municipal-de-itaqui-525/rpe-071-2025-2025-429905" TargetMode="External"/><Relationship Id="rId19" Type="http://schemas.openxmlformats.org/officeDocument/2006/relationships/hyperlink" Target="https://pncp.gov.br/app/atas/87890992000158/2025/781/1" TargetMode="External"/><Relationship Id="rId4" Type="http://schemas.openxmlformats.org/officeDocument/2006/relationships/hyperlink" Target="https://pncp.gov.br/app/editais/89814693000160/2025/377" TargetMode="External"/><Relationship Id="rId9" Type="http://schemas.openxmlformats.org/officeDocument/2006/relationships/hyperlink" Target="https://www.portaldecompraspublicas.com.br/processos/rs/camara-municipal-de-farroupilha-4240/de-16-2025-2025-433073" TargetMode="External"/><Relationship Id="rId14" Type="http://schemas.openxmlformats.org/officeDocument/2006/relationships/hyperlink" Target="https://www.portaldecompraspublicas.com.br/processos/rs/prefeitura-municipal-de-sao-borja-1482/pe-32-2023-2023-243133" TargetMode="External"/><Relationship Id="rId22" Type="http://schemas.openxmlformats.org/officeDocument/2006/relationships/hyperlink" Target="https://www.gov.br/anp/pt-br/assuntos/precos-e-defesa-da-concorrencia/precos/levantamento-de-precos-de-combustiveis-ultimas-semanas-pesquisad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576B8-B21C-42E3-8866-D169C12F5FB4}">
  <sheetPr>
    <pageSetUpPr fitToPage="1"/>
  </sheetPr>
  <dimension ref="A1:G282"/>
  <sheetViews>
    <sheetView tabSelected="1" view="pageBreakPreview" zoomScaleNormal="100" zoomScaleSheetLayoutView="100" workbookViewId="0">
      <selection activeCell="B293" sqref="B293"/>
    </sheetView>
  </sheetViews>
  <sheetFormatPr defaultRowHeight="12.75" x14ac:dyDescent="0.2"/>
  <cols>
    <col min="1" max="1" width="44.5703125" style="7" customWidth="1"/>
    <col min="2" max="2" width="16" style="7" bestFit="1" customWidth="1"/>
    <col min="3" max="3" width="11.85546875" style="7" customWidth="1"/>
    <col min="4" max="4" width="14.7109375" style="8" customWidth="1"/>
    <col min="5" max="5" width="15.42578125" style="8" customWidth="1"/>
    <col min="6" max="6" width="13.28515625" style="8" customWidth="1"/>
    <col min="7" max="7" width="28.140625" style="8" customWidth="1"/>
    <col min="8" max="8" width="9.140625" style="7"/>
    <col min="9" max="9" width="14.5703125" style="7" customWidth="1"/>
    <col min="10" max="10" width="13.42578125" style="7" customWidth="1"/>
    <col min="11" max="16384" width="9.140625" style="7"/>
  </cols>
  <sheetData>
    <row r="1" spans="1:7" ht="15.75" x14ac:dyDescent="0.2">
      <c r="A1" s="41"/>
    </row>
    <row r="2" spans="1:7" ht="15.75" x14ac:dyDescent="0.2">
      <c r="A2" s="139"/>
    </row>
    <row r="3" spans="1:7" ht="15.75" x14ac:dyDescent="0.2">
      <c r="A3" s="139"/>
    </row>
    <row r="4" spans="1:7" ht="15.75" x14ac:dyDescent="0.2">
      <c r="A4" s="139"/>
    </row>
    <row r="5" spans="1:7" s="2" customFormat="1" ht="15.6" customHeight="1" x14ac:dyDescent="0.2">
      <c r="A5" s="138"/>
      <c r="C5" s="3"/>
      <c r="D5" s="3"/>
      <c r="E5" s="3"/>
      <c r="F5" s="3"/>
      <c r="G5" s="4"/>
    </row>
    <row r="6" spans="1:7" s="2" customFormat="1" ht="15.6" customHeight="1" x14ac:dyDescent="0.2">
      <c r="A6" s="138"/>
      <c r="C6" s="3"/>
      <c r="D6" s="3"/>
      <c r="E6" s="3"/>
      <c r="F6" s="3"/>
      <c r="G6" s="4"/>
    </row>
    <row r="7" spans="1:7" s="2" customFormat="1" ht="15.6" customHeight="1" x14ac:dyDescent="0.2">
      <c r="A7" s="318" t="s">
        <v>297</v>
      </c>
      <c r="B7" s="318"/>
      <c r="C7" s="318"/>
      <c r="D7" s="318"/>
      <c r="E7" s="318"/>
      <c r="F7" s="318"/>
      <c r="G7" s="4"/>
    </row>
    <row r="8" spans="1:7" s="2" customFormat="1" ht="15.6" customHeight="1" x14ac:dyDescent="0.2">
      <c r="A8" s="318"/>
      <c r="B8" s="318"/>
      <c r="C8" s="318"/>
      <c r="D8" s="318"/>
      <c r="E8" s="318"/>
      <c r="F8" s="318"/>
      <c r="G8" s="4"/>
    </row>
    <row r="9" spans="1:7" s="6" customFormat="1" ht="21.75" customHeight="1" x14ac:dyDescent="0.2">
      <c r="A9" s="302" t="s">
        <v>298</v>
      </c>
      <c r="B9" s="303"/>
      <c r="C9" s="303"/>
      <c r="D9" s="303"/>
      <c r="E9" s="303"/>
      <c r="F9" s="304"/>
      <c r="G9" s="29"/>
    </row>
    <row r="10" spans="1:7" s="2" customFormat="1" ht="10.9" customHeight="1" thickBot="1" x14ac:dyDescent="0.25">
      <c r="A10" s="98"/>
      <c r="B10" s="3"/>
      <c r="C10" s="3"/>
      <c r="D10" s="99"/>
      <c r="E10" s="99"/>
      <c r="F10" s="100"/>
      <c r="G10" s="4"/>
    </row>
    <row r="11" spans="1:7" s="2" customFormat="1" ht="15.75" customHeight="1" thickBot="1" x14ac:dyDescent="0.25">
      <c r="A11" s="331" t="s">
        <v>96</v>
      </c>
      <c r="B11" s="332"/>
      <c r="C11" s="332"/>
      <c r="D11" s="332"/>
      <c r="E11" s="332"/>
      <c r="F11" s="333"/>
      <c r="G11" s="4"/>
    </row>
    <row r="12" spans="1:7" s="2" customFormat="1" ht="15.75" customHeight="1" x14ac:dyDescent="0.2">
      <c r="A12" s="48" t="s">
        <v>95</v>
      </c>
      <c r="B12" s="30"/>
      <c r="C12" s="30"/>
      <c r="D12" s="133"/>
      <c r="E12" s="75" t="s">
        <v>15</v>
      </c>
      <c r="F12" s="31" t="s">
        <v>2</v>
      </c>
      <c r="G12" s="4"/>
    </row>
    <row r="13" spans="1:7" s="9" customFormat="1" ht="15.75" customHeight="1" x14ac:dyDescent="0.2">
      <c r="A13" s="81" t="str">
        <f>A42</f>
        <v>1. Mão-de-obra</v>
      </c>
      <c r="B13" s="82"/>
      <c r="C13" s="83"/>
      <c r="D13" s="83"/>
      <c r="E13" s="130">
        <f>SUM(E14:E22)</f>
        <v>108452.30493623418</v>
      </c>
      <c r="F13" s="84">
        <f>IFERROR(E13/$E$28,0)</f>
        <v>0.74107608650232315</v>
      </c>
      <c r="G13" s="34"/>
    </row>
    <row r="14" spans="1:7" s="2" customFormat="1" ht="15.75" customHeight="1" x14ac:dyDescent="0.2">
      <c r="A14" s="38" t="str">
        <f>A44</f>
        <v xml:space="preserve">1.1. Auxiliar de Limpeza </v>
      </c>
      <c r="B14" s="35"/>
      <c r="C14" s="36"/>
      <c r="D14" s="36"/>
      <c r="E14" s="131">
        <f>(F55+F68)</f>
        <v>56481.183464449641</v>
      </c>
      <c r="F14" s="42">
        <f t="shared" ref="F14:F21" si="0">IFERROR(E14/$E$28,0)</f>
        <v>0.38594711682213023</v>
      </c>
      <c r="G14" s="4"/>
    </row>
    <row r="15" spans="1:7" s="2" customFormat="1" ht="15.75" customHeight="1" x14ac:dyDescent="0.2">
      <c r="A15" s="38" t="str">
        <f>A70</f>
        <v>1.2. Supervisor</v>
      </c>
      <c r="B15" s="35"/>
      <c r="C15" s="36"/>
      <c r="D15" s="36"/>
      <c r="E15" s="131">
        <f>F83</f>
        <v>7097.2697017344381</v>
      </c>
      <c r="F15" s="42">
        <f t="shared" si="0"/>
        <v>4.8497050002812951E-2</v>
      </c>
      <c r="G15" s="4"/>
    </row>
    <row r="16" spans="1:7" s="2" customFormat="1" ht="15.75" customHeight="1" x14ac:dyDescent="0.2">
      <c r="A16" s="38" t="str">
        <f>A85</f>
        <v xml:space="preserve">1.3. Vigia Turno Noite </v>
      </c>
      <c r="B16" s="35"/>
      <c r="C16" s="36"/>
      <c r="D16" s="36"/>
      <c r="E16" s="131">
        <f>F104</f>
        <v>11363.840061677776</v>
      </c>
      <c r="F16" s="42">
        <f t="shared" si="0"/>
        <v>7.765137057712132E-2</v>
      </c>
      <c r="G16" s="4"/>
    </row>
    <row r="17" spans="1:7" s="2" customFormat="1" ht="15.75" customHeight="1" x14ac:dyDescent="0.2">
      <c r="A17" s="269" t="str">
        <f>A106</f>
        <v xml:space="preserve">1.4. Folguista Auxiliar de Limpeza </v>
      </c>
      <c r="B17" s="35"/>
      <c r="C17" s="36"/>
      <c r="D17" s="36"/>
      <c r="E17" s="131">
        <f>F117</f>
        <v>10840.602496014786</v>
      </c>
      <c r="F17" s="42">
        <f t="shared" si="0"/>
        <v>7.4075984625660743E-2</v>
      </c>
      <c r="G17" s="4"/>
    </row>
    <row r="18" spans="1:7" s="2" customFormat="1" ht="15.75" customHeight="1" x14ac:dyDescent="0.2">
      <c r="A18" s="269" t="str">
        <f>A119</f>
        <v>1.5. Folguista Vigia Turno Noite</v>
      </c>
      <c r="B18" s="35"/>
      <c r="C18" s="36"/>
      <c r="D18" s="36"/>
      <c r="E18" s="131">
        <f>F138</f>
        <v>2022.9036379985455</v>
      </c>
      <c r="F18" s="42">
        <f t="shared" si="0"/>
        <v>1.3822901341752973E-2</v>
      </c>
      <c r="G18" s="4"/>
    </row>
    <row r="19" spans="1:7" s="2" customFormat="1" ht="15.75" customHeight="1" x14ac:dyDescent="0.2">
      <c r="A19" s="38" t="str">
        <f>A140</f>
        <v>1.5. Vale Transporte</v>
      </c>
      <c r="B19" s="35"/>
      <c r="C19" s="36"/>
      <c r="D19" s="36"/>
      <c r="E19" s="131">
        <f>F146</f>
        <v>5280.4915743589736</v>
      </c>
      <c r="F19" s="42">
        <f t="shared" si="0"/>
        <v>3.6082645113308366E-2</v>
      </c>
      <c r="G19" s="4"/>
    </row>
    <row r="20" spans="1:7" s="2" customFormat="1" ht="15.75" customHeight="1" x14ac:dyDescent="0.2">
      <c r="A20" s="38" t="str">
        <f>A148</f>
        <v>1.6. Auxílio Alimentação (diário)</v>
      </c>
      <c r="B20" s="35"/>
      <c r="C20" s="36"/>
      <c r="D20" s="36"/>
      <c r="E20" s="131">
        <f>F154</f>
        <v>6108.4260000000013</v>
      </c>
      <c r="F20" s="42">
        <f t="shared" si="0"/>
        <v>4.1740085076390321E-2</v>
      </c>
      <c r="G20" s="4"/>
    </row>
    <row r="21" spans="1:7" s="2" customFormat="1" ht="15.75" customHeight="1" x14ac:dyDescent="0.2">
      <c r="A21" s="38" t="str">
        <f>A156</f>
        <v>1.7. Auxílio Lanche (diário)</v>
      </c>
      <c r="B21" s="35"/>
      <c r="C21" s="36"/>
      <c r="D21" s="36"/>
      <c r="E21" s="131">
        <f>F161</f>
        <v>2196.2880000000005</v>
      </c>
      <c r="F21" s="42">
        <f t="shared" si="0"/>
        <v>1.5007671038702137E-2</v>
      </c>
      <c r="G21" s="4"/>
    </row>
    <row r="22" spans="1:7" s="9" customFormat="1" ht="15.75" customHeight="1" x14ac:dyDescent="0.2">
      <c r="A22" s="38" t="str">
        <f>A163</f>
        <v>1.8. Plano Benefício Familiar (mensal)</v>
      </c>
      <c r="B22" s="35"/>
      <c r="C22" s="36"/>
      <c r="D22" s="36"/>
      <c r="E22" s="294">
        <f>F168</f>
        <v>7061.3</v>
      </c>
      <c r="F22" s="84">
        <f>IFERROR(E22/$E$28,0)</f>
        <v>4.825126190444394E-2</v>
      </c>
      <c r="G22" s="34"/>
    </row>
    <row r="23" spans="1:7" s="9" customFormat="1" ht="15.75" customHeight="1" x14ac:dyDescent="0.2">
      <c r="A23" s="337" t="str">
        <f>A172</f>
        <v>2. Uniformes e Equipamentos de Proteção Individual</v>
      </c>
      <c r="B23" s="338"/>
      <c r="C23" s="338"/>
      <c r="D23" s="83"/>
      <c r="E23" s="130">
        <f>F194</f>
        <v>1865.8815738636365</v>
      </c>
      <c r="F23" s="84">
        <f t="shared" ref="F23:F27" si="1">IFERROR(E23/$E$28,0)</f>
        <v>1.2749938467869993E-2</v>
      </c>
      <c r="G23" s="34"/>
    </row>
    <row r="24" spans="1:7" s="2" customFormat="1" ht="15.75" customHeight="1" x14ac:dyDescent="0.2">
      <c r="A24" s="92" t="str">
        <f>A197</f>
        <v xml:space="preserve">3. Veículos </v>
      </c>
      <c r="B24" s="93"/>
      <c r="C24" s="83"/>
      <c r="D24" s="36"/>
      <c r="E24" s="130">
        <f>F204</f>
        <v>3375.2700000000004</v>
      </c>
      <c r="F24" s="84">
        <f t="shared" si="1"/>
        <v>2.3063888627903151E-2</v>
      </c>
      <c r="G24" s="4"/>
    </row>
    <row r="25" spans="1:7" s="9" customFormat="1" ht="15.75" customHeight="1" x14ac:dyDescent="0.2">
      <c r="A25" s="92" t="str">
        <f>A206</f>
        <v>4. Materiais de Consumo Mensal</v>
      </c>
      <c r="B25" s="93"/>
      <c r="C25" s="83"/>
      <c r="D25" s="83"/>
      <c r="E25" s="130">
        <f>F243</f>
        <v>10086.312394145129</v>
      </c>
      <c r="F25" s="84">
        <f t="shared" si="1"/>
        <v>6.8921770917527311E-2</v>
      </c>
      <c r="G25" s="34"/>
    </row>
    <row r="26" spans="1:7" s="9" customFormat="1" ht="15.75" customHeight="1" x14ac:dyDescent="0.2">
      <c r="A26" s="92" t="str">
        <f>A244</f>
        <v>5. Equipamentos de Consumo Anual</v>
      </c>
      <c r="B26" s="93"/>
      <c r="C26" s="83"/>
      <c r="D26" s="83"/>
      <c r="E26" s="130">
        <f>F249</f>
        <v>199.12299999999999</v>
      </c>
      <c r="F26" s="84">
        <f t="shared" si="1"/>
        <v>1.3606469098039441E-3</v>
      </c>
      <c r="G26" s="34"/>
    </row>
    <row r="27" spans="1:7" s="9" customFormat="1" ht="15.75" customHeight="1" thickBot="1" x14ac:dyDescent="0.25">
      <c r="A27" s="92" t="str">
        <f>A256</f>
        <v>6. Benefícios e Despesas Indiretas - BDI</v>
      </c>
      <c r="B27" s="270"/>
      <c r="C27" s="83"/>
      <c r="D27" s="83"/>
      <c r="E27" s="132">
        <f>F260</f>
        <v>22365.46721291525</v>
      </c>
      <c r="F27" s="84">
        <f t="shared" si="1"/>
        <v>0.15282766857457233</v>
      </c>
      <c r="G27" s="34"/>
    </row>
    <row r="28" spans="1:7" s="2" customFormat="1" ht="15.75" customHeight="1" thickBot="1" x14ac:dyDescent="0.25">
      <c r="A28" s="32" t="s">
        <v>107</v>
      </c>
      <c r="B28" s="33"/>
      <c r="C28" s="22"/>
      <c r="D28" s="22"/>
      <c r="E28" s="74">
        <f>E13+E23+E24+E25+E26+E27</f>
        <v>146344.35911715822</v>
      </c>
      <c r="F28" s="96">
        <f>F13+F23+F25+F26+F27+F24</f>
        <v>0.99999999999999978</v>
      </c>
      <c r="G28" s="4">
        <f>E28+F117</f>
        <v>157184.96161317301</v>
      </c>
    </row>
    <row r="30" spans="1:7" ht="13.5" thickBot="1" x14ac:dyDescent="0.25"/>
    <row r="31" spans="1:7" s="2" customFormat="1" ht="15" customHeight="1" thickBot="1" x14ac:dyDescent="0.25">
      <c r="A31" s="331" t="s">
        <v>43</v>
      </c>
      <c r="B31" s="332"/>
      <c r="C31" s="332"/>
      <c r="D31" s="332"/>
      <c r="E31" s="333"/>
      <c r="F31" s="8"/>
      <c r="G31" s="4"/>
    </row>
    <row r="32" spans="1:7" s="2" customFormat="1" ht="15" customHeight="1" thickBot="1" x14ac:dyDescent="0.25">
      <c r="A32" s="334" t="s">
        <v>16</v>
      </c>
      <c r="B32" s="335"/>
      <c r="C32" s="335"/>
      <c r="D32" s="336"/>
      <c r="E32" s="287" t="s">
        <v>17</v>
      </c>
      <c r="F32" s="8"/>
      <c r="G32" s="4"/>
    </row>
    <row r="33" spans="1:7" s="2" customFormat="1" ht="15" customHeight="1" x14ac:dyDescent="0.2">
      <c r="A33" s="55" t="str">
        <f>+A44</f>
        <v xml:space="preserve">1.1. Auxiliar de Limpeza </v>
      </c>
      <c r="B33" s="56"/>
      <c r="C33" s="56"/>
      <c r="D33" s="57"/>
      <c r="E33" s="58">
        <f>C54+C67</f>
        <v>16</v>
      </c>
      <c r="F33" s="8"/>
      <c r="G33" s="4"/>
    </row>
    <row r="34" spans="1:7" s="2" customFormat="1" ht="15" customHeight="1" x14ac:dyDescent="0.2">
      <c r="A34" s="50" t="str">
        <f>+A70</f>
        <v>1.2. Supervisor</v>
      </c>
      <c r="B34" s="49"/>
      <c r="C34" s="49"/>
      <c r="D34" s="59"/>
      <c r="E34" s="52">
        <f>C82</f>
        <v>1</v>
      </c>
      <c r="F34" s="8"/>
      <c r="G34" s="4"/>
    </row>
    <row r="35" spans="1:7" s="2" customFormat="1" ht="15" customHeight="1" x14ac:dyDescent="0.2">
      <c r="A35" s="50" t="str">
        <f>+A85</f>
        <v xml:space="preserve">1.3. Vigia Turno Noite </v>
      </c>
      <c r="B35" s="49"/>
      <c r="C35" s="49"/>
      <c r="D35" s="59"/>
      <c r="E35" s="52">
        <v>3</v>
      </c>
      <c r="F35" s="8"/>
      <c r="G35" s="4"/>
    </row>
    <row r="36" spans="1:7" s="2" customFormat="1" ht="15" customHeight="1" thickBot="1" x14ac:dyDescent="0.25">
      <c r="A36" s="53" t="s">
        <v>24</v>
      </c>
      <c r="B36" s="54"/>
      <c r="C36" s="54"/>
      <c r="D36" s="60"/>
      <c r="E36" s="61">
        <f>SUM(E33:E35)</f>
        <v>20</v>
      </c>
      <c r="F36" s="8"/>
      <c r="G36" s="4"/>
    </row>
    <row r="37" spans="1:7" s="2" customFormat="1" ht="15" customHeight="1" thickBot="1" x14ac:dyDescent="0.25">
      <c r="A37" s="85"/>
      <c r="B37" s="86"/>
      <c r="C37" s="43"/>
      <c r="D37" s="43"/>
      <c r="E37" s="87"/>
      <c r="F37" s="8"/>
      <c r="G37" s="4"/>
    </row>
    <row r="38" spans="1:7" s="2" customFormat="1" ht="15" customHeight="1" x14ac:dyDescent="0.2">
      <c r="A38" s="329" t="s">
        <v>23</v>
      </c>
      <c r="B38" s="330"/>
      <c r="C38" s="330"/>
      <c r="D38" s="330"/>
      <c r="E38" s="37" t="s">
        <v>17</v>
      </c>
      <c r="F38" s="7"/>
      <c r="G38" s="4"/>
    </row>
    <row r="39" spans="1:7" s="2" customFormat="1" ht="15" customHeight="1" thickBot="1" x14ac:dyDescent="0.25">
      <c r="A39" s="88" t="str">
        <f>A200</f>
        <v>3.1. Aluguel veículo popular s/ combustível</v>
      </c>
      <c r="B39" s="89"/>
      <c r="C39" s="89"/>
      <c r="D39" s="90"/>
      <c r="E39" s="91">
        <f>C200</f>
        <v>1</v>
      </c>
      <c r="F39" s="7"/>
      <c r="G39" s="4"/>
    </row>
    <row r="40" spans="1:7" s="2" customFormat="1" ht="15" customHeight="1" x14ac:dyDescent="0.2">
      <c r="A40" s="43"/>
      <c r="B40" s="43"/>
      <c r="C40" s="43"/>
      <c r="D40" s="7"/>
      <c r="E40" s="129"/>
      <c r="F40" s="7"/>
      <c r="G40" s="4"/>
    </row>
    <row r="41" spans="1:7" s="2" customFormat="1" ht="15.75" customHeight="1" x14ac:dyDescent="0.2">
      <c r="A41" s="43"/>
      <c r="B41" s="43"/>
      <c r="C41" s="43"/>
      <c r="D41" s="7"/>
      <c r="E41" s="51"/>
      <c r="F41" s="7"/>
      <c r="G41" s="4"/>
    </row>
    <row r="42" spans="1:7" ht="13.15" customHeight="1" x14ac:dyDescent="0.2">
      <c r="A42" s="9" t="s">
        <v>21</v>
      </c>
    </row>
    <row r="43" spans="1:7" ht="11.25" customHeight="1" x14ac:dyDescent="0.2"/>
    <row r="44" spans="1:7" ht="13.9" customHeight="1" thickBot="1" x14ac:dyDescent="0.25">
      <c r="A44" s="5" t="s">
        <v>287</v>
      </c>
    </row>
    <row r="45" spans="1:7" ht="13.9" customHeight="1" thickBot="1" x14ac:dyDescent="0.25">
      <c r="A45" s="44" t="s">
        <v>25</v>
      </c>
      <c r="B45" s="45" t="s">
        <v>26</v>
      </c>
      <c r="C45" s="45" t="s">
        <v>17</v>
      </c>
      <c r="D45" s="46" t="s">
        <v>106</v>
      </c>
      <c r="E45" s="46" t="s">
        <v>27</v>
      </c>
      <c r="F45" s="47" t="s">
        <v>28</v>
      </c>
    </row>
    <row r="46" spans="1:7" ht="13.15" customHeight="1" x14ac:dyDescent="0.2">
      <c r="A46" s="11" t="s">
        <v>97</v>
      </c>
      <c r="B46" s="213" t="s">
        <v>0</v>
      </c>
      <c r="C46" s="12">
        <v>220</v>
      </c>
      <c r="D46" s="64">
        <f>1653.58/220</f>
        <v>7.5162727272727272</v>
      </c>
      <c r="E46" s="13">
        <f>C46*D46</f>
        <v>1653.58</v>
      </c>
    </row>
    <row r="47" spans="1:7" x14ac:dyDescent="0.2">
      <c r="A47" s="14" t="s">
        <v>12</v>
      </c>
      <c r="B47" s="15" t="s">
        <v>0</v>
      </c>
      <c r="C47" s="65">
        <f>(52/12*2)+0.75</f>
        <v>9.4166666666666661</v>
      </c>
      <c r="D47" s="16">
        <f>D46*2</f>
        <v>15.032545454545454</v>
      </c>
      <c r="E47" s="16">
        <f>C47*D47</f>
        <v>141.55646969696969</v>
      </c>
      <c r="G47" s="8" t="s">
        <v>109</v>
      </c>
    </row>
    <row r="48" spans="1:7" ht="13.15" customHeight="1" x14ac:dyDescent="0.2">
      <c r="A48" s="14" t="s">
        <v>13</v>
      </c>
      <c r="B48" s="15" t="s">
        <v>0</v>
      </c>
      <c r="C48" s="65">
        <f>(52/12*2)+3.75</f>
        <v>12.416666666666666</v>
      </c>
      <c r="D48" s="16">
        <f>D46*1.5</f>
        <v>11.27440909090909</v>
      </c>
      <c r="E48" s="16">
        <f>C48*D48</f>
        <v>139.99057954545452</v>
      </c>
      <c r="G48" s="8" t="s">
        <v>111</v>
      </c>
    </row>
    <row r="49" spans="1:7" ht="13.15" customHeight="1" x14ac:dyDescent="0.2">
      <c r="A49" s="14" t="s">
        <v>101</v>
      </c>
      <c r="B49" s="15" t="s">
        <v>11</v>
      </c>
      <c r="D49" s="16">
        <f>63/302*(SUM(E47:E48))</f>
        <v>58.733324841962677</v>
      </c>
      <c r="E49" s="16">
        <f>D49</f>
        <v>58.733324841962677</v>
      </c>
      <c r="G49" s="8" t="s">
        <v>100</v>
      </c>
    </row>
    <row r="50" spans="1:7" x14ac:dyDescent="0.2">
      <c r="A50" s="14" t="s">
        <v>1</v>
      </c>
      <c r="B50" s="15" t="s">
        <v>2</v>
      </c>
      <c r="C50" s="15">
        <v>40</v>
      </c>
      <c r="D50" s="62">
        <f>SUM(E46:E49)</f>
        <v>1993.8603740843869</v>
      </c>
      <c r="E50" s="16">
        <f>C50*D50/100</f>
        <v>797.54414963375473</v>
      </c>
    </row>
    <row r="51" spans="1:7" x14ac:dyDescent="0.2">
      <c r="A51" s="76" t="s">
        <v>3</v>
      </c>
      <c r="B51" s="77"/>
      <c r="C51" s="77"/>
      <c r="D51" s="78"/>
      <c r="E51" s="79">
        <f>SUM(E46:E50)</f>
        <v>2791.4045237181417</v>
      </c>
    </row>
    <row r="52" spans="1:7" x14ac:dyDescent="0.2">
      <c r="A52" s="14" t="s">
        <v>4</v>
      </c>
      <c r="B52" s="15" t="s">
        <v>2</v>
      </c>
      <c r="C52" s="95">
        <f>'Encargos Sociais'!$C$40*100</f>
        <v>72.468000000000004</v>
      </c>
      <c r="D52" s="16">
        <f>E51</f>
        <v>2791.4045237181417</v>
      </c>
      <c r="E52" s="16">
        <f>D52*C52/100</f>
        <v>2022.875030248063</v>
      </c>
    </row>
    <row r="53" spans="1:7" x14ac:dyDescent="0.2">
      <c r="A53" s="76" t="s">
        <v>29</v>
      </c>
      <c r="B53" s="77"/>
      <c r="C53" s="77"/>
      <c r="D53" s="78"/>
      <c r="E53" s="79">
        <f>E51+E52</f>
        <v>4814.2795539662047</v>
      </c>
    </row>
    <row r="54" spans="1:7" ht="13.5" thickBot="1" x14ac:dyDescent="0.25">
      <c r="A54" s="14" t="s">
        <v>5</v>
      </c>
      <c r="B54" s="15" t="s">
        <v>6</v>
      </c>
      <c r="C54" s="63">
        <v>8</v>
      </c>
      <c r="D54" s="16">
        <f>E53</f>
        <v>4814.2795539662047</v>
      </c>
      <c r="E54" s="16">
        <f>C54*D54</f>
        <v>38514.236431729638</v>
      </c>
      <c r="G54" s="4"/>
    </row>
    <row r="55" spans="1:7" ht="15" customHeight="1" thickBot="1" x14ac:dyDescent="0.25">
      <c r="D55" s="80" t="s">
        <v>92</v>
      </c>
      <c r="E55" s="275">
        <v>1</v>
      </c>
      <c r="F55" s="17">
        <f>E54*E55</f>
        <v>38514.236431729638</v>
      </c>
    </row>
    <row r="56" spans="1:7" ht="11.25" customHeight="1" x14ac:dyDescent="0.2"/>
    <row r="57" spans="1:7" ht="11.25" customHeight="1" thickBot="1" x14ac:dyDescent="0.25">
      <c r="A57" s="5" t="s">
        <v>286</v>
      </c>
    </row>
    <row r="58" spans="1:7" ht="11.25" customHeight="1" thickBot="1" x14ac:dyDescent="0.25">
      <c r="A58" s="44" t="s">
        <v>25</v>
      </c>
      <c r="B58" s="45" t="s">
        <v>26</v>
      </c>
      <c r="C58" s="45" t="s">
        <v>17</v>
      </c>
      <c r="D58" s="46" t="s">
        <v>106</v>
      </c>
      <c r="E58" s="46" t="s">
        <v>27</v>
      </c>
      <c r="F58" s="47" t="s">
        <v>28</v>
      </c>
    </row>
    <row r="59" spans="1:7" ht="11.25" customHeight="1" x14ac:dyDescent="0.2">
      <c r="A59" s="11" t="s">
        <v>97</v>
      </c>
      <c r="B59" s="213" t="s">
        <v>0</v>
      </c>
      <c r="C59" s="12">
        <v>165</v>
      </c>
      <c r="D59" s="64">
        <f>1653.58/220</f>
        <v>7.5162727272727272</v>
      </c>
      <c r="E59" s="13">
        <f>C59*D59</f>
        <v>1240.1849999999999</v>
      </c>
    </row>
    <row r="60" spans="1:7" ht="11.25" customHeight="1" x14ac:dyDescent="0.2">
      <c r="A60" s="14" t="s">
        <v>12</v>
      </c>
      <c r="B60" s="15" t="s">
        <v>0</v>
      </c>
      <c r="C60" s="65">
        <v>0</v>
      </c>
      <c r="D60" s="16">
        <f>D59*2</f>
        <v>15.032545454545454</v>
      </c>
      <c r="E60" s="16">
        <f>C60*D60</f>
        <v>0</v>
      </c>
    </row>
    <row r="61" spans="1:7" ht="11.25" customHeight="1" x14ac:dyDescent="0.2">
      <c r="A61" s="14" t="s">
        <v>13</v>
      </c>
      <c r="B61" s="15" t="s">
        <v>0</v>
      </c>
      <c r="C61" s="65">
        <v>0</v>
      </c>
      <c r="D61" s="16">
        <f>D59*1.5</f>
        <v>11.27440909090909</v>
      </c>
      <c r="E61" s="16">
        <f>C61*D61</f>
        <v>0</v>
      </c>
    </row>
    <row r="62" spans="1:7" ht="11.25" customHeight="1" x14ac:dyDescent="0.2">
      <c r="A62" s="14" t="s">
        <v>101</v>
      </c>
      <c r="B62" s="15" t="s">
        <v>11</v>
      </c>
      <c r="D62" s="16">
        <f>63/302*(SUM(E60:E61))</f>
        <v>0</v>
      </c>
      <c r="E62" s="16">
        <f>D62</f>
        <v>0</v>
      </c>
    </row>
    <row r="63" spans="1:7" ht="11.25" customHeight="1" x14ac:dyDescent="0.2">
      <c r="A63" s="14" t="s">
        <v>1</v>
      </c>
      <c r="B63" s="15" t="s">
        <v>2</v>
      </c>
      <c r="C63" s="15">
        <v>40</v>
      </c>
      <c r="D63" s="62">
        <f>SUM(E59:E62)</f>
        <v>1240.1849999999999</v>
      </c>
      <c r="E63" s="16">
        <f>C63*D63/100</f>
        <v>496.07399999999996</v>
      </c>
    </row>
    <row r="64" spans="1:7" ht="11.25" customHeight="1" x14ac:dyDescent="0.2">
      <c r="A64" s="76" t="s">
        <v>3</v>
      </c>
      <c r="B64" s="77"/>
      <c r="C64" s="77"/>
      <c r="D64" s="78"/>
      <c r="E64" s="79">
        <f>SUM(E59:E63)</f>
        <v>1736.259</v>
      </c>
    </row>
    <row r="65" spans="1:7" ht="11.25" customHeight="1" x14ac:dyDescent="0.2">
      <c r="A65" s="14" t="s">
        <v>4</v>
      </c>
      <c r="B65" s="15" t="s">
        <v>2</v>
      </c>
      <c r="C65" s="95">
        <f>'Encargos Sociais'!$C$40*100</f>
        <v>72.468000000000004</v>
      </c>
      <c r="D65" s="16">
        <f>E64</f>
        <v>1736.259</v>
      </c>
      <c r="E65" s="16">
        <f>D65*C65/100</f>
        <v>1258.2321721200001</v>
      </c>
    </row>
    <row r="66" spans="1:7" ht="11.25" customHeight="1" x14ac:dyDescent="0.2">
      <c r="A66" s="76" t="s">
        <v>29</v>
      </c>
      <c r="B66" s="77"/>
      <c r="C66" s="77"/>
      <c r="D66" s="78"/>
      <c r="E66" s="79">
        <f>E64+E65</f>
        <v>2994.4911721200001</v>
      </c>
    </row>
    <row r="67" spans="1:7" ht="11.25" customHeight="1" thickBot="1" x14ac:dyDescent="0.25">
      <c r="A67" s="14" t="s">
        <v>5</v>
      </c>
      <c r="B67" s="15" t="s">
        <v>6</v>
      </c>
      <c r="C67" s="63">
        <v>8</v>
      </c>
      <c r="D67" s="16">
        <f>E66</f>
        <v>2994.4911721200001</v>
      </c>
      <c r="E67" s="16">
        <f>C67*D67</f>
        <v>23955.929376960001</v>
      </c>
    </row>
    <row r="68" spans="1:7" ht="11.25" customHeight="1" thickBot="1" x14ac:dyDescent="0.25">
      <c r="D68" s="80" t="s">
        <v>92</v>
      </c>
      <c r="E68" s="275">
        <v>0.75</v>
      </c>
      <c r="F68" s="17">
        <f>E67*E68</f>
        <v>17966.94703272</v>
      </c>
    </row>
    <row r="69" spans="1:7" ht="11.25" customHeight="1" x14ac:dyDescent="0.2"/>
    <row r="70" spans="1:7" ht="13.5" thickBot="1" x14ac:dyDescent="0.25">
      <c r="A70" s="5" t="s">
        <v>118</v>
      </c>
    </row>
    <row r="71" spans="1:7" s="10" customFormat="1" ht="13.15" customHeight="1" thickBot="1" x14ac:dyDescent="0.25">
      <c r="A71" s="44" t="s">
        <v>25</v>
      </c>
      <c r="B71" s="45" t="s">
        <v>26</v>
      </c>
      <c r="C71" s="45" t="s">
        <v>17</v>
      </c>
      <c r="D71" s="46" t="s">
        <v>106</v>
      </c>
      <c r="E71" s="46" t="s">
        <v>27</v>
      </c>
      <c r="F71" s="47" t="s">
        <v>28</v>
      </c>
      <c r="G71" s="8"/>
    </row>
    <row r="72" spans="1:7" x14ac:dyDescent="0.2">
      <c r="A72" s="140" t="s">
        <v>116</v>
      </c>
      <c r="B72" s="213" t="s">
        <v>0</v>
      </c>
      <c r="C72" s="12">
        <v>220</v>
      </c>
      <c r="D72" s="64">
        <f>3020.09/C72</f>
        <v>13.72768181818182</v>
      </c>
      <c r="E72" s="13">
        <f>C72*D72</f>
        <v>3020.09</v>
      </c>
    </row>
    <row r="73" spans="1:7" x14ac:dyDescent="0.2">
      <c r="A73" s="140" t="s">
        <v>117</v>
      </c>
      <c r="B73" s="12" t="s">
        <v>8</v>
      </c>
      <c r="C73" s="12">
        <v>1</v>
      </c>
      <c r="D73" s="64">
        <v>1518</v>
      </c>
      <c r="E73" s="13"/>
    </row>
    <row r="74" spans="1:7" x14ac:dyDescent="0.2">
      <c r="A74" s="14" t="s">
        <v>12</v>
      </c>
      <c r="B74" s="15" t="s">
        <v>0</v>
      </c>
      <c r="C74" s="65">
        <v>0</v>
      </c>
      <c r="D74" s="16">
        <f>D72*2</f>
        <v>27.455363636363639</v>
      </c>
      <c r="E74" s="16">
        <f>C74*D74</f>
        <v>0</v>
      </c>
      <c r="G74" s="8" t="s">
        <v>109</v>
      </c>
    </row>
    <row r="75" spans="1:7" x14ac:dyDescent="0.2">
      <c r="A75" s="14" t="s">
        <v>13</v>
      </c>
      <c r="B75" s="15" t="s">
        <v>0</v>
      </c>
      <c r="C75" s="65">
        <v>44</v>
      </c>
      <c r="D75" s="16">
        <f>D72*1.5</f>
        <v>20.591522727272729</v>
      </c>
      <c r="E75" s="16">
        <f>C75*D75</f>
        <v>906.02700000000004</v>
      </c>
      <c r="G75" s="8" t="s">
        <v>111</v>
      </c>
    </row>
    <row r="76" spans="1:7" ht="13.15" customHeight="1" x14ac:dyDescent="0.2">
      <c r="A76" s="14" t="s">
        <v>101</v>
      </c>
      <c r="B76" s="15" t="s">
        <v>11</v>
      </c>
      <c r="D76" s="16">
        <f>63/302*(SUM(E74:E75))</f>
        <v>189.00563245033115</v>
      </c>
      <c r="E76" s="16">
        <f>D76</f>
        <v>189.00563245033115</v>
      </c>
      <c r="G76" s="8" t="s">
        <v>100</v>
      </c>
    </row>
    <row r="77" spans="1:7" x14ac:dyDescent="0.2">
      <c r="A77" s="14" t="s">
        <v>98</v>
      </c>
      <c r="B77" s="15"/>
      <c r="C77" s="67"/>
      <c r="D77" s="16"/>
      <c r="E77" s="16"/>
    </row>
    <row r="78" spans="1:7" x14ac:dyDescent="0.2">
      <c r="A78" s="14" t="s">
        <v>1</v>
      </c>
      <c r="B78" s="15" t="s">
        <v>2</v>
      </c>
      <c r="C78" s="63"/>
      <c r="D78" s="62">
        <f>IF(C77=2,SUM(E72:E76),IF(C77=1,(SUM(E72:E76))*D73/D72,0))</f>
        <v>0</v>
      </c>
      <c r="E78" s="16">
        <f>C78*D78/100</f>
        <v>0</v>
      </c>
    </row>
    <row r="79" spans="1:7" s="9" customFormat="1" x14ac:dyDescent="0.2">
      <c r="A79" s="72" t="s">
        <v>3</v>
      </c>
      <c r="B79" s="77"/>
      <c r="C79" s="77"/>
      <c r="D79" s="78"/>
      <c r="E79" s="73">
        <f>SUM(E72:E78)</f>
        <v>4115.1226324503314</v>
      </c>
      <c r="F79" s="34"/>
      <c r="G79" s="34"/>
    </row>
    <row r="80" spans="1:7" x14ac:dyDescent="0.2">
      <c r="A80" s="14" t="s">
        <v>4</v>
      </c>
      <c r="B80" s="15" t="s">
        <v>2</v>
      </c>
      <c r="C80" s="95">
        <f>'Encargos Sociais'!$C$40*100</f>
        <v>72.468000000000004</v>
      </c>
      <c r="D80" s="16">
        <f>E79</f>
        <v>4115.1226324503314</v>
      </c>
      <c r="E80" s="16">
        <f>D80*C80/100</f>
        <v>2982.1470692841062</v>
      </c>
    </row>
    <row r="81" spans="1:7" s="9" customFormat="1" x14ac:dyDescent="0.2">
      <c r="A81" s="72" t="s">
        <v>113</v>
      </c>
      <c r="B81" s="134"/>
      <c r="C81" s="134"/>
      <c r="D81" s="135"/>
      <c r="E81" s="73">
        <f>E79+E80</f>
        <v>7097.2697017344381</v>
      </c>
      <c r="F81" s="34"/>
      <c r="G81" s="34"/>
    </row>
    <row r="82" spans="1:7" ht="13.5" thickBot="1" x14ac:dyDescent="0.25">
      <c r="A82" s="14" t="s">
        <v>5</v>
      </c>
      <c r="B82" s="15" t="s">
        <v>6</v>
      </c>
      <c r="C82" s="63">
        <v>1</v>
      </c>
      <c r="D82" s="16">
        <f>E81</f>
        <v>7097.2697017344381</v>
      </c>
      <c r="E82" s="16">
        <f>C82*D82</f>
        <v>7097.2697017344381</v>
      </c>
    </row>
    <row r="83" spans="1:7" ht="13.5" thickBot="1" x14ac:dyDescent="0.25">
      <c r="D83" s="80" t="s">
        <v>92</v>
      </c>
      <c r="E83" s="275">
        <v>1</v>
      </c>
      <c r="F83" s="17">
        <f>E82*E83</f>
        <v>7097.2697017344381</v>
      </c>
    </row>
    <row r="84" spans="1:7" ht="11.25" customHeight="1" x14ac:dyDescent="0.2"/>
    <row r="85" spans="1:7" ht="13.5" thickBot="1" x14ac:dyDescent="0.25">
      <c r="A85" s="5" t="s">
        <v>292</v>
      </c>
    </row>
    <row r="86" spans="1:7" ht="13.5" thickBot="1" x14ac:dyDescent="0.25">
      <c r="A86" s="44" t="s">
        <v>25</v>
      </c>
      <c r="B86" s="45" t="s">
        <v>26</v>
      </c>
      <c r="C86" s="45" t="s">
        <v>17</v>
      </c>
      <c r="D86" s="46" t="s">
        <v>106</v>
      </c>
      <c r="E86" s="46" t="s">
        <v>27</v>
      </c>
      <c r="F86" s="47" t="s">
        <v>28</v>
      </c>
    </row>
    <row r="87" spans="1:7" x14ac:dyDescent="0.2">
      <c r="A87" s="140" t="s">
        <v>116</v>
      </c>
      <c r="B87" s="213" t="s">
        <v>0</v>
      </c>
      <c r="C87" s="12">
        <v>220</v>
      </c>
      <c r="D87" s="13">
        <f>1991.06/C87</f>
        <v>9.050272727272727</v>
      </c>
      <c r="E87" s="13">
        <f>C87*D87</f>
        <v>1991.06</v>
      </c>
    </row>
    <row r="88" spans="1:7" x14ac:dyDescent="0.2">
      <c r="A88" s="140" t="s">
        <v>117</v>
      </c>
      <c r="B88" s="12" t="s">
        <v>8</v>
      </c>
      <c r="C88" s="12">
        <v>1</v>
      </c>
      <c r="D88" s="16">
        <v>1518</v>
      </c>
      <c r="E88" s="16"/>
    </row>
    <row r="89" spans="1:7" x14ac:dyDescent="0.2">
      <c r="A89" s="14" t="s">
        <v>7</v>
      </c>
      <c r="B89" s="15" t="s">
        <v>44</v>
      </c>
      <c r="C89" s="65">
        <v>7</v>
      </c>
      <c r="D89" s="14"/>
      <c r="E89" s="14"/>
    </row>
    <row r="90" spans="1:7" x14ac:dyDescent="0.2">
      <c r="A90" s="14"/>
      <c r="B90" s="15" t="s">
        <v>46</v>
      </c>
      <c r="C90" s="16">
        <f>C89*8/7</f>
        <v>8</v>
      </c>
      <c r="D90" s="16">
        <f>D87*0.2</f>
        <v>1.8100545454545456</v>
      </c>
      <c r="E90" s="16">
        <f>C90*D90</f>
        <v>14.480436363636365</v>
      </c>
    </row>
    <row r="91" spans="1:7" x14ac:dyDescent="0.2">
      <c r="A91" s="14" t="s">
        <v>12</v>
      </c>
      <c r="B91" s="15" t="s">
        <v>0</v>
      </c>
      <c r="C91" s="65">
        <f>52/12*2</f>
        <v>8.6666666666666661</v>
      </c>
      <c r="D91" s="16">
        <f>D87*2</f>
        <v>18.100545454545454</v>
      </c>
      <c r="E91" s="16">
        <f>C91*D91</f>
        <v>156.87139393939393</v>
      </c>
      <c r="G91" s="8" t="s">
        <v>109</v>
      </c>
    </row>
    <row r="92" spans="1:7" x14ac:dyDescent="0.2">
      <c r="A92" s="14" t="s">
        <v>45</v>
      </c>
      <c r="B92" s="15" t="s">
        <v>44</v>
      </c>
      <c r="C92" s="295">
        <f>52/12*2</f>
        <v>8.6666666666666661</v>
      </c>
      <c r="D92" s="16"/>
      <c r="E92" s="16"/>
      <c r="G92" s="8" t="s">
        <v>110</v>
      </c>
    </row>
    <row r="93" spans="1:7" x14ac:dyDescent="0.2">
      <c r="A93" s="14"/>
      <c r="B93" s="15" t="s">
        <v>46</v>
      </c>
      <c r="C93" s="16">
        <f>C92*8/7</f>
        <v>9.9047619047619033</v>
      </c>
      <c r="D93" s="16">
        <f>D87/220*2*1.2</f>
        <v>9.8730247933884283E-2</v>
      </c>
      <c r="E93" s="16">
        <f>C93*D93</f>
        <v>0.97789959858323461</v>
      </c>
      <c r="G93" s="8" t="s">
        <v>110</v>
      </c>
    </row>
    <row r="94" spans="1:7" x14ac:dyDescent="0.2">
      <c r="A94" s="14" t="s">
        <v>13</v>
      </c>
      <c r="B94" s="15" t="s">
        <v>0</v>
      </c>
      <c r="C94" s="65"/>
      <c r="D94" s="16">
        <f>D87/220*1.5</f>
        <v>6.1706404958677685E-2</v>
      </c>
      <c r="E94" s="16">
        <f>C94*D94</f>
        <v>0</v>
      </c>
      <c r="G94" s="8" t="s">
        <v>111</v>
      </c>
    </row>
    <row r="95" spans="1:7" x14ac:dyDescent="0.2">
      <c r="A95" s="14" t="s">
        <v>99</v>
      </c>
      <c r="B95" s="15" t="s">
        <v>44</v>
      </c>
      <c r="C95" s="65"/>
      <c r="D95" s="16"/>
      <c r="E95" s="16"/>
      <c r="G95" s="8" t="s">
        <v>112</v>
      </c>
    </row>
    <row r="96" spans="1:7" x14ac:dyDescent="0.2">
      <c r="A96" s="14"/>
      <c r="B96" s="15" t="s">
        <v>46</v>
      </c>
      <c r="C96" s="16">
        <f>C95*8/7</f>
        <v>0</v>
      </c>
      <c r="D96" s="16">
        <f>D87/220*1.5*1.2</f>
        <v>7.4047685950413222E-2</v>
      </c>
      <c r="E96" s="16">
        <f>C96*D96</f>
        <v>0</v>
      </c>
      <c r="G96" s="8" t="s">
        <v>112</v>
      </c>
    </row>
    <row r="97" spans="1:7" ht="13.15" customHeight="1" x14ac:dyDescent="0.2">
      <c r="A97" s="14" t="s">
        <v>101</v>
      </c>
      <c r="B97" s="15" t="s">
        <v>11</v>
      </c>
      <c r="D97" s="16">
        <f>63/302*(SUM(E91:E96))</f>
        <v>32.928826135405835</v>
      </c>
      <c r="E97" s="16">
        <f>D97</f>
        <v>32.928826135405835</v>
      </c>
      <c r="G97" s="8" t="s">
        <v>100</v>
      </c>
    </row>
    <row r="98" spans="1:7" x14ac:dyDescent="0.2">
      <c r="A98" s="14" t="s">
        <v>98</v>
      </c>
      <c r="B98" s="15"/>
      <c r="C98" s="67"/>
      <c r="D98" s="16"/>
      <c r="E98" s="16"/>
    </row>
    <row r="99" spans="1:7" x14ac:dyDescent="0.2">
      <c r="A99" s="14" t="s">
        <v>1</v>
      </c>
      <c r="B99" s="15" t="s">
        <v>2</v>
      </c>
      <c r="C99" s="62">
        <f>+C78</f>
        <v>0</v>
      </c>
      <c r="D99" s="62">
        <f>IF(C98=2,SUM(E87:E97),IF(C98=1,SUM(E87:E97)*D88/D87,0))</f>
        <v>0</v>
      </c>
      <c r="E99" s="16">
        <f>C99*D99/100</f>
        <v>0</v>
      </c>
    </row>
    <row r="100" spans="1:7" s="9" customFormat="1" x14ac:dyDescent="0.2">
      <c r="A100" s="76" t="s">
        <v>3</v>
      </c>
      <c r="B100" s="77"/>
      <c r="C100" s="77"/>
      <c r="D100" s="78"/>
      <c r="E100" s="79">
        <f>SUM(E87:E99)</f>
        <v>2196.3185560370189</v>
      </c>
      <c r="F100" s="34"/>
      <c r="G100" s="34"/>
    </row>
    <row r="101" spans="1:7" x14ac:dyDescent="0.2">
      <c r="A101" s="14" t="s">
        <v>4</v>
      </c>
      <c r="B101" s="15" t="s">
        <v>2</v>
      </c>
      <c r="C101" s="95">
        <f>'Encargos Sociais'!$C$40*100</f>
        <v>72.468000000000004</v>
      </c>
      <c r="D101" s="16">
        <f>E100</f>
        <v>2196.3185560370189</v>
      </c>
      <c r="E101" s="16">
        <f>D101*C101/100</f>
        <v>1591.6281311889068</v>
      </c>
    </row>
    <row r="102" spans="1:7" s="9" customFormat="1" x14ac:dyDescent="0.2">
      <c r="A102" s="76" t="s">
        <v>113</v>
      </c>
      <c r="B102" s="77"/>
      <c r="C102" s="77"/>
      <c r="D102" s="78"/>
      <c r="E102" s="79">
        <f>E100+E101</f>
        <v>3787.9466872259254</v>
      </c>
      <c r="F102" s="34"/>
      <c r="G102" s="34"/>
    </row>
    <row r="103" spans="1:7" ht="13.5" thickBot="1" x14ac:dyDescent="0.25">
      <c r="A103" s="14" t="s">
        <v>5</v>
      </c>
      <c r="B103" s="15" t="s">
        <v>6</v>
      </c>
      <c r="C103" s="63">
        <v>3</v>
      </c>
      <c r="D103" s="16">
        <f>E102</f>
        <v>3787.9466872259254</v>
      </c>
      <c r="E103" s="16">
        <f>C103*D103</f>
        <v>11363.840061677776</v>
      </c>
    </row>
    <row r="104" spans="1:7" ht="13.5" thickBot="1" x14ac:dyDescent="0.25">
      <c r="D104" s="80" t="s">
        <v>92</v>
      </c>
      <c r="E104" s="275">
        <v>1</v>
      </c>
      <c r="F104" s="17">
        <f>E103*E104</f>
        <v>11363.840061677776</v>
      </c>
    </row>
    <row r="105" spans="1:7" x14ac:dyDescent="0.2">
      <c r="D105" s="80"/>
      <c r="E105" s="43"/>
      <c r="F105" s="214"/>
    </row>
    <row r="106" spans="1:7" ht="13.5" thickBot="1" x14ac:dyDescent="0.25">
      <c r="A106" s="5" t="s">
        <v>293</v>
      </c>
    </row>
    <row r="107" spans="1:7" ht="13.5" thickBot="1" x14ac:dyDescent="0.25">
      <c r="A107" s="44" t="s">
        <v>25</v>
      </c>
      <c r="B107" s="45" t="s">
        <v>26</v>
      </c>
      <c r="C107" s="45" t="s">
        <v>17</v>
      </c>
      <c r="D107" s="46" t="s">
        <v>106</v>
      </c>
      <c r="E107" s="46" t="s">
        <v>27</v>
      </c>
      <c r="F107" s="47" t="s">
        <v>28</v>
      </c>
    </row>
    <row r="108" spans="1:7" x14ac:dyDescent="0.2">
      <c r="A108" s="11" t="s">
        <v>97</v>
      </c>
      <c r="B108" s="213" t="s">
        <v>0</v>
      </c>
      <c r="C108" s="12">
        <v>597.33000000000004</v>
      </c>
      <c r="D108" s="64">
        <f>D46</f>
        <v>7.5162727272727272</v>
      </c>
      <c r="E108" s="13">
        <f>C108*D108</f>
        <v>4489.6951881818186</v>
      </c>
    </row>
    <row r="109" spans="1:7" x14ac:dyDescent="0.2">
      <c r="A109" s="14" t="s">
        <v>12</v>
      </c>
      <c r="B109" s="15" t="s">
        <v>0</v>
      </c>
      <c r="C109" s="65">
        <v>0</v>
      </c>
      <c r="D109" s="16">
        <f>D108*2</f>
        <v>15.032545454545454</v>
      </c>
      <c r="E109" s="16">
        <f>C109*D109</f>
        <v>0</v>
      </c>
    </row>
    <row r="110" spans="1:7" x14ac:dyDescent="0.2">
      <c r="A110" s="14" t="s">
        <v>13</v>
      </c>
      <c r="B110" s="15" t="s">
        <v>0</v>
      </c>
      <c r="C110" s="65">
        <v>0</v>
      </c>
      <c r="D110" s="16">
        <f>D108*1.5</f>
        <v>11.27440909090909</v>
      </c>
      <c r="E110" s="16">
        <f>C110*D110</f>
        <v>0</v>
      </c>
    </row>
    <row r="111" spans="1:7" x14ac:dyDescent="0.2">
      <c r="A111" s="14" t="s">
        <v>101</v>
      </c>
      <c r="B111" s="15" t="s">
        <v>11</v>
      </c>
      <c r="D111" s="16">
        <f>63/302*(SUM(E109:E110))</f>
        <v>0</v>
      </c>
      <c r="E111" s="16">
        <f>D111</f>
        <v>0</v>
      </c>
    </row>
    <row r="112" spans="1:7" x14ac:dyDescent="0.2">
      <c r="A112" s="14" t="s">
        <v>1</v>
      </c>
      <c r="B112" s="15" t="s">
        <v>2</v>
      </c>
      <c r="C112" s="15">
        <v>40</v>
      </c>
      <c r="D112" s="62">
        <f>SUM(E108:E111)</f>
        <v>4489.6951881818186</v>
      </c>
      <c r="E112" s="16">
        <f>C112*D112/100</f>
        <v>1795.8780752727273</v>
      </c>
    </row>
    <row r="113" spans="1:7" x14ac:dyDescent="0.2">
      <c r="A113" s="76" t="s">
        <v>3</v>
      </c>
      <c r="B113" s="77"/>
      <c r="C113" s="77"/>
      <c r="D113" s="78"/>
      <c r="E113" s="79">
        <f>SUM(E108:E112)</f>
        <v>6285.5732634545457</v>
      </c>
    </row>
    <row r="114" spans="1:7" x14ac:dyDescent="0.2">
      <c r="A114" s="14" t="s">
        <v>4</v>
      </c>
      <c r="B114" s="15" t="s">
        <v>2</v>
      </c>
      <c r="C114" s="95">
        <f>'Encargos Sociais'!$C$40*100</f>
        <v>72.468000000000004</v>
      </c>
      <c r="D114" s="16">
        <f>E113</f>
        <v>6285.5732634545457</v>
      </c>
      <c r="E114" s="16">
        <f>D114*C114/100</f>
        <v>4555.0292325602404</v>
      </c>
    </row>
    <row r="115" spans="1:7" x14ac:dyDescent="0.2">
      <c r="A115" s="76" t="s">
        <v>29</v>
      </c>
      <c r="B115" s="77"/>
      <c r="C115" s="77"/>
      <c r="D115" s="78"/>
      <c r="E115" s="79">
        <f>E113+E114</f>
        <v>10840.602496014786</v>
      </c>
    </row>
    <row r="116" spans="1:7" ht="13.5" thickBot="1" x14ac:dyDescent="0.25">
      <c r="A116" s="14" t="s">
        <v>5</v>
      </c>
      <c r="B116" s="15" t="s">
        <v>6</v>
      </c>
      <c r="C116" s="63">
        <v>1</v>
      </c>
      <c r="D116" s="16">
        <f>E115</f>
        <v>10840.602496014786</v>
      </c>
      <c r="E116" s="16">
        <f>C116*D116</f>
        <v>10840.602496014786</v>
      </c>
    </row>
    <row r="117" spans="1:7" ht="11.25" customHeight="1" thickBot="1" x14ac:dyDescent="0.25">
      <c r="D117" s="80" t="s">
        <v>92</v>
      </c>
      <c r="E117" s="275">
        <v>1</v>
      </c>
      <c r="F117" s="17">
        <f>E116*E117</f>
        <v>10840.602496014786</v>
      </c>
      <c r="G117" s="7"/>
    </row>
    <row r="118" spans="1:7" ht="11.25" customHeight="1" x14ac:dyDescent="0.2">
      <c r="D118" s="80"/>
      <c r="E118" s="43"/>
      <c r="F118" s="214"/>
      <c r="G118" s="7"/>
    </row>
    <row r="119" spans="1:7" ht="11.25" customHeight="1" thickBot="1" x14ac:dyDescent="0.25">
      <c r="A119" s="5" t="s">
        <v>288</v>
      </c>
      <c r="G119" s="7"/>
    </row>
    <row r="120" spans="1:7" ht="11.25" customHeight="1" thickBot="1" x14ac:dyDescent="0.25">
      <c r="A120" s="44" t="s">
        <v>25</v>
      </c>
      <c r="B120" s="45" t="s">
        <v>26</v>
      </c>
      <c r="C120" s="45" t="s">
        <v>17</v>
      </c>
      <c r="D120" s="46" t="s">
        <v>106</v>
      </c>
      <c r="E120" s="46" t="s">
        <v>27</v>
      </c>
      <c r="F120" s="47" t="s">
        <v>28</v>
      </c>
      <c r="G120" s="7"/>
    </row>
    <row r="121" spans="1:7" ht="11.25" customHeight="1" x14ac:dyDescent="0.2">
      <c r="A121" s="140" t="s">
        <v>116</v>
      </c>
      <c r="B121" s="213" t="s">
        <v>0</v>
      </c>
      <c r="C121" s="12">
        <v>128</v>
      </c>
      <c r="D121" s="13">
        <f>D87</f>
        <v>9.050272727272727</v>
      </c>
      <c r="E121" s="13">
        <f>C121*D121</f>
        <v>1158.4349090909091</v>
      </c>
      <c r="G121" s="7"/>
    </row>
    <row r="122" spans="1:7" ht="11.25" customHeight="1" x14ac:dyDescent="0.2">
      <c r="A122" s="140" t="s">
        <v>117</v>
      </c>
      <c r="B122" s="12" t="s">
        <v>8</v>
      </c>
      <c r="C122" s="12">
        <v>1</v>
      </c>
      <c r="D122" s="16">
        <v>1518</v>
      </c>
      <c r="E122" s="16"/>
      <c r="G122" s="7"/>
    </row>
    <row r="123" spans="1:7" ht="11.25" customHeight="1" x14ac:dyDescent="0.2">
      <c r="A123" s="14" t="s">
        <v>7</v>
      </c>
      <c r="B123" s="15" t="s">
        <v>44</v>
      </c>
      <c r="C123" s="65">
        <v>7</v>
      </c>
      <c r="D123" s="14"/>
      <c r="E123" s="14"/>
      <c r="G123" s="7"/>
    </row>
    <row r="124" spans="1:7" ht="11.25" customHeight="1" x14ac:dyDescent="0.2">
      <c r="A124" s="14"/>
      <c r="B124" s="15" t="s">
        <v>46</v>
      </c>
      <c r="C124" s="16">
        <f>C123*8/7</f>
        <v>8</v>
      </c>
      <c r="D124" s="16">
        <f>D121*0.2</f>
        <v>1.8100545454545456</v>
      </c>
      <c r="E124" s="16">
        <f>C124*D124</f>
        <v>14.480436363636365</v>
      </c>
      <c r="G124" s="7"/>
    </row>
    <row r="125" spans="1:7" ht="11.25" customHeight="1" x14ac:dyDescent="0.2">
      <c r="A125" s="14" t="s">
        <v>12</v>
      </c>
      <c r="B125" s="15" t="s">
        <v>0</v>
      </c>
      <c r="C125" s="65"/>
      <c r="D125" s="16">
        <f>D121*2</f>
        <v>18.100545454545454</v>
      </c>
      <c r="E125" s="16">
        <f>C125*D125</f>
        <v>0</v>
      </c>
      <c r="G125" s="7"/>
    </row>
    <row r="126" spans="1:7" ht="11.25" customHeight="1" x14ac:dyDescent="0.2">
      <c r="A126" s="14" t="s">
        <v>45</v>
      </c>
      <c r="B126" s="15" t="s">
        <v>44</v>
      </c>
      <c r="C126" s="65"/>
      <c r="D126" s="16"/>
      <c r="E126" s="16"/>
      <c r="G126" s="7"/>
    </row>
    <row r="127" spans="1:7" ht="11.25" customHeight="1" x14ac:dyDescent="0.2">
      <c r="A127" s="14"/>
      <c r="B127" s="15" t="s">
        <v>46</v>
      </c>
      <c r="C127" s="16">
        <f>C126*8/7</f>
        <v>0</v>
      </c>
      <c r="D127" s="16">
        <f>D121/220*2*1.2</f>
        <v>9.8730247933884283E-2</v>
      </c>
      <c r="E127" s="16">
        <f>C127*D127</f>
        <v>0</v>
      </c>
      <c r="G127" s="7"/>
    </row>
    <row r="128" spans="1:7" ht="11.25" customHeight="1" x14ac:dyDescent="0.2">
      <c r="A128" s="14" t="s">
        <v>13</v>
      </c>
      <c r="B128" s="15" t="s">
        <v>0</v>
      </c>
      <c r="C128" s="65"/>
      <c r="D128" s="16">
        <f>D121/220*1.5</f>
        <v>6.1706404958677685E-2</v>
      </c>
      <c r="E128" s="16">
        <f>C128*D128</f>
        <v>0</v>
      </c>
      <c r="G128" s="7"/>
    </row>
    <row r="129" spans="1:7" ht="11.25" customHeight="1" x14ac:dyDescent="0.2">
      <c r="A129" s="14" t="s">
        <v>99</v>
      </c>
      <c r="B129" s="15" t="s">
        <v>44</v>
      </c>
      <c r="C129" s="65"/>
      <c r="D129" s="16"/>
      <c r="E129" s="16"/>
      <c r="G129" s="7"/>
    </row>
    <row r="130" spans="1:7" ht="11.25" customHeight="1" x14ac:dyDescent="0.2">
      <c r="A130" s="14"/>
      <c r="B130" s="15" t="s">
        <v>46</v>
      </c>
      <c r="C130" s="16">
        <f>C129*8/7</f>
        <v>0</v>
      </c>
      <c r="D130" s="16">
        <f>D121/220*1.5*1.2</f>
        <v>7.4047685950413222E-2</v>
      </c>
      <c r="E130" s="16">
        <f>C130*D130</f>
        <v>0</v>
      </c>
      <c r="G130" s="7"/>
    </row>
    <row r="131" spans="1:7" ht="11.25" customHeight="1" x14ac:dyDescent="0.2">
      <c r="A131" s="14" t="s">
        <v>101</v>
      </c>
      <c r="B131" s="15" t="s">
        <v>11</v>
      </c>
      <c r="D131" s="16">
        <f>63/302*(SUM(E125:E130))</f>
        <v>0</v>
      </c>
      <c r="E131" s="16">
        <f>D131</f>
        <v>0</v>
      </c>
      <c r="G131" s="7"/>
    </row>
    <row r="132" spans="1:7" ht="11.25" customHeight="1" x14ac:dyDescent="0.2">
      <c r="A132" s="14" t="s">
        <v>98</v>
      </c>
      <c r="B132" s="15"/>
      <c r="C132" s="67"/>
      <c r="D132" s="16"/>
      <c r="E132" s="16"/>
      <c r="G132" s="7"/>
    </row>
    <row r="133" spans="1:7" ht="11.25" customHeight="1" x14ac:dyDescent="0.2">
      <c r="A133" s="14" t="s">
        <v>1</v>
      </c>
      <c r="B133" s="15" t="s">
        <v>2</v>
      </c>
      <c r="C133" s="62">
        <v>0</v>
      </c>
      <c r="D133" s="62">
        <f>IF(C132=2,SUM(E121:E131),IF(C132=1,SUM(E121:E131)*D122/D121,0))</f>
        <v>0</v>
      </c>
      <c r="E133" s="16">
        <f>C133*D133/100</f>
        <v>0</v>
      </c>
      <c r="G133" s="7"/>
    </row>
    <row r="134" spans="1:7" ht="11.25" customHeight="1" x14ac:dyDescent="0.2">
      <c r="A134" s="76" t="s">
        <v>3</v>
      </c>
      <c r="B134" s="77"/>
      <c r="C134" s="77"/>
      <c r="D134" s="78"/>
      <c r="E134" s="79">
        <f>SUM(E121:E133)</f>
        <v>1172.9153454545453</v>
      </c>
      <c r="F134" s="34"/>
      <c r="G134" s="7"/>
    </row>
    <row r="135" spans="1:7" ht="11.25" customHeight="1" x14ac:dyDescent="0.2">
      <c r="A135" s="14" t="s">
        <v>4</v>
      </c>
      <c r="B135" s="15" t="s">
        <v>2</v>
      </c>
      <c r="C135" s="95">
        <f>'Encargos Sociais'!$C$40*100</f>
        <v>72.468000000000004</v>
      </c>
      <c r="D135" s="16">
        <f>E134</f>
        <v>1172.9153454545453</v>
      </c>
      <c r="E135" s="16">
        <f>D135*C135/100</f>
        <v>849.98829254400005</v>
      </c>
      <c r="G135" s="7"/>
    </row>
    <row r="136" spans="1:7" ht="11.25" customHeight="1" x14ac:dyDescent="0.2">
      <c r="A136" s="76" t="s">
        <v>113</v>
      </c>
      <c r="B136" s="77"/>
      <c r="C136" s="77"/>
      <c r="D136" s="78"/>
      <c r="E136" s="79">
        <f>E134+E135</f>
        <v>2022.9036379985455</v>
      </c>
      <c r="F136" s="34"/>
      <c r="G136" s="7"/>
    </row>
    <row r="137" spans="1:7" ht="11.25" customHeight="1" thickBot="1" x14ac:dyDescent="0.25">
      <c r="A137" s="14" t="s">
        <v>5</v>
      </c>
      <c r="B137" s="15" t="s">
        <v>6</v>
      </c>
      <c r="C137" s="67">
        <v>1</v>
      </c>
      <c r="D137" s="16">
        <f>E136</f>
        <v>2022.9036379985455</v>
      </c>
      <c r="E137" s="16">
        <f>C137*D137</f>
        <v>2022.9036379985455</v>
      </c>
      <c r="G137" s="7"/>
    </row>
    <row r="138" spans="1:7" ht="11.25" customHeight="1" thickBot="1" x14ac:dyDescent="0.25">
      <c r="D138" s="80" t="s">
        <v>92</v>
      </c>
      <c r="E138" s="275">
        <v>1</v>
      </c>
      <c r="F138" s="17">
        <f>E137*E138</f>
        <v>2022.9036379985455</v>
      </c>
      <c r="G138" s="7"/>
    </row>
    <row r="139" spans="1:7" ht="11.25" customHeight="1" x14ac:dyDescent="0.2">
      <c r="D139" s="80"/>
      <c r="E139" s="43"/>
      <c r="F139" s="214"/>
      <c r="G139" s="7"/>
    </row>
    <row r="140" spans="1:7" ht="13.5" thickBot="1" x14ac:dyDescent="0.25">
      <c r="A140" s="7" t="s">
        <v>47</v>
      </c>
      <c r="B140" s="70"/>
      <c r="D140" s="7"/>
      <c r="E140" s="7"/>
      <c r="G140" s="7"/>
    </row>
    <row r="141" spans="1:7" ht="13.5" thickBot="1" x14ac:dyDescent="0.25">
      <c r="A141" s="44" t="s">
        <v>25</v>
      </c>
      <c r="B141" s="45" t="s">
        <v>26</v>
      </c>
      <c r="C141" s="45" t="s">
        <v>17</v>
      </c>
      <c r="D141" s="46" t="s">
        <v>106</v>
      </c>
      <c r="E141" s="46" t="s">
        <v>27</v>
      </c>
      <c r="F141" s="47" t="s">
        <v>28</v>
      </c>
      <c r="G141" s="7"/>
    </row>
    <row r="142" spans="1:7" x14ac:dyDescent="0.2">
      <c r="A142" s="11" t="s">
        <v>38</v>
      </c>
      <c r="B142" s="12" t="s">
        <v>11</v>
      </c>
      <c r="C142" s="143">
        <v>1</v>
      </c>
      <c r="D142" s="69">
        <v>7.4</v>
      </c>
      <c r="E142" s="13"/>
      <c r="F142" s="144"/>
      <c r="G142" s="7"/>
    </row>
    <row r="143" spans="1:7" x14ac:dyDescent="0.2">
      <c r="A143" s="14" t="s">
        <v>39</v>
      </c>
      <c r="B143" s="15" t="s">
        <v>40</v>
      </c>
      <c r="C143" s="68">
        <v>26</v>
      </c>
      <c r="D143" s="16"/>
      <c r="E143" s="16"/>
      <c r="F143" s="39"/>
      <c r="G143" s="7"/>
    </row>
    <row r="144" spans="1:7" x14ac:dyDescent="0.2">
      <c r="A144" s="141" t="s">
        <v>119</v>
      </c>
      <c r="B144" s="15" t="s">
        <v>9</v>
      </c>
      <c r="C144" s="39">
        <f>((C54+C67)*C143*2)+(64/12*2)</f>
        <v>842.66666666666663</v>
      </c>
      <c r="D144" s="13">
        <f>IFERROR((($C$143*2*$D$142)-(E46*0.06*C143/26))/($C$143*2),"-")</f>
        <v>5.4920230769230765</v>
      </c>
      <c r="E144" s="16">
        <f>IFERROR(C144*D144,"-")</f>
        <v>4627.9447794871785</v>
      </c>
      <c r="F144" s="39"/>
      <c r="G144" s="7"/>
    </row>
    <row r="145" spans="1:7" ht="13.5" thickBot="1" x14ac:dyDescent="0.25">
      <c r="A145" s="140" t="s">
        <v>120</v>
      </c>
      <c r="B145" s="12" t="s">
        <v>9</v>
      </c>
      <c r="C145" s="39">
        <f>($C$143*2*E35)+(64/12*2)</f>
        <v>166.66666666666666</v>
      </c>
      <c r="D145" s="13">
        <f>IFERROR((($C$143*2*$D$142)-(E72*0.06*C143/26))/($C$143*2),"-")</f>
        <v>3.9152807692307694</v>
      </c>
      <c r="E145" s="13">
        <f>IFERROR(C145*D145,"-")</f>
        <v>652.54679487179487</v>
      </c>
      <c r="F145" s="142"/>
      <c r="G145" s="7"/>
    </row>
    <row r="146" spans="1:7" ht="13.5" thickBot="1" x14ac:dyDescent="0.25">
      <c r="F146" s="18">
        <f>SUM(E144:E145)</f>
        <v>5280.4915743589736</v>
      </c>
      <c r="G146" s="7"/>
    </row>
    <row r="147" spans="1:7" ht="11.25" customHeight="1" x14ac:dyDescent="0.2">
      <c r="G147" s="7"/>
    </row>
    <row r="148" spans="1:7" ht="13.5" thickBot="1" x14ac:dyDescent="0.25">
      <c r="A148" s="5" t="s">
        <v>121</v>
      </c>
      <c r="F148" s="19"/>
      <c r="G148" s="7"/>
    </row>
    <row r="149" spans="1:7" ht="13.5" thickBot="1" x14ac:dyDescent="0.25">
      <c r="A149" s="44" t="s">
        <v>25</v>
      </c>
      <c r="B149" s="45" t="s">
        <v>26</v>
      </c>
      <c r="C149" s="45" t="s">
        <v>17</v>
      </c>
      <c r="D149" s="46" t="s">
        <v>106</v>
      </c>
      <c r="E149" s="46" t="s">
        <v>27</v>
      </c>
      <c r="F149" s="47" t="s">
        <v>28</v>
      </c>
      <c r="G149" s="7"/>
    </row>
    <row r="150" spans="1:7" x14ac:dyDescent="0.2">
      <c r="A150" s="141" t="s">
        <v>123</v>
      </c>
      <c r="B150" s="15" t="s">
        <v>11</v>
      </c>
      <c r="C150" s="71">
        <v>1</v>
      </c>
      <c r="D150" s="69">
        <f>G152</f>
        <v>20.590200000000003</v>
      </c>
      <c r="E150" s="16"/>
      <c r="G150" s="7"/>
    </row>
    <row r="151" spans="1:7" x14ac:dyDescent="0.2">
      <c r="A151" s="14" t="s">
        <v>39</v>
      </c>
      <c r="B151" s="15" t="s">
        <v>40</v>
      </c>
      <c r="C151" s="68">
        <v>26</v>
      </c>
      <c r="D151" s="16"/>
      <c r="E151" s="16"/>
      <c r="F151" s="16"/>
      <c r="G151" s="7"/>
    </row>
    <row r="152" spans="1:7" x14ac:dyDescent="0.2">
      <c r="A152" s="14" t="str">
        <f>+A144</f>
        <v>Aux. De Limpeza</v>
      </c>
      <c r="B152" s="15" t="s">
        <v>10</v>
      </c>
      <c r="C152" s="288">
        <f>(C151*C54)+(64/12)</f>
        <v>213.33333333333334</v>
      </c>
      <c r="D152" s="66">
        <f>G152</f>
        <v>20.590200000000003</v>
      </c>
      <c r="E152" s="39">
        <f>C152*D152</f>
        <v>4392.5760000000009</v>
      </c>
      <c r="F152" s="16"/>
      <c r="G152" s="7">
        <f>25.42*0.81</f>
        <v>20.590200000000003</v>
      </c>
    </row>
    <row r="153" spans="1:7" ht="13.5" thickBot="1" x14ac:dyDescent="0.25">
      <c r="A153" s="14" t="str">
        <f>+A145</f>
        <v>Vigia</v>
      </c>
      <c r="B153" s="15" t="s">
        <v>10</v>
      </c>
      <c r="C153" s="288">
        <f>(C151*E35)+64/12</f>
        <v>83.333333333333329</v>
      </c>
      <c r="D153" s="66">
        <f>G152</f>
        <v>20.590200000000003</v>
      </c>
      <c r="E153" s="39">
        <f>C153*D153</f>
        <v>1715.8500000000001</v>
      </c>
      <c r="F153" s="16"/>
      <c r="G153" s="7"/>
    </row>
    <row r="154" spans="1:7" ht="13.5" thickBot="1" x14ac:dyDescent="0.25">
      <c r="F154" s="18">
        <f>SUM(E152:E153)</f>
        <v>6108.4260000000013</v>
      </c>
      <c r="G154" s="7"/>
    </row>
    <row r="155" spans="1:7" x14ac:dyDescent="0.2">
      <c r="G155" s="7"/>
    </row>
    <row r="156" spans="1:7" ht="13.5" thickBot="1" x14ac:dyDescent="0.25">
      <c r="A156" s="5" t="s">
        <v>122</v>
      </c>
      <c r="F156" s="19"/>
      <c r="G156" s="7"/>
    </row>
    <row r="157" spans="1:7" ht="13.5" thickBot="1" x14ac:dyDescent="0.25">
      <c r="A157" s="44" t="s">
        <v>25</v>
      </c>
      <c r="B157" s="45" t="s">
        <v>26</v>
      </c>
      <c r="C157" s="45" t="s">
        <v>17</v>
      </c>
      <c r="D157" s="46" t="s">
        <v>106</v>
      </c>
      <c r="E157" s="46" t="s">
        <v>27</v>
      </c>
      <c r="F157" s="47" t="s">
        <v>28</v>
      </c>
      <c r="G157" s="7"/>
    </row>
    <row r="158" spans="1:7" x14ac:dyDescent="0.2">
      <c r="A158" s="141" t="s">
        <v>124</v>
      </c>
      <c r="B158" s="15" t="s">
        <v>11</v>
      </c>
      <c r="C158" s="71">
        <v>1</v>
      </c>
      <c r="D158" s="69">
        <f>G161</f>
        <v>10.295100000000001</v>
      </c>
      <c r="E158" s="16"/>
      <c r="G158" s="7"/>
    </row>
    <row r="159" spans="1:7" x14ac:dyDescent="0.2">
      <c r="A159" s="14" t="s">
        <v>39</v>
      </c>
      <c r="B159" s="15" t="s">
        <v>40</v>
      </c>
      <c r="C159" s="68">
        <v>26</v>
      </c>
      <c r="D159" s="16"/>
      <c r="E159" s="16"/>
      <c r="F159" s="16"/>
      <c r="G159" s="7"/>
    </row>
    <row r="160" spans="1:7" ht="13.5" thickBot="1" x14ac:dyDescent="0.25">
      <c r="A160" s="14" t="str">
        <f>+A152</f>
        <v>Aux. De Limpeza</v>
      </c>
      <c r="B160" s="15" t="s">
        <v>10</v>
      </c>
      <c r="C160" s="288">
        <f>(C67*C159)+(64/12)</f>
        <v>213.33333333333334</v>
      </c>
      <c r="D160" s="66">
        <f>G161</f>
        <v>10.295100000000001</v>
      </c>
      <c r="E160" s="39">
        <f>C160*D160</f>
        <v>2196.2880000000005</v>
      </c>
      <c r="F160" s="19"/>
    </row>
    <row r="161" spans="1:7" ht="13.5" thickBot="1" x14ac:dyDescent="0.25">
      <c r="D161" s="80" t="s">
        <v>92</v>
      </c>
      <c r="E161" s="39">
        <v>1</v>
      </c>
      <c r="F161" s="18">
        <f>SUM(E160:E160)*E161</f>
        <v>2196.2880000000005</v>
      </c>
      <c r="G161" s="7">
        <f>12.71*0.81</f>
        <v>10.295100000000001</v>
      </c>
    </row>
    <row r="162" spans="1:7" x14ac:dyDescent="0.2">
      <c r="D162" s="80"/>
      <c r="E162" s="43"/>
      <c r="F162" s="43"/>
      <c r="G162" s="7"/>
    </row>
    <row r="163" spans="1:7" ht="13.5" thickBot="1" x14ac:dyDescent="0.25">
      <c r="A163" s="5" t="s">
        <v>283</v>
      </c>
      <c r="F163" s="19"/>
      <c r="G163" s="7"/>
    </row>
    <row r="164" spans="1:7" ht="13.5" thickBot="1" x14ac:dyDescent="0.25">
      <c r="A164" s="44" t="s">
        <v>25</v>
      </c>
      <c r="B164" s="45" t="s">
        <v>26</v>
      </c>
      <c r="C164" s="45" t="s">
        <v>17</v>
      </c>
      <c r="D164" s="46" t="s">
        <v>106</v>
      </c>
      <c r="E164" s="46" t="s">
        <v>27</v>
      </c>
      <c r="F164" s="47" t="s">
        <v>28</v>
      </c>
      <c r="G164" s="7"/>
    </row>
    <row r="165" spans="1:7" x14ac:dyDescent="0.2">
      <c r="A165" s="141" t="s">
        <v>125</v>
      </c>
      <c r="B165" s="15" t="s">
        <v>11</v>
      </c>
      <c r="C165" s="71">
        <v>1</v>
      </c>
      <c r="D165" s="69">
        <v>24.1</v>
      </c>
      <c r="E165" s="16"/>
      <c r="G165" s="7"/>
    </row>
    <row r="166" spans="1:7" x14ac:dyDescent="0.2">
      <c r="A166" s="14" t="str">
        <f>+A160</f>
        <v>Aux. De Limpeza</v>
      </c>
      <c r="B166" s="15" t="s">
        <v>10</v>
      </c>
      <c r="C166" s="288">
        <f>E33+E117</f>
        <v>17</v>
      </c>
      <c r="D166" s="66">
        <f>D165*C166</f>
        <v>409.70000000000005</v>
      </c>
      <c r="E166" s="39">
        <f>C166*D166</f>
        <v>6964.9000000000005</v>
      </c>
      <c r="F166" s="39"/>
      <c r="G166" s="7"/>
    </row>
    <row r="167" spans="1:7" ht="13.5" thickBot="1" x14ac:dyDescent="0.25">
      <c r="A167" s="14" t="str">
        <f>A153</f>
        <v>Vigia</v>
      </c>
      <c r="B167" s="15" t="s">
        <v>10</v>
      </c>
      <c r="C167" s="288">
        <f>E35+E138</f>
        <v>4</v>
      </c>
      <c r="D167" s="66">
        <f>D165</f>
        <v>24.1</v>
      </c>
      <c r="E167" s="39">
        <f>C167*D167</f>
        <v>96.4</v>
      </c>
      <c r="F167" s="39"/>
      <c r="G167" s="7"/>
    </row>
    <row r="168" spans="1:7" ht="13.5" thickBot="1" x14ac:dyDescent="0.25">
      <c r="D168" s="80" t="s">
        <v>92</v>
      </c>
      <c r="E168" s="39">
        <v>1</v>
      </c>
      <c r="F168" s="18">
        <f>(E166+E167)*E168</f>
        <v>7061.3</v>
      </c>
      <c r="G168" s="7"/>
    </row>
    <row r="169" spans="1:7" ht="13.5" thickBot="1" x14ac:dyDescent="0.25">
      <c r="G169" s="7"/>
    </row>
    <row r="170" spans="1:7" ht="13.5" thickBot="1" x14ac:dyDescent="0.25">
      <c r="A170" s="20" t="s">
        <v>41</v>
      </c>
      <c r="B170" s="21"/>
      <c r="C170" s="21"/>
      <c r="D170" s="22"/>
      <c r="E170" s="23"/>
      <c r="F170" s="272">
        <f>F168+F161+F154+F146+F104+F83+F55+F68+F117+F138</f>
        <v>108452.30493623416</v>
      </c>
      <c r="G170" s="7"/>
    </row>
    <row r="172" spans="1:7" x14ac:dyDescent="0.2">
      <c r="A172" s="9" t="s">
        <v>20</v>
      </c>
    </row>
    <row r="174" spans="1:7" x14ac:dyDescent="0.2">
      <c r="A174" s="7" t="s">
        <v>93</v>
      </c>
    </row>
    <row r="175" spans="1:7" ht="13.5" thickBot="1" x14ac:dyDescent="0.25"/>
    <row r="176" spans="1:7" ht="24.75" thickBot="1" x14ac:dyDescent="0.25">
      <c r="A176" s="44" t="s">
        <v>25</v>
      </c>
      <c r="B176" s="45" t="s">
        <v>26</v>
      </c>
      <c r="C176" s="136" t="s">
        <v>114</v>
      </c>
      <c r="D176" s="46" t="s">
        <v>106</v>
      </c>
      <c r="E176" s="46" t="s">
        <v>27</v>
      </c>
      <c r="F176" s="47" t="s">
        <v>28</v>
      </c>
    </row>
    <row r="177" spans="1:7" x14ac:dyDescent="0.2">
      <c r="A177" s="140" t="s">
        <v>126</v>
      </c>
      <c r="B177" s="12" t="s">
        <v>10</v>
      </c>
      <c r="C177" s="146">
        <f>0.25</f>
        <v>0.25</v>
      </c>
      <c r="D177" s="64">
        <v>1.1000000000000001</v>
      </c>
      <c r="E177" s="13">
        <f>IFERROR(D177/C177,0)</f>
        <v>4.4000000000000004</v>
      </c>
    </row>
    <row r="178" spans="1:7" x14ac:dyDescent="0.2">
      <c r="A178" s="141" t="s">
        <v>127</v>
      </c>
      <c r="B178" s="145" t="s">
        <v>22</v>
      </c>
      <c r="C178" s="146">
        <v>0.25</v>
      </c>
      <c r="D178" s="64">
        <v>2.7</v>
      </c>
      <c r="E178" s="13">
        <f t="shared" ref="E178:E180" si="2">IFERROR(D178/C178,0)</f>
        <v>10.8</v>
      </c>
    </row>
    <row r="179" spans="1:7" x14ac:dyDescent="0.2">
      <c r="A179" s="141" t="s">
        <v>264</v>
      </c>
      <c r="B179" s="145" t="s">
        <v>265</v>
      </c>
      <c r="C179" s="297">
        <f>6/2</f>
        <v>3</v>
      </c>
      <c r="D179" s="64">
        <v>171.9</v>
      </c>
      <c r="E179" s="13">
        <f t="shared" si="2"/>
        <v>57.300000000000004</v>
      </c>
    </row>
    <row r="180" spans="1:7" ht="15.75" customHeight="1" x14ac:dyDescent="0.2">
      <c r="A180" s="141" t="s">
        <v>267</v>
      </c>
      <c r="B180" s="15" t="s">
        <v>22</v>
      </c>
      <c r="C180" s="297">
        <v>6</v>
      </c>
      <c r="D180" s="64">
        <v>67.099999999999994</v>
      </c>
      <c r="E180" s="13">
        <f t="shared" si="2"/>
        <v>11.183333333333332</v>
      </c>
      <c r="G180" s="7"/>
    </row>
    <row r="181" spans="1:7" x14ac:dyDescent="0.2">
      <c r="A181" s="14" t="s">
        <v>42</v>
      </c>
      <c r="B181" s="15" t="s">
        <v>22</v>
      </c>
      <c r="C181" s="297">
        <v>6</v>
      </c>
      <c r="D181" s="64">
        <v>14.65</v>
      </c>
      <c r="E181" s="13">
        <f>IFERROR(D181/C181,0)</f>
        <v>2.4416666666666669</v>
      </c>
    </row>
    <row r="182" spans="1:7" ht="13.5" thickBot="1" x14ac:dyDescent="0.25">
      <c r="A182" s="14" t="s">
        <v>5</v>
      </c>
      <c r="B182" s="15" t="s">
        <v>6</v>
      </c>
      <c r="C182" s="296">
        <f>E33+(C108/220)</f>
        <v>18.715136363636365</v>
      </c>
      <c r="D182" s="16">
        <f>+SUM(E177:E181)</f>
        <v>86.125</v>
      </c>
      <c r="E182" s="16">
        <f>C182*D182</f>
        <v>1611.8411193181819</v>
      </c>
    </row>
    <row r="183" spans="1:7" ht="13.5" thickBot="1" x14ac:dyDescent="0.25">
      <c r="D183" s="80" t="s">
        <v>92</v>
      </c>
      <c r="E183" s="275">
        <v>1</v>
      </c>
      <c r="F183" s="17">
        <f>E182*E183</f>
        <v>1611.8411193181819</v>
      </c>
    </row>
    <row r="184" spans="1:7" x14ac:dyDescent="0.2">
      <c r="D184" s="80"/>
      <c r="E184" s="43"/>
      <c r="F184" s="214"/>
    </row>
    <row r="185" spans="1:7" ht="11.25" customHeight="1" x14ac:dyDescent="0.2">
      <c r="A185" s="5" t="s">
        <v>294</v>
      </c>
    </row>
    <row r="186" spans="1:7" ht="11.25" customHeight="1" thickBot="1" x14ac:dyDescent="0.25"/>
    <row r="187" spans="1:7" ht="11.25" customHeight="1" thickBot="1" x14ac:dyDescent="0.25">
      <c r="A187" s="44" t="s">
        <v>25</v>
      </c>
      <c r="B187" s="45" t="s">
        <v>26</v>
      </c>
      <c r="C187" s="136" t="s">
        <v>114</v>
      </c>
      <c r="D187" s="46" t="s">
        <v>106</v>
      </c>
      <c r="E187" s="46" t="s">
        <v>27</v>
      </c>
      <c r="F187" s="47" t="s">
        <v>28</v>
      </c>
    </row>
    <row r="188" spans="1:7" ht="11.25" customHeight="1" x14ac:dyDescent="0.2">
      <c r="A188" s="141" t="s">
        <v>264</v>
      </c>
      <c r="B188" s="145" t="s">
        <v>265</v>
      </c>
      <c r="C188" s="297">
        <f>6/2</f>
        <v>3</v>
      </c>
      <c r="D188" s="64">
        <v>171.9</v>
      </c>
      <c r="E188" s="13">
        <f t="shared" ref="E188:E189" si="3">IFERROR(D188/C188,0)</f>
        <v>57.300000000000004</v>
      </c>
    </row>
    <row r="189" spans="1:7" ht="11.25" customHeight="1" x14ac:dyDescent="0.2">
      <c r="A189" s="141" t="s">
        <v>267</v>
      </c>
      <c r="B189" s="15" t="s">
        <v>22</v>
      </c>
      <c r="C189" s="297">
        <v>6</v>
      </c>
      <c r="D189" s="64">
        <v>67.099999999999994</v>
      </c>
      <c r="E189" s="13">
        <f t="shared" si="3"/>
        <v>11.183333333333332</v>
      </c>
    </row>
    <row r="190" spans="1:7" ht="11.25" customHeight="1" x14ac:dyDescent="0.2">
      <c r="A190" s="14" t="s">
        <v>42</v>
      </c>
      <c r="B190" s="145" t="s">
        <v>265</v>
      </c>
      <c r="C190" s="297">
        <v>6</v>
      </c>
      <c r="D190" s="64">
        <v>14.65</v>
      </c>
      <c r="E190" s="13">
        <f>IFERROR(D190/C190,0)</f>
        <v>2.4416666666666669</v>
      </c>
    </row>
    <row r="191" spans="1:7" ht="13.5" customHeight="1" thickBot="1" x14ac:dyDescent="0.25">
      <c r="A191" s="14" t="s">
        <v>5</v>
      </c>
      <c r="B191" s="15" t="s">
        <v>6</v>
      </c>
      <c r="C191" s="296">
        <f>C103+(C121/220)</f>
        <v>3.581818181818182</v>
      </c>
      <c r="D191" s="16">
        <f>SUM(E188:E190)</f>
        <v>70.924999999999997</v>
      </c>
      <c r="E191" s="16">
        <f>C191*D191</f>
        <v>254.04045454545454</v>
      </c>
    </row>
    <row r="192" spans="1:7" ht="11.25" customHeight="1" thickBot="1" x14ac:dyDescent="0.25">
      <c r="D192" s="80" t="s">
        <v>92</v>
      </c>
      <c r="E192" s="275">
        <v>1</v>
      </c>
      <c r="F192" s="17">
        <f>E191*E192</f>
        <v>254.04045454545454</v>
      </c>
    </row>
    <row r="193" spans="1:7" ht="11.25" customHeight="1" thickBot="1" x14ac:dyDescent="0.25">
      <c r="G193" s="7"/>
    </row>
    <row r="194" spans="1:7" ht="13.5" thickBot="1" x14ac:dyDescent="0.25">
      <c r="A194" s="20" t="s">
        <v>94</v>
      </c>
      <c r="B194" s="24"/>
      <c r="C194" s="24"/>
      <c r="D194" s="25"/>
      <c r="E194" s="26"/>
      <c r="F194" s="273">
        <f>F183+F192</f>
        <v>1865.8815738636365</v>
      </c>
      <c r="G194" s="7"/>
    </row>
    <row r="195" spans="1:7" x14ac:dyDescent="0.2">
      <c r="D195" s="80"/>
      <c r="E195" s="43"/>
      <c r="F195" s="214"/>
    </row>
    <row r="197" spans="1:7" x14ac:dyDescent="0.2">
      <c r="A197" s="9" t="s">
        <v>278</v>
      </c>
    </row>
    <row r="198" spans="1:7" ht="13.5" thickBot="1" x14ac:dyDescent="0.25">
      <c r="A198" s="9"/>
    </row>
    <row r="199" spans="1:7" ht="13.5" thickBot="1" x14ac:dyDescent="0.25">
      <c r="A199" s="44" t="s">
        <v>25</v>
      </c>
      <c r="B199" s="45" t="s">
        <v>26</v>
      </c>
      <c r="C199" s="45" t="s">
        <v>17</v>
      </c>
      <c r="D199" s="46" t="s">
        <v>106</v>
      </c>
      <c r="E199" s="46" t="s">
        <v>27</v>
      </c>
      <c r="F199" s="47" t="s">
        <v>28</v>
      </c>
    </row>
    <row r="200" spans="1:7" x14ac:dyDescent="0.2">
      <c r="A200" s="141" t="s">
        <v>281</v>
      </c>
      <c r="B200" s="15" t="s">
        <v>48</v>
      </c>
      <c r="C200" s="14">
        <v>1</v>
      </c>
      <c r="D200" s="39">
        <v>2834.07</v>
      </c>
      <c r="E200" s="39">
        <f>C200*D200</f>
        <v>2834.07</v>
      </c>
      <c r="F200" s="39"/>
    </row>
    <row r="201" spans="1:7" x14ac:dyDescent="0.2">
      <c r="A201" s="300" t="s">
        <v>296</v>
      </c>
      <c r="B201" s="15" t="s">
        <v>48</v>
      </c>
      <c r="C201" s="301">
        <f>MATERIAIS!C78</f>
        <v>1144</v>
      </c>
      <c r="D201" s="301">
        <f>MATERIAIS!C79</f>
        <v>6.15</v>
      </c>
      <c r="E201" s="301">
        <f>C201/13*D201</f>
        <v>541.20000000000005</v>
      </c>
      <c r="F201" s="301"/>
    </row>
    <row r="202" spans="1:7" ht="13.5" thickBot="1" x14ac:dyDescent="0.25">
      <c r="D202" s="80" t="s">
        <v>92</v>
      </c>
      <c r="E202" s="298">
        <v>1</v>
      </c>
      <c r="F202" s="299">
        <f>E200+E201</f>
        <v>3375.2700000000004</v>
      </c>
    </row>
    <row r="203" spans="1:7" ht="13.5" thickBot="1" x14ac:dyDescent="0.25"/>
    <row r="204" spans="1:7" ht="13.5" thickBot="1" x14ac:dyDescent="0.25">
      <c r="A204" s="20" t="s">
        <v>277</v>
      </c>
      <c r="B204" s="21"/>
      <c r="C204" s="21"/>
      <c r="D204" s="22"/>
      <c r="E204" s="23"/>
      <c r="F204" s="273">
        <f>F202</f>
        <v>3375.2700000000004</v>
      </c>
    </row>
    <row r="206" spans="1:7" x14ac:dyDescent="0.2">
      <c r="A206" s="9" t="s">
        <v>279</v>
      </c>
      <c r="B206" s="9"/>
      <c r="C206" s="9"/>
      <c r="D206" s="28"/>
      <c r="E206" s="28"/>
      <c r="F206" s="27"/>
    </row>
    <row r="207" spans="1:7" ht="13.5" thickBot="1" x14ac:dyDescent="0.25"/>
    <row r="208" spans="1:7" ht="13.5" thickBot="1" x14ac:dyDescent="0.25">
      <c r="A208" s="44" t="s">
        <v>25</v>
      </c>
      <c r="B208" s="45" t="s">
        <v>26</v>
      </c>
      <c r="C208" s="45" t="s">
        <v>17</v>
      </c>
      <c r="D208" s="46" t="s">
        <v>106</v>
      </c>
      <c r="E208" s="46" t="s">
        <v>27</v>
      </c>
      <c r="F208" s="47" t="s">
        <v>28</v>
      </c>
    </row>
    <row r="209" spans="1:6" x14ac:dyDescent="0.2">
      <c r="A209" s="215" t="s">
        <v>171</v>
      </c>
      <c r="B209" s="216" t="s">
        <v>130</v>
      </c>
      <c r="C209" s="264">
        <v>48.666666666666664</v>
      </c>
      <c r="D209" s="64">
        <v>8.2323076923076908</v>
      </c>
      <c r="E209" s="16">
        <f t="shared" ref="E209:E242" si="4">C209*D209</f>
        <v>400.63897435897428</v>
      </c>
      <c r="F209" s="40"/>
    </row>
    <row r="210" spans="1:6" x14ac:dyDescent="0.2">
      <c r="A210" s="150" t="s">
        <v>137</v>
      </c>
      <c r="B210" s="151" t="s">
        <v>138</v>
      </c>
      <c r="C210" s="264">
        <v>60.833333333333336</v>
      </c>
      <c r="D210" s="64">
        <v>7.414545454545455</v>
      </c>
      <c r="E210" s="16">
        <f t="shared" si="4"/>
        <v>451.05151515151522</v>
      </c>
      <c r="F210" s="40"/>
    </row>
    <row r="211" spans="1:6" x14ac:dyDescent="0.2">
      <c r="A211" s="150" t="s">
        <v>157</v>
      </c>
      <c r="B211" s="151" t="s">
        <v>132</v>
      </c>
      <c r="C211" s="264">
        <v>8</v>
      </c>
      <c r="D211" s="64">
        <v>7.722142857142857</v>
      </c>
      <c r="E211" s="16">
        <f t="shared" si="4"/>
        <v>61.777142857142856</v>
      </c>
      <c r="F211" s="40"/>
    </row>
    <row r="212" spans="1:6" ht="51" x14ac:dyDescent="0.2">
      <c r="A212" s="150" t="s">
        <v>153</v>
      </c>
      <c r="B212" s="151" t="s">
        <v>132</v>
      </c>
      <c r="C212" s="264">
        <v>1.3333333333333333</v>
      </c>
      <c r="D212" s="64">
        <v>70.679999999999993</v>
      </c>
      <c r="E212" s="16">
        <f t="shared" si="4"/>
        <v>94.239999999999981</v>
      </c>
      <c r="F212" s="40"/>
    </row>
    <row r="213" spans="1:6" x14ac:dyDescent="0.2">
      <c r="A213" s="150" t="s">
        <v>146</v>
      </c>
      <c r="B213" s="151" t="s">
        <v>132</v>
      </c>
      <c r="C213" s="264">
        <v>24</v>
      </c>
      <c r="D213" s="64">
        <v>2.8275000000000001</v>
      </c>
      <c r="E213" s="16">
        <f t="shared" si="4"/>
        <v>67.86</v>
      </c>
      <c r="F213" s="40"/>
    </row>
    <row r="214" spans="1:6" ht="25.5" x14ac:dyDescent="0.2">
      <c r="A214" s="150" t="s">
        <v>161</v>
      </c>
      <c r="B214" s="151" t="s">
        <v>132</v>
      </c>
      <c r="C214" s="264">
        <v>275</v>
      </c>
      <c r="D214" s="64">
        <v>4.97</v>
      </c>
      <c r="E214" s="16">
        <f t="shared" si="4"/>
        <v>1366.75</v>
      </c>
      <c r="F214" s="40"/>
    </row>
    <row r="215" spans="1:6" ht="25.5" x14ac:dyDescent="0.2">
      <c r="A215" s="150" t="s">
        <v>273</v>
      </c>
      <c r="B215" s="151" t="s">
        <v>132</v>
      </c>
      <c r="C215" s="264">
        <v>100</v>
      </c>
      <c r="D215" s="64">
        <v>10.623333333333333</v>
      </c>
      <c r="E215" s="16">
        <f t="shared" si="4"/>
        <v>1062.3333333333333</v>
      </c>
      <c r="F215" s="40"/>
    </row>
    <row r="216" spans="1:6" x14ac:dyDescent="0.2">
      <c r="A216" s="223" t="s">
        <v>163</v>
      </c>
      <c r="B216" s="151" t="s">
        <v>132</v>
      </c>
      <c r="C216" s="264">
        <v>4</v>
      </c>
      <c r="D216" s="64">
        <v>25.75</v>
      </c>
      <c r="E216" s="16">
        <f t="shared" si="4"/>
        <v>103</v>
      </c>
      <c r="F216" s="40"/>
    </row>
    <row r="217" spans="1:6" ht="51" x14ac:dyDescent="0.2">
      <c r="A217" s="150" t="s">
        <v>155</v>
      </c>
      <c r="B217" s="151" t="s">
        <v>132</v>
      </c>
      <c r="C217" s="264">
        <v>4.333333333333333</v>
      </c>
      <c r="D217" s="64">
        <v>28.759999999999998</v>
      </c>
      <c r="E217" s="16">
        <f t="shared" si="4"/>
        <v>124.62666666666665</v>
      </c>
      <c r="F217" s="40"/>
    </row>
    <row r="218" spans="1:6" ht="25.5" x14ac:dyDescent="0.2">
      <c r="A218" s="150" t="s">
        <v>154</v>
      </c>
      <c r="B218" s="151" t="s">
        <v>132</v>
      </c>
      <c r="C218" s="264">
        <v>4</v>
      </c>
      <c r="D218" s="64">
        <v>24.791999999999998</v>
      </c>
      <c r="E218" s="16">
        <f t="shared" si="4"/>
        <v>99.167999999999992</v>
      </c>
      <c r="F218" s="40"/>
    </row>
    <row r="219" spans="1:6" ht="51" x14ac:dyDescent="0.2">
      <c r="A219" s="150" t="s">
        <v>160</v>
      </c>
      <c r="B219" s="151" t="s">
        <v>132</v>
      </c>
      <c r="C219" s="264">
        <v>4</v>
      </c>
      <c r="D219" s="64">
        <v>29.324166666666667</v>
      </c>
      <c r="E219" s="16">
        <f t="shared" si="4"/>
        <v>117.29666666666667</v>
      </c>
      <c r="F219" s="40"/>
    </row>
    <row r="220" spans="1:6" x14ac:dyDescent="0.2">
      <c r="A220" s="150" t="s">
        <v>165</v>
      </c>
      <c r="B220" s="151" t="s">
        <v>132</v>
      </c>
      <c r="C220" s="264">
        <v>2.6666666666666665</v>
      </c>
      <c r="D220" s="64">
        <v>5.75</v>
      </c>
      <c r="E220" s="16">
        <f t="shared" si="4"/>
        <v>15.333333333333332</v>
      </c>
      <c r="F220" s="40"/>
    </row>
    <row r="221" spans="1:6" ht="25.5" x14ac:dyDescent="0.2">
      <c r="A221" s="150" t="s">
        <v>187</v>
      </c>
      <c r="B221" s="151" t="s">
        <v>132</v>
      </c>
      <c r="C221" s="264">
        <v>1.3333333333333333</v>
      </c>
      <c r="D221" s="64">
        <v>20.633333333333333</v>
      </c>
      <c r="E221" s="16">
        <f t="shared" si="4"/>
        <v>27.511111111111109</v>
      </c>
      <c r="F221" s="40"/>
    </row>
    <row r="222" spans="1:6" x14ac:dyDescent="0.2">
      <c r="A222" s="150" t="s">
        <v>144</v>
      </c>
      <c r="B222" s="151" t="s">
        <v>132</v>
      </c>
      <c r="C222" s="264">
        <v>1.3333333333333333</v>
      </c>
      <c r="D222" s="64">
        <v>5.5166666666666666</v>
      </c>
      <c r="E222" s="16">
        <f t="shared" si="4"/>
        <v>7.3555555555555552</v>
      </c>
      <c r="F222" s="40"/>
    </row>
    <row r="223" spans="1:6" ht="25.5" x14ac:dyDescent="0.2">
      <c r="A223" s="150" t="s">
        <v>162</v>
      </c>
      <c r="B223" s="151" t="s">
        <v>132</v>
      </c>
      <c r="C223" s="264">
        <v>48</v>
      </c>
      <c r="D223" s="64">
        <v>0.65249999999999997</v>
      </c>
      <c r="E223" s="16">
        <f t="shared" si="4"/>
        <v>31.32</v>
      </c>
      <c r="F223" s="40"/>
    </row>
    <row r="224" spans="1:6" ht="25.5" x14ac:dyDescent="0.2">
      <c r="A224" s="150" t="s">
        <v>158</v>
      </c>
      <c r="B224" s="151" t="s">
        <v>132</v>
      </c>
      <c r="C224" s="264">
        <v>32</v>
      </c>
      <c r="D224" s="64">
        <v>2.105</v>
      </c>
      <c r="E224" s="16">
        <f t="shared" si="4"/>
        <v>67.36</v>
      </c>
      <c r="F224" s="40"/>
    </row>
    <row r="225" spans="1:6" x14ac:dyDescent="0.2">
      <c r="A225" s="150" t="s">
        <v>275</v>
      </c>
      <c r="B225" s="151" t="s">
        <v>132</v>
      </c>
      <c r="C225" s="264">
        <v>1.33</v>
      </c>
      <c r="D225" s="64">
        <v>20.805</v>
      </c>
      <c r="E225" s="16">
        <f t="shared" si="4"/>
        <v>27.670650000000002</v>
      </c>
      <c r="F225" s="40"/>
    </row>
    <row r="226" spans="1:6" x14ac:dyDescent="0.2">
      <c r="A226" s="150" t="s">
        <v>167</v>
      </c>
      <c r="B226" s="151" t="s">
        <v>132</v>
      </c>
      <c r="C226" s="264">
        <v>2</v>
      </c>
      <c r="D226" s="64">
        <v>2.8939999999999997</v>
      </c>
      <c r="E226" s="16">
        <f t="shared" si="4"/>
        <v>5.7879999999999994</v>
      </c>
      <c r="F226" s="40"/>
    </row>
    <row r="227" spans="1:6" x14ac:dyDescent="0.2">
      <c r="A227" s="150" t="s">
        <v>246</v>
      </c>
      <c r="B227" s="151" t="s">
        <v>132</v>
      </c>
      <c r="C227" s="264">
        <v>0.66666666666666663</v>
      </c>
      <c r="D227" s="64">
        <v>16.806666666666668</v>
      </c>
      <c r="E227" s="16">
        <f t="shared" si="4"/>
        <v>11.204444444444444</v>
      </c>
      <c r="F227" s="40"/>
    </row>
    <row r="228" spans="1:6" ht="25.5" x14ac:dyDescent="0.2">
      <c r="A228" s="150" t="s">
        <v>248</v>
      </c>
      <c r="B228" s="151" t="s">
        <v>132</v>
      </c>
      <c r="C228" s="264">
        <v>1.1666666666666667</v>
      </c>
      <c r="D228" s="64">
        <v>67.834999999999994</v>
      </c>
      <c r="E228" s="16">
        <f t="shared" si="4"/>
        <v>79.140833333333333</v>
      </c>
      <c r="F228" s="40"/>
    </row>
    <row r="229" spans="1:6" ht="25.5" x14ac:dyDescent="0.2">
      <c r="A229" s="150" t="s">
        <v>141</v>
      </c>
      <c r="B229" s="151" t="s">
        <v>132</v>
      </c>
      <c r="C229" s="264">
        <v>7.0972222222222223</v>
      </c>
      <c r="D229" s="64">
        <v>53.704999999999998</v>
      </c>
      <c r="E229" s="16">
        <f t="shared" si="4"/>
        <v>381.15631944444442</v>
      </c>
      <c r="F229" s="40"/>
    </row>
    <row r="230" spans="1:6" ht="25.5" x14ac:dyDescent="0.2">
      <c r="A230" s="150" t="s">
        <v>188</v>
      </c>
      <c r="B230" s="151" t="s">
        <v>132</v>
      </c>
      <c r="C230" s="264">
        <v>1.3333333333333333</v>
      </c>
      <c r="D230" s="64">
        <v>4.8179999999999996</v>
      </c>
      <c r="E230" s="16">
        <f t="shared" si="4"/>
        <v>6.4239999999999995</v>
      </c>
      <c r="F230" s="40"/>
    </row>
    <row r="231" spans="1:6" x14ac:dyDescent="0.2">
      <c r="A231" s="150" t="s">
        <v>272</v>
      </c>
      <c r="B231" s="151" t="s">
        <v>132</v>
      </c>
      <c r="C231" s="264">
        <v>16</v>
      </c>
      <c r="D231" s="64">
        <v>1.2037499999999999</v>
      </c>
      <c r="E231" s="16">
        <f t="shared" si="4"/>
        <v>19.259999999999998</v>
      </c>
      <c r="F231" s="40"/>
    </row>
    <row r="232" spans="1:6" ht="25.5" x14ac:dyDescent="0.2">
      <c r="A232" s="150" t="s">
        <v>133</v>
      </c>
      <c r="B232" s="151" t="s">
        <v>132</v>
      </c>
      <c r="C232" s="264">
        <v>64</v>
      </c>
      <c r="D232" s="64">
        <v>3.625</v>
      </c>
      <c r="E232" s="16">
        <f t="shared" si="4"/>
        <v>232</v>
      </c>
      <c r="F232" s="40"/>
    </row>
    <row r="233" spans="1:6" ht="38.25" x14ac:dyDescent="0.2">
      <c r="A233" s="150" t="s">
        <v>159</v>
      </c>
      <c r="B233" s="151" t="s">
        <v>168</v>
      </c>
      <c r="C233" s="264">
        <v>65</v>
      </c>
      <c r="D233" s="64">
        <v>37.077777777777769</v>
      </c>
      <c r="E233" s="16">
        <f t="shared" si="4"/>
        <v>2410.0555555555547</v>
      </c>
      <c r="F233" s="40"/>
    </row>
    <row r="234" spans="1:6" ht="25.5" x14ac:dyDescent="0.2">
      <c r="A234" s="150" t="s">
        <v>183</v>
      </c>
      <c r="B234" s="151" t="s">
        <v>134</v>
      </c>
      <c r="C234" s="264">
        <v>80</v>
      </c>
      <c r="D234" s="64">
        <v>17.239999999999998</v>
      </c>
      <c r="E234" s="16">
        <f t="shared" si="4"/>
        <v>1379.1999999999998</v>
      </c>
      <c r="F234" s="40"/>
    </row>
    <row r="235" spans="1:6" x14ac:dyDescent="0.2">
      <c r="A235" s="150" t="s">
        <v>196</v>
      </c>
      <c r="B235" s="151" t="s">
        <v>132</v>
      </c>
      <c r="C235" s="264">
        <v>8</v>
      </c>
      <c r="D235" s="64">
        <v>8.6757142857142853</v>
      </c>
      <c r="E235" s="16">
        <f t="shared" si="4"/>
        <v>69.405714285714282</v>
      </c>
      <c r="F235" s="40"/>
    </row>
    <row r="236" spans="1:6" ht="25.5" x14ac:dyDescent="0.2">
      <c r="A236" s="150" t="s">
        <v>193</v>
      </c>
      <c r="B236" s="151" t="s">
        <v>132</v>
      </c>
      <c r="C236" s="264">
        <v>2.6666666666666665</v>
      </c>
      <c r="D236" s="64">
        <v>5.7875000000000005</v>
      </c>
      <c r="E236" s="16">
        <f t="shared" si="4"/>
        <v>15.433333333333334</v>
      </c>
      <c r="F236" s="40"/>
    </row>
    <row r="237" spans="1:6" x14ac:dyDescent="0.2">
      <c r="A237" s="150" t="s">
        <v>145</v>
      </c>
      <c r="B237" s="151" t="s">
        <v>131</v>
      </c>
      <c r="C237" s="264">
        <v>9.1666666666666661</v>
      </c>
      <c r="D237" s="64">
        <v>26.263999999999999</v>
      </c>
      <c r="E237" s="16">
        <f t="shared" si="4"/>
        <v>240.7533333333333</v>
      </c>
      <c r="F237" s="40"/>
    </row>
    <row r="238" spans="1:6" x14ac:dyDescent="0.2">
      <c r="A238" s="150" t="s">
        <v>142</v>
      </c>
      <c r="B238" s="151" t="s">
        <v>131</v>
      </c>
      <c r="C238" s="264">
        <v>9.5833333333333339</v>
      </c>
      <c r="D238" s="64">
        <v>18.237142857142857</v>
      </c>
      <c r="E238" s="16">
        <f t="shared" si="4"/>
        <v>174.77261904761906</v>
      </c>
      <c r="F238" s="40"/>
    </row>
    <row r="239" spans="1:6" ht="114.75" x14ac:dyDescent="0.2">
      <c r="A239" s="150" t="s">
        <v>190</v>
      </c>
      <c r="B239" s="151" t="s">
        <v>130</v>
      </c>
      <c r="C239" s="264">
        <v>40.55555555555555</v>
      </c>
      <c r="D239" s="64">
        <v>19.295555555555556</v>
      </c>
      <c r="E239" s="16">
        <f t="shared" si="4"/>
        <v>782.5419753086419</v>
      </c>
      <c r="F239" s="40"/>
    </row>
    <row r="240" spans="1:6" x14ac:dyDescent="0.2">
      <c r="A240" s="150" t="s">
        <v>180</v>
      </c>
      <c r="B240" s="151" t="s">
        <v>132</v>
      </c>
      <c r="C240" s="264">
        <v>15</v>
      </c>
      <c r="D240" s="64">
        <v>4.4533333333333331</v>
      </c>
      <c r="E240" s="16">
        <f t="shared" si="4"/>
        <v>66.8</v>
      </c>
      <c r="F240" s="40"/>
    </row>
    <row r="241" spans="1:6" ht="25.5" x14ac:dyDescent="0.2">
      <c r="A241" s="150" t="s">
        <v>189</v>
      </c>
      <c r="B241" s="151" t="s">
        <v>132</v>
      </c>
      <c r="C241" s="264">
        <v>9</v>
      </c>
      <c r="D241" s="66">
        <v>9.07909090909091</v>
      </c>
      <c r="E241" s="16">
        <f t="shared" si="4"/>
        <v>81.711818181818188</v>
      </c>
      <c r="F241" s="40"/>
    </row>
    <row r="242" spans="1:6" ht="13.5" thickBot="1" x14ac:dyDescent="0.25">
      <c r="A242" s="150" t="s">
        <v>164</v>
      </c>
      <c r="B242" s="151" t="s">
        <v>132</v>
      </c>
      <c r="C242" s="264">
        <v>0.25347222222222221</v>
      </c>
      <c r="D242" s="66">
        <v>21.191666666666666</v>
      </c>
      <c r="E242" s="16">
        <f t="shared" si="4"/>
        <v>5.371498842592592</v>
      </c>
      <c r="F242" s="40"/>
    </row>
    <row r="243" spans="1:6" ht="13.5" thickBot="1" x14ac:dyDescent="0.25">
      <c r="A243" s="260"/>
      <c r="B243" s="261"/>
      <c r="C243" s="262"/>
      <c r="D243" s="259"/>
      <c r="E243" s="259"/>
      <c r="F243" s="17">
        <f>SUM(E209:E242)</f>
        <v>10086.312394145129</v>
      </c>
    </row>
    <row r="244" spans="1:6" x14ac:dyDescent="0.2">
      <c r="A244" s="263" t="s">
        <v>269</v>
      </c>
      <c r="B244" s="261"/>
      <c r="C244" s="262"/>
      <c r="D244" s="259"/>
      <c r="E244" s="259"/>
      <c r="F244" s="40"/>
    </row>
    <row r="245" spans="1:6" ht="13.5" thickBot="1" x14ac:dyDescent="0.25">
      <c r="D245" s="7"/>
      <c r="E245" s="7"/>
      <c r="F245" s="7"/>
    </row>
    <row r="246" spans="1:6" ht="13.5" thickBot="1" x14ac:dyDescent="0.25">
      <c r="A246" s="44" t="s">
        <v>25</v>
      </c>
      <c r="B246" s="45" t="s">
        <v>26</v>
      </c>
      <c r="C246" s="45" t="s">
        <v>17</v>
      </c>
      <c r="D246" s="46" t="s">
        <v>106</v>
      </c>
      <c r="E246" s="46" t="s">
        <v>27</v>
      </c>
      <c r="F246" s="47" t="s">
        <v>28</v>
      </c>
    </row>
    <row r="247" spans="1:6" x14ac:dyDescent="0.2">
      <c r="A247" s="150" t="s">
        <v>170</v>
      </c>
      <c r="B247" s="151" t="s">
        <v>132</v>
      </c>
      <c r="C247" s="267">
        <v>1.67</v>
      </c>
      <c r="D247" s="66">
        <v>33.799999999999997</v>
      </c>
      <c r="E247" s="16">
        <f>C247*D247</f>
        <v>56.445999999999991</v>
      </c>
      <c r="F247" s="40"/>
    </row>
    <row r="248" spans="1:6" ht="26.25" thickBot="1" x14ac:dyDescent="0.25">
      <c r="A248" s="150" t="s">
        <v>266</v>
      </c>
      <c r="B248" s="151" t="s">
        <v>132</v>
      </c>
      <c r="C248" s="267">
        <v>0.83</v>
      </c>
      <c r="D248" s="66">
        <v>171.9</v>
      </c>
      <c r="E248" s="16">
        <f>C248*D248</f>
        <v>142.67699999999999</v>
      </c>
      <c r="F248" s="40"/>
    </row>
    <row r="249" spans="1:6" ht="13.5" thickBot="1" x14ac:dyDescent="0.25">
      <c r="A249" s="9"/>
      <c r="B249" s="9"/>
      <c r="C249" s="9"/>
      <c r="D249" s="9"/>
      <c r="E249" s="28"/>
      <c r="F249" s="17">
        <f>E247+E248</f>
        <v>199.12299999999999</v>
      </c>
    </row>
    <row r="250" spans="1:6" ht="13.5" thickBot="1" x14ac:dyDescent="0.25"/>
    <row r="251" spans="1:6" ht="13.5" thickBot="1" x14ac:dyDescent="0.25">
      <c r="A251" s="20" t="s">
        <v>280</v>
      </c>
      <c r="B251" s="21"/>
      <c r="C251" s="21"/>
      <c r="D251" s="22"/>
      <c r="E251" s="23"/>
      <c r="F251" s="273">
        <f>F249+F243</f>
        <v>10285.435394145128</v>
      </c>
    </row>
    <row r="253" spans="1:6" ht="13.5" thickBot="1" x14ac:dyDescent="0.25"/>
    <row r="254" spans="1:6" ht="13.5" thickBot="1" x14ac:dyDescent="0.25">
      <c r="A254" s="20" t="s">
        <v>104</v>
      </c>
      <c r="B254" s="24"/>
      <c r="C254" s="24"/>
      <c r="D254" s="25"/>
      <c r="E254" s="26"/>
      <c r="F254" s="274">
        <f>F251+F204+F194+F170</f>
        <v>123978.89190424292</v>
      </c>
    </row>
    <row r="256" spans="1:6" x14ac:dyDescent="0.2">
      <c r="A256" s="9" t="s">
        <v>37</v>
      </c>
    </row>
    <row r="257" spans="1:7" ht="13.5" thickBot="1" x14ac:dyDescent="0.25"/>
    <row r="258" spans="1:7" ht="13.5" thickBot="1" x14ac:dyDescent="0.25">
      <c r="A258" s="44" t="s">
        <v>25</v>
      </c>
      <c r="B258" s="45" t="s">
        <v>26</v>
      </c>
      <c r="C258" s="45" t="s">
        <v>17</v>
      </c>
      <c r="D258" s="46" t="s">
        <v>106</v>
      </c>
      <c r="E258" s="46" t="s">
        <v>27</v>
      </c>
      <c r="F258" s="47" t="s">
        <v>28</v>
      </c>
    </row>
    <row r="259" spans="1:7" ht="13.5" thickBot="1" x14ac:dyDescent="0.25">
      <c r="A259" s="11" t="s">
        <v>14</v>
      </c>
      <c r="B259" s="12" t="s">
        <v>2</v>
      </c>
      <c r="C259" s="95">
        <f>'BDI S DES'!O22*100</f>
        <v>20.52</v>
      </c>
      <c r="D259" s="13">
        <f>F254-F251-E200-F194</f>
        <v>108993.50493623415</v>
      </c>
      <c r="E259" s="13">
        <f>C259*D259/100</f>
        <v>22365.46721291525</v>
      </c>
    </row>
    <row r="260" spans="1:7" ht="13.5" thickBot="1" x14ac:dyDescent="0.25">
      <c r="F260" s="17">
        <f>+E259</f>
        <v>22365.46721291525</v>
      </c>
    </row>
    <row r="261" spans="1:7" ht="13.5" thickBot="1" x14ac:dyDescent="0.25"/>
    <row r="262" spans="1:7" ht="13.5" thickBot="1" x14ac:dyDescent="0.25">
      <c r="A262" s="20" t="s">
        <v>108</v>
      </c>
      <c r="B262" s="24"/>
      <c r="C262" s="24"/>
      <c r="D262" s="25"/>
      <c r="E262" s="26"/>
      <c r="F262" s="18">
        <f>F254+F260</f>
        <v>146344.35911715816</v>
      </c>
    </row>
    <row r="263" spans="1:7" x14ac:dyDescent="0.2">
      <c r="A263" s="9"/>
      <c r="B263" s="9"/>
      <c r="C263" s="9"/>
      <c r="D263" s="28"/>
      <c r="E263" s="28"/>
      <c r="F263" s="27"/>
    </row>
    <row r="264" spans="1:7" ht="13.5" thickBot="1" x14ac:dyDescent="0.25"/>
    <row r="265" spans="1:7" ht="16.5" customHeight="1" thickBot="1" x14ac:dyDescent="0.25">
      <c r="A265" s="326" t="s">
        <v>105</v>
      </c>
      <c r="B265" s="327"/>
      <c r="C265" s="327"/>
      <c r="D265" s="327"/>
      <c r="E265" s="328"/>
      <c r="F265" s="277">
        <f>F262</f>
        <v>146344.35911715816</v>
      </c>
      <c r="G265" s="8">
        <f>F170/F265</f>
        <v>0.74107608650232315</v>
      </c>
    </row>
    <row r="266" spans="1:7" ht="16.5" customHeight="1" thickBot="1" x14ac:dyDescent="0.25">
      <c r="A266" s="323" t="s">
        <v>284</v>
      </c>
      <c r="B266" s="324"/>
      <c r="C266" s="324"/>
      <c r="D266" s="324"/>
      <c r="E266" s="325"/>
      <c r="F266" s="276">
        <f>F265*12</f>
        <v>1756132.309405898</v>
      </c>
    </row>
    <row r="268" spans="1:7" x14ac:dyDescent="0.2">
      <c r="F268" s="283">
        <v>46001</v>
      </c>
    </row>
    <row r="278" spans="2:4" x14ac:dyDescent="0.2">
      <c r="B278" s="281"/>
      <c r="C278" s="281"/>
      <c r="D278" s="281"/>
    </row>
    <row r="279" spans="2:4" x14ac:dyDescent="0.2">
      <c r="B279" s="319"/>
      <c r="C279" s="319"/>
      <c r="D279" s="319"/>
    </row>
    <row r="280" spans="2:4" x14ac:dyDescent="0.2">
      <c r="B280" s="320"/>
      <c r="C280" s="320"/>
      <c r="D280" s="320"/>
    </row>
    <row r="281" spans="2:4" x14ac:dyDescent="0.2">
      <c r="B281" s="321"/>
      <c r="C281" s="321"/>
      <c r="D281" s="321"/>
    </row>
    <row r="282" spans="2:4" x14ac:dyDescent="0.2">
      <c r="B282" s="322"/>
      <c r="C282" s="322"/>
      <c r="D282" s="322"/>
    </row>
  </sheetData>
  <mergeCells count="12">
    <mergeCell ref="A7:F8"/>
    <mergeCell ref="B279:D279"/>
    <mergeCell ref="B280:D280"/>
    <mergeCell ref="B281:D281"/>
    <mergeCell ref="B282:D282"/>
    <mergeCell ref="A266:E266"/>
    <mergeCell ref="A265:E265"/>
    <mergeCell ref="A38:D38"/>
    <mergeCell ref="A11:F11"/>
    <mergeCell ref="A31:E31"/>
    <mergeCell ref="A32:D32"/>
    <mergeCell ref="A23:C23"/>
  </mergeCells>
  <pageMargins left="0.9055118110236221" right="0.51181102362204722" top="0.74803149606299213" bottom="0.74803149606299213" header="0.31496062992125984" footer="0.31496062992125984"/>
  <pageSetup paperSize="9" scale="76" fitToHeight="0" orientation="portrait" r:id="rId1"/>
  <headerFooter alignWithMargins="0">
    <oddFooter>&amp;R&amp;P de &amp;N</oddFooter>
  </headerFooter>
  <rowBreaks count="5" manualBreakCount="5">
    <brk id="41" max="16383" man="1"/>
    <brk id="104" max="5" man="1"/>
    <brk id="170" max="5" man="1"/>
    <brk id="223" max="5" man="1"/>
    <brk id="254" max="5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C4D0E-F4B5-4E1C-BA0D-0068E55CB693}">
  <dimension ref="A1:IV996"/>
  <sheetViews>
    <sheetView view="pageBreakPreview" zoomScale="154" zoomScaleNormal="100" zoomScaleSheetLayoutView="154" workbookViewId="0">
      <selection activeCell="C46" sqref="C46"/>
    </sheetView>
  </sheetViews>
  <sheetFormatPr defaultColWidth="4" defaultRowHeight="11.25" x14ac:dyDescent="0.2"/>
  <cols>
    <col min="1" max="1" width="4.85546875" style="154" customWidth="1"/>
    <col min="2" max="2" width="10" style="160" customWidth="1"/>
    <col min="3" max="3" width="10.5703125" style="211" customWidth="1"/>
    <col min="4" max="4" width="11.140625" style="212" customWidth="1"/>
    <col min="5" max="5" width="9.7109375" style="160" customWidth="1"/>
    <col min="6" max="6" width="8.28515625" style="160" hidden="1" customWidth="1"/>
    <col min="7" max="7" width="7" style="160" hidden="1" customWidth="1"/>
    <col min="8" max="8" width="18.5703125" style="160" customWidth="1"/>
    <col min="9" max="9" width="1.5703125" style="160" customWidth="1"/>
    <col min="10" max="10" width="9.7109375" style="160" customWidth="1"/>
    <col min="11" max="11" width="9" style="154" hidden="1" customWidth="1"/>
    <col min="12" max="12" width="9.85546875" style="154" hidden="1" customWidth="1"/>
    <col min="13" max="14" width="9.140625" style="154" hidden="1" customWidth="1"/>
    <col min="15" max="15" width="17.140625" style="154" customWidth="1"/>
    <col min="16" max="254" width="9.140625" style="154" customWidth="1"/>
    <col min="255" max="256" width="4" style="154"/>
    <col min="257" max="257" width="4.85546875" style="154" customWidth="1"/>
    <col min="258" max="258" width="10" style="154" customWidth="1"/>
    <col min="259" max="259" width="10.5703125" style="154" customWidth="1"/>
    <col min="260" max="260" width="11.140625" style="154" customWidth="1"/>
    <col min="261" max="261" width="9.7109375" style="154" customWidth="1"/>
    <col min="262" max="263" width="0" style="154" hidden="1" customWidth="1"/>
    <col min="264" max="264" width="18.5703125" style="154" customWidth="1"/>
    <col min="265" max="265" width="1.5703125" style="154" customWidth="1"/>
    <col min="266" max="266" width="9.7109375" style="154" customWidth="1"/>
    <col min="267" max="270" width="0" style="154" hidden="1" customWidth="1"/>
    <col min="271" max="271" width="17.140625" style="154" customWidth="1"/>
    <col min="272" max="510" width="9.140625" style="154" customWidth="1"/>
    <col min="511" max="512" width="4" style="154"/>
    <col min="513" max="513" width="4.85546875" style="154" customWidth="1"/>
    <col min="514" max="514" width="10" style="154" customWidth="1"/>
    <col min="515" max="515" width="10.5703125" style="154" customWidth="1"/>
    <col min="516" max="516" width="11.140625" style="154" customWidth="1"/>
    <col min="517" max="517" width="9.7109375" style="154" customWidth="1"/>
    <col min="518" max="519" width="0" style="154" hidden="1" customWidth="1"/>
    <col min="520" max="520" width="18.5703125" style="154" customWidth="1"/>
    <col min="521" max="521" width="1.5703125" style="154" customWidth="1"/>
    <col min="522" max="522" width="9.7109375" style="154" customWidth="1"/>
    <col min="523" max="526" width="0" style="154" hidden="1" customWidth="1"/>
    <col min="527" max="527" width="17.140625" style="154" customWidth="1"/>
    <col min="528" max="766" width="9.140625" style="154" customWidth="1"/>
    <col min="767" max="768" width="4" style="154"/>
    <col min="769" max="769" width="4.85546875" style="154" customWidth="1"/>
    <col min="770" max="770" width="10" style="154" customWidth="1"/>
    <col min="771" max="771" width="10.5703125" style="154" customWidth="1"/>
    <col min="772" max="772" width="11.140625" style="154" customWidth="1"/>
    <col min="773" max="773" width="9.7109375" style="154" customWidth="1"/>
    <col min="774" max="775" width="0" style="154" hidden="1" customWidth="1"/>
    <col min="776" max="776" width="18.5703125" style="154" customWidth="1"/>
    <col min="777" max="777" width="1.5703125" style="154" customWidth="1"/>
    <col min="778" max="778" width="9.7109375" style="154" customWidth="1"/>
    <col min="779" max="782" width="0" style="154" hidden="1" customWidth="1"/>
    <col min="783" max="783" width="17.140625" style="154" customWidth="1"/>
    <col min="784" max="1022" width="9.140625" style="154" customWidth="1"/>
    <col min="1023" max="1024" width="4" style="154"/>
    <col min="1025" max="1025" width="4.85546875" style="154" customWidth="1"/>
    <col min="1026" max="1026" width="10" style="154" customWidth="1"/>
    <col min="1027" max="1027" width="10.5703125" style="154" customWidth="1"/>
    <col min="1028" max="1028" width="11.140625" style="154" customWidth="1"/>
    <col min="1029" max="1029" width="9.7109375" style="154" customWidth="1"/>
    <col min="1030" max="1031" width="0" style="154" hidden="1" customWidth="1"/>
    <col min="1032" max="1032" width="18.5703125" style="154" customWidth="1"/>
    <col min="1033" max="1033" width="1.5703125" style="154" customWidth="1"/>
    <col min="1034" max="1034" width="9.7109375" style="154" customWidth="1"/>
    <col min="1035" max="1038" width="0" style="154" hidden="1" customWidth="1"/>
    <col min="1039" max="1039" width="17.140625" style="154" customWidth="1"/>
    <col min="1040" max="1278" width="9.140625" style="154" customWidth="1"/>
    <col min="1279" max="1280" width="4" style="154"/>
    <col min="1281" max="1281" width="4.85546875" style="154" customWidth="1"/>
    <col min="1282" max="1282" width="10" style="154" customWidth="1"/>
    <col min="1283" max="1283" width="10.5703125" style="154" customWidth="1"/>
    <col min="1284" max="1284" width="11.140625" style="154" customWidth="1"/>
    <col min="1285" max="1285" width="9.7109375" style="154" customWidth="1"/>
    <col min="1286" max="1287" width="0" style="154" hidden="1" customWidth="1"/>
    <col min="1288" max="1288" width="18.5703125" style="154" customWidth="1"/>
    <col min="1289" max="1289" width="1.5703125" style="154" customWidth="1"/>
    <col min="1290" max="1290" width="9.7109375" style="154" customWidth="1"/>
    <col min="1291" max="1294" width="0" style="154" hidden="1" customWidth="1"/>
    <col min="1295" max="1295" width="17.140625" style="154" customWidth="1"/>
    <col min="1296" max="1534" width="9.140625" style="154" customWidth="1"/>
    <col min="1535" max="1536" width="4" style="154"/>
    <col min="1537" max="1537" width="4.85546875" style="154" customWidth="1"/>
    <col min="1538" max="1538" width="10" style="154" customWidth="1"/>
    <col min="1539" max="1539" width="10.5703125" style="154" customWidth="1"/>
    <col min="1540" max="1540" width="11.140625" style="154" customWidth="1"/>
    <col min="1541" max="1541" width="9.7109375" style="154" customWidth="1"/>
    <col min="1542" max="1543" width="0" style="154" hidden="1" customWidth="1"/>
    <col min="1544" max="1544" width="18.5703125" style="154" customWidth="1"/>
    <col min="1545" max="1545" width="1.5703125" style="154" customWidth="1"/>
    <col min="1546" max="1546" width="9.7109375" style="154" customWidth="1"/>
    <col min="1547" max="1550" width="0" style="154" hidden="1" customWidth="1"/>
    <col min="1551" max="1551" width="17.140625" style="154" customWidth="1"/>
    <col min="1552" max="1790" width="9.140625" style="154" customWidth="1"/>
    <col min="1791" max="1792" width="4" style="154"/>
    <col min="1793" max="1793" width="4.85546875" style="154" customWidth="1"/>
    <col min="1794" max="1794" width="10" style="154" customWidth="1"/>
    <col min="1795" max="1795" width="10.5703125" style="154" customWidth="1"/>
    <col min="1796" max="1796" width="11.140625" style="154" customWidth="1"/>
    <col min="1797" max="1797" width="9.7109375" style="154" customWidth="1"/>
    <col min="1798" max="1799" width="0" style="154" hidden="1" customWidth="1"/>
    <col min="1800" max="1800" width="18.5703125" style="154" customWidth="1"/>
    <col min="1801" max="1801" width="1.5703125" style="154" customWidth="1"/>
    <col min="1802" max="1802" width="9.7109375" style="154" customWidth="1"/>
    <col min="1803" max="1806" width="0" style="154" hidden="1" customWidth="1"/>
    <col min="1807" max="1807" width="17.140625" style="154" customWidth="1"/>
    <col min="1808" max="2046" width="9.140625" style="154" customWidth="1"/>
    <col min="2047" max="2048" width="4" style="154"/>
    <col min="2049" max="2049" width="4.85546875" style="154" customWidth="1"/>
    <col min="2050" max="2050" width="10" style="154" customWidth="1"/>
    <col min="2051" max="2051" width="10.5703125" style="154" customWidth="1"/>
    <col min="2052" max="2052" width="11.140625" style="154" customWidth="1"/>
    <col min="2053" max="2053" width="9.7109375" style="154" customWidth="1"/>
    <col min="2054" max="2055" width="0" style="154" hidden="1" customWidth="1"/>
    <col min="2056" max="2056" width="18.5703125" style="154" customWidth="1"/>
    <col min="2057" max="2057" width="1.5703125" style="154" customWidth="1"/>
    <col min="2058" max="2058" width="9.7109375" style="154" customWidth="1"/>
    <col min="2059" max="2062" width="0" style="154" hidden="1" customWidth="1"/>
    <col min="2063" max="2063" width="17.140625" style="154" customWidth="1"/>
    <col min="2064" max="2302" width="9.140625" style="154" customWidth="1"/>
    <col min="2303" max="2304" width="4" style="154"/>
    <col min="2305" max="2305" width="4.85546875" style="154" customWidth="1"/>
    <col min="2306" max="2306" width="10" style="154" customWidth="1"/>
    <col min="2307" max="2307" width="10.5703125" style="154" customWidth="1"/>
    <col min="2308" max="2308" width="11.140625" style="154" customWidth="1"/>
    <col min="2309" max="2309" width="9.7109375" style="154" customWidth="1"/>
    <col min="2310" max="2311" width="0" style="154" hidden="1" customWidth="1"/>
    <col min="2312" max="2312" width="18.5703125" style="154" customWidth="1"/>
    <col min="2313" max="2313" width="1.5703125" style="154" customWidth="1"/>
    <col min="2314" max="2314" width="9.7109375" style="154" customWidth="1"/>
    <col min="2315" max="2318" width="0" style="154" hidden="1" customWidth="1"/>
    <col min="2319" max="2319" width="17.140625" style="154" customWidth="1"/>
    <col min="2320" max="2558" width="9.140625" style="154" customWidth="1"/>
    <col min="2559" max="2560" width="4" style="154"/>
    <col min="2561" max="2561" width="4.85546875" style="154" customWidth="1"/>
    <col min="2562" max="2562" width="10" style="154" customWidth="1"/>
    <col min="2563" max="2563" width="10.5703125" style="154" customWidth="1"/>
    <col min="2564" max="2564" width="11.140625" style="154" customWidth="1"/>
    <col min="2565" max="2565" width="9.7109375" style="154" customWidth="1"/>
    <col min="2566" max="2567" width="0" style="154" hidden="1" customWidth="1"/>
    <col min="2568" max="2568" width="18.5703125" style="154" customWidth="1"/>
    <col min="2569" max="2569" width="1.5703125" style="154" customWidth="1"/>
    <col min="2570" max="2570" width="9.7109375" style="154" customWidth="1"/>
    <col min="2571" max="2574" width="0" style="154" hidden="1" customWidth="1"/>
    <col min="2575" max="2575" width="17.140625" style="154" customWidth="1"/>
    <col min="2576" max="2814" width="9.140625" style="154" customWidth="1"/>
    <col min="2815" max="2816" width="4" style="154"/>
    <col min="2817" max="2817" width="4.85546875" style="154" customWidth="1"/>
    <col min="2818" max="2818" width="10" style="154" customWidth="1"/>
    <col min="2819" max="2819" width="10.5703125" style="154" customWidth="1"/>
    <col min="2820" max="2820" width="11.140625" style="154" customWidth="1"/>
    <col min="2821" max="2821" width="9.7109375" style="154" customWidth="1"/>
    <col min="2822" max="2823" width="0" style="154" hidden="1" customWidth="1"/>
    <col min="2824" max="2824" width="18.5703125" style="154" customWidth="1"/>
    <col min="2825" max="2825" width="1.5703125" style="154" customWidth="1"/>
    <col min="2826" max="2826" width="9.7109375" style="154" customWidth="1"/>
    <col min="2827" max="2830" width="0" style="154" hidden="1" customWidth="1"/>
    <col min="2831" max="2831" width="17.140625" style="154" customWidth="1"/>
    <col min="2832" max="3070" width="9.140625" style="154" customWidth="1"/>
    <col min="3071" max="3072" width="4" style="154"/>
    <col min="3073" max="3073" width="4.85546875" style="154" customWidth="1"/>
    <col min="3074" max="3074" width="10" style="154" customWidth="1"/>
    <col min="3075" max="3075" width="10.5703125" style="154" customWidth="1"/>
    <col min="3076" max="3076" width="11.140625" style="154" customWidth="1"/>
    <col min="3077" max="3077" width="9.7109375" style="154" customWidth="1"/>
    <col min="3078" max="3079" width="0" style="154" hidden="1" customWidth="1"/>
    <col min="3080" max="3080" width="18.5703125" style="154" customWidth="1"/>
    <col min="3081" max="3081" width="1.5703125" style="154" customWidth="1"/>
    <col min="3082" max="3082" width="9.7109375" style="154" customWidth="1"/>
    <col min="3083" max="3086" width="0" style="154" hidden="1" customWidth="1"/>
    <col min="3087" max="3087" width="17.140625" style="154" customWidth="1"/>
    <col min="3088" max="3326" width="9.140625" style="154" customWidth="1"/>
    <col min="3327" max="3328" width="4" style="154"/>
    <col min="3329" max="3329" width="4.85546875" style="154" customWidth="1"/>
    <col min="3330" max="3330" width="10" style="154" customWidth="1"/>
    <col min="3331" max="3331" width="10.5703125" style="154" customWidth="1"/>
    <col min="3332" max="3332" width="11.140625" style="154" customWidth="1"/>
    <col min="3333" max="3333" width="9.7109375" style="154" customWidth="1"/>
    <col min="3334" max="3335" width="0" style="154" hidden="1" customWidth="1"/>
    <col min="3336" max="3336" width="18.5703125" style="154" customWidth="1"/>
    <col min="3337" max="3337" width="1.5703125" style="154" customWidth="1"/>
    <col min="3338" max="3338" width="9.7109375" style="154" customWidth="1"/>
    <col min="3339" max="3342" width="0" style="154" hidden="1" customWidth="1"/>
    <col min="3343" max="3343" width="17.140625" style="154" customWidth="1"/>
    <col min="3344" max="3582" width="9.140625" style="154" customWidth="1"/>
    <col min="3583" max="3584" width="4" style="154"/>
    <col min="3585" max="3585" width="4.85546875" style="154" customWidth="1"/>
    <col min="3586" max="3586" width="10" style="154" customWidth="1"/>
    <col min="3587" max="3587" width="10.5703125" style="154" customWidth="1"/>
    <col min="3588" max="3588" width="11.140625" style="154" customWidth="1"/>
    <col min="3589" max="3589" width="9.7109375" style="154" customWidth="1"/>
    <col min="3590" max="3591" width="0" style="154" hidden="1" customWidth="1"/>
    <col min="3592" max="3592" width="18.5703125" style="154" customWidth="1"/>
    <col min="3593" max="3593" width="1.5703125" style="154" customWidth="1"/>
    <col min="3594" max="3594" width="9.7109375" style="154" customWidth="1"/>
    <col min="3595" max="3598" width="0" style="154" hidden="1" customWidth="1"/>
    <col min="3599" max="3599" width="17.140625" style="154" customWidth="1"/>
    <col min="3600" max="3838" width="9.140625" style="154" customWidth="1"/>
    <col min="3839" max="3840" width="4" style="154"/>
    <col min="3841" max="3841" width="4.85546875" style="154" customWidth="1"/>
    <col min="3842" max="3842" width="10" style="154" customWidth="1"/>
    <col min="3843" max="3843" width="10.5703125" style="154" customWidth="1"/>
    <col min="3844" max="3844" width="11.140625" style="154" customWidth="1"/>
    <col min="3845" max="3845" width="9.7109375" style="154" customWidth="1"/>
    <col min="3846" max="3847" width="0" style="154" hidden="1" customWidth="1"/>
    <col min="3848" max="3848" width="18.5703125" style="154" customWidth="1"/>
    <col min="3849" max="3849" width="1.5703125" style="154" customWidth="1"/>
    <col min="3850" max="3850" width="9.7109375" style="154" customWidth="1"/>
    <col min="3851" max="3854" width="0" style="154" hidden="1" customWidth="1"/>
    <col min="3855" max="3855" width="17.140625" style="154" customWidth="1"/>
    <col min="3856" max="4094" width="9.140625" style="154" customWidth="1"/>
    <col min="4095" max="4096" width="4" style="154"/>
    <col min="4097" max="4097" width="4.85546875" style="154" customWidth="1"/>
    <col min="4098" max="4098" width="10" style="154" customWidth="1"/>
    <col min="4099" max="4099" width="10.5703125" style="154" customWidth="1"/>
    <col min="4100" max="4100" width="11.140625" style="154" customWidth="1"/>
    <col min="4101" max="4101" width="9.7109375" style="154" customWidth="1"/>
    <col min="4102" max="4103" width="0" style="154" hidden="1" customWidth="1"/>
    <col min="4104" max="4104" width="18.5703125" style="154" customWidth="1"/>
    <col min="4105" max="4105" width="1.5703125" style="154" customWidth="1"/>
    <col min="4106" max="4106" width="9.7109375" style="154" customWidth="1"/>
    <col min="4107" max="4110" width="0" style="154" hidden="1" customWidth="1"/>
    <col min="4111" max="4111" width="17.140625" style="154" customWidth="1"/>
    <col min="4112" max="4350" width="9.140625" style="154" customWidth="1"/>
    <col min="4351" max="4352" width="4" style="154"/>
    <col min="4353" max="4353" width="4.85546875" style="154" customWidth="1"/>
    <col min="4354" max="4354" width="10" style="154" customWidth="1"/>
    <col min="4355" max="4355" width="10.5703125" style="154" customWidth="1"/>
    <col min="4356" max="4356" width="11.140625" style="154" customWidth="1"/>
    <col min="4357" max="4357" width="9.7109375" style="154" customWidth="1"/>
    <col min="4358" max="4359" width="0" style="154" hidden="1" customWidth="1"/>
    <col min="4360" max="4360" width="18.5703125" style="154" customWidth="1"/>
    <col min="4361" max="4361" width="1.5703125" style="154" customWidth="1"/>
    <col min="4362" max="4362" width="9.7109375" style="154" customWidth="1"/>
    <col min="4363" max="4366" width="0" style="154" hidden="1" customWidth="1"/>
    <col min="4367" max="4367" width="17.140625" style="154" customWidth="1"/>
    <col min="4368" max="4606" width="9.140625" style="154" customWidth="1"/>
    <col min="4607" max="4608" width="4" style="154"/>
    <col min="4609" max="4609" width="4.85546875" style="154" customWidth="1"/>
    <col min="4610" max="4610" width="10" style="154" customWidth="1"/>
    <col min="4611" max="4611" width="10.5703125" style="154" customWidth="1"/>
    <col min="4612" max="4612" width="11.140625" style="154" customWidth="1"/>
    <col min="4613" max="4613" width="9.7109375" style="154" customWidth="1"/>
    <col min="4614" max="4615" width="0" style="154" hidden="1" customWidth="1"/>
    <col min="4616" max="4616" width="18.5703125" style="154" customWidth="1"/>
    <col min="4617" max="4617" width="1.5703125" style="154" customWidth="1"/>
    <col min="4618" max="4618" width="9.7109375" style="154" customWidth="1"/>
    <col min="4619" max="4622" width="0" style="154" hidden="1" customWidth="1"/>
    <col min="4623" max="4623" width="17.140625" style="154" customWidth="1"/>
    <col min="4624" max="4862" width="9.140625" style="154" customWidth="1"/>
    <col min="4863" max="4864" width="4" style="154"/>
    <col min="4865" max="4865" width="4.85546875" style="154" customWidth="1"/>
    <col min="4866" max="4866" width="10" style="154" customWidth="1"/>
    <col min="4867" max="4867" width="10.5703125" style="154" customWidth="1"/>
    <col min="4868" max="4868" width="11.140625" style="154" customWidth="1"/>
    <col min="4869" max="4869" width="9.7109375" style="154" customWidth="1"/>
    <col min="4870" max="4871" width="0" style="154" hidden="1" customWidth="1"/>
    <col min="4872" max="4872" width="18.5703125" style="154" customWidth="1"/>
    <col min="4873" max="4873" width="1.5703125" style="154" customWidth="1"/>
    <col min="4874" max="4874" width="9.7109375" style="154" customWidth="1"/>
    <col min="4875" max="4878" width="0" style="154" hidden="1" customWidth="1"/>
    <col min="4879" max="4879" width="17.140625" style="154" customWidth="1"/>
    <col min="4880" max="5118" width="9.140625" style="154" customWidth="1"/>
    <col min="5119" max="5120" width="4" style="154"/>
    <col min="5121" max="5121" width="4.85546875" style="154" customWidth="1"/>
    <col min="5122" max="5122" width="10" style="154" customWidth="1"/>
    <col min="5123" max="5123" width="10.5703125" style="154" customWidth="1"/>
    <col min="5124" max="5124" width="11.140625" style="154" customWidth="1"/>
    <col min="5125" max="5125" width="9.7109375" style="154" customWidth="1"/>
    <col min="5126" max="5127" width="0" style="154" hidden="1" customWidth="1"/>
    <col min="5128" max="5128" width="18.5703125" style="154" customWidth="1"/>
    <col min="5129" max="5129" width="1.5703125" style="154" customWidth="1"/>
    <col min="5130" max="5130" width="9.7109375" style="154" customWidth="1"/>
    <col min="5131" max="5134" width="0" style="154" hidden="1" customWidth="1"/>
    <col min="5135" max="5135" width="17.140625" style="154" customWidth="1"/>
    <col min="5136" max="5374" width="9.140625" style="154" customWidth="1"/>
    <col min="5375" max="5376" width="4" style="154"/>
    <col min="5377" max="5377" width="4.85546875" style="154" customWidth="1"/>
    <col min="5378" max="5378" width="10" style="154" customWidth="1"/>
    <col min="5379" max="5379" width="10.5703125" style="154" customWidth="1"/>
    <col min="5380" max="5380" width="11.140625" style="154" customWidth="1"/>
    <col min="5381" max="5381" width="9.7109375" style="154" customWidth="1"/>
    <col min="5382" max="5383" width="0" style="154" hidden="1" customWidth="1"/>
    <col min="5384" max="5384" width="18.5703125" style="154" customWidth="1"/>
    <col min="5385" max="5385" width="1.5703125" style="154" customWidth="1"/>
    <col min="5386" max="5386" width="9.7109375" style="154" customWidth="1"/>
    <col min="5387" max="5390" width="0" style="154" hidden="1" customWidth="1"/>
    <col min="5391" max="5391" width="17.140625" style="154" customWidth="1"/>
    <col min="5392" max="5630" width="9.140625" style="154" customWidth="1"/>
    <col min="5631" max="5632" width="4" style="154"/>
    <col min="5633" max="5633" width="4.85546875" style="154" customWidth="1"/>
    <col min="5634" max="5634" width="10" style="154" customWidth="1"/>
    <col min="5635" max="5635" width="10.5703125" style="154" customWidth="1"/>
    <col min="5636" max="5636" width="11.140625" style="154" customWidth="1"/>
    <col min="5637" max="5637" width="9.7109375" style="154" customWidth="1"/>
    <col min="5638" max="5639" width="0" style="154" hidden="1" customWidth="1"/>
    <col min="5640" max="5640" width="18.5703125" style="154" customWidth="1"/>
    <col min="5641" max="5641" width="1.5703125" style="154" customWidth="1"/>
    <col min="5642" max="5642" width="9.7109375" style="154" customWidth="1"/>
    <col min="5643" max="5646" width="0" style="154" hidden="1" customWidth="1"/>
    <col min="5647" max="5647" width="17.140625" style="154" customWidth="1"/>
    <col min="5648" max="5886" width="9.140625" style="154" customWidth="1"/>
    <col min="5887" max="5888" width="4" style="154"/>
    <col min="5889" max="5889" width="4.85546875" style="154" customWidth="1"/>
    <col min="5890" max="5890" width="10" style="154" customWidth="1"/>
    <col min="5891" max="5891" width="10.5703125" style="154" customWidth="1"/>
    <col min="5892" max="5892" width="11.140625" style="154" customWidth="1"/>
    <col min="5893" max="5893" width="9.7109375" style="154" customWidth="1"/>
    <col min="5894" max="5895" width="0" style="154" hidden="1" customWidth="1"/>
    <col min="5896" max="5896" width="18.5703125" style="154" customWidth="1"/>
    <col min="5897" max="5897" width="1.5703125" style="154" customWidth="1"/>
    <col min="5898" max="5898" width="9.7109375" style="154" customWidth="1"/>
    <col min="5899" max="5902" width="0" style="154" hidden="1" customWidth="1"/>
    <col min="5903" max="5903" width="17.140625" style="154" customWidth="1"/>
    <col min="5904" max="6142" width="9.140625" style="154" customWidth="1"/>
    <col min="6143" max="6144" width="4" style="154"/>
    <col min="6145" max="6145" width="4.85546875" style="154" customWidth="1"/>
    <col min="6146" max="6146" width="10" style="154" customWidth="1"/>
    <col min="6147" max="6147" width="10.5703125" style="154" customWidth="1"/>
    <col min="6148" max="6148" width="11.140625" style="154" customWidth="1"/>
    <col min="6149" max="6149" width="9.7109375" style="154" customWidth="1"/>
    <col min="6150" max="6151" width="0" style="154" hidden="1" customWidth="1"/>
    <col min="6152" max="6152" width="18.5703125" style="154" customWidth="1"/>
    <col min="6153" max="6153" width="1.5703125" style="154" customWidth="1"/>
    <col min="6154" max="6154" width="9.7109375" style="154" customWidth="1"/>
    <col min="6155" max="6158" width="0" style="154" hidden="1" customWidth="1"/>
    <col min="6159" max="6159" width="17.140625" style="154" customWidth="1"/>
    <col min="6160" max="6398" width="9.140625" style="154" customWidth="1"/>
    <col min="6399" max="6400" width="4" style="154"/>
    <col min="6401" max="6401" width="4.85546875" style="154" customWidth="1"/>
    <col min="6402" max="6402" width="10" style="154" customWidth="1"/>
    <col min="6403" max="6403" width="10.5703125" style="154" customWidth="1"/>
    <col min="6404" max="6404" width="11.140625" style="154" customWidth="1"/>
    <col min="6405" max="6405" width="9.7109375" style="154" customWidth="1"/>
    <col min="6406" max="6407" width="0" style="154" hidden="1" customWidth="1"/>
    <col min="6408" max="6408" width="18.5703125" style="154" customWidth="1"/>
    <col min="6409" max="6409" width="1.5703125" style="154" customWidth="1"/>
    <col min="6410" max="6410" width="9.7109375" style="154" customWidth="1"/>
    <col min="6411" max="6414" width="0" style="154" hidden="1" customWidth="1"/>
    <col min="6415" max="6415" width="17.140625" style="154" customWidth="1"/>
    <col min="6416" max="6654" width="9.140625" style="154" customWidth="1"/>
    <col min="6655" max="6656" width="4" style="154"/>
    <col min="6657" max="6657" width="4.85546875" style="154" customWidth="1"/>
    <col min="6658" max="6658" width="10" style="154" customWidth="1"/>
    <col min="6659" max="6659" width="10.5703125" style="154" customWidth="1"/>
    <col min="6660" max="6660" width="11.140625" style="154" customWidth="1"/>
    <col min="6661" max="6661" width="9.7109375" style="154" customWidth="1"/>
    <col min="6662" max="6663" width="0" style="154" hidden="1" customWidth="1"/>
    <col min="6664" max="6664" width="18.5703125" style="154" customWidth="1"/>
    <col min="6665" max="6665" width="1.5703125" style="154" customWidth="1"/>
    <col min="6666" max="6666" width="9.7109375" style="154" customWidth="1"/>
    <col min="6667" max="6670" width="0" style="154" hidden="1" customWidth="1"/>
    <col min="6671" max="6671" width="17.140625" style="154" customWidth="1"/>
    <col min="6672" max="6910" width="9.140625" style="154" customWidth="1"/>
    <col min="6911" max="6912" width="4" style="154"/>
    <col min="6913" max="6913" width="4.85546875" style="154" customWidth="1"/>
    <col min="6914" max="6914" width="10" style="154" customWidth="1"/>
    <col min="6915" max="6915" width="10.5703125" style="154" customWidth="1"/>
    <col min="6916" max="6916" width="11.140625" style="154" customWidth="1"/>
    <col min="6917" max="6917" width="9.7109375" style="154" customWidth="1"/>
    <col min="6918" max="6919" width="0" style="154" hidden="1" customWidth="1"/>
    <col min="6920" max="6920" width="18.5703125" style="154" customWidth="1"/>
    <col min="6921" max="6921" width="1.5703125" style="154" customWidth="1"/>
    <col min="6922" max="6922" width="9.7109375" style="154" customWidth="1"/>
    <col min="6923" max="6926" width="0" style="154" hidden="1" customWidth="1"/>
    <col min="6927" max="6927" width="17.140625" style="154" customWidth="1"/>
    <col min="6928" max="7166" width="9.140625" style="154" customWidth="1"/>
    <col min="7167" max="7168" width="4" style="154"/>
    <col min="7169" max="7169" width="4.85546875" style="154" customWidth="1"/>
    <col min="7170" max="7170" width="10" style="154" customWidth="1"/>
    <col min="7171" max="7171" width="10.5703125" style="154" customWidth="1"/>
    <col min="7172" max="7172" width="11.140625" style="154" customWidth="1"/>
    <col min="7173" max="7173" width="9.7109375" style="154" customWidth="1"/>
    <col min="7174" max="7175" width="0" style="154" hidden="1" customWidth="1"/>
    <col min="7176" max="7176" width="18.5703125" style="154" customWidth="1"/>
    <col min="7177" max="7177" width="1.5703125" style="154" customWidth="1"/>
    <col min="7178" max="7178" width="9.7109375" style="154" customWidth="1"/>
    <col min="7179" max="7182" width="0" style="154" hidden="1" customWidth="1"/>
    <col min="7183" max="7183" width="17.140625" style="154" customWidth="1"/>
    <col min="7184" max="7422" width="9.140625" style="154" customWidth="1"/>
    <col min="7423" max="7424" width="4" style="154"/>
    <col min="7425" max="7425" width="4.85546875" style="154" customWidth="1"/>
    <col min="7426" max="7426" width="10" style="154" customWidth="1"/>
    <col min="7427" max="7427" width="10.5703125" style="154" customWidth="1"/>
    <col min="7428" max="7428" width="11.140625" style="154" customWidth="1"/>
    <col min="7429" max="7429" width="9.7109375" style="154" customWidth="1"/>
    <col min="7430" max="7431" width="0" style="154" hidden="1" customWidth="1"/>
    <col min="7432" max="7432" width="18.5703125" style="154" customWidth="1"/>
    <col min="7433" max="7433" width="1.5703125" style="154" customWidth="1"/>
    <col min="7434" max="7434" width="9.7109375" style="154" customWidth="1"/>
    <col min="7435" max="7438" width="0" style="154" hidden="1" customWidth="1"/>
    <col min="7439" max="7439" width="17.140625" style="154" customWidth="1"/>
    <col min="7440" max="7678" width="9.140625" style="154" customWidth="1"/>
    <col min="7679" max="7680" width="4" style="154"/>
    <col min="7681" max="7681" width="4.85546875" style="154" customWidth="1"/>
    <col min="7682" max="7682" width="10" style="154" customWidth="1"/>
    <col min="7683" max="7683" width="10.5703125" style="154" customWidth="1"/>
    <col min="7684" max="7684" width="11.140625" style="154" customWidth="1"/>
    <col min="7685" max="7685" width="9.7109375" style="154" customWidth="1"/>
    <col min="7686" max="7687" width="0" style="154" hidden="1" customWidth="1"/>
    <col min="7688" max="7688" width="18.5703125" style="154" customWidth="1"/>
    <col min="7689" max="7689" width="1.5703125" style="154" customWidth="1"/>
    <col min="7690" max="7690" width="9.7109375" style="154" customWidth="1"/>
    <col min="7691" max="7694" width="0" style="154" hidden="1" customWidth="1"/>
    <col min="7695" max="7695" width="17.140625" style="154" customWidth="1"/>
    <col min="7696" max="7934" width="9.140625" style="154" customWidth="1"/>
    <col min="7935" max="7936" width="4" style="154"/>
    <col min="7937" max="7937" width="4.85546875" style="154" customWidth="1"/>
    <col min="7938" max="7938" width="10" style="154" customWidth="1"/>
    <col min="7939" max="7939" width="10.5703125" style="154" customWidth="1"/>
    <col min="7940" max="7940" width="11.140625" style="154" customWidth="1"/>
    <col min="7941" max="7941" width="9.7109375" style="154" customWidth="1"/>
    <col min="7942" max="7943" width="0" style="154" hidden="1" customWidth="1"/>
    <col min="7944" max="7944" width="18.5703125" style="154" customWidth="1"/>
    <col min="7945" max="7945" width="1.5703125" style="154" customWidth="1"/>
    <col min="7946" max="7946" width="9.7109375" style="154" customWidth="1"/>
    <col min="7947" max="7950" width="0" style="154" hidden="1" customWidth="1"/>
    <col min="7951" max="7951" width="17.140625" style="154" customWidth="1"/>
    <col min="7952" max="8190" width="9.140625" style="154" customWidth="1"/>
    <col min="8191" max="8192" width="4" style="154"/>
    <col min="8193" max="8193" width="4.85546875" style="154" customWidth="1"/>
    <col min="8194" max="8194" width="10" style="154" customWidth="1"/>
    <col min="8195" max="8195" width="10.5703125" style="154" customWidth="1"/>
    <col min="8196" max="8196" width="11.140625" style="154" customWidth="1"/>
    <col min="8197" max="8197" width="9.7109375" style="154" customWidth="1"/>
    <col min="8198" max="8199" width="0" style="154" hidden="1" customWidth="1"/>
    <col min="8200" max="8200" width="18.5703125" style="154" customWidth="1"/>
    <col min="8201" max="8201" width="1.5703125" style="154" customWidth="1"/>
    <col min="8202" max="8202" width="9.7109375" style="154" customWidth="1"/>
    <col min="8203" max="8206" width="0" style="154" hidden="1" customWidth="1"/>
    <col min="8207" max="8207" width="17.140625" style="154" customWidth="1"/>
    <col min="8208" max="8446" width="9.140625" style="154" customWidth="1"/>
    <col min="8447" max="8448" width="4" style="154"/>
    <col min="8449" max="8449" width="4.85546875" style="154" customWidth="1"/>
    <col min="8450" max="8450" width="10" style="154" customWidth="1"/>
    <col min="8451" max="8451" width="10.5703125" style="154" customWidth="1"/>
    <col min="8452" max="8452" width="11.140625" style="154" customWidth="1"/>
    <col min="8453" max="8453" width="9.7109375" style="154" customWidth="1"/>
    <col min="8454" max="8455" width="0" style="154" hidden="1" customWidth="1"/>
    <col min="8456" max="8456" width="18.5703125" style="154" customWidth="1"/>
    <col min="8457" max="8457" width="1.5703125" style="154" customWidth="1"/>
    <col min="8458" max="8458" width="9.7109375" style="154" customWidth="1"/>
    <col min="8459" max="8462" width="0" style="154" hidden="1" customWidth="1"/>
    <col min="8463" max="8463" width="17.140625" style="154" customWidth="1"/>
    <col min="8464" max="8702" width="9.140625" style="154" customWidth="1"/>
    <col min="8703" max="8704" width="4" style="154"/>
    <col min="8705" max="8705" width="4.85546875" style="154" customWidth="1"/>
    <col min="8706" max="8706" width="10" style="154" customWidth="1"/>
    <col min="8707" max="8707" width="10.5703125" style="154" customWidth="1"/>
    <col min="8708" max="8708" width="11.140625" style="154" customWidth="1"/>
    <col min="8709" max="8709" width="9.7109375" style="154" customWidth="1"/>
    <col min="8710" max="8711" width="0" style="154" hidden="1" customWidth="1"/>
    <col min="8712" max="8712" width="18.5703125" style="154" customWidth="1"/>
    <col min="8713" max="8713" width="1.5703125" style="154" customWidth="1"/>
    <col min="8714" max="8714" width="9.7109375" style="154" customWidth="1"/>
    <col min="8715" max="8718" width="0" style="154" hidden="1" customWidth="1"/>
    <col min="8719" max="8719" width="17.140625" style="154" customWidth="1"/>
    <col min="8720" max="8958" width="9.140625" style="154" customWidth="1"/>
    <col min="8959" max="8960" width="4" style="154"/>
    <col min="8961" max="8961" width="4.85546875" style="154" customWidth="1"/>
    <col min="8962" max="8962" width="10" style="154" customWidth="1"/>
    <col min="8963" max="8963" width="10.5703125" style="154" customWidth="1"/>
    <col min="8964" max="8964" width="11.140625" style="154" customWidth="1"/>
    <col min="8965" max="8965" width="9.7109375" style="154" customWidth="1"/>
    <col min="8966" max="8967" width="0" style="154" hidden="1" customWidth="1"/>
    <col min="8968" max="8968" width="18.5703125" style="154" customWidth="1"/>
    <col min="8969" max="8969" width="1.5703125" style="154" customWidth="1"/>
    <col min="8970" max="8970" width="9.7109375" style="154" customWidth="1"/>
    <col min="8971" max="8974" width="0" style="154" hidden="1" customWidth="1"/>
    <col min="8975" max="8975" width="17.140625" style="154" customWidth="1"/>
    <col min="8976" max="9214" width="9.140625" style="154" customWidth="1"/>
    <col min="9215" max="9216" width="4" style="154"/>
    <col min="9217" max="9217" width="4.85546875" style="154" customWidth="1"/>
    <col min="9218" max="9218" width="10" style="154" customWidth="1"/>
    <col min="9219" max="9219" width="10.5703125" style="154" customWidth="1"/>
    <col min="9220" max="9220" width="11.140625" style="154" customWidth="1"/>
    <col min="9221" max="9221" width="9.7109375" style="154" customWidth="1"/>
    <col min="9222" max="9223" width="0" style="154" hidden="1" customWidth="1"/>
    <col min="9224" max="9224" width="18.5703125" style="154" customWidth="1"/>
    <col min="9225" max="9225" width="1.5703125" style="154" customWidth="1"/>
    <col min="9226" max="9226" width="9.7109375" style="154" customWidth="1"/>
    <col min="9227" max="9230" width="0" style="154" hidden="1" customWidth="1"/>
    <col min="9231" max="9231" width="17.140625" style="154" customWidth="1"/>
    <col min="9232" max="9470" width="9.140625" style="154" customWidth="1"/>
    <col min="9471" max="9472" width="4" style="154"/>
    <col min="9473" max="9473" width="4.85546875" style="154" customWidth="1"/>
    <col min="9474" max="9474" width="10" style="154" customWidth="1"/>
    <col min="9475" max="9475" width="10.5703125" style="154" customWidth="1"/>
    <col min="9476" max="9476" width="11.140625" style="154" customWidth="1"/>
    <col min="9477" max="9477" width="9.7109375" style="154" customWidth="1"/>
    <col min="9478" max="9479" width="0" style="154" hidden="1" customWidth="1"/>
    <col min="9480" max="9480" width="18.5703125" style="154" customWidth="1"/>
    <col min="9481" max="9481" width="1.5703125" style="154" customWidth="1"/>
    <col min="9482" max="9482" width="9.7109375" style="154" customWidth="1"/>
    <col min="9483" max="9486" width="0" style="154" hidden="1" customWidth="1"/>
    <col min="9487" max="9487" width="17.140625" style="154" customWidth="1"/>
    <col min="9488" max="9726" width="9.140625" style="154" customWidth="1"/>
    <col min="9727" max="9728" width="4" style="154"/>
    <col min="9729" max="9729" width="4.85546875" style="154" customWidth="1"/>
    <col min="9730" max="9730" width="10" style="154" customWidth="1"/>
    <col min="9731" max="9731" width="10.5703125" style="154" customWidth="1"/>
    <col min="9732" max="9732" width="11.140625" style="154" customWidth="1"/>
    <col min="9733" max="9733" width="9.7109375" style="154" customWidth="1"/>
    <col min="9734" max="9735" width="0" style="154" hidden="1" customWidth="1"/>
    <col min="9736" max="9736" width="18.5703125" style="154" customWidth="1"/>
    <col min="9737" max="9737" width="1.5703125" style="154" customWidth="1"/>
    <col min="9738" max="9738" width="9.7109375" style="154" customWidth="1"/>
    <col min="9739" max="9742" width="0" style="154" hidden="1" customWidth="1"/>
    <col min="9743" max="9743" width="17.140625" style="154" customWidth="1"/>
    <col min="9744" max="9982" width="9.140625" style="154" customWidth="1"/>
    <col min="9983" max="9984" width="4" style="154"/>
    <col min="9985" max="9985" width="4.85546875" style="154" customWidth="1"/>
    <col min="9986" max="9986" width="10" style="154" customWidth="1"/>
    <col min="9987" max="9987" width="10.5703125" style="154" customWidth="1"/>
    <col min="9988" max="9988" width="11.140625" style="154" customWidth="1"/>
    <col min="9989" max="9989" width="9.7109375" style="154" customWidth="1"/>
    <col min="9990" max="9991" width="0" style="154" hidden="1" customWidth="1"/>
    <col min="9992" max="9992" width="18.5703125" style="154" customWidth="1"/>
    <col min="9993" max="9993" width="1.5703125" style="154" customWidth="1"/>
    <col min="9994" max="9994" width="9.7109375" style="154" customWidth="1"/>
    <col min="9995" max="9998" width="0" style="154" hidden="1" customWidth="1"/>
    <col min="9999" max="9999" width="17.140625" style="154" customWidth="1"/>
    <col min="10000" max="10238" width="9.140625" style="154" customWidth="1"/>
    <col min="10239" max="10240" width="4" style="154"/>
    <col min="10241" max="10241" width="4.85546875" style="154" customWidth="1"/>
    <col min="10242" max="10242" width="10" style="154" customWidth="1"/>
    <col min="10243" max="10243" width="10.5703125" style="154" customWidth="1"/>
    <col min="10244" max="10244" width="11.140625" style="154" customWidth="1"/>
    <col min="10245" max="10245" width="9.7109375" style="154" customWidth="1"/>
    <col min="10246" max="10247" width="0" style="154" hidden="1" customWidth="1"/>
    <col min="10248" max="10248" width="18.5703125" style="154" customWidth="1"/>
    <col min="10249" max="10249" width="1.5703125" style="154" customWidth="1"/>
    <col min="10250" max="10250" width="9.7109375" style="154" customWidth="1"/>
    <col min="10251" max="10254" width="0" style="154" hidden="1" customWidth="1"/>
    <col min="10255" max="10255" width="17.140625" style="154" customWidth="1"/>
    <col min="10256" max="10494" width="9.140625" style="154" customWidth="1"/>
    <col min="10495" max="10496" width="4" style="154"/>
    <col min="10497" max="10497" width="4.85546875" style="154" customWidth="1"/>
    <col min="10498" max="10498" width="10" style="154" customWidth="1"/>
    <col min="10499" max="10499" width="10.5703125" style="154" customWidth="1"/>
    <col min="10500" max="10500" width="11.140625" style="154" customWidth="1"/>
    <col min="10501" max="10501" width="9.7109375" style="154" customWidth="1"/>
    <col min="10502" max="10503" width="0" style="154" hidden="1" customWidth="1"/>
    <col min="10504" max="10504" width="18.5703125" style="154" customWidth="1"/>
    <col min="10505" max="10505" width="1.5703125" style="154" customWidth="1"/>
    <col min="10506" max="10506" width="9.7109375" style="154" customWidth="1"/>
    <col min="10507" max="10510" width="0" style="154" hidden="1" customWidth="1"/>
    <col min="10511" max="10511" width="17.140625" style="154" customWidth="1"/>
    <col min="10512" max="10750" width="9.140625" style="154" customWidth="1"/>
    <col min="10751" max="10752" width="4" style="154"/>
    <col min="10753" max="10753" width="4.85546875" style="154" customWidth="1"/>
    <col min="10754" max="10754" width="10" style="154" customWidth="1"/>
    <col min="10755" max="10755" width="10.5703125" style="154" customWidth="1"/>
    <col min="10756" max="10756" width="11.140625" style="154" customWidth="1"/>
    <col min="10757" max="10757" width="9.7109375" style="154" customWidth="1"/>
    <col min="10758" max="10759" width="0" style="154" hidden="1" customWidth="1"/>
    <col min="10760" max="10760" width="18.5703125" style="154" customWidth="1"/>
    <col min="10761" max="10761" width="1.5703125" style="154" customWidth="1"/>
    <col min="10762" max="10762" width="9.7109375" style="154" customWidth="1"/>
    <col min="10763" max="10766" width="0" style="154" hidden="1" customWidth="1"/>
    <col min="10767" max="10767" width="17.140625" style="154" customWidth="1"/>
    <col min="10768" max="11006" width="9.140625" style="154" customWidth="1"/>
    <col min="11007" max="11008" width="4" style="154"/>
    <col min="11009" max="11009" width="4.85546875" style="154" customWidth="1"/>
    <col min="11010" max="11010" width="10" style="154" customWidth="1"/>
    <col min="11011" max="11011" width="10.5703125" style="154" customWidth="1"/>
    <col min="11012" max="11012" width="11.140625" style="154" customWidth="1"/>
    <col min="11013" max="11013" width="9.7109375" style="154" customWidth="1"/>
    <col min="11014" max="11015" width="0" style="154" hidden="1" customWidth="1"/>
    <col min="11016" max="11016" width="18.5703125" style="154" customWidth="1"/>
    <col min="11017" max="11017" width="1.5703125" style="154" customWidth="1"/>
    <col min="11018" max="11018" width="9.7109375" style="154" customWidth="1"/>
    <col min="11019" max="11022" width="0" style="154" hidden="1" customWidth="1"/>
    <col min="11023" max="11023" width="17.140625" style="154" customWidth="1"/>
    <col min="11024" max="11262" width="9.140625" style="154" customWidth="1"/>
    <col min="11263" max="11264" width="4" style="154"/>
    <col min="11265" max="11265" width="4.85546875" style="154" customWidth="1"/>
    <col min="11266" max="11266" width="10" style="154" customWidth="1"/>
    <col min="11267" max="11267" width="10.5703125" style="154" customWidth="1"/>
    <col min="11268" max="11268" width="11.140625" style="154" customWidth="1"/>
    <col min="11269" max="11269" width="9.7109375" style="154" customWidth="1"/>
    <col min="11270" max="11271" width="0" style="154" hidden="1" customWidth="1"/>
    <col min="11272" max="11272" width="18.5703125" style="154" customWidth="1"/>
    <col min="11273" max="11273" width="1.5703125" style="154" customWidth="1"/>
    <col min="11274" max="11274" width="9.7109375" style="154" customWidth="1"/>
    <col min="11275" max="11278" width="0" style="154" hidden="1" customWidth="1"/>
    <col min="11279" max="11279" width="17.140625" style="154" customWidth="1"/>
    <col min="11280" max="11518" width="9.140625" style="154" customWidth="1"/>
    <col min="11519" max="11520" width="4" style="154"/>
    <col min="11521" max="11521" width="4.85546875" style="154" customWidth="1"/>
    <col min="11522" max="11522" width="10" style="154" customWidth="1"/>
    <col min="11523" max="11523" width="10.5703125" style="154" customWidth="1"/>
    <col min="11524" max="11524" width="11.140625" style="154" customWidth="1"/>
    <col min="11525" max="11525" width="9.7109375" style="154" customWidth="1"/>
    <col min="11526" max="11527" width="0" style="154" hidden="1" customWidth="1"/>
    <col min="11528" max="11528" width="18.5703125" style="154" customWidth="1"/>
    <col min="11529" max="11529" width="1.5703125" style="154" customWidth="1"/>
    <col min="11530" max="11530" width="9.7109375" style="154" customWidth="1"/>
    <col min="11531" max="11534" width="0" style="154" hidden="1" customWidth="1"/>
    <col min="11535" max="11535" width="17.140625" style="154" customWidth="1"/>
    <col min="11536" max="11774" width="9.140625" style="154" customWidth="1"/>
    <col min="11775" max="11776" width="4" style="154"/>
    <col min="11777" max="11777" width="4.85546875" style="154" customWidth="1"/>
    <col min="11778" max="11778" width="10" style="154" customWidth="1"/>
    <col min="11779" max="11779" width="10.5703125" style="154" customWidth="1"/>
    <col min="11780" max="11780" width="11.140625" style="154" customWidth="1"/>
    <col min="11781" max="11781" width="9.7109375" style="154" customWidth="1"/>
    <col min="11782" max="11783" width="0" style="154" hidden="1" customWidth="1"/>
    <col min="11784" max="11784" width="18.5703125" style="154" customWidth="1"/>
    <col min="11785" max="11785" width="1.5703125" style="154" customWidth="1"/>
    <col min="11786" max="11786" width="9.7109375" style="154" customWidth="1"/>
    <col min="11787" max="11790" width="0" style="154" hidden="1" customWidth="1"/>
    <col min="11791" max="11791" width="17.140625" style="154" customWidth="1"/>
    <col min="11792" max="12030" width="9.140625" style="154" customWidth="1"/>
    <col min="12031" max="12032" width="4" style="154"/>
    <col min="12033" max="12033" width="4.85546875" style="154" customWidth="1"/>
    <col min="12034" max="12034" width="10" style="154" customWidth="1"/>
    <col min="12035" max="12035" width="10.5703125" style="154" customWidth="1"/>
    <col min="12036" max="12036" width="11.140625" style="154" customWidth="1"/>
    <col min="12037" max="12037" width="9.7109375" style="154" customWidth="1"/>
    <col min="12038" max="12039" width="0" style="154" hidden="1" customWidth="1"/>
    <col min="12040" max="12040" width="18.5703125" style="154" customWidth="1"/>
    <col min="12041" max="12041" width="1.5703125" style="154" customWidth="1"/>
    <col min="12042" max="12042" width="9.7109375" style="154" customWidth="1"/>
    <col min="12043" max="12046" width="0" style="154" hidden="1" customWidth="1"/>
    <col min="12047" max="12047" width="17.140625" style="154" customWidth="1"/>
    <col min="12048" max="12286" width="9.140625" style="154" customWidth="1"/>
    <col min="12287" max="12288" width="4" style="154"/>
    <col min="12289" max="12289" width="4.85546875" style="154" customWidth="1"/>
    <col min="12290" max="12290" width="10" style="154" customWidth="1"/>
    <col min="12291" max="12291" width="10.5703125" style="154" customWidth="1"/>
    <col min="12292" max="12292" width="11.140625" style="154" customWidth="1"/>
    <col min="12293" max="12293" width="9.7109375" style="154" customWidth="1"/>
    <col min="12294" max="12295" width="0" style="154" hidden="1" customWidth="1"/>
    <col min="12296" max="12296" width="18.5703125" style="154" customWidth="1"/>
    <col min="12297" max="12297" width="1.5703125" style="154" customWidth="1"/>
    <col min="12298" max="12298" width="9.7109375" style="154" customWidth="1"/>
    <col min="12299" max="12302" width="0" style="154" hidden="1" customWidth="1"/>
    <col min="12303" max="12303" width="17.140625" style="154" customWidth="1"/>
    <col min="12304" max="12542" width="9.140625" style="154" customWidth="1"/>
    <col min="12543" max="12544" width="4" style="154"/>
    <col min="12545" max="12545" width="4.85546875" style="154" customWidth="1"/>
    <col min="12546" max="12546" width="10" style="154" customWidth="1"/>
    <col min="12547" max="12547" width="10.5703125" style="154" customWidth="1"/>
    <col min="12548" max="12548" width="11.140625" style="154" customWidth="1"/>
    <col min="12549" max="12549" width="9.7109375" style="154" customWidth="1"/>
    <col min="12550" max="12551" width="0" style="154" hidden="1" customWidth="1"/>
    <col min="12552" max="12552" width="18.5703125" style="154" customWidth="1"/>
    <col min="12553" max="12553" width="1.5703125" style="154" customWidth="1"/>
    <col min="12554" max="12554" width="9.7109375" style="154" customWidth="1"/>
    <col min="12555" max="12558" width="0" style="154" hidden="1" customWidth="1"/>
    <col min="12559" max="12559" width="17.140625" style="154" customWidth="1"/>
    <col min="12560" max="12798" width="9.140625" style="154" customWidth="1"/>
    <col min="12799" max="12800" width="4" style="154"/>
    <col min="12801" max="12801" width="4.85546875" style="154" customWidth="1"/>
    <col min="12802" max="12802" width="10" style="154" customWidth="1"/>
    <col min="12803" max="12803" width="10.5703125" style="154" customWidth="1"/>
    <col min="12804" max="12804" width="11.140625" style="154" customWidth="1"/>
    <col min="12805" max="12805" width="9.7109375" style="154" customWidth="1"/>
    <col min="12806" max="12807" width="0" style="154" hidden="1" customWidth="1"/>
    <col min="12808" max="12808" width="18.5703125" style="154" customWidth="1"/>
    <col min="12809" max="12809" width="1.5703125" style="154" customWidth="1"/>
    <col min="12810" max="12810" width="9.7109375" style="154" customWidth="1"/>
    <col min="12811" max="12814" width="0" style="154" hidden="1" customWidth="1"/>
    <col min="12815" max="12815" width="17.140625" style="154" customWidth="1"/>
    <col min="12816" max="13054" width="9.140625" style="154" customWidth="1"/>
    <col min="13055" max="13056" width="4" style="154"/>
    <col min="13057" max="13057" width="4.85546875" style="154" customWidth="1"/>
    <col min="13058" max="13058" width="10" style="154" customWidth="1"/>
    <col min="13059" max="13059" width="10.5703125" style="154" customWidth="1"/>
    <col min="13060" max="13060" width="11.140625" style="154" customWidth="1"/>
    <col min="13061" max="13061" width="9.7109375" style="154" customWidth="1"/>
    <col min="13062" max="13063" width="0" style="154" hidden="1" customWidth="1"/>
    <col min="13064" max="13064" width="18.5703125" style="154" customWidth="1"/>
    <col min="13065" max="13065" width="1.5703125" style="154" customWidth="1"/>
    <col min="13066" max="13066" width="9.7109375" style="154" customWidth="1"/>
    <col min="13067" max="13070" width="0" style="154" hidden="1" customWidth="1"/>
    <col min="13071" max="13071" width="17.140625" style="154" customWidth="1"/>
    <col min="13072" max="13310" width="9.140625" style="154" customWidth="1"/>
    <col min="13311" max="13312" width="4" style="154"/>
    <col min="13313" max="13313" width="4.85546875" style="154" customWidth="1"/>
    <col min="13314" max="13314" width="10" style="154" customWidth="1"/>
    <col min="13315" max="13315" width="10.5703125" style="154" customWidth="1"/>
    <col min="13316" max="13316" width="11.140625" style="154" customWidth="1"/>
    <col min="13317" max="13317" width="9.7109375" style="154" customWidth="1"/>
    <col min="13318" max="13319" width="0" style="154" hidden="1" customWidth="1"/>
    <col min="13320" max="13320" width="18.5703125" style="154" customWidth="1"/>
    <col min="13321" max="13321" width="1.5703125" style="154" customWidth="1"/>
    <col min="13322" max="13322" width="9.7109375" style="154" customWidth="1"/>
    <col min="13323" max="13326" width="0" style="154" hidden="1" customWidth="1"/>
    <col min="13327" max="13327" width="17.140625" style="154" customWidth="1"/>
    <col min="13328" max="13566" width="9.140625" style="154" customWidth="1"/>
    <col min="13567" max="13568" width="4" style="154"/>
    <col min="13569" max="13569" width="4.85546875" style="154" customWidth="1"/>
    <col min="13570" max="13570" width="10" style="154" customWidth="1"/>
    <col min="13571" max="13571" width="10.5703125" style="154" customWidth="1"/>
    <col min="13572" max="13572" width="11.140625" style="154" customWidth="1"/>
    <col min="13573" max="13573" width="9.7109375" style="154" customWidth="1"/>
    <col min="13574" max="13575" width="0" style="154" hidden="1" customWidth="1"/>
    <col min="13576" max="13576" width="18.5703125" style="154" customWidth="1"/>
    <col min="13577" max="13577" width="1.5703125" style="154" customWidth="1"/>
    <col min="13578" max="13578" width="9.7109375" style="154" customWidth="1"/>
    <col min="13579" max="13582" width="0" style="154" hidden="1" customWidth="1"/>
    <col min="13583" max="13583" width="17.140625" style="154" customWidth="1"/>
    <col min="13584" max="13822" width="9.140625" style="154" customWidth="1"/>
    <col min="13823" max="13824" width="4" style="154"/>
    <col min="13825" max="13825" width="4.85546875" style="154" customWidth="1"/>
    <col min="13826" max="13826" width="10" style="154" customWidth="1"/>
    <col min="13827" max="13827" width="10.5703125" style="154" customWidth="1"/>
    <col min="13828" max="13828" width="11.140625" style="154" customWidth="1"/>
    <col min="13829" max="13829" width="9.7109375" style="154" customWidth="1"/>
    <col min="13830" max="13831" width="0" style="154" hidden="1" customWidth="1"/>
    <col min="13832" max="13832" width="18.5703125" style="154" customWidth="1"/>
    <col min="13833" max="13833" width="1.5703125" style="154" customWidth="1"/>
    <col min="13834" max="13834" width="9.7109375" style="154" customWidth="1"/>
    <col min="13835" max="13838" width="0" style="154" hidden="1" customWidth="1"/>
    <col min="13839" max="13839" width="17.140625" style="154" customWidth="1"/>
    <col min="13840" max="14078" width="9.140625" style="154" customWidth="1"/>
    <col min="14079" max="14080" width="4" style="154"/>
    <col min="14081" max="14081" width="4.85546875" style="154" customWidth="1"/>
    <col min="14082" max="14082" width="10" style="154" customWidth="1"/>
    <col min="14083" max="14083" width="10.5703125" style="154" customWidth="1"/>
    <col min="14084" max="14084" width="11.140625" style="154" customWidth="1"/>
    <col min="14085" max="14085" width="9.7109375" style="154" customWidth="1"/>
    <col min="14086" max="14087" width="0" style="154" hidden="1" customWidth="1"/>
    <col min="14088" max="14088" width="18.5703125" style="154" customWidth="1"/>
    <col min="14089" max="14089" width="1.5703125" style="154" customWidth="1"/>
    <col min="14090" max="14090" width="9.7109375" style="154" customWidth="1"/>
    <col min="14091" max="14094" width="0" style="154" hidden="1" customWidth="1"/>
    <col min="14095" max="14095" width="17.140625" style="154" customWidth="1"/>
    <col min="14096" max="14334" width="9.140625" style="154" customWidth="1"/>
    <col min="14335" max="14336" width="4" style="154"/>
    <col min="14337" max="14337" width="4.85546875" style="154" customWidth="1"/>
    <col min="14338" max="14338" width="10" style="154" customWidth="1"/>
    <col min="14339" max="14339" width="10.5703125" style="154" customWidth="1"/>
    <col min="14340" max="14340" width="11.140625" style="154" customWidth="1"/>
    <col min="14341" max="14341" width="9.7109375" style="154" customWidth="1"/>
    <col min="14342" max="14343" width="0" style="154" hidden="1" customWidth="1"/>
    <col min="14344" max="14344" width="18.5703125" style="154" customWidth="1"/>
    <col min="14345" max="14345" width="1.5703125" style="154" customWidth="1"/>
    <col min="14346" max="14346" width="9.7109375" style="154" customWidth="1"/>
    <col min="14347" max="14350" width="0" style="154" hidden="1" customWidth="1"/>
    <col min="14351" max="14351" width="17.140625" style="154" customWidth="1"/>
    <col min="14352" max="14590" width="9.140625" style="154" customWidth="1"/>
    <col min="14591" max="14592" width="4" style="154"/>
    <col min="14593" max="14593" width="4.85546875" style="154" customWidth="1"/>
    <col min="14594" max="14594" width="10" style="154" customWidth="1"/>
    <col min="14595" max="14595" width="10.5703125" style="154" customWidth="1"/>
    <col min="14596" max="14596" width="11.140625" style="154" customWidth="1"/>
    <col min="14597" max="14597" width="9.7109375" style="154" customWidth="1"/>
    <col min="14598" max="14599" width="0" style="154" hidden="1" customWidth="1"/>
    <col min="14600" max="14600" width="18.5703125" style="154" customWidth="1"/>
    <col min="14601" max="14601" width="1.5703125" style="154" customWidth="1"/>
    <col min="14602" max="14602" width="9.7109375" style="154" customWidth="1"/>
    <col min="14603" max="14606" width="0" style="154" hidden="1" customWidth="1"/>
    <col min="14607" max="14607" width="17.140625" style="154" customWidth="1"/>
    <col min="14608" max="14846" width="9.140625" style="154" customWidth="1"/>
    <col min="14847" max="14848" width="4" style="154"/>
    <col min="14849" max="14849" width="4.85546875" style="154" customWidth="1"/>
    <col min="14850" max="14850" width="10" style="154" customWidth="1"/>
    <col min="14851" max="14851" width="10.5703125" style="154" customWidth="1"/>
    <col min="14852" max="14852" width="11.140625" style="154" customWidth="1"/>
    <col min="14853" max="14853" width="9.7109375" style="154" customWidth="1"/>
    <col min="14854" max="14855" width="0" style="154" hidden="1" customWidth="1"/>
    <col min="14856" max="14856" width="18.5703125" style="154" customWidth="1"/>
    <col min="14857" max="14857" width="1.5703125" style="154" customWidth="1"/>
    <col min="14858" max="14858" width="9.7109375" style="154" customWidth="1"/>
    <col min="14859" max="14862" width="0" style="154" hidden="1" customWidth="1"/>
    <col min="14863" max="14863" width="17.140625" style="154" customWidth="1"/>
    <col min="14864" max="15102" width="9.140625" style="154" customWidth="1"/>
    <col min="15103" max="15104" width="4" style="154"/>
    <col min="15105" max="15105" width="4.85546875" style="154" customWidth="1"/>
    <col min="15106" max="15106" width="10" style="154" customWidth="1"/>
    <col min="15107" max="15107" width="10.5703125" style="154" customWidth="1"/>
    <col min="15108" max="15108" width="11.140625" style="154" customWidth="1"/>
    <col min="15109" max="15109" width="9.7109375" style="154" customWidth="1"/>
    <col min="15110" max="15111" width="0" style="154" hidden="1" customWidth="1"/>
    <col min="15112" max="15112" width="18.5703125" style="154" customWidth="1"/>
    <col min="15113" max="15113" width="1.5703125" style="154" customWidth="1"/>
    <col min="15114" max="15114" width="9.7109375" style="154" customWidth="1"/>
    <col min="15115" max="15118" width="0" style="154" hidden="1" customWidth="1"/>
    <col min="15119" max="15119" width="17.140625" style="154" customWidth="1"/>
    <col min="15120" max="15358" width="9.140625" style="154" customWidth="1"/>
    <col min="15359" max="15360" width="4" style="154"/>
    <col min="15361" max="15361" width="4.85546875" style="154" customWidth="1"/>
    <col min="15362" max="15362" width="10" style="154" customWidth="1"/>
    <col min="15363" max="15363" width="10.5703125" style="154" customWidth="1"/>
    <col min="15364" max="15364" width="11.140625" style="154" customWidth="1"/>
    <col min="15365" max="15365" width="9.7109375" style="154" customWidth="1"/>
    <col min="15366" max="15367" width="0" style="154" hidden="1" customWidth="1"/>
    <col min="15368" max="15368" width="18.5703125" style="154" customWidth="1"/>
    <col min="15369" max="15369" width="1.5703125" style="154" customWidth="1"/>
    <col min="15370" max="15370" width="9.7109375" style="154" customWidth="1"/>
    <col min="15371" max="15374" width="0" style="154" hidden="1" customWidth="1"/>
    <col min="15375" max="15375" width="17.140625" style="154" customWidth="1"/>
    <col min="15376" max="15614" width="9.140625" style="154" customWidth="1"/>
    <col min="15615" max="15616" width="4" style="154"/>
    <col min="15617" max="15617" width="4.85546875" style="154" customWidth="1"/>
    <col min="15618" max="15618" width="10" style="154" customWidth="1"/>
    <col min="15619" max="15619" width="10.5703125" style="154" customWidth="1"/>
    <col min="15620" max="15620" width="11.140625" style="154" customWidth="1"/>
    <col min="15621" max="15621" width="9.7109375" style="154" customWidth="1"/>
    <col min="15622" max="15623" width="0" style="154" hidden="1" customWidth="1"/>
    <col min="15624" max="15624" width="18.5703125" style="154" customWidth="1"/>
    <col min="15625" max="15625" width="1.5703125" style="154" customWidth="1"/>
    <col min="15626" max="15626" width="9.7109375" style="154" customWidth="1"/>
    <col min="15627" max="15630" width="0" style="154" hidden="1" customWidth="1"/>
    <col min="15631" max="15631" width="17.140625" style="154" customWidth="1"/>
    <col min="15632" max="15870" width="9.140625" style="154" customWidth="1"/>
    <col min="15871" max="15872" width="4" style="154"/>
    <col min="15873" max="15873" width="4.85546875" style="154" customWidth="1"/>
    <col min="15874" max="15874" width="10" style="154" customWidth="1"/>
    <col min="15875" max="15875" width="10.5703125" style="154" customWidth="1"/>
    <col min="15876" max="15876" width="11.140625" style="154" customWidth="1"/>
    <col min="15877" max="15877" width="9.7109375" style="154" customWidth="1"/>
    <col min="15878" max="15879" width="0" style="154" hidden="1" customWidth="1"/>
    <col min="15880" max="15880" width="18.5703125" style="154" customWidth="1"/>
    <col min="15881" max="15881" width="1.5703125" style="154" customWidth="1"/>
    <col min="15882" max="15882" width="9.7109375" style="154" customWidth="1"/>
    <col min="15883" max="15886" width="0" style="154" hidden="1" customWidth="1"/>
    <col min="15887" max="15887" width="17.140625" style="154" customWidth="1"/>
    <col min="15888" max="16126" width="9.140625" style="154" customWidth="1"/>
    <col min="16127" max="16128" width="4" style="154"/>
    <col min="16129" max="16129" width="4.85546875" style="154" customWidth="1"/>
    <col min="16130" max="16130" width="10" style="154" customWidth="1"/>
    <col min="16131" max="16131" width="10.5703125" style="154" customWidth="1"/>
    <col min="16132" max="16132" width="11.140625" style="154" customWidth="1"/>
    <col min="16133" max="16133" width="9.7109375" style="154" customWidth="1"/>
    <col min="16134" max="16135" width="0" style="154" hidden="1" customWidth="1"/>
    <col min="16136" max="16136" width="18.5703125" style="154" customWidth="1"/>
    <col min="16137" max="16137" width="1.5703125" style="154" customWidth="1"/>
    <col min="16138" max="16138" width="9.7109375" style="154" customWidth="1"/>
    <col min="16139" max="16142" width="0" style="154" hidden="1" customWidth="1"/>
    <col min="16143" max="16143" width="17.140625" style="154" customWidth="1"/>
    <col min="16144" max="16382" width="9.140625" style="154" customWidth="1"/>
    <col min="16383" max="16384" width="4" style="154"/>
  </cols>
  <sheetData>
    <row r="1" spans="1:256" x14ac:dyDescent="0.2">
      <c r="A1" s="361"/>
      <c r="B1" s="361"/>
      <c r="C1" s="361"/>
      <c r="D1" s="361"/>
      <c r="E1" s="361"/>
      <c r="F1" s="361"/>
      <c r="G1" s="361"/>
      <c r="H1" s="361"/>
      <c r="I1" s="361"/>
      <c r="J1" s="361"/>
      <c r="K1" s="361"/>
      <c r="L1" s="361"/>
      <c r="M1" s="361"/>
      <c r="N1" s="361"/>
      <c r="O1" s="361"/>
    </row>
    <row r="2" spans="1:256" x14ac:dyDescent="0.2">
      <c r="A2" s="361"/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1"/>
    </row>
    <row r="3" spans="1:256" x14ac:dyDescent="0.2">
      <c r="A3" s="361"/>
      <c r="B3" s="361"/>
      <c r="C3" s="361"/>
      <c r="D3" s="361"/>
      <c r="E3" s="361"/>
      <c r="F3" s="361"/>
      <c r="G3" s="361"/>
      <c r="H3" s="361"/>
      <c r="I3" s="361"/>
      <c r="J3" s="361"/>
      <c r="K3" s="361"/>
      <c r="L3" s="361"/>
      <c r="M3" s="361"/>
      <c r="N3" s="361"/>
      <c r="O3" s="361"/>
    </row>
    <row r="4" spans="1:256" x14ac:dyDescent="0.2">
      <c r="A4" s="361"/>
      <c r="B4" s="361"/>
      <c r="C4" s="361"/>
      <c r="D4" s="361"/>
      <c r="E4" s="361"/>
      <c r="F4" s="361"/>
      <c r="G4" s="361"/>
      <c r="H4" s="361"/>
      <c r="I4" s="361"/>
      <c r="J4" s="361"/>
      <c r="K4" s="361"/>
      <c r="L4" s="361"/>
      <c r="M4" s="361"/>
      <c r="N4" s="361"/>
      <c r="O4" s="361"/>
    </row>
    <row r="5" spans="1:256" ht="22.5" customHeight="1" x14ac:dyDescent="0.2">
      <c r="A5" s="362"/>
      <c r="B5" s="362"/>
      <c r="C5" s="362"/>
      <c r="D5" s="362"/>
      <c r="E5" s="362"/>
      <c r="F5" s="362"/>
      <c r="G5" s="362"/>
      <c r="H5" s="362"/>
      <c r="I5" s="362"/>
      <c r="J5" s="362"/>
      <c r="K5" s="362"/>
      <c r="L5" s="362"/>
      <c r="M5" s="362"/>
      <c r="N5" s="362"/>
      <c r="O5" s="362"/>
      <c r="IV5" s="155"/>
    </row>
    <row r="6" spans="1:256" ht="27" customHeight="1" x14ac:dyDescent="0.2">
      <c r="A6" s="363" t="s">
        <v>289</v>
      </c>
      <c r="B6" s="363"/>
      <c r="C6" s="363"/>
      <c r="D6" s="363"/>
      <c r="E6" s="363"/>
      <c r="F6" s="363"/>
      <c r="G6" s="363"/>
      <c r="H6" s="363"/>
      <c r="I6" s="363"/>
      <c r="J6" s="363"/>
      <c r="K6" s="363"/>
      <c r="L6" s="363"/>
      <c r="M6" s="363"/>
      <c r="N6" s="363"/>
      <c r="O6" s="363"/>
      <c r="IV6" s="155"/>
    </row>
    <row r="7" spans="1:256" ht="13.5" customHeight="1" x14ac:dyDescent="0.25">
      <c r="A7" s="156" t="s">
        <v>202</v>
      </c>
      <c r="B7" s="157"/>
      <c r="C7" s="158"/>
      <c r="D7" s="159"/>
      <c r="K7" s="160"/>
      <c r="L7" s="160"/>
      <c r="M7" s="160"/>
      <c r="N7" s="160"/>
      <c r="O7" s="161"/>
      <c r="IV7" s="155"/>
    </row>
    <row r="8" spans="1:256" ht="13.5" customHeight="1" x14ac:dyDescent="0.2">
      <c r="A8" s="162" t="s">
        <v>203</v>
      </c>
      <c r="C8" s="163"/>
      <c r="D8" s="159"/>
      <c r="K8" s="160"/>
      <c r="L8" s="160"/>
      <c r="M8" s="160"/>
      <c r="N8" s="160"/>
      <c r="O8" s="161"/>
      <c r="IV8" s="155"/>
    </row>
    <row r="9" spans="1:256" ht="13.5" customHeight="1" x14ac:dyDescent="0.2">
      <c r="A9" s="164" t="s">
        <v>204</v>
      </c>
      <c r="B9" s="163"/>
      <c r="C9" s="165"/>
      <c r="D9" s="159"/>
      <c r="K9" s="160"/>
      <c r="L9" s="160"/>
      <c r="M9" s="160"/>
      <c r="N9" s="160"/>
      <c r="O9" s="161"/>
      <c r="IV9" s="155"/>
    </row>
    <row r="10" spans="1:256" ht="13.5" customHeight="1" x14ac:dyDescent="0.2">
      <c r="A10" s="164"/>
      <c r="B10" s="163"/>
      <c r="C10" s="166"/>
      <c r="D10" s="167"/>
      <c r="K10" s="160"/>
      <c r="L10" s="160"/>
      <c r="M10" s="160"/>
      <c r="N10" s="160"/>
      <c r="O10" s="161"/>
      <c r="IV10" s="155"/>
    </row>
    <row r="11" spans="1:256" ht="25.5" customHeight="1" x14ac:dyDescent="0.2">
      <c r="A11" s="364" t="s">
        <v>299</v>
      </c>
      <c r="B11" s="365"/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5"/>
      <c r="N11" s="365"/>
      <c r="O11" s="366"/>
      <c r="IV11" s="155"/>
    </row>
    <row r="12" spans="1:256" hidden="1" x14ac:dyDescent="0.2">
      <c r="B12" s="154"/>
      <c r="C12" s="154"/>
      <c r="D12" s="154"/>
      <c r="E12" s="154"/>
      <c r="F12" s="154"/>
      <c r="G12" s="154"/>
      <c r="H12" s="154"/>
      <c r="M12" s="160"/>
      <c r="O12" s="168"/>
    </row>
    <row r="13" spans="1:256" ht="19.5" customHeight="1" x14ac:dyDescent="0.2">
      <c r="A13" s="169" t="s">
        <v>64</v>
      </c>
      <c r="B13" s="367" t="s">
        <v>205</v>
      </c>
      <c r="C13" s="368"/>
      <c r="D13" s="368"/>
      <c r="E13" s="368"/>
      <c r="F13" s="368"/>
      <c r="G13" s="368"/>
      <c r="H13" s="368"/>
      <c r="I13" s="368"/>
      <c r="J13" s="369"/>
      <c r="K13" s="170"/>
      <c r="L13" s="171"/>
      <c r="M13" s="172"/>
      <c r="N13" s="171"/>
      <c r="O13" s="268">
        <v>0.87</v>
      </c>
      <c r="P13" s="173"/>
    </row>
    <row r="14" spans="1:256" ht="20.25" customHeight="1" x14ac:dyDescent="0.2">
      <c r="A14" s="169" t="s">
        <v>76</v>
      </c>
      <c r="B14" s="367" t="s">
        <v>206</v>
      </c>
      <c r="C14" s="368"/>
      <c r="D14" s="368"/>
      <c r="E14" s="368"/>
      <c r="F14" s="368"/>
      <c r="G14" s="368"/>
      <c r="H14" s="368"/>
      <c r="I14" s="368"/>
      <c r="J14" s="369"/>
      <c r="K14" s="171"/>
      <c r="L14" s="171"/>
      <c r="M14" s="172"/>
      <c r="N14" s="171"/>
      <c r="O14" s="174">
        <v>3.5000000000000003E-2</v>
      </c>
      <c r="R14" s="355" t="s">
        <v>207</v>
      </c>
      <c r="S14" s="356"/>
      <c r="T14" s="357"/>
      <c r="U14" s="351" t="s">
        <v>208</v>
      </c>
      <c r="V14" s="351" t="s">
        <v>91</v>
      </c>
      <c r="W14" s="351" t="s">
        <v>209</v>
      </c>
    </row>
    <row r="15" spans="1:256" ht="29.25" customHeight="1" x14ac:dyDescent="0.2">
      <c r="A15" s="353" t="s">
        <v>210</v>
      </c>
      <c r="B15" s="353"/>
      <c r="C15" s="353"/>
      <c r="D15" s="353"/>
      <c r="E15" s="353"/>
      <c r="F15" s="353"/>
      <c r="G15" s="353"/>
      <c r="H15" s="353"/>
      <c r="I15" s="353"/>
      <c r="J15" s="175" t="s">
        <v>211</v>
      </c>
      <c r="K15" s="176"/>
      <c r="L15" s="177" t="s">
        <v>31</v>
      </c>
      <c r="M15" s="178">
        <v>0.04</v>
      </c>
      <c r="N15" s="171"/>
      <c r="O15" s="179" t="s">
        <v>212</v>
      </c>
      <c r="R15" s="358"/>
      <c r="S15" s="359"/>
      <c r="T15" s="360"/>
      <c r="U15" s="352"/>
      <c r="V15" s="352"/>
      <c r="W15" s="352"/>
    </row>
    <row r="16" spans="1:256" ht="14.25" customHeight="1" x14ac:dyDescent="0.2">
      <c r="A16" s="354" t="s">
        <v>30</v>
      </c>
      <c r="B16" s="354"/>
      <c r="C16" s="354"/>
      <c r="D16" s="354"/>
      <c r="E16" s="354"/>
      <c r="F16" s="354"/>
      <c r="G16" s="354"/>
      <c r="H16" s="354"/>
      <c r="I16" s="354"/>
      <c r="J16" s="180" t="s">
        <v>31</v>
      </c>
      <c r="K16" s="181"/>
      <c r="L16" s="182" t="s">
        <v>213</v>
      </c>
      <c r="M16" s="183">
        <v>8.0000000000000002E-3</v>
      </c>
      <c r="N16" s="184"/>
      <c r="O16" s="185">
        <v>3.7999999999999999E-2</v>
      </c>
      <c r="R16" s="348" t="str">
        <f t="shared" ref="R16:R21" si="0">IF(O16&gt;=U16,IF(O16&lt;=W16,"OK!","Ops!"),"Ops!")</f>
        <v>OK!</v>
      </c>
      <c r="S16" s="348"/>
      <c r="T16" s="348"/>
      <c r="U16" s="186">
        <v>3.7999999999999999E-2</v>
      </c>
      <c r="V16" s="186">
        <v>4.0099999999999997E-2</v>
      </c>
      <c r="W16" s="186">
        <v>4.6699999999999998E-2</v>
      </c>
    </row>
    <row r="17" spans="1:23" ht="15.75" customHeight="1" x14ac:dyDescent="0.2">
      <c r="A17" s="347" t="s">
        <v>214</v>
      </c>
      <c r="B17" s="347"/>
      <c r="C17" s="347"/>
      <c r="D17" s="347"/>
      <c r="E17" s="347"/>
      <c r="F17" s="347"/>
      <c r="G17" s="347"/>
      <c r="H17" s="347"/>
      <c r="I17" s="347"/>
      <c r="J17" s="187" t="s">
        <v>32</v>
      </c>
      <c r="K17" s="188"/>
      <c r="L17" s="189" t="s">
        <v>215</v>
      </c>
      <c r="M17" s="190">
        <v>1.2699999999999999E-2</v>
      </c>
      <c r="N17" s="191"/>
      <c r="O17" s="192">
        <v>3.5000000000000001E-3</v>
      </c>
      <c r="R17" s="348" t="str">
        <f t="shared" si="0"/>
        <v>OK!</v>
      </c>
      <c r="S17" s="348"/>
      <c r="T17" s="348"/>
      <c r="U17" s="186">
        <v>3.2000000000000002E-3</v>
      </c>
      <c r="V17" s="186">
        <v>4.0000000000000001E-3</v>
      </c>
      <c r="W17" s="186">
        <v>7.4000000000000003E-3</v>
      </c>
    </row>
    <row r="18" spans="1:23" ht="18.75" customHeight="1" x14ac:dyDescent="0.2">
      <c r="A18" s="347" t="s">
        <v>35</v>
      </c>
      <c r="B18" s="347"/>
      <c r="C18" s="347"/>
      <c r="D18" s="347"/>
      <c r="E18" s="347"/>
      <c r="F18" s="347"/>
      <c r="G18" s="347"/>
      <c r="H18" s="347"/>
      <c r="I18" s="347"/>
      <c r="J18" s="187" t="s">
        <v>36</v>
      </c>
      <c r="K18" s="188"/>
      <c r="L18" s="189" t="s">
        <v>34</v>
      </c>
      <c r="M18" s="190">
        <v>7.3999999999999996E-2</v>
      </c>
      <c r="N18" s="191"/>
      <c r="O18" s="192">
        <v>1.0999999999999999E-2</v>
      </c>
      <c r="R18" s="348" t="str">
        <f t="shared" si="0"/>
        <v>OK!</v>
      </c>
      <c r="S18" s="348"/>
      <c r="T18" s="348"/>
      <c r="U18" s="186">
        <v>1.0200000000000001E-2</v>
      </c>
      <c r="V18" s="186">
        <v>1.11E-2</v>
      </c>
      <c r="W18" s="186">
        <v>1.21E-2</v>
      </c>
    </row>
    <row r="19" spans="1:23" ht="15" x14ac:dyDescent="0.2">
      <c r="A19" s="347" t="s">
        <v>33</v>
      </c>
      <c r="B19" s="347"/>
      <c r="C19" s="347"/>
      <c r="D19" s="347"/>
      <c r="E19" s="347"/>
      <c r="F19" s="347"/>
      <c r="G19" s="347"/>
      <c r="H19" s="347"/>
      <c r="I19" s="347"/>
      <c r="J19" s="187" t="s">
        <v>34</v>
      </c>
      <c r="K19" s="188"/>
      <c r="L19" s="189" t="s">
        <v>216</v>
      </c>
      <c r="M19" s="190">
        <v>3.6499999999999998E-2</v>
      </c>
      <c r="N19" s="191"/>
      <c r="O19" s="192">
        <v>6.7900000000000002E-2</v>
      </c>
      <c r="R19" s="348" t="str">
        <f t="shared" si="0"/>
        <v>OK!</v>
      </c>
      <c r="S19" s="348"/>
      <c r="T19" s="348"/>
      <c r="U19" s="186">
        <v>6.6400000000000001E-2</v>
      </c>
      <c r="V19" s="186">
        <v>7.2999999999999995E-2</v>
      </c>
      <c r="W19" s="186">
        <v>8.6899999999999991E-2</v>
      </c>
    </row>
    <row r="20" spans="1:23" ht="22.5" customHeight="1" x14ac:dyDescent="0.2">
      <c r="A20" s="347" t="s">
        <v>217</v>
      </c>
      <c r="B20" s="347"/>
      <c r="C20" s="347"/>
      <c r="D20" s="347"/>
      <c r="E20" s="347"/>
      <c r="F20" s="347"/>
      <c r="G20" s="347"/>
      <c r="H20" s="347"/>
      <c r="I20" s="347"/>
      <c r="J20" s="187" t="s">
        <v>216</v>
      </c>
      <c r="K20" s="188"/>
      <c r="L20" s="189" t="s">
        <v>218</v>
      </c>
      <c r="M20" s="193">
        <v>1.5496000000000001E-2</v>
      </c>
      <c r="N20" s="191"/>
      <c r="O20" s="192">
        <v>3.6499999999999998E-2</v>
      </c>
      <c r="R20" s="348" t="str">
        <f t="shared" si="0"/>
        <v>OK!</v>
      </c>
      <c r="S20" s="348"/>
      <c r="T20" s="348"/>
      <c r="U20" s="186">
        <v>3.6499999999999998E-2</v>
      </c>
      <c r="V20" s="186">
        <v>3.6499999999999998E-2</v>
      </c>
      <c r="W20" s="186">
        <v>3.6499999999999998E-2</v>
      </c>
    </row>
    <row r="21" spans="1:23" ht="19.5" customHeight="1" x14ac:dyDescent="0.2">
      <c r="A21" s="349" t="s">
        <v>219</v>
      </c>
      <c r="B21" s="347"/>
      <c r="C21" s="347"/>
      <c r="D21" s="347"/>
      <c r="E21" s="347"/>
      <c r="F21" s="347"/>
      <c r="G21" s="347"/>
      <c r="H21" s="347"/>
      <c r="I21" s="347"/>
      <c r="J21" s="187" t="s">
        <v>220</v>
      </c>
      <c r="K21" s="188"/>
      <c r="L21" s="189" t="s">
        <v>221</v>
      </c>
      <c r="M21" s="193">
        <v>4.4999999999999998E-2</v>
      </c>
      <c r="N21" s="191"/>
      <c r="O21" s="192">
        <f>ROUND(O14*O13,4)</f>
        <v>3.0499999999999999E-2</v>
      </c>
      <c r="R21" s="348" t="str">
        <f t="shared" si="0"/>
        <v>OK!</v>
      </c>
      <c r="S21" s="348"/>
      <c r="T21" s="348"/>
      <c r="U21" s="186">
        <v>0</v>
      </c>
      <c r="V21" s="186">
        <v>2.5000000000000001E-2</v>
      </c>
      <c r="W21" s="186">
        <v>0.05</v>
      </c>
    </row>
    <row r="22" spans="1:23" ht="25.5" customHeight="1" x14ac:dyDescent="0.2">
      <c r="A22" s="350" t="s">
        <v>222</v>
      </c>
      <c r="B22" s="350"/>
      <c r="C22" s="350"/>
      <c r="D22" s="350"/>
      <c r="E22" s="350"/>
      <c r="F22" s="350"/>
      <c r="G22" s="350"/>
      <c r="H22" s="350"/>
      <c r="I22" s="350"/>
      <c r="J22" s="194" t="s">
        <v>223</v>
      </c>
      <c r="K22" s="195"/>
      <c r="L22" s="196"/>
      <c r="M22" s="196"/>
      <c r="N22" s="197"/>
      <c r="O22" s="198">
        <f>ROUND((((1+O16+O17)*(1+O18)*(1+O19))/(1-O20-O21))-1,4)</f>
        <v>0.20519999999999999</v>
      </c>
    </row>
    <row r="23" spans="1:23" ht="25.5" customHeight="1" x14ac:dyDescent="0.2">
      <c r="B23" s="154"/>
      <c r="C23" s="154"/>
      <c r="D23" s="199"/>
      <c r="E23" s="199"/>
      <c r="F23" s="199"/>
      <c r="G23" s="199"/>
      <c r="H23" s="199"/>
      <c r="I23" s="199"/>
      <c r="J23" s="199"/>
      <c r="K23" s="199"/>
      <c r="L23" s="199"/>
      <c r="M23" s="199"/>
    </row>
    <row r="24" spans="1:23" ht="12.75" customHeight="1" x14ac:dyDescent="0.25">
      <c r="A24" s="346" t="s">
        <v>224</v>
      </c>
      <c r="B24" s="346"/>
      <c r="C24" s="346"/>
      <c r="D24" s="346"/>
      <c r="E24" s="346"/>
      <c r="F24" s="346"/>
      <c r="G24" s="346"/>
      <c r="H24" s="346"/>
      <c r="I24" s="346"/>
      <c r="J24" s="346"/>
      <c r="K24" s="346"/>
      <c r="L24" s="346"/>
      <c r="M24" s="346"/>
      <c r="N24" s="346"/>
      <c r="O24" s="346"/>
    </row>
    <row r="25" spans="1:23" ht="15.75" x14ac:dyDescent="0.25">
      <c r="B25" s="154"/>
      <c r="C25" s="154"/>
      <c r="D25" s="200"/>
      <c r="E25" s="200"/>
      <c r="F25" s="200"/>
      <c r="G25" s="201"/>
      <c r="H25" s="202"/>
      <c r="I25" s="202"/>
      <c r="J25" s="202"/>
      <c r="K25" s="203"/>
      <c r="L25" s="200"/>
      <c r="M25" s="200"/>
    </row>
    <row r="26" spans="1:23" ht="15.75" customHeight="1" x14ac:dyDescent="0.2">
      <c r="A26" s="204"/>
      <c r="B26" s="154"/>
      <c r="C26" s="341" t="s">
        <v>225</v>
      </c>
      <c r="D26" s="342" t="s">
        <v>226</v>
      </c>
      <c r="E26" s="342"/>
      <c r="F26" s="342"/>
      <c r="G26" s="342"/>
      <c r="H26" s="342"/>
      <c r="J26" s="343">
        <v>-1</v>
      </c>
      <c r="L26" s="200"/>
      <c r="M26" s="200"/>
    </row>
    <row r="27" spans="1:23" ht="15.75" x14ac:dyDescent="0.2">
      <c r="A27" s="204"/>
      <c r="B27" s="154"/>
      <c r="C27" s="341"/>
      <c r="D27" s="344" t="s">
        <v>227</v>
      </c>
      <c r="E27" s="344"/>
      <c r="F27" s="344"/>
      <c r="G27" s="344"/>
      <c r="H27" s="344"/>
      <c r="J27" s="343"/>
      <c r="L27" s="200"/>
      <c r="M27" s="200"/>
    </row>
    <row r="28" spans="1:23" x14ac:dyDescent="0.2">
      <c r="B28" s="154"/>
      <c r="C28" s="154"/>
      <c r="D28" s="154"/>
      <c r="E28" s="154"/>
      <c r="F28" s="154"/>
      <c r="G28" s="154"/>
      <c r="H28" s="154"/>
      <c r="I28" s="154"/>
      <c r="J28" s="154"/>
    </row>
    <row r="29" spans="1:23" x14ac:dyDescent="0.2">
      <c r="B29" s="154"/>
      <c r="C29" s="154"/>
      <c r="D29" s="154"/>
      <c r="E29" s="154"/>
      <c r="F29" s="154"/>
      <c r="G29" s="154"/>
      <c r="H29" s="154"/>
      <c r="I29" s="154"/>
      <c r="J29" s="154"/>
    </row>
    <row r="30" spans="1:23" x14ac:dyDescent="0.2">
      <c r="B30" s="154"/>
      <c r="C30" s="154"/>
      <c r="D30" s="154"/>
      <c r="E30" s="154"/>
      <c r="F30" s="154"/>
      <c r="G30" s="154"/>
      <c r="H30" s="154"/>
      <c r="I30" s="154"/>
      <c r="J30" s="154"/>
    </row>
    <row r="31" spans="1:23" s="206" customFormat="1" ht="12.75" x14ac:dyDescent="0.2">
      <c r="A31" s="345">
        <v>46001</v>
      </c>
      <c r="B31" s="345"/>
      <c r="C31" s="345"/>
      <c r="D31" s="205"/>
      <c r="F31" s="207" t="s">
        <v>228</v>
      </c>
      <c r="G31" s="207"/>
    </row>
    <row r="32" spans="1:23" s="206" customFormat="1" ht="12.75" x14ac:dyDescent="0.2">
      <c r="A32" s="208" t="s">
        <v>229</v>
      </c>
      <c r="B32" s="209"/>
      <c r="C32" s="209"/>
      <c r="D32" s="205"/>
      <c r="E32" s="154"/>
      <c r="F32" s="207" t="s">
        <v>230</v>
      </c>
      <c r="G32" s="207"/>
    </row>
    <row r="33" spans="1:10" s="206" customFormat="1" ht="12.75" x14ac:dyDescent="0.2">
      <c r="A33" s="210"/>
      <c r="D33" s="205"/>
      <c r="E33" s="154"/>
      <c r="F33" s="207"/>
      <c r="G33" s="207"/>
    </row>
    <row r="34" spans="1:10" s="206" customFormat="1" ht="12.75" x14ac:dyDescent="0.2">
      <c r="A34" s="210"/>
      <c r="D34" s="205"/>
      <c r="E34" s="154"/>
      <c r="F34" s="207"/>
      <c r="G34" s="207"/>
    </row>
    <row r="35" spans="1:10" s="206" customFormat="1" ht="12.75" x14ac:dyDescent="0.2">
      <c r="A35" s="210"/>
      <c r="D35" s="205"/>
      <c r="E35" s="154"/>
      <c r="F35" s="207"/>
      <c r="G35" s="207"/>
    </row>
    <row r="36" spans="1:10" s="206" customFormat="1" ht="12.75" x14ac:dyDescent="0.2">
      <c r="A36" s="210"/>
      <c r="D36" s="205"/>
      <c r="E36" s="154"/>
      <c r="F36" s="207"/>
      <c r="G36" s="207"/>
    </row>
    <row r="37" spans="1:10" x14ac:dyDescent="0.2">
      <c r="B37" s="154"/>
      <c r="C37" s="154"/>
      <c r="D37" s="154"/>
      <c r="E37" s="154"/>
      <c r="F37" s="154"/>
      <c r="G37" s="154"/>
      <c r="H37" s="154"/>
      <c r="I37" s="154"/>
      <c r="J37" s="154"/>
    </row>
    <row r="38" spans="1:10" x14ac:dyDescent="0.2">
      <c r="B38" s="154"/>
      <c r="C38" s="154"/>
      <c r="D38" s="154"/>
      <c r="E38" s="154"/>
      <c r="F38" s="154"/>
      <c r="G38" s="154"/>
      <c r="H38" s="154"/>
      <c r="I38" s="154"/>
      <c r="J38" s="154"/>
    </row>
    <row r="39" spans="1:10" ht="12.75" customHeight="1" x14ac:dyDescent="0.2">
      <c r="B39" s="154"/>
      <c r="C39" s="154"/>
      <c r="D39" s="339"/>
      <c r="E39" s="339"/>
      <c r="F39" s="339"/>
      <c r="G39" s="339"/>
      <c r="H39" s="339"/>
      <c r="I39" s="154"/>
      <c r="J39" s="154"/>
    </row>
    <row r="40" spans="1:10" ht="12.75" x14ac:dyDescent="0.2">
      <c r="B40" s="154"/>
      <c r="C40" s="154"/>
      <c r="D40" s="340"/>
      <c r="E40" s="340"/>
      <c r="F40" s="340"/>
      <c r="G40" s="340"/>
      <c r="H40" s="340"/>
      <c r="I40" s="154"/>
      <c r="J40" s="154"/>
    </row>
    <row r="41" spans="1:10" ht="12.75" customHeight="1" x14ac:dyDescent="0.2">
      <c r="B41" s="154"/>
      <c r="C41" s="154"/>
      <c r="D41" s="320"/>
      <c r="E41" s="320"/>
      <c r="F41" s="320"/>
      <c r="G41" s="320"/>
      <c r="H41" s="320"/>
      <c r="I41" s="154"/>
      <c r="J41" s="154"/>
    </row>
    <row r="42" spans="1:10" ht="12.75" customHeight="1" x14ac:dyDescent="0.2">
      <c r="B42" s="154"/>
      <c r="C42" s="154"/>
      <c r="D42" s="321"/>
      <c r="E42" s="321"/>
      <c r="F42" s="321"/>
      <c r="G42" s="321"/>
      <c r="H42" s="321"/>
      <c r="I42" s="154"/>
      <c r="J42" s="154"/>
    </row>
    <row r="43" spans="1:10" ht="12.75" x14ac:dyDescent="0.2">
      <c r="B43" s="154"/>
      <c r="C43" s="322"/>
      <c r="D43" s="322"/>
      <c r="E43" s="322"/>
      <c r="F43" s="322"/>
      <c r="G43" s="322"/>
      <c r="H43" s="322"/>
      <c r="I43" s="322"/>
      <c r="J43" s="322"/>
    </row>
    <row r="44" spans="1:10" x14ac:dyDescent="0.2">
      <c r="B44" s="154"/>
      <c r="C44" s="154"/>
      <c r="D44" s="154"/>
      <c r="E44" s="154"/>
      <c r="F44" s="154"/>
      <c r="G44" s="154"/>
      <c r="H44" s="154"/>
      <c r="I44" s="154"/>
      <c r="J44" s="154"/>
    </row>
    <row r="45" spans="1:10" x14ac:dyDescent="0.2">
      <c r="B45" s="154"/>
      <c r="C45" s="154"/>
      <c r="D45" s="154"/>
      <c r="E45" s="154"/>
      <c r="F45" s="154"/>
      <c r="G45" s="154"/>
      <c r="H45" s="154"/>
      <c r="I45" s="154"/>
      <c r="J45" s="154"/>
    </row>
    <row r="46" spans="1:10" x14ac:dyDescent="0.2">
      <c r="B46" s="154"/>
      <c r="C46" s="154"/>
      <c r="D46" s="154"/>
      <c r="E46" s="154"/>
      <c r="F46" s="154"/>
      <c r="G46" s="154"/>
      <c r="H46" s="154"/>
      <c r="I46" s="154"/>
      <c r="J46" s="154"/>
    </row>
    <row r="47" spans="1:10" x14ac:dyDescent="0.2">
      <c r="B47" s="154"/>
      <c r="C47" s="154"/>
      <c r="D47" s="154"/>
      <c r="E47" s="154"/>
      <c r="F47" s="154"/>
      <c r="G47" s="154"/>
      <c r="H47" s="154"/>
      <c r="I47" s="154"/>
      <c r="J47" s="154"/>
    </row>
    <row r="48" spans="1:10" x14ac:dyDescent="0.2">
      <c r="B48" s="154"/>
      <c r="C48" s="154"/>
      <c r="D48" s="154"/>
      <c r="E48" s="154"/>
      <c r="F48" s="154"/>
      <c r="G48" s="154"/>
      <c r="H48" s="154"/>
      <c r="I48" s="154"/>
      <c r="J48" s="154"/>
    </row>
    <row r="49" s="154" customFormat="1" x14ac:dyDescent="0.2"/>
    <row r="50" s="154" customFormat="1" x14ac:dyDescent="0.2"/>
    <row r="51" s="154" customFormat="1" x14ac:dyDescent="0.2"/>
    <row r="52" s="154" customFormat="1" x14ac:dyDescent="0.2"/>
    <row r="53" s="154" customFormat="1" x14ac:dyDescent="0.2"/>
    <row r="54" s="154" customFormat="1" x14ac:dyDescent="0.2"/>
    <row r="55" s="154" customFormat="1" x14ac:dyDescent="0.2"/>
    <row r="56" s="154" customFormat="1" x14ac:dyDescent="0.2"/>
    <row r="57" s="154" customFormat="1" x14ac:dyDescent="0.2"/>
    <row r="58" s="154" customFormat="1" x14ac:dyDescent="0.2"/>
    <row r="59" s="154" customFormat="1" x14ac:dyDescent="0.2"/>
    <row r="60" s="154" customFormat="1" x14ac:dyDescent="0.2"/>
    <row r="61" s="154" customFormat="1" x14ac:dyDescent="0.2"/>
    <row r="62" s="154" customFormat="1" x14ac:dyDescent="0.2"/>
    <row r="63" s="154" customFormat="1" x14ac:dyDescent="0.2"/>
    <row r="64" s="154" customFormat="1" x14ac:dyDescent="0.2"/>
    <row r="65" s="154" customFormat="1" x14ac:dyDescent="0.2"/>
    <row r="66" s="154" customFormat="1" x14ac:dyDescent="0.2"/>
    <row r="67" s="154" customFormat="1" x14ac:dyDescent="0.2"/>
    <row r="68" s="154" customFormat="1" x14ac:dyDescent="0.2"/>
    <row r="69" s="154" customFormat="1" x14ac:dyDescent="0.2"/>
    <row r="70" s="154" customFormat="1" x14ac:dyDescent="0.2"/>
    <row r="71" s="154" customFormat="1" x14ac:dyDescent="0.2"/>
    <row r="72" s="154" customFormat="1" x14ac:dyDescent="0.2"/>
    <row r="73" s="154" customFormat="1" x14ac:dyDescent="0.2"/>
    <row r="74" s="154" customFormat="1" x14ac:dyDescent="0.2"/>
    <row r="75" s="154" customFormat="1" x14ac:dyDescent="0.2"/>
    <row r="76" s="154" customFormat="1" x14ac:dyDescent="0.2"/>
    <row r="77" s="154" customFormat="1" x14ac:dyDescent="0.2"/>
    <row r="78" s="154" customFormat="1" x14ac:dyDescent="0.2"/>
    <row r="79" s="154" customFormat="1" x14ac:dyDescent="0.2"/>
    <row r="80" s="154" customFormat="1" x14ac:dyDescent="0.2"/>
    <row r="81" s="154" customFormat="1" x14ac:dyDescent="0.2"/>
    <row r="82" s="154" customFormat="1" x14ac:dyDescent="0.2"/>
    <row r="83" s="154" customFormat="1" x14ac:dyDescent="0.2"/>
    <row r="84" s="154" customFormat="1" x14ac:dyDescent="0.2"/>
    <row r="85" s="154" customFormat="1" x14ac:dyDescent="0.2"/>
    <row r="86" s="154" customFormat="1" x14ac:dyDescent="0.2"/>
    <row r="87" s="154" customFormat="1" x14ac:dyDescent="0.2"/>
    <row r="88" s="154" customFormat="1" x14ac:dyDescent="0.2"/>
    <row r="89" s="154" customFormat="1" x14ac:dyDescent="0.2"/>
    <row r="90" s="154" customFormat="1" x14ac:dyDescent="0.2"/>
    <row r="91" s="154" customFormat="1" x14ac:dyDescent="0.2"/>
    <row r="92" s="154" customFormat="1" x14ac:dyDescent="0.2"/>
    <row r="93" s="154" customFormat="1" x14ac:dyDescent="0.2"/>
    <row r="94" s="154" customFormat="1" x14ac:dyDescent="0.2"/>
    <row r="95" s="154" customFormat="1" x14ac:dyDescent="0.2"/>
    <row r="96" s="154" customFormat="1" x14ac:dyDescent="0.2"/>
    <row r="97" s="154" customFormat="1" x14ac:dyDescent="0.2"/>
    <row r="98" s="154" customFormat="1" x14ac:dyDescent="0.2"/>
    <row r="99" s="154" customFormat="1" x14ac:dyDescent="0.2"/>
    <row r="100" s="154" customFormat="1" x14ac:dyDescent="0.2"/>
    <row r="101" s="154" customFormat="1" x14ac:dyDescent="0.2"/>
    <row r="102" s="154" customFormat="1" x14ac:dyDescent="0.2"/>
    <row r="103" s="154" customFormat="1" x14ac:dyDescent="0.2"/>
    <row r="104" s="154" customFormat="1" x14ac:dyDescent="0.2"/>
    <row r="105" s="154" customFormat="1" x14ac:dyDescent="0.2"/>
    <row r="106" s="154" customFormat="1" x14ac:dyDescent="0.2"/>
    <row r="107" s="154" customFormat="1" x14ac:dyDescent="0.2"/>
    <row r="108" s="154" customFormat="1" x14ac:dyDescent="0.2"/>
    <row r="109" s="154" customFormat="1" x14ac:dyDescent="0.2"/>
    <row r="110" s="154" customFormat="1" x14ac:dyDescent="0.2"/>
    <row r="111" s="154" customFormat="1" x14ac:dyDescent="0.2"/>
    <row r="112" s="154" customFormat="1" x14ac:dyDescent="0.2"/>
    <row r="113" s="154" customFormat="1" x14ac:dyDescent="0.2"/>
    <row r="114" s="154" customFormat="1" x14ac:dyDescent="0.2"/>
    <row r="115" s="154" customFormat="1" x14ac:dyDescent="0.2"/>
    <row r="116" s="154" customFormat="1" x14ac:dyDescent="0.2"/>
    <row r="117" s="154" customFormat="1" x14ac:dyDescent="0.2"/>
    <row r="118" s="154" customFormat="1" x14ac:dyDescent="0.2"/>
    <row r="119" s="154" customFormat="1" x14ac:dyDescent="0.2"/>
    <row r="120" s="154" customFormat="1" x14ac:dyDescent="0.2"/>
    <row r="121" s="154" customFormat="1" x14ac:dyDescent="0.2"/>
    <row r="122" s="154" customFormat="1" x14ac:dyDescent="0.2"/>
    <row r="123" s="154" customFormat="1" x14ac:dyDescent="0.2"/>
    <row r="124" s="154" customFormat="1" x14ac:dyDescent="0.2"/>
    <row r="125" s="154" customFormat="1" x14ac:dyDescent="0.2"/>
    <row r="126" s="154" customFormat="1" x14ac:dyDescent="0.2"/>
    <row r="127" s="154" customFormat="1" x14ac:dyDescent="0.2"/>
    <row r="128" s="154" customFormat="1" x14ac:dyDescent="0.2"/>
    <row r="129" s="154" customFormat="1" x14ac:dyDescent="0.2"/>
    <row r="130" s="154" customFormat="1" x14ac:dyDescent="0.2"/>
    <row r="131" s="154" customFormat="1" x14ac:dyDescent="0.2"/>
    <row r="132" s="154" customFormat="1" x14ac:dyDescent="0.2"/>
    <row r="133" s="154" customFormat="1" x14ac:dyDescent="0.2"/>
    <row r="134" s="154" customFormat="1" x14ac:dyDescent="0.2"/>
    <row r="135" s="154" customFormat="1" x14ac:dyDescent="0.2"/>
    <row r="136" s="154" customFormat="1" x14ac:dyDescent="0.2"/>
    <row r="137" s="154" customFormat="1" x14ac:dyDescent="0.2"/>
    <row r="138" s="154" customFormat="1" x14ac:dyDescent="0.2"/>
    <row r="139" s="154" customFormat="1" x14ac:dyDescent="0.2"/>
    <row r="140" s="154" customFormat="1" x14ac:dyDescent="0.2"/>
    <row r="141" s="154" customFormat="1" x14ac:dyDescent="0.2"/>
    <row r="142" s="154" customFormat="1" x14ac:dyDescent="0.2"/>
    <row r="143" s="154" customFormat="1" x14ac:dyDescent="0.2"/>
    <row r="144" s="154" customFormat="1" x14ac:dyDescent="0.2"/>
    <row r="145" s="154" customFormat="1" x14ac:dyDescent="0.2"/>
    <row r="146" s="154" customFormat="1" x14ac:dyDescent="0.2"/>
    <row r="147" s="154" customFormat="1" x14ac:dyDescent="0.2"/>
    <row r="148" s="154" customFormat="1" x14ac:dyDescent="0.2"/>
    <row r="149" s="154" customFormat="1" x14ac:dyDescent="0.2"/>
    <row r="150" s="154" customFormat="1" x14ac:dyDescent="0.2"/>
    <row r="151" s="154" customFormat="1" x14ac:dyDescent="0.2"/>
    <row r="152" s="154" customFormat="1" x14ac:dyDescent="0.2"/>
    <row r="153" s="154" customFormat="1" x14ac:dyDescent="0.2"/>
    <row r="154" s="154" customFormat="1" x14ac:dyDescent="0.2"/>
    <row r="155" s="154" customFormat="1" x14ac:dyDescent="0.2"/>
    <row r="156" s="154" customFormat="1" x14ac:dyDescent="0.2"/>
    <row r="157" s="154" customFormat="1" x14ac:dyDescent="0.2"/>
    <row r="158" s="154" customFormat="1" x14ac:dyDescent="0.2"/>
    <row r="159" s="154" customFormat="1" x14ac:dyDescent="0.2"/>
    <row r="160" s="154" customFormat="1" x14ac:dyDescent="0.2"/>
    <row r="161" s="154" customFormat="1" x14ac:dyDescent="0.2"/>
    <row r="162" s="154" customFormat="1" x14ac:dyDescent="0.2"/>
    <row r="163" s="154" customFormat="1" x14ac:dyDescent="0.2"/>
    <row r="164" s="154" customFormat="1" x14ac:dyDescent="0.2"/>
    <row r="165" s="154" customFormat="1" x14ac:dyDescent="0.2"/>
    <row r="166" s="154" customFormat="1" x14ac:dyDescent="0.2"/>
    <row r="167" s="154" customFormat="1" x14ac:dyDescent="0.2"/>
    <row r="168" s="154" customFormat="1" x14ac:dyDescent="0.2"/>
    <row r="169" s="154" customFormat="1" x14ac:dyDescent="0.2"/>
    <row r="170" s="154" customFormat="1" x14ac:dyDescent="0.2"/>
    <row r="171" s="154" customFormat="1" x14ac:dyDescent="0.2"/>
    <row r="172" s="154" customFormat="1" x14ac:dyDescent="0.2"/>
    <row r="173" s="154" customFormat="1" x14ac:dyDescent="0.2"/>
    <row r="174" s="154" customFormat="1" x14ac:dyDescent="0.2"/>
    <row r="175" s="154" customFormat="1" x14ac:dyDescent="0.2"/>
    <row r="176" s="154" customFormat="1" x14ac:dyDescent="0.2"/>
    <row r="177" s="154" customFormat="1" x14ac:dyDescent="0.2"/>
    <row r="178" s="154" customFormat="1" x14ac:dyDescent="0.2"/>
    <row r="179" s="154" customFormat="1" x14ac:dyDescent="0.2"/>
    <row r="180" s="154" customFormat="1" x14ac:dyDescent="0.2"/>
    <row r="181" s="154" customFormat="1" x14ac:dyDescent="0.2"/>
    <row r="182" s="154" customFormat="1" x14ac:dyDescent="0.2"/>
    <row r="183" s="154" customFormat="1" x14ac:dyDescent="0.2"/>
    <row r="184" s="154" customFormat="1" x14ac:dyDescent="0.2"/>
    <row r="185" s="154" customFormat="1" x14ac:dyDescent="0.2"/>
    <row r="186" s="154" customFormat="1" x14ac:dyDescent="0.2"/>
    <row r="187" s="154" customFormat="1" x14ac:dyDescent="0.2"/>
    <row r="188" s="154" customFormat="1" x14ac:dyDescent="0.2"/>
    <row r="189" s="154" customFormat="1" x14ac:dyDescent="0.2"/>
    <row r="190" s="154" customFormat="1" x14ac:dyDescent="0.2"/>
    <row r="191" s="154" customFormat="1" x14ac:dyDescent="0.2"/>
    <row r="192" s="154" customFormat="1" x14ac:dyDescent="0.2"/>
    <row r="193" s="154" customFormat="1" x14ac:dyDescent="0.2"/>
    <row r="194" s="154" customFormat="1" x14ac:dyDescent="0.2"/>
    <row r="195" s="154" customFormat="1" x14ac:dyDescent="0.2"/>
    <row r="196" s="154" customFormat="1" x14ac:dyDescent="0.2"/>
    <row r="197" s="154" customFormat="1" x14ac:dyDescent="0.2"/>
    <row r="198" s="154" customFormat="1" x14ac:dyDescent="0.2"/>
    <row r="199" s="154" customFormat="1" x14ac:dyDescent="0.2"/>
    <row r="200" s="154" customFormat="1" x14ac:dyDescent="0.2"/>
    <row r="201" s="154" customFormat="1" x14ac:dyDescent="0.2"/>
    <row r="202" s="154" customFormat="1" x14ac:dyDescent="0.2"/>
    <row r="203" s="154" customFormat="1" x14ac:dyDescent="0.2"/>
    <row r="204" s="154" customFormat="1" x14ac:dyDescent="0.2"/>
    <row r="205" s="154" customFormat="1" x14ac:dyDescent="0.2"/>
    <row r="206" s="154" customFormat="1" x14ac:dyDescent="0.2"/>
    <row r="207" s="154" customFormat="1" x14ac:dyDescent="0.2"/>
    <row r="208" s="154" customFormat="1" x14ac:dyDescent="0.2"/>
    <row r="209" s="154" customFormat="1" x14ac:dyDescent="0.2"/>
    <row r="210" s="154" customFormat="1" x14ac:dyDescent="0.2"/>
    <row r="211" s="154" customFormat="1" x14ac:dyDescent="0.2"/>
    <row r="212" s="154" customFormat="1" x14ac:dyDescent="0.2"/>
    <row r="213" s="154" customFormat="1" x14ac:dyDescent="0.2"/>
    <row r="214" s="154" customFormat="1" x14ac:dyDescent="0.2"/>
    <row r="215" s="154" customFormat="1" x14ac:dyDescent="0.2"/>
    <row r="216" s="154" customFormat="1" x14ac:dyDescent="0.2"/>
    <row r="217" s="154" customFormat="1" x14ac:dyDescent="0.2"/>
    <row r="218" s="154" customFormat="1" x14ac:dyDescent="0.2"/>
    <row r="219" s="154" customFormat="1" x14ac:dyDescent="0.2"/>
    <row r="220" s="154" customFormat="1" x14ac:dyDescent="0.2"/>
    <row r="221" s="154" customFormat="1" x14ac:dyDescent="0.2"/>
    <row r="222" s="154" customFormat="1" x14ac:dyDescent="0.2"/>
    <row r="223" s="154" customFormat="1" x14ac:dyDescent="0.2"/>
    <row r="224" s="154" customFormat="1" x14ac:dyDescent="0.2"/>
    <row r="225" s="154" customFormat="1" x14ac:dyDescent="0.2"/>
    <row r="226" s="154" customFormat="1" x14ac:dyDescent="0.2"/>
    <row r="227" s="154" customFormat="1" x14ac:dyDescent="0.2"/>
    <row r="228" s="154" customFormat="1" x14ac:dyDescent="0.2"/>
    <row r="229" s="154" customFormat="1" x14ac:dyDescent="0.2"/>
    <row r="230" s="154" customFormat="1" x14ac:dyDescent="0.2"/>
    <row r="231" s="154" customFormat="1" x14ac:dyDescent="0.2"/>
    <row r="232" s="154" customFormat="1" x14ac:dyDescent="0.2"/>
    <row r="233" s="154" customFormat="1" x14ac:dyDescent="0.2"/>
    <row r="234" s="154" customFormat="1" x14ac:dyDescent="0.2"/>
    <row r="235" s="154" customFormat="1" x14ac:dyDescent="0.2"/>
    <row r="236" s="154" customFormat="1" x14ac:dyDescent="0.2"/>
    <row r="237" s="154" customFormat="1" x14ac:dyDescent="0.2"/>
    <row r="238" s="154" customFormat="1" x14ac:dyDescent="0.2"/>
    <row r="239" s="154" customFormat="1" x14ac:dyDescent="0.2"/>
    <row r="240" s="154" customFormat="1" x14ac:dyDescent="0.2"/>
    <row r="241" s="154" customFormat="1" x14ac:dyDescent="0.2"/>
    <row r="242" s="154" customFormat="1" x14ac:dyDescent="0.2"/>
    <row r="243" s="154" customFormat="1" x14ac:dyDescent="0.2"/>
    <row r="244" s="154" customFormat="1" x14ac:dyDescent="0.2"/>
    <row r="245" s="154" customFormat="1" x14ac:dyDescent="0.2"/>
    <row r="246" s="154" customFormat="1" x14ac:dyDescent="0.2"/>
    <row r="247" s="154" customFormat="1" x14ac:dyDescent="0.2"/>
    <row r="248" s="154" customFormat="1" x14ac:dyDescent="0.2"/>
    <row r="249" s="154" customFormat="1" x14ac:dyDescent="0.2"/>
    <row r="250" s="154" customFormat="1" x14ac:dyDescent="0.2"/>
    <row r="251" s="154" customFormat="1" x14ac:dyDescent="0.2"/>
    <row r="252" s="154" customFormat="1" x14ac:dyDescent="0.2"/>
    <row r="253" s="154" customFormat="1" x14ac:dyDescent="0.2"/>
    <row r="254" s="154" customFormat="1" x14ac:dyDescent="0.2"/>
    <row r="255" s="154" customFormat="1" x14ac:dyDescent="0.2"/>
    <row r="256" s="154" customFormat="1" x14ac:dyDescent="0.2"/>
    <row r="257" s="154" customFormat="1" x14ac:dyDescent="0.2"/>
    <row r="258" s="154" customFormat="1" x14ac:dyDescent="0.2"/>
    <row r="259" s="154" customFormat="1" x14ac:dyDescent="0.2"/>
    <row r="260" s="154" customFormat="1" x14ac:dyDescent="0.2"/>
    <row r="261" s="154" customFormat="1" x14ac:dyDescent="0.2"/>
    <row r="262" s="154" customFormat="1" x14ac:dyDescent="0.2"/>
    <row r="263" s="154" customFormat="1" x14ac:dyDescent="0.2"/>
    <row r="264" s="154" customFormat="1" x14ac:dyDescent="0.2"/>
    <row r="265" s="154" customFormat="1" x14ac:dyDescent="0.2"/>
    <row r="266" s="154" customFormat="1" x14ac:dyDescent="0.2"/>
    <row r="267" s="154" customFormat="1" x14ac:dyDescent="0.2"/>
    <row r="268" s="154" customFormat="1" x14ac:dyDescent="0.2"/>
    <row r="269" s="154" customFormat="1" x14ac:dyDescent="0.2"/>
    <row r="270" s="154" customFormat="1" x14ac:dyDescent="0.2"/>
    <row r="271" s="154" customFormat="1" x14ac:dyDescent="0.2"/>
    <row r="272" s="154" customFormat="1" x14ac:dyDescent="0.2"/>
    <row r="273" s="154" customFormat="1" x14ac:dyDescent="0.2"/>
    <row r="274" s="154" customFormat="1" x14ac:dyDescent="0.2"/>
    <row r="275" s="154" customFormat="1" x14ac:dyDescent="0.2"/>
    <row r="276" s="154" customFormat="1" x14ac:dyDescent="0.2"/>
    <row r="277" s="154" customFormat="1" x14ac:dyDescent="0.2"/>
    <row r="278" s="154" customFormat="1" x14ac:dyDescent="0.2"/>
    <row r="279" s="154" customFormat="1" x14ac:dyDescent="0.2"/>
    <row r="280" s="154" customFormat="1" x14ac:dyDescent="0.2"/>
    <row r="281" s="154" customFormat="1" x14ac:dyDescent="0.2"/>
    <row r="282" s="154" customFormat="1" x14ac:dyDescent="0.2"/>
    <row r="283" s="154" customFormat="1" x14ac:dyDescent="0.2"/>
    <row r="284" s="154" customFormat="1" x14ac:dyDescent="0.2"/>
    <row r="285" s="154" customFormat="1" x14ac:dyDescent="0.2"/>
    <row r="286" s="154" customFormat="1" x14ac:dyDescent="0.2"/>
    <row r="287" s="154" customFormat="1" x14ac:dyDescent="0.2"/>
    <row r="288" s="154" customFormat="1" x14ac:dyDescent="0.2"/>
    <row r="289" s="154" customFormat="1" x14ac:dyDescent="0.2"/>
    <row r="290" s="154" customFormat="1" x14ac:dyDescent="0.2"/>
    <row r="291" s="154" customFormat="1" x14ac:dyDescent="0.2"/>
    <row r="292" s="154" customFormat="1" x14ac:dyDescent="0.2"/>
    <row r="293" s="154" customFormat="1" x14ac:dyDescent="0.2"/>
    <row r="294" s="154" customFormat="1" x14ac:dyDescent="0.2"/>
    <row r="295" s="154" customFormat="1" x14ac:dyDescent="0.2"/>
    <row r="296" s="154" customFormat="1" x14ac:dyDescent="0.2"/>
    <row r="297" s="154" customFormat="1" x14ac:dyDescent="0.2"/>
    <row r="298" s="154" customFormat="1" x14ac:dyDescent="0.2"/>
    <row r="299" s="154" customFormat="1" x14ac:dyDescent="0.2"/>
    <row r="300" s="154" customFormat="1" x14ac:dyDescent="0.2"/>
    <row r="301" s="154" customFormat="1" x14ac:dyDescent="0.2"/>
    <row r="302" s="154" customFormat="1" x14ac:dyDescent="0.2"/>
    <row r="303" s="154" customFormat="1" x14ac:dyDescent="0.2"/>
    <row r="304" s="154" customFormat="1" x14ac:dyDescent="0.2"/>
    <row r="305" s="154" customFormat="1" x14ac:dyDescent="0.2"/>
    <row r="306" s="154" customFormat="1" x14ac:dyDescent="0.2"/>
    <row r="307" s="154" customFormat="1" x14ac:dyDescent="0.2"/>
    <row r="308" s="154" customFormat="1" x14ac:dyDescent="0.2"/>
    <row r="309" s="154" customFormat="1" x14ac:dyDescent="0.2"/>
    <row r="310" s="154" customFormat="1" x14ac:dyDescent="0.2"/>
    <row r="311" s="154" customFormat="1" x14ac:dyDescent="0.2"/>
    <row r="312" s="154" customFormat="1" x14ac:dyDescent="0.2"/>
    <row r="313" s="154" customFormat="1" x14ac:dyDescent="0.2"/>
    <row r="314" s="154" customFormat="1" x14ac:dyDescent="0.2"/>
    <row r="315" s="154" customFormat="1" x14ac:dyDescent="0.2"/>
    <row r="316" s="154" customFormat="1" x14ac:dyDescent="0.2"/>
    <row r="317" s="154" customFormat="1" x14ac:dyDescent="0.2"/>
    <row r="318" s="154" customFormat="1" x14ac:dyDescent="0.2"/>
    <row r="319" s="154" customFormat="1" x14ac:dyDescent="0.2"/>
    <row r="320" s="154" customFormat="1" x14ac:dyDescent="0.2"/>
    <row r="321" s="154" customFormat="1" x14ac:dyDescent="0.2"/>
    <row r="322" s="154" customFormat="1" x14ac:dyDescent="0.2"/>
    <row r="323" s="154" customFormat="1" x14ac:dyDescent="0.2"/>
    <row r="324" s="154" customFormat="1" x14ac:dyDescent="0.2"/>
    <row r="325" s="154" customFormat="1" x14ac:dyDescent="0.2"/>
    <row r="326" s="154" customFormat="1" x14ac:dyDescent="0.2"/>
    <row r="327" s="154" customFormat="1" x14ac:dyDescent="0.2"/>
    <row r="328" s="154" customFormat="1" x14ac:dyDescent="0.2"/>
    <row r="329" s="154" customFormat="1" x14ac:dyDescent="0.2"/>
    <row r="330" s="154" customFormat="1" x14ac:dyDescent="0.2"/>
    <row r="331" s="154" customFormat="1" x14ac:dyDescent="0.2"/>
    <row r="332" s="154" customFormat="1" x14ac:dyDescent="0.2"/>
    <row r="333" s="154" customFormat="1" x14ac:dyDescent="0.2"/>
    <row r="334" s="154" customFormat="1" x14ac:dyDescent="0.2"/>
    <row r="335" s="154" customFormat="1" x14ac:dyDescent="0.2"/>
    <row r="336" s="154" customFormat="1" x14ac:dyDescent="0.2"/>
    <row r="337" s="154" customFormat="1" x14ac:dyDescent="0.2"/>
    <row r="338" s="154" customFormat="1" x14ac:dyDescent="0.2"/>
    <row r="339" s="154" customFormat="1" x14ac:dyDescent="0.2"/>
    <row r="340" s="154" customFormat="1" x14ac:dyDescent="0.2"/>
    <row r="341" s="154" customFormat="1" x14ac:dyDescent="0.2"/>
    <row r="342" s="154" customFormat="1" x14ac:dyDescent="0.2"/>
    <row r="343" s="154" customFormat="1" x14ac:dyDescent="0.2"/>
    <row r="344" s="154" customFormat="1" x14ac:dyDescent="0.2"/>
    <row r="345" s="154" customFormat="1" x14ac:dyDescent="0.2"/>
    <row r="346" s="154" customFormat="1" x14ac:dyDescent="0.2"/>
    <row r="347" s="154" customFormat="1" x14ac:dyDescent="0.2"/>
    <row r="348" s="154" customFormat="1" x14ac:dyDescent="0.2"/>
    <row r="349" s="154" customFormat="1" x14ac:dyDescent="0.2"/>
    <row r="350" s="154" customFormat="1" x14ac:dyDescent="0.2"/>
    <row r="351" s="154" customFormat="1" x14ac:dyDescent="0.2"/>
    <row r="352" s="154" customFormat="1" x14ac:dyDescent="0.2"/>
    <row r="353" s="154" customFormat="1" x14ac:dyDescent="0.2"/>
    <row r="354" s="154" customFormat="1" x14ac:dyDescent="0.2"/>
    <row r="355" s="154" customFormat="1" x14ac:dyDescent="0.2"/>
    <row r="356" s="154" customFormat="1" x14ac:dyDescent="0.2"/>
    <row r="357" s="154" customFormat="1" x14ac:dyDescent="0.2"/>
    <row r="358" s="154" customFormat="1" x14ac:dyDescent="0.2"/>
    <row r="359" s="154" customFormat="1" x14ac:dyDescent="0.2"/>
    <row r="360" s="154" customFormat="1" x14ac:dyDescent="0.2"/>
    <row r="361" s="154" customFormat="1" x14ac:dyDescent="0.2"/>
    <row r="362" s="154" customFormat="1" x14ac:dyDescent="0.2"/>
    <row r="363" s="154" customFormat="1" x14ac:dyDescent="0.2"/>
    <row r="364" s="154" customFormat="1" x14ac:dyDescent="0.2"/>
    <row r="365" s="154" customFormat="1" x14ac:dyDescent="0.2"/>
    <row r="366" s="154" customFormat="1" x14ac:dyDescent="0.2"/>
    <row r="367" s="154" customFormat="1" x14ac:dyDescent="0.2"/>
    <row r="368" s="154" customFormat="1" x14ac:dyDescent="0.2"/>
    <row r="369" s="154" customFormat="1" x14ac:dyDescent="0.2"/>
    <row r="370" s="154" customFormat="1" x14ac:dyDescent="0.2"/>
    <row r="371" s="154" customFormat="1" x14ac:dyDescent="0.2"/>
    <row r="372" s="154" customFormat="1" x14ac:dyDescent="0.2"/>
    <row r="373" s="154" customFormat="1" x14ac:dyDescent="0.2"/>
    <row r="374" s="154" customFormat="1" x14ac:dyDescent="0.2"/>
    <row r="375" s="154" customFormat="1" x14ac:dyDescent="0.2"/>
    <row r="376" s="154" customFormat="1" x14ac:dyDescent="0.2"/>
    <row r="377" s="154" customFormat="1" x14ac:dyDescent="0.2"/>
    <row r="378" s="154" customFormat="1" x14ac:dyDescent="0.2"/>
    <row r="379" s="154" customFormat="1" x14ac:dyDescent="0.2"/>
    <row r="380" s="154" customFormat="1" x14ac:dyDescent="0.2"/>
    <row r="381" s="154" customFormat="1" x14ac:dyDescent="0.2"/>
    <row r="382" s="154" customFormat="1" x14ac:dyDescent="0.2"/>
    <row r="383" s="154" customFormat="1" x14ac:dyDescent="0.2"/>
    <row r="384" s="154" customFormat="1" x14ac:dyDescent="0.2"/>
    <row r="385" s="154" customFormat="1" x14ac:dyDescent="0.2"/>
    <row r="386" s="154" customFormat="1" x14ac:dyDescent="0.2"/>
    <row r="387" s="154" customFormat="1" x14ac:dyDescent="0.2"/>
    <row r="388" s="154" customFormat="1" x14ac:dyDescent="0.2"/>
    <row r="389" s="154" customFormat="1" x14ac:dyDescent="0.2"/>
    <row r="390" s="154" customFormat="1" x14ac:dyDescent="0.2"/>
    <row r="391" s="154" customFormat="1" x14ac:dyDescent="0.2"/>
    <row r="392" s="154" customFormat="1" x14ac:dyDescent="0.2"/>
    <row r="393" s="154" customFormat="1" x14ac:dyDescent="0.2"/>
    <row r="394" s="154" customFormat="1" x14ac:dyDescent="0.2"/>
    <row r="395" s="154" customFormat="1" x14ac:dyDescent="0.2"/>
    <row r="396" s="154" customFormat="1" x14ac:dyDescent="0.2"/>
    <row r="397" s="154" customFormat="1" x14ac:dyDescent="0.2"/>
    <row r="398" s="154" customFormat="1" x14ac:dyDescent="0.2"/>
    <row r="399" s="154" customFormat="1" x14ac:dyDescent="0.2"/>
    <row r="400" s="154" customFormat="1" x14ac:dyDescent="0.2"/>
    <row r="401" s="154" customFormat="1" x14ac:dyDescent="0.2"/>
    <row r="402" s="154" customFormat="1" x14ac:dyDescent="0.2"/>
    <row r="403" s="154" customFormat="1" x14ac:dyDescent="0.2"/>
    <row r="404" s="154" customFormat="1" x14ac:dyDescent="0.2"/>
    <row r="405" s="154" customFormat="1" x14ac:dyDescent="0.2"/>
    <row r="406" s="154" customFormat="1" x14ac:dyDescent="0.2"/>
    <row r="407" s="154" customFormat="1" x14ac:dyDescent="0.2"/>
    <row r="408" s="154" customFormat="1" x14ac:dyDescent="0.2"/>
    <row r="409" s="154" customFormat="1" x14ac:dyDescent="0.2"/>
    <row r="410" s="154" customFormat="1" x14ac:dyDescent="0.2"/>
    <row r="411" s="154" customFormat="1" x14ac:dyDescent="0.2"/>
    <row r="412" s="154" customFormat="1" x14ac:dyDescent="0.2"/>
    <row r="413" s="154" customFormat="1" x14ac:dyDescent="0.2"/>
    <row r="414" s="154" customFormat="1" x14ac:dyDescent="0.2"/>
    <row r="415" s="154" customFormat="1" x14ac:dyDescent="0.2"/>
    <row r="416" s="154" customFormat="1" x14ac:dyDescent="0.2"/>
    <row r="417" s="154" customFormat="1" x14ac:dyDescent="0.2"/>
    <row r="418" s="154" customFormat="1" x14ac:dyDescent="0.2"/>
    <row r="419" s="154" customFormat="1" x14ac:dyDescent="0.2"/>
    <row r="420" s="154" customFormat="1" x14ac:dyDescent="0.2"/>
    <row r="421" s="154" customFormat="1" x14ac:dyDescent="0.2"/>
    <row r="422" s="154" customFormat="1" x14ac:dyDescent="0.2"/>
    <row r="423" s="154" customFormat="1" x14ac:dyDescent="0.2"/>
    <row r="424" s="154" customFormat="1" x14ac:dyDescent="0.2"/>
    <row r="425" s="154" customFormat="1" x14ac:dyDescent="0.2"/>
    <row r="426" s="154" customFormat="1" x14ac:dyDescent="0.2"/>
    <row r="427" s="154" customFormat="1" x14ac:dyDescent="0.2"/>
    <row r="428" s="154" customFormat="1" x14ac:dyDescent="0.2"/>
    <row r="429" s="154" customFormat="1" x14ac:dyDescent="0.2"/>
    <row r="430" s="154" customFormat="1" x14ac:dyDescent="0.2"/>
    <row r="431" s="154" customFormat="1" x14ac:dyDescent="0.2"/>
    <row r="432" s="154" customFormat="1" x14ac:dyDescent="0.2"/>
    <row r="433" s="154" customFormat="1" x14ac:dyDescent="0.2"/>
    <row r="434" s="154" customFormat="1" x14ac:dyDescent="0.2"/>
    <row r="435" s="154" customFormat="1" x14ac:dyDescent="0.2"/>
    <row r="436" s="154" customFormat="1" x14ac:dyDescent="0.2"/>
    <row r="437" s="154" customFormat="1" x14ac:dyDescent="0.2"/>
    <row r="438" s="154" customFormat="1" x14ac:dyDescent="0.2"/>
    <row r="439" s="154" customFormat="1" x14ac:dyDescent="0.2"/>
    <row r="440" s="154" customFormat="1" x14ac:dyDescent="0.2"/>
    <row r="441" s="154" customFormat="1" x14ac:dyDescent="0.2"/>
    <row r="442" s="154" customFormat="1" x14ac:dyDescent="0.2"/>
    <row r="443" s="154" customFormat="1" x14ac:dyDescent="0.2"/>
    <row r="444" s="154" customFormat="1" x14ac:dyDescent="0.2"/>
    <row r="445" s="154" customFormat="1" x14ac:dyDescent="0.2"/>
    <row r="446" s="154" customFormat="1" x14ac:dyDescent="0.2"/>
    <row r="447" s="154" customFormat="1" x14ac:dyDescent="0.2"/>
    <row r="448" s="154" customFormat="1" x14ac:dyDescent="0.2"/>
    <row r="449" s="154" customFormat="1" x14ac:dyDescent="0.2"/>
    <row r="450" s="154" customFormat="1" x14ac:dyDescent="0.2"/>
    <row r="451" s="154" customFormat="1" x14ac:dyDescent="0.2"/>
    <row r="452" s="154" customFormat="1" x14ac:dyDescent="0.2"/>
    <row r="453" s="154" customFormat="1" x14ac:dyDescent="0.2"/>
    <row r="454" s="154" customFormat="1" x14ac:dyDescent="0.2"/>
    <row r="455" s="154" customFormat="1" x14ac:dyDescent="0.2"/>
    <row r="456" s="154" customFormat="1" x14ac:dyDescent="0.2"/>
    <row r="457" s="154" customFormat="1" x14ac:dyDescent="0.2"/>
    <row r="458" s="154" customFormat="1" x14ac:dyDescent="0.2"/>
    <row r="459" s="154" customFormat="1" x14ac:dyDescent="0.2"/>
    <row r="460" s="154" customFormat="1" x14ac:dyDescent="0.2"/>
    <row r="461" s="154" customFormat="1" x14ac:dyDescent="0.2"/>
    <row r="462" s="154" customFormat="1" x14ac:dyDescent="0.2"/>
    <row r="463" s="154" customFormat="1" x14ac:dyDescent="0.2"/>
    <row r="464" s="154" customFormat="1" x14ac:dyDescent="0.2"/>
    <row r="465" s="154" customFormat="1" x14ac:dyDescent="0.2"/>
    <row r="466" s="154" customFormat="1" x14ac:dyDescent="0.2"/>
    <row r="467" s="154" customFormat="1" x14ac:dyDescent="0.2"/>
    <row r="468" s="154" customFormat="1" x14ac:dyDescent="0.2"/>
    <row r="469" s="154" customFormat="1" x14ac:dyDescent="0.2"/>
    <row r="470" s="154" customFormat="1" x14ac:dyDescent="0.2"/>
    <row r="471" s="154" customFormat="1" x14ac:dyDescent="0.2"/>
    <row r="472" s="154" customFormat="1" x14ac:dyDescent="0.2"/>
    <row r="473" s="154" customFormat="1" x14ac:dyDescent="0.2"/>
    <row r="474" s="154" customFormat="1" x14ac:dyDescent="0.2"/>
    <row r="475" s="154" customFormat="1" x14ac:dyDescent="0.2"/>
    <row r="476" s="154" customFormat="1" x14ac:dyDescent="0.2"/>
    <row r="477" s="154" customFormat="1" x14ac:dyDescent="0.2"/>
    <row r="478" s="154" customFormat="1" x14ac:dyDescent="0.2"/>
    <row r="479" s="154" customFormat="1" x14ac:dyDescent="0.2"/>
    <row r="480" s="154" customFormat="1" x14ac:dyDescent="0.2"/>
    <row r="481" s="154" customFormat="1" x14ac:dyDescent="0.2"/>
    <row r="482" s="154" customFormat="1" x14ac:dyDescent="0.2"/>
    <row r="483" s="154" customFormat="1" x14ac:dyDescent="0.2"/>
    <row r="484" s="154" customFormat="1" x14ac:dyDescent="0.2"/>
    <row r="485" s="154" customFormat="1" x14ac:dyDescent="0.2"/>
    <row r="486" s="154" customFormat="1" x14ac:dyDescent="0.2"/>
    <row r="487" s="154" customFormat="1" x14ac:dyDescent="0.2"/>
    <row r="488" s="154" customFormat="1" x14ac:dyDescent="0.2"/>
    <row r="489" s="154" customFormat="1" x14ac:dyDescent="0.2"/>
    <row r="490" s="154" customFormat="1" x14ac:dyDescent="0.2"/>
    <row r="491" s="154" customFormat="1" x14ac:dyDescent="0.2"/>
    <row r="492" s="154" customFormat="1" x14ac:dyDescent="0.2"/>
    <row r="493" s="154" customFormat="1" x14ac:dyDescent="0.2"/>
    <row r="494" s="154" customFormat="1" x14ac:dyDescent="0.2"/>
    <row r="495" s="154" customFormat="1" x14ac:dyDescent="0.2"/>
    <row r="496" s="154" customFormat="1" x14ac:dyDescent="0.2"/>
    <row r="497" s="154" customFormat="1" x14ac:dyDescent="0.2"/>
    <row r="498" s="154" customFormat="1" x14ac:dyDescent="0.2"/>
    <row r="499" s="154" customFormat="1" x14ac:dyDescent="0.2"/>
    <row r="500" s="154" customFormat="1" x14ac:dyDescent="0.2"/>
    <row r="501" s="154" customFormat="1" x14ac:dyDescent="0.2"/>
    <row r="502" s="154" customFormat="1" x14ac:dyDescent="0.2"/>
    <row r="503" s="154" customFormat="1" x14ac:dyDescent="0.2"/>
    <row r="504" s="154" customFormat="1" x14ac:dyDescent="0.2"/>
    <row r="505" s="154" customFormat="1" x14ac:dyDescent="0.2"/>
    <row r="506" s="154" customFormat="1" x14ac:dyDescent="0.2"/>
    <row r="507" s="154" customFormat="1" x14ac:dyDescent="0.2"/>
    <row r="508" s="154" customFormat="1" x14ac:dyDescent="0.2"/>
    <row r="509" s="154" customFormat="1" x14ac:dyDescent="0.2"/>
    <row r="510" s="154" customFormat="1" x14ac:dyDescent="0.2"/>
    <row r="511" s="154" customFormat="1" x14ac:dyDescent="0.2"/>
    <row r="512" s="154" customFormat="1" x14ac:dyDescent="0.2"/>
    <row r="513" s="154" customFormat="1" x14ac:dyDescent="0.2"/>
    <row r="514" s="154" customFormat="1" x14ac:dyDescent="0.2"/>
    <row r="515" s="154" customFormat="1" x14ac:dyDescent="0.2"/>
    <row r="516" s="154" customFormat="1" x14ac:dyDescent="0.2"/>
    <row r="517" s="154" customFormat="1" x14ac:dyDescent="0.2"/>
    <row r="518" s="154" customFormat="1" x14ac:dyDescent="0.2"/>
    <row r="519" s="154" customFormat="1" x14ac:dyDescent="0.2"/>
    <row r="520" s="154" customFormat="1" x14ac:dyDescent="0.2"/>
    <row r="521" s="154" customFormat="1" x14ac:dyDescent="0.2"/>
    <row r="522" s="154" customFormat="1" x14ac:dyDescent="0.2"/>
    <row r="523" s="154" customFormat="1" x14ac:dyDescent="0.2"/>
    <row r="524" s="154" customFormat="1" x14ac:dyDescent="0.2"/>
    <row r="525" s="154" customFormat="1" x14ac:dyDescent="0.2"/>
    <row r="526" s="154" customFormat="1" x14ac:dyDescent="0.2"/>
    <row r="527" s="154" customFormat="1" x14ac:dyDescent="0.2"/>
    <row r="528" s="154" customFormat="1" x14ac:dyDescent="0.2"/>
    <row r="529" s="154" customFormat="1" x14ac:dyDescent="0.2"/>
    <row r="530" s="154" customFormat="1" x14ac:dyDescent="0.2"/>
    <row r="531" s="154" customFormat="1" x14ac:dyDescent="0.2"/>
    <row r="532" s="154" customFormat="1" x14ac:dyDescent="0.2"/>
    <row r="533" s="154" customFormat="1" x14ac:dyDescent="0.2"/>
    <row r="534" s="154" customFormat="1" x14ac:dyDescent="0.2"/>
    <row r="535" s="154" customFormat="1" x14ac:dyDescent="0.2"/>
    <row r="536" s="154" customFormat="1" x14ac:dyDescent="0.2"/>
    <row r="537" s="154" customFormat="1" x14ac:dyDescent="0.2"/>
    <row r="538" s="154" customFormat="1" x14ac:dyDescent="0.2"/>
    <row r="539" s="154" customFormat="1" x14ac:dyDescent="0.2"/>
    <row r="540" s="154" customFormat="1" x14ac:dyDescent="0.2"/>
    <row r="541" s="154" customFormat="1" x14ac:dyDescent="0.2"/>
    <row r="542" s="154" customFormat="1" x14ac:dyDescent="0.2"/>
    <row r="543" s="154" customFormat="1" x14ac:dyDescent="0.2"/>
    <row r="544" s="154" customFormat="1" x14ac:dyDescent="0.2"/>
    <row r="545" s="154" customFormat="1" x14ac:dyDescent="0.2"/>
    <row r="546" s="154" customFormat="1" x14ac:dyDescent="0.2"/>
    <row r="547" s="154" customFormat="1" x14ac:dyDescent="0.2"/>
    <row r="548" s="154" customFormat="1" x14ac:dyDescent="0.2"/>
    <row r="549" s="154" customFormat="1" x14ac:dyDescent="0.2"/>
    <row r="550" s="154" customFormat="1" x14ac:dyDescent="0.2"/>
    <row r="551" s="154" customFormat="1" x14ac:dyDescent="0.2"/>
    <row r="552" s="154" customFormat="1" x14ac:dyDescent="0.2"/>
    <row r="553" s="154" customFormat="1" x14ac:dyDescent="0.2"/>
    <row r="554" s="154" customFormat="1" x14ac:dyDescent="0.2"/>
    <row r="555" s="154" customFormat="1" x14ac:dyDescent="0.2"/>
    <row r="556" s="154" customFormat="1" x14ac:dyDescent="0.2"/>
    <row r="557" s="154" customFormat="1" x14ac:dyDescent="0.2"/>
    <row r="558" s="154" customFormat="1" x14ac:dyDescent="0.2"/>
    <row r="559" s="154" customFormat="1" x14ac:dyDescent="0.2"/>
    <row r="560" s="154" customFormat="1" x14ac:dyDescent="0.2"/>
    <row r="561" s="154" customFormat="1" x14ac:dyDescent="0.2"/>
    <row r="562" s="154" customFormat="1" x14ac:dyDescent="0.2"/>
    <row r="563" s="154" customFormat="1" x14ac:dyDescent="0.2"/>
    <row r="564" s="154" customFormat="1" x14ac:dyDescent="0.2"/>
    <row r="565" s="154" customFormat="1" x14ac:dyDescent="0.2"/>
    <row r="566" s="154" customFormat="1" x14ac:dyDescent="0.2"/>
    <row r="567" s="154" customFormat="1" x14ac:dyDescent="0.2"/>
    <row r="568" s="154" customFormat="1" x14ac:dyDescent="0.2"/>
    <row r="569" s="154" customFormat="1" x14ac:dyDescent="0.2"/>
    <row r="570" s="154" customFormat="1" x14ac:dyDescent="0.2"/>
    <row r="571" s="154" customFormat="1" x14ac:dyDescent="0.2"/>
    <row r="572" s="154" customFormat="1" x14ac:dyDescent="0.2"/>
    <row r="573" s="154" customFormat="1" x14ac:dyDescent="0.2"/>
    <row r="574" s="154" customFormat="1" x14ac:dyDescent="0.2"/>
    <row r="575" s="154" customFormat="1" x14ac:dyDescent="0.2"/>
    <row r="576" s="154" customFormat="1" x14ac:dyDescent="0.2"/>
    <row r="577" s="154" customFormat="1" x14ac:dyDescent="0.2"/>
    <row r="578" s="154" customFormat="1" x14ac:dyDescent="0.2"/>
    <row r="579" s="154" customFormat="1" x14ac:dyDescent="0.2"/>
    <row r="580" s="154" customFormat="1" x14ac:dyDescent="0.2"/>
    <row r="581" s="154" customFormat="1" x14ac:dyDescent="0.2"/>
    <row r="582" s="154" customFormat="1" x14ac:dyDescent="0.2"/>
    <row r="583" s="154" customFormat="1" x14ac:dyDescent="0.2"/>
    <row r="584" s="154" customFormat="1" x14ac:dyDescent="0.2"/>
    <row r="585" s="154" customFormat="1" x14ac:dyDescent="0.2"/>
    <row r="586" s="154" customFormat="1" x14ac:dyDescent="0.2"/>
    <row r="587" s="154" customFormat="1" x14ac:dyDescent="0.2"/>
    <row r="588" s="154" customFormat="1" x14ac:dyDescent="0.2"/>
    <row r="589" s="154" customFormat="1" x14ac:dyDescent="0.2"/>
    <row r="590" s="154" customFormat="1" x14ac:dyDescent="0.2"/>
    <row r="591" s="154" customFormat="1" x14ac:dyDescent="0.2"/>
    <row r="592" s="154" customFormat="1" x14ac:dyDescent="0.2"/>
    <row r="593" s="154" customFormat="1" x14ac:dyDescent="0.2"/>
    <row r="594" s="154" customFormat="1" x14ac:dyDescent="0.2"/>
    <row r="595" s="154" customFormat="1" x14ac:dyDescent="0.2"/>
    <row r="596" s="154" customFormat="1" x14ac:dyDescent="0.2"/>
    <row r="597" s="154" customFormat="1" x14ac:dyDescent="0.2"/>
    <row r="598" s="154" customFormat="1" x14ac:dyDescent="0.2"/>
    <row r="599" s="154" customFormat="1" x14ac:dyDescent="0.2"/>
    <row r="600" s="154" customFormat="1" x14ac:dyDescent="0.2"/>
    <row r="601" s="154" customFormat="1" x14ac:dyDescent="0.2"/>
    <row r="602" s="154" customFormat="1" x14ac:dyDescent="0.2"/>
    <row r="603" s="154" customFormat="1" x14ac:dyDescent="0.2"/>
    <row r="604" s="154" customFormat="1" x14ac:dyDescent="0.2"/>
    <row r="605" s="154" customFormat="1" x14ac:dyDescent="0.2"/>
    <row r="606" s="154" customFormat="1" x14ac:dyDescent="0.2"/>
    <row r="607" s="154" customFormat="1" x14ac:dyDescent="0.2"/>
    <row r="608" s="154" customFormat="1" x14ac:dyDescent="0.2"/>
    <row r="609" s="154" customFormat="1" x14ac:dyDescent="0.2"/>
    <row r="610" s="154" customFormat="1" x14ac:dyDescent="0.2"/>
    <row r="611" s="154" customFormat="1" x14ac:dyDescent="0.2"/>
    <row r="612" s="154" customFormat="1" x14ac:dyDescent="0.2"/>
    <row r="613" s="154" customFormat="1" x14ac:dyDescent="0.2"/>
    <row r="614" s="154" customFormat="1" x14ac:dyDescent="0.2"/>
    <row r="615" s="154" customFormat="1" x14ac:dyDescent="0.2"/>
    <row r="616" s="154" customFormat="1" x14ac:dyDescent="0.2"/>
    <row r="617" s="154" customFormat="1" x14ac:dyDescent="0.2"/>
    <row r="618" s="154" customFormat="1" x14ac:dyDescent="0.2"/>
    <row r="619" s="154" customFormat="1" x14ac:dyDescent="0.2"/>
    <row r="620" s="154" customFormat="1" x14ac:dyDescent="0.2"/>
    <row r="621" s="154" customFormat="1" x14ac:dyDescent="0.2"/>
    <row r="622" s="154" customFormat="1" x14ac:dyDescent="0.2"/>
    <row r="623" s="154" customFormat="1" x14ac:dyDescent="0.2"/>
    <row r="624" s="154" customFormat="1" x14ac:dyDescent="0.2"/>
    <row r="625" s="154" customFormat="1" x14ac:dyDescent="0.2"/>
    <row r="626" s="154" customFormat="1" x14ac:dyDescent="0.2"/>
    <row r="627" s="154" customFormat="1" x14ac:dyDescent="0.2"/>
    <row r="628" s="154" customFormat="1" x14ac:dyDescent="0.2"/>
    <row r="629" s="154" customFormat="1" x14ac:dyDescent="0.2"/>
    <row r="630" s="154" customFormat="1" x14ac:dyDescent="0.2"/>
    <row r="631" s="154" customFormat="1" x14ac:dyDescent="0.2"/>
    <row r="632" s="154" customFormat="1" x14ac:dyDescent="0.2"/>
    <row r="633" s="154" customFormat="1" x14ac:dyDescent="0.2"/>
    <row r="634" s="154" customFormat="1" x14ac:dyDescent="0.2"/>
    <row r="635" s="154" customFormat="1" x14ac:dyDescent="0.2"/>
    <row r="636" s="154" customFormat="1" x14ac:dyDescent="0.2"/>
    <row r="637" s="154" customFormat="1" x14ac:dyDescent="0.2"/>
    <row r="638" s="154" customFormat="1" x14ac:dyDescent="0.2"/>
    <row r="639" s="154" customFormat="1" x14ac:dyDescent="0.2"/>
    <row r="640" s="154" customFormat="1" x14ac:dyDescent="0.2"/>
    <row r="641" s="154" customFormat="1" x14ac:dyDescent="0.2"/>
    <row r="642" s="154" customFormat="1" x14ac:dyDescent="0.2"/>
    <row r="643" s="154" customFormat="1" x14ac:dyDescent="0.2"/>
    <row r="644" s="154" customFormat="1" x14ac:dyDescent="0.2"/>
    <row r="645" s="154" customFormat="1" x14ac:dyDescent="0.2"/>
    <row r="646" s="154" customFormat="1" x14ac:dyDescent="0.2"/>
    <row r="647" s="154" customFormat="1" x14ac:dyDescent="0.2"/>
    <row r="648" s="154" customFormat="1" x14ac:dyDescent="0.2"/>
    <row r="649" s="154" customFormat="1" x14ac:dyDescent="0.2"/>
    <row r="650" s="154" customFormat="1" x14ac:dyDescent="0.2"/>
    <row r="651" s="154" customFormat="1" x14ac:dyDescent="0.2"/>
    <row r="652" s="154" customFormat="1" x14ac:dyDescent="0.2"/>
    <row r="653" s="154" customFormat="1" x14ac:dyDescent="0.2"/>
    <row r="654" s="154" customFormat="1" x14ac:dyDescent="0.2"/>
    <row r="655" s="154" customFormat="1" x14ac:dyDescent="0.2"/>
    <row r="656" s="154" customFormat="1" x14ac:dyDescent="0.2"/>
    <row r="657" s="154" customFormat="1" x14ac:dyDescent="0.2"/>
    <row r="658" s="154" customFormat="1" x14ac:dyDescent="0.2"/>
    <row r="659" s="154" customFormat="1" x14ac:dyDescent="0.2"/>
    <row r="660" s="154" customFormat="1" x14ac:dyDescent="0.2"/>
    <row r="661" s="154" customFormat="1" x14ac:dyDescent="0.2"/>
    <row r="662" s="154" customFormat="1" x14ac:dyDescent="0.2"/>
    <row r="663" s="154" customFormat="1" x14ac:dyDescent="0.2"/>
    <row r="664" s="154" customFormat="1" x14ac:dyDescent="0.2"/>
    <row r="665" s="154" customFormat="1" x14ac:dyDescent="0.2"/>
    <row r="666" s="154" customFormat="1" x14ac:dyDescent="0.2"/>
    <row r="667" s="154" customFormat="1" x14ac:dyDescent="0.2"/>
    <row r="668" s="154" customFormat="1" x14ac:dyDescent="0.2"/>
    <row r="669" s="154" customFormat="1" x14ac:dyDescent="0.2"/>
    <row r="670" s="154" customFormat="1" x14ac:dyDescent="0.2"/>
    <row r="671" s="154" customFormat="1" x14ac:dyDescent="0.2"/>
    <row r="672" s="154" customFormat="1" x14ac:dyDescent="0.2"/>
    <row r="673" s="154" customFormat="1" x14ac:dyDescent="0.2"/>
    <row r="674" s="154" customFormat="1" x14ac:dyDescent="0.2"/>
    <row r="675" s="154" customFormat="1" x14ac:dyDescent="0.2"/>
    <row r="676" s="154" customFormat="1" x14ac:dyDescent="0.2"/>
    <row r="677" s="154" customFormat="1" x14ac:dyDescent="0.2"/>
    <row r="678" s="154" customFormat="1" x14ac:dyDescent="0.2"/>
    <row r="679" s="154" customFormat="1" x14ac:dyDescent="0.2"/>
    <row r="680" s="154" customFormat="1" x14ac:dyDescent="0.2"/>
    <row r="681" s="154" customFormat="1" x14ac:dyDescent="0.2"/>
    <row r="682" s="154" customFormat="1" x14ac:dyDescent="0.2"/>
    <row r="683" s="154" customFormat="1" x14ac:dyDescent="0.2"/>
    <row r="684" s="154" customFormat="1" x14ac:dyDescent="0.2"/>
    <row r="685" s="154" customFormat="1" x14ac:dyDescent="0.2"/>
    <row r="686" s="154" customFormat="1" x14ac:dyDescent="0.2"/>
    <row r="687" s="154" customFormat="1" x14ac:dyDescent="0.2"/>
    <row r="688" s="154" customFormat="1" x14ac:dyDescent="0.2"/>
    <row r="689" s="154" customFormat="1" x14ac:dyDescent="0.2"/>
    <row r="690" s="154" customFormat="1" x14ac:dyDescent="0.2"/>
    <row r="691" s="154" customFormat="1" x14ac:dyDescent="0.2"/>
    <row r="692" s="154" customFormat="1" x14ac:dyDescent="0.2"/>
    <row r="693" s="154" customFormat="1" x14ac:dyDescent="0.2"/>
    <row r="694" s="154" customFormat="1" x14ac:dyDescent="0.2"/>
    <row r="695" s="154" customFormat="1" x14ac:dyDescent="0.2"/>
    <row r="696" s="154" customFormat="1" x14ac:dyDescent="0.2"/>
    <row r="697" s="154" customFormat="1" x14ac:dyDescent="0.2"/>
    <row r="698" s="154" customFormat="1" x14ac:dyDescent="0.2"/>
    <row r="699" s="154" customFormat="1" x14ac:dyDescent="0.2"/>
    <row r="700" s="154" customFormat="1" x14ac:dyDescent="0.2"/>
    <row r="701" s="154" customFormat="1" x14ac:dyDescent="0.2"/>
    <row r="702" s="154" customFormat="1" x14ac:dyDescent="0.2"/>
    <row r="703" s="154" customFormat="1" x14ac:dyDescent="0.2"/>
    <row r="704" s="154" customFormat="1" x14ac:dyDescent="0.2"/>
    <row r="705" s="154" customFormat="1" x14ac:dyDescent="0.2"/>
    <row r="706" s="154" customFormat="1" x14ac:dyDescent="0.2"/>
    <row r="707" s="154" customFormat="1" x14ac:dyDescent="0.2"/>
    <row r="708" s="154" customFormat="1" x14ac:dyDescent="0.2"/>
    <row r="709" s="154" customFormat="1" x14ac:dyDescent="0.2"/>
    <row r="710" s="154" customFormat="1" x14ac:dyDescent="0.2"/>
    <row r="711" s="154" customFormat="1" x14ac:dyDescent="0.2"/>
    <row r="712" s="154" customFormat="1" x14ac:dyDescent="0.2"/>
    <row r="713" s="154" customFormat="1" x14ac:dyDescent="0.2"/>
    <row r="714" s="154" customFormat="1" x14ac:dyDescent="0.2"/>
    <row r="715" s="154" customFormat="1" x14ac:dyDescent="0.2"/>
    <row r="716" s="154" customFormat="1" x14ac:dyDescent="0.2"/>
    <row r="717" s="154" customFormat="1" x14ac:dyDescent="0.2"/>
    <row r="718" s="154" customFormat="1" x14ac:dyDescent="0.2"/>
    <row r="719" s="154" customFormat="1" x14ac:dyDescent="0.2"/>
    <row r="720" s="154" customFormat="1" x14ac:dyDescent="0.2"/>
    <row r="721" s="154" customFormat="1" x14ac:dyDescent="0.2"/>
    <row r="722" s="154" customFormat="1" x14ac:dyDescent="0.2"/>
    <row r="723" s="154" customFormat="1" x14ac:dyDescent="0.2"/>
    <row r="724" s="154" customFormat="1" x14ac:dyDescent="0.2"/>
    <row r="725" s="154" customFormat="1" x14ac:dyDescent="0.2"/>
    <row r="726" s="154" customFormat="1" x14ac:dyDescent="0.2"/>
    <row r="727" s="154" customFormat="1" x14ac:dyDescent="0.2"/>
    <row r="728" s="154" customFormat="1" x14ac:dyDescent="0.2"/>
    <row r="729" s="154" customFormat="1" x14ac:dyDescent="0.2"/>
    <row r="730" s="154" customFormat="1" x14ac:dyDescent="0.2"/>
    <row r="731" s="154" customFormat="1" x14ac:dyDescent="0.2"/>
    <row r="732" s="154" customFormat="1" x14ac:dyDescent="0.2"/>
    <row r="733" s="154" customFormat="1" x14ac:dyDescent="0.2"/>
    <row r="734" s="154" customFormat="1" x14ac:dyDescent="0.2"/>
    <row r="735" s="154" customFormat="1" x14ac:dyDescent="0.2"/>
    <row r="736" s="154" customFormat="1" x14ac:dyDescent="0.2"/>
    <row r="737" s="154" customFormat="1" x14ac:dyDescent="0.2"/>
    <row r="738" s="154" customFormat="1" x14ac:dyDescent="0.2"/>
    <row r="739" s="154" customFormat="1" x14ac:dyDescent="0.2"/>
    <row r="740" s="154" customFormat="1" x14ac:dyDescent="0.2"/>
    <row r="741" s="154" customFormat="1" x14ac:dyDescent="0.2"/>
    <row r="742" s="154" customFormat="1" x14ac:dyDescent="0.2"/>
    <row r="743" s="154" customFormat="1" x14ac:dyDescent="0.2"/>
    <row r="744" s="154" customFormat="1" x14ac:dyDescent="0.2"/>
    <row r="745" s="154" customFormat="1" x14ac:dyDescent="0.2"/>
    <row r="746" s="154" customFormat="1" x14ac:dyDescent="0.2"/>
    <row r="747" s="154" customFormat="1" x14ac:dyDescent="0.2"/>
    <row r="748" s="154" customFormat="1" x14ac:dyDescent="0.2"/>
    <row r="749" s="154" customFormat="1" x14ac:dyDescent="0.2"/>
    <row r="750" s="154" customFormat="1" x14ac:dyDescent="0.2"/>
    <row r="751" s="154" customFormat="1" x14ac:dyDescent="0.2"/>
    <row r="752" s="154" customFormat="1" x14ac:dyDescent="0.2"/>
    <row r="753" s="154" customFormat="1" x14ac:dyDescent="0.2"/>
    <row r="754" s="154" customFormat="1" x14ac:dyDescent="0.2"/>
    <row r="755" s="154" customFormat="1" x14ac:dyDescent="0.2"/>
    <row r="756" s="154" customFormat="1" x14ac:dyDescent="0.2"/>
    <row r="757" s="154" customFormat="1" x14ac:dyDescent="0.2"/>
    <row r="758" s="154" customFormat="1" x14ac:dyDescent="0.2"/>
    <row r="759" s="154" customFormat="1" x14ac:dyDescent="0.2"/>
    <row r="760" s="154" customFormat="1" x14ac:dyDescent="0.2"/>
    <row r="761" s="154" customFormat="1" x14ac:dyDescent="0.2"/>
    <row r="762" s="154" customFormat="1" x14ac:dyDescent="0.2"/>
    <row r="763" s="154" customFormat="1" x14ac:dyDescent="0.2"/>
    <row r="764" s="154" customFormat="1" x14ac:dyDescent="0.2"/>
    <row r="765" s="154" customFormat="1" x14ac:dyDescent="0.2"/>
    <row r="766" s="154" customFormat="1" x14ac:dyDescent="0.2"/>
    <row r="767" s="154" customFormat="1" x14ac:dyDescent="0.2"/>
    <row r="768" s="154" customFormat="1" x14ac:dyDescent="0.2"/>
    <row r="769" s="154" customFormat="1" x14ac:dyDescent="0.2"/>
    <row r="770" s="154" customFormat="1" x14ac:dyDescent="0.2"/>
    <row r="771" s="154" customFormat="1" x14ac:dyDescent="0.2"/>
    <row r="772" s="154" customFormat="1" x14ac:dyDescent="0.2"/>
    <row r="773" s="154" customFormat="1" x14ac:dyDescent="0.2"/>
    <row r="774" s="154" customFormat="1" x14ac:dyDescent="0.2"/>
    <row r="775" s="154" customFormat="1" x14ac:dyDescent="0.2"/>
    <row r="776" s="154" customFormat="1" x14ac:dyDescent="0.2"/>
    <row r="777" s="154" customFormat="1" x14ac:dyDescent="0.2"/>
    <row r="778" s="154" customFormat="1" x14ac:dyDescent="0.2"/>
    <row r="779" s="154" customFormat="1" x14ac:dyDescent="0.2"/>
    <row r="780" s="154" customFormat="1" x14ac:dyDescent="0.2"/>
    <row r="781" s="154" customFormat="1" x14ac:dyDescent="0.2"/>
    <row r="782" s="154" customFormat="1" x14ac:dyDescent="0.2"/>
    <row r="783" s="154" customFormat="1" x14ac:dyDescent="0.2"/>
    <row r="784" s="154" customFormat="1" x14ac:dyDescent="0.2"/>
    <row r="785" s="154" customFormat="1" x14ac:dyDescent="0.2"/>
    <row r="786" s="154" customFormat="1" x14ac:dyDescent="0.2"/>
    <row r="787" s="154" customFormat="1" x14ac:dyDescent="0.2"/>
    <row r="788" s="154" customFormat="1" x14ac:dyDescent="0.2"/>
    <row r="789" s="154" customFormat="1" x14ac:dyDescent="0.2"/>
    <row r="790" s="154" customFormat="1" x14ac:dyDescent="0.2"/>
    <row r="791" s="154" customFormat="1" x14ac:dyDescent="0.2"/>
    <row r="792" s="154" customFormat="1" x14ac:dyDescent="0.2"/>
    <row r="793" s="154" customFormat="1" x14ac:dyDescent="0.2"/>
    <row r="794" s="154" customFormat="1" x14ac:dyDescent="0.2"/>
    <row r="795" s="154" customFormat="1" x14ac:dyDescent="0.2"/>
    <row r="796" s="154" customFormat="1" x14ac:dyDescent="0.2"/>
    <row r="797" s="154" customFormat="1" x14ac:dyDescent="0.2"/>
    <row r="798" s="154" customFormat="1" x14ac:dyDescent="0.2"/>
    <row r="799" s="154" customFormat="1" x14ac:dyDescent="0.2"/>
    <row r="800" s="154" customFormat="1" x14ac:dyDescent="0.2"/>
    <row r="801" s="154" customFormat="1" x14ac:dyDescent="0.2"/>
    <row r="802" s="154" customFormat="1" x14ac:dyDescent="0.2"/>
    <row r="803" s="154" customFormat="1" x14ac:dyDescent="0.2"/>
    <row r="804" s="154" customFormat="1" x14ac:dyDescent="0.2"/>
    <row r="805" s="154" customFormat="1" x14ac:dyDescent="0.2"/>
    <row r="806" s="154" customFormat="1" x14ac:dyDescent="0.2"/>
    <row r="807" s="154" customFormat="1" x14ac:dyDescent="0.2"/>
    <row r="808" s="154" customFormat="1" x14ac:dyDescent="0.2"/>
    <row r="809" s="154" customFormat="1" x14ac:dyDescent="0.2"/>
    <row r="810" s="154" customFormat="1" x14ac:dyDescent="0.2"/>
    <row r="811" s="154" customFormat="1" x14ac:dyDescent="0.2"/>
    <row r="812" s="154" customFormat="1" x14ac:dyDescent="0.2"/>
    <row r="813" s="154" customFormat="1" x14ac:dyDescent="0.2"/>
    <row r="814" s="154" customFormat="1" x14ac:dyDescent="0.2"/>
    <row r="815" s="154" customFormat="1" x14ac:dyDescent="0.2"/>
    <row r="816" s="154" customFormat="1" x14ac:dyDescent="0.2"/>
    <row r="817" s="154" customFormat="1" x14ac:dyDescent="0.2"/>
    <row r="818" s="154" customFormat="1" x14ac:dyDescent="0.2"/>
    <row r="819" s="154" customFormat="1" x14ac:dyDescent="0.2"/>
    <row r="820" s="154" customFormat="1" x14ac:dyDescent="0.2"/>
    <row r="821" s="154" customFormat="1" x14ac:dyDescent="0.2"/>
    <row r="822" s="154" customFormat="1" x14ac:dyDescent="0.2"/>
    <row r="823" s="154" customFormat="1" x14ac:dyDescent="0.2"/>
    <row r="824" s="154" customFormat="1" x14ac:dyDescent="0.2"/>
    <row r="825" s="154" customFormat="1" x14ac:dyDescent="0.2"/>
    <row r="826" s="154" customFormat="1" x14ac:dyDescent="0.2"/>
    <row r="827" s="154" customFormat="1" x14ac:dyDescent="0.2"/>
    <row r="828" s="154" customFormat="1" x14ac:dyDescent="0.2"/>
    <row r="829" s="154" customFormat="1" x14ac:dyDescent="0.2"/>
    <row r="830" s="154" customFormat="1" x14ac:dyDescent="0.2"/>
    <row r="831" s="154" customFormat="1" x14ac:dyDescent="0.2"/>
    <row r="832" s="154" customFormat="1" x14ac:dyDescent="0.2"/>
    <row r="833" s="154" customFormat="1" x14ac:dyDescent="0.2"/>
    <row r="834" s="154" customFormat="1" x14ac:dyDescent="0.2"/>
    <row r="835" s="154" customFormat="1" x14ac:dyDescent="0.2"/>
    <row r="836" s="154" customFormat="1" x14ac:dyDescent="0.2"/>
    <row r="837" s="154" customFormat="1" x14ac:dyDescent="0.2"/>
    <row r="838" s="154" customFormat="1" x14ac:dyDescent="0.2"/>
    <row r="839" s="154" customFormat="1" x14ac:dyDescent="0.2"/>
    <row r="840" s="154" customFormat="1" x14ac:dyDescent="0.2"/>
    <row r="841" s="154" customFormat="1" x14ac:dyDescent="0.2"/>
    <row r="842" s="154" customFormat="1" x14ac:dyDescent="0.2"/>
    <row r="843" s="154" customFormat="1" x14ac:dyDescent="0.2"/>
    <row r="844" s="154" customFormat="1" x14ac:dyDescent="0.2"/>
    <row r="845" s="154" customFormat="1" x14ac:dyDescent="0.2"/>
    <row r="846" s="154" customFormat="1" x14ac:dyDescent="0.2"/>
    <row r="847" s="154" customFormat="1" x14ac:dyDescent="0.2"/>
    <row r="848" s="154" customFormat="1" x14ac:dyDescent="0.2"/>
    <row r="849" s="154" customFormat="1" x14ac:dyDescent="0.2"/>
    <row r="850" s="154" customFormat="1" x14ac:dyDescent="0.2"/>
    <row r="851" s="154" customFormat="1" x14ac:dyDescent="0.2"/>
    <row r="852" s="154" customFormat="1" x14ac:dyDescent="0.2"/>
    <row r="853" s="154" customFormat="1" x14ac:dyDescent="0.2"/>
    <row r="854" s="154" customFormat="1" x14ac:dyDescent="0.2"/>
    <row r="855" s="154" customFormat="1" x14ac:dyDescent="0.2"/>
    <row r="856" s="154" customFormat="1" x14ac:dyDescent="0.2"/>
    <row r="857" s="154" customFormat="1" x14ac:dyDescent="0.2"/>
    <row r="858" s="154" customFormat="1" x14ac:dyDescent="0.2"/>
    <row r="859" s="154" customFormat="1" x14ac:dyDescent="0.2"/>
    <row r="860" s="154" customFormat="1" x14ac:dyDescent="0.2"/>
    <row r="861" s="154" customFormat="1" x14ac:dyDescent="0.2"/>
    <row r="862" s="154" customFormat="1" x14ac:dyDescent="0.2"/>
    <row r="863" s="154" customFormat="1" x14ac:dyDescent="0.2"/>
    <row r="864" s="154" customFormat="1" x14ac:dyDescent="0.2"/>
    <row r="865" s="154" customFormat="1" x14ac:dyDescent="0.2"/>
    <row r="866" s="154" customFormat="1" x14ac:dyDescent="0.2"/>
    <row r="867" s="154" customFormat="1" x14ac:dyDescent="0.2"/>
    <row r="868" s="154" customFormat="1" x14ac:dyDescent="0.2"/>
    <row r="869" s="154" customFormat="1" x14ac:dyDescent="0.2"/>
    <row r="870" s="154" customFormat="1" x14ac:dyDescent="0.2"/>
    <row r="871" s="154" customFormat="1" x14ac:dyDescent="0.2"/>
    <row r="872" s="154" customFormat="1" x14ac:dyDescent="0.2"/>
    <row r="873" s="154" customFormat="1" x14ac:dyDescent="0.2"/>
    <row r="874" s="154" customFormat="1" x14ac:dyDescent="0.2"/>
    <row r="875" s="154" customFormat="1" x14ac:dyDescent="0.2"/>
    <row r="876" s="154" customFormat="1" x14ac:dyDescent="0.2"/>
    <row r="877" s="154" customFormat="1" x14ac:dyDescent="0.2"/>
    <row r="878" s="154" customFormat="1" x14ac:dyDescent="0.2"/>
    <row r="879" s="154" customFormat="1" x14ac:dyDescent="0.2"/>
    <row r="880" s="154" customFormat="1" x14ac:dyDescent="0.2"/>
    <row r="881" s="154" customFormat="1" x14ac:dyDescent="0.2"/>
    <row r="882" s="154" customFormat="1" x14ac:dyDescent="0.2"/>
    <row r="883" s="154" customFormat="1" x14ac:dyDescent="0.2"/>
    <row r="884" s="154" customFormat="1" x14ac:dyDescent="0.2"/>
    <row r="885" s="154" customFormat="1" x14ac:dyDescent="0.2"/>
    <row r="886" s="154" customFormat="1" x14ac:dyDescent="0.2"/>
    <row r="887" s="154" customFormat="1" x14ac:dyDescent="0.2"/>
    <row r="888" s="154" customFormat="1" x14ac:dyDescent="0.2"/>
    <row r="889" s="154" customFormat="1" x14ac:dyDescent="0.2"/>
    <row r="890" s="154" customFormat="1" x14ac:dyDescent="0.2"/>
    <row r="891" s="154" customFormat="1" x14ac:dyDescent="0.2"/>
    <row r="892" s="154" customFormat="1" x14ac:dyDescent="0.2"/>
    <row r="893" s="154" customFormat="1" x14ac:dyDescent="0.2"/>
    <row r="894" s="154" customFormat="1" x14ac:dyDescent="0.2"/>
    <row r="895" s="154" customFormat="1" x14ac:dyDescent="0.2"/>
    <row r="896" s="154" customFormat="1" x14ac:dyDescent="0.2"/>
    <row r="897" s="154" customFormat="1" x14ac:dyDescent="0.2"/>
    <row r="898" s="154" customFormat="1" x14ac:dyDescent="0.2"/>
    <row r="899" s="154" customFormat="1" x14ac:dyDescent="0.2"/>
    <row r="900" s="154" customFormat="1" x14ac:dyDescent="0.2"/>
    <row r="901" s="154" customFormat="1" x14ac:dyDescent="0.2"/>
    <row r="902" s="154" customFormat="1" x14ac:dyDescent="0.2"/>
    <row r="903" s="154" customFormat="1" x14ac:dyDescent="0.2"/>
    <row r="904" s="154" customFormat="1" x14ac:dyDescent="0.2"/>
    <row r="905" s="154" customFormat="1" x14ac:dyDescent="0.2"/>
    <row r="906" s="154" customFormat="1" x14ac:dyDescent="0.2"/>
    <row r="907" s="154" customFormat="1" x14ac:dyDescent="0.2"/>
    <row r="908" s="154" customFormat="1" x14ac:dyDescent="0.2"/>
    <row r="909" s="154" customFormat="1" x14ac:dyDescent="0.2"/>
    <row r="910" s="154" customFormat="1" x14ac:dyDescent="0.2"/>
    <row r="911" s="154" customFormat="1" x14ac:dyDescent="0.2"/>
    <row r="912" s="154" customFormat="1" x14ac:dyDescent="0.2"/>
    <row r="913" s="154" customFormat="1" x14ac:dyDescent="0.2"/>
    <row r="914" s="154" customFormat="1" x14ac:dyDescent="0.2"/>
    <row r="915" s="154" customFormat="1" x14ac:dyDescent="0.2"/>
    <row r="916" s="154" customFormat="1" x14ac:dyDescent="0.2"/>
    <row r="917" s="154" customFormat="1" x14ac:dyDescent="0.2"/>
    <row r="918" s="154" customFormat="1" x14ac:dyDescent="0.2"/>
    <row r="919" s="154" customFormat="1" x14ac:dyDescent="0.2"/>
    <row r="920" s="154" customFormat="1" x14ac:dyDescent="0.2"/>
    <row r="921" s="154" customFormat="1" x14ac:dyDescent="0.2"/>
    <row r="922" s="154" customFormat="1" x14ac:dyDescent="0.2"/>
    <row r="923" s="154" customFormat="1" x14ac:dyDescent="0.2"/>
    <row r="924" s="154" customFormat="1" x14ac:dyDescent="0.2"/>
    <row r="925" s="154" customFormat="1" x14ac:dyDescent="0.2"/>
    <row r="926" s="154" customFormat="1" x14ac:dyDescent="0.2"/>
    <row r="927" s="154" customFormat="1" x14ac:dyDescent="0.2"/>
    <row r="928" s="154" customFormat="1" x14ac:dyDescent="0.2"/>
    <row r="929" s="154" customFormat="1" x14ac:dyDescent="0.2"/>
    <row r="930" s="154" customFormat="1" x14ac:dyDescent="0.2"/>
    <row r="931" s="154" customFormat="1" x14ac:dyDescent="0.2"/>
    <row r="932" s="154" customFormat="1" x14ac:dyDescent="0.2"/>
    <row r="933" s="154" customFormat="1" x14ac:dyDescent="0.2"/>
    <row r="934" s="154" customFormat="1" x14ac:dyDescent="0.2"/>
    <row r="935" s="154" customFormat="1" x14ac:dyDescent="0.2"/>
    <row r="936" s="154" customFormat="1" x14ac:dyDescent="0.2"/>
    <row r="937" s="154" customFormat="1" x14ac:dyDescent="0.2"/>
    <row r="938" s="154" customFormat="1" x14ac:dyDescent="0.2"/>
    <row r="939" s="154" customFormat="1" x14ac:dyDescent="0.2"/>
    <row r="940" s="154" customFormat="1" x14ac:dyDescent="0.2"/>
    <row r="941" s="154" customFormat="1" x14ac:dyDescent="0.2"/>
    <row r="942" s="154" customFormat="1" x14ac:dyDescent="0.2"/>
    <row r="943" s="154" customFormat="1" x14ac:dyDescent="0.2"/>
    <row r="944" s="154" customFormat="1" x14ac:dyDescent="0.2"/>
    <row r="945" s="154" customFormat="1" x14ac:dyDescent="0.2"/>
    <row r="946" s="154" customFormat="1" x14ac:dyDescent="0.2"/>
    <row r="947" s="154" customFormat="1" x14ac:dyDescent="0.2"/>
    <row r="948" s="154" customFormat="1" x14ac:dyDescent="0.2"/>
    <row r="949" s="154" customFormat="1" x14ac:dyDescent="0.2"/>
    <row r="950" s="154" customFormat="1" x14ac:dyDescent="0.2"/>
    <row r="951" s="154" customFormat="1" x14ac:dyDescent="0.2"/>
    <row r="952" s="154" customFormat="1" x14ac:dyDescent="0.2"/>
    <row r="953" s="154" customFormat="1" x14ac:dyDescent="0.2"/>
    <row r="954" s="154" customFormat="1" x14ac:dyDescent="0.2"/>
    <row r="955" s="154" customFormat="1" x14ac:dyDescent="0.2"/>
    <row r="956" s="154" customFormat="1" x14ac:dyDescent="0.2"/>
    <row r="957" s="154" customFormat="1" x14ac:dyDescent="0.2"/>
    <row r="958" s="154" customFormat="1" x14ac:dyDescent="0.2"/>
    <row r="959" s="154" customFormat="1" x14ac:dyDescent="0.2"/>
    <row r="960" s="154" customFormat="1" x14ac:dyDescent="0.2"/>
    <row r="961" s="154" customFormat="1" x14ac:dyDescent="0.2"/>
    <row r="962" s="154" customFormat="1" x14ac:dyDescent="0.2"/>
    <row r="963" s="154" customFormat="1" x14ac:dyDescent="0.2"/>
    <row r="964" s="154" customFormat="1" x14ac:dyDescent="0.2"/>
    <row r="965" s="154" customFormat="1" x14ac:dyDescent="0.2"/>
    <row r="966" s="154" customFormat="1" x14ac:dyDescent="0.2"/>
    <row r="967" s="154" customFormat="1" x14ac:dyDescent="0.2"/>
    <row r="968" s="154" customFormat="1" x14ac:dyDescent="0.2"/>
    <row r="969" s="154" customFormat="1" x14ac:dyDescent="0.2"/>
    <row r="970" s="154" customFormat="1" x14ac:dyDescent="0.2"/>
    <row r="971" s="154" customFormat="1" x14ac:dyDescent="0.2"/>
    <row r="972" s="154" customFormat="1" x14ac:dyDescent="0.2"/>
    <row r="973" s="154" customFormat="1" x14ac:dyDescent="0.2"/>
    <row r="974" s="154" customFormat="1" x14ac:dyDescent="0.2"/>
    <row r="975" s="154" customFormat="1" x14ac:dyDescent="0.2"/>
    <row r="976" s="154" customFormat="1" x14ac:dyDescent="0.2"/>
    <row r="977" s="154" customFormat="1" x14ac:dyDescent="0.2"/>
    <row r="978" s="154" customFormat="1" x14ac:dyDescent="0.2"/>
    <row r="979" s="154" customFormat="1" x14ac:dyDescent="0.2"/>
    <row r="980" s="154" customFormat="1" x14ac:dyDescent="0.2"/>
    <row r="981" s="154" customFormat="1" x14ac:dyDescent="0.2"/>
    <row r="982" s="154" customFormat="1" x14ac:dyDescent="0.2"/>
    <row r="983" s="154" customFormat="1" x14ac:dyDescent="0.2"/>
    <row r="984" s="154" customFormat="1" x14ac:dyDescent="0.2"/>
    <row r="985" s="154" customFormat="1" x14ac:dyDescent="0.2"/>
    <row r="986" s="154" customFormat="1" x14ac:dyDescent="0.2"/>
    <row r="987" s="154" customFormat="1" x14ac:dyDescent="0.2"/>
    <row r="988" s="154" customFormat="1" x14ac:dyDescent="0.2"/>
    <row r="989" s="154" customFormat="1" x14ac:dyDescent="0.2"/>
    <row r="990" s="154" customFormat="1" x14ac:dyDescent="0.2"/>
    <row r="991" s="154" customFormat="1" x14ac:dyDescent="0.2"/>
    <row r="992" s="154" customFormat="1" x14ac:dyDescent="0.2"/>
    <row r="993" s="154" customFormat="1" x14ac:dyDescent="0.2"/>
    <row r="994" s="154" customFormat="1" x14ac:dyDescent="0.2"/>
    <row r="995" s="154" customFormat="1" x14ac:dyDescent="0.2"/>
    <row r="996" s="154" customFormat="1" x14ac:dyDescent="0.2"/>
  </sheetData>
  <mergeCells count="34">
    <mergeCell ref="A1:O5"/>
    <mergeCell ref="A6:O6"/>
    <mergeCell ref="A11:O11"/>
    <mergeCell ref="B13:J13"/>
    <mergeCell ref="B14:J14"/>
    <mergeCell ref="U14:U15"/>
    <mergeCell ref="V14:V15"/>
    <mergeCell ref="W14:W15"/>
    <mergeCell ref="A15:I15"/>
    <mergeCell ref="A16:I16"/>
    <mergeCell ref="R16:T16"/>
    <mergeCell ref="R14:T15"/>
    <mergeCell ref="A24:O24"/>
    <mergeCell ref="A17:I17"/>
    <mergeCell ref="R17:T17"/>
    <mergeCell ref="A18:I18"/>
    <mergeCell ref="R18:T18"/>
    <mergeCell ref="A19:I19"/>
    <mergeCell ref="R19:T19"/>
    <mergeCell ref="A20:I20"/>
    <mergeCell ref="R20:T20"/>
    <mergeCell ref="A21:I21"/>
    <mergeCell ref="R21:T21"/>
    <mergeCell ref="A22:I22"/>
    <mergeCell ref="C26:C27"/>
    <mergeCell ref="D26:H26"/>
    <mergeCell ref="J26:J27"/>
    <mergeCell ref="D27:H27"/>
    <mergeCell ref="A31:C31"/>
    <mergeCell ref="D39:H39"/>
    <mergeCell ref="D40:H40"/>
    <mergeCell ref="D41:H41"/>
    <mergeCell ref="D42:H42"/>
    <mergeCell ref="C43:J43"/>
  </mergeCells>
  <conditionalFormatting sqref="A22 J22:K22 O22">
    <cfRule type="expression" dxfId="2" priority="3" stopIfTrue="1">
      <formula>DESONERACAO="não"</formula>
    </cfRule>
  </conditionalFormatting>
  <conditionalFormatting sqref="R16:T21">
    <cfRule type="expression" dxfId="1" priority="1" stopIfTrue="1">
      <formula>AND(R16&lt;&gt;"OK",R16&lt;&gt;"-",R16&lt;&gt;"")</formula>
    </cfRule>
    <cfRule type="cellIs" dxfId="0" priority="2" stopIfTrue="1" operator="equal">
      <formula>"OK"</formula>
    </cfRule>
  </conditionalFormatting>
  <pageMargins left="0.90551181102362199" right="0.51181102362204722" top="0.74803149606299213" bottom="0.74803149606299213" header="0.31496062992125984" footer="0.31496062992125984"/>
  <pageSetup paperSize="9" scale="95" orientation="portrait" r:id="rId1"/>
  <colBreaks count="1" manualBreakCount="1">
    <brk id="15" max="4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4"/>
  <sheetViews>
    <sheetView view="pageBreakPreview" zoomScale="75" zoomScaleNormal="100" zoomScaleSheetLayoutView="75" workbookViewId="0">
      <selection activeCell="J52" sqref="J52"/>
    </sheetView>
  </sheetViews>
  <sheetFormatPr defaultRowHeight="12.75" x14ac:dyDescent="0.2"/>
  <cols>
    <col min="1" max="1" width="13.5703125" style="1" customWidth="1"/>
    <col min="2" max="2" width="56" style="1" bestFit="1" customWidth="1"/>
    <col min="3" max="3" width="14.5703125" style="1" customWidth="1"/>
    <col min="4" max="4" width="37.28515625" style="1" customWidth="1"/>
    <col min="5" max="10" width="9.140625" style="1"/>
    <col min="11" max="11" width="11" style="1" bestFit="1" customWidth="1"/>
    <col min="12" max="16384" width="9.140625" style="1"/>
  </cols>
  <sheetData>
    <row r="1" spans="1:7" x14ac:dyDescent="0.2">
      <c r="A1" s="9"/>
    </row>
    <row r="2" spans="1:7" x14ac:dyDescent="0.2">
      <c r="A2" s="94"/>
    </row>
    <row r="3" spans="1:7" s="2" customFormat="1" ht="15.6" customHeight="1" x14ac:dyDescent="0.2">
      <c r="B3" s="3"/>
      <c r="C3" s="3"/>
      <c r="D3" s="3"/>
      <c r="E3" s="3"/>
      <c r="F3" s="3"/>
      <c r="G3" s="4"/>
    </row>
    <row r="4" spans="1:7" s="2" customFormat="1" ht="15.6" customHeight="1" x14ac:dyDescent="0.2">
      <c r="A4" s="139"/>
      <c r="B4" s="3"/>
      <c r="C4" s="3"/>
      <c r="D4" s="3"/>
      <c r="E4" s="3"/>
      <c r="F4" s="3"/>
      <c r="G4" s="4"/>
    </row>
    <row r="5" spans="1:7" s="2" customFormat="1" ht="16.5" customHeight="1" x14ac:dyDescent="0.2">
      <c r="A5" s="139"/>
      <c r="B5" s="3"/>
      <c r="C5" s="3"/>
      <c r="D5" s="4"/>
      <c r="E5" s="4"/>
      <c r="F5" s="4"/>
      <c r="G5" s="4"/>
    </row>
    <row r="6" spans="1:7" ht="13.5" thickBot="1" x14ac:dyDescent="0.25">
      <c r="B6" s="278" t="s">
        <v>291</v>
      </c>
    </row>
    <row r="7" spans="1:7" ht="18" x14ac:dyDescent="0.2">
      <c r="A7" s="370" t="s">
        <v>290</v>
      </c>
      <c r="B7" s="371"/>
      <c r="C7" s="372"/>
      <c r="D7" s="97"/>
      <c r="E7" s="97"/>
      <c r="F7" s="97"/>
    </row>
    <row r="8" spans="1:7" ht="14.25" x14ac:dyDescent="0.2">
      <c r="A8" s="101" t="s">
        <v>49</v>
      </c>
      <c r="B8" s="102" t="s">
        <v>50</v>
      </c>
      <c r="C8" s="103" t="s">
        <v>51</v>
      </c>
      <c r="D8" s="104"/>
    </row>
    <row r="9" spans="1:7" ht="14.25" x14ac:dyDescent="0.2">
      <c r="A9" s="101" t="s">
        <v>52</v>
      </c>
      <c r="B9" s="102" t="s">
        <v>18</v>
      </c>
      <c r="C9" s="105">
        <v>0.2</v>
      </c>
      <c r="D9" s="104"/>
    </row>
    <row r="10" spans="1:7" ht="14.25" x14ac:dyDescent="0.2">
      <c r="A10" s="101" t="s">
        <v>53</v>
      </c>
      <c r="B10" s="102" t="s">
        <v>54</v>
      </c>
      <c r="C10" s="105">
        <v>1.4999999999999999E-2</v>
      </c>
      <c r="D10" s="104"/>
    </row>
    <row r="11" spans="1:7" ht="14.25" x14ac:dyDescent="0.2">
      <c r="A11" s="101" t="s">
        <v>55</v>
      </c>
      <c r="B11" s="102" t="s">
        <v>56</v>
      </c>
      <c r="C11" s="105">
        <v>0.01</v>
      </c>
      <c r="D11" s="104"/>
    </row>
    <row r="12" spans="1:7" ht="14.25" x14ac:dyDescent="0.2">
      <c r="A12" s="101" t="s">
        <v>57</v>
      </c>
      <c r="B12" s="102" t="s">
        <v>58</v>
      </c>
      <c r="C12" s="105">
        <v>2E-3</v>
      </c>
      <c r="D12" s="104"/>
    </row>
    <row r="13" spans="1:7" ht="14.25" x14ac:dyDescent="0.2">
      <c r="A13" s="101" t="s">
        <v>59</v>
      </c>
      <c r="B13" s="102" t="s">
        <v>60</v>
      </c>
      <c r="C13" s="105">
        <v>6.0000000000000001E-3</v>
      </c>
      <c r="D13" s="104"/>
    </row>
    <row r="14" spans="1:7" ht="14.25" x14ac:dyDescent="0.2">
      <c r="A14" s="101" t="s">
        <v>61</v>
      </c>
      <c r="B14" s="102" t="s">
        <v>62</v>
      </c>
      <c r="C14" s="105">
        <v>2.5000000000000001E-2</v>
      </c>
      <c r="D14" s="104"/>
    </row>
    <row r="15" spans="1:7" ht="14.25" x14ac:dyDescent="0.2">
      <c r="A15" s="101" t="s">
        <v>63</v>
      </c>
      <c r="B15" s="271" t="s">
        <v>244</v>
      </c>
      <c r="C15" s="105">
        <v>0.02</v>
      </c>
      <c r="D15" s="104" t="s">
        <v>285</v>
      </c>
    </row>
    <row r="16" spans="1:7" ht="14.25" x14ac:dyDescent="0.2">
      <c r="A16" s="101" t="s">
        <v>243</v>
      </c>
      <c r="B16" s="271" t="s">
        <v>19</v>
      </c>
      <c r="C16" s="105">
        <v>0.08</v>
      </c>
      <c r="D16" s="104"/>
    </row>
    <row r="17" spans="1:8" ht="15" x14ac:dyDescent="0.2">
      <c r="A17" s="101" t="s">
        <v>64</v>
      </c>
      <c r="B17" s="106" t="s">
        <v>65</v>
      </c>
      <c r="C17" s="107">
        <f>SUM(C9:C16)</f>
        <v>0.3580000000000001</v>
      </c>
      <c r="D17" s="104"/>
    </row>
    <row r="18" spans="1:8" ht="15" x14ac:dyDescent="0.2">
      <c r="A18" s="108"/>
      <c r="B18" s="109"/>
      <c r="C18" s="110"/>
      <c r="D18" s="104"/>
    </row>
    <row r="19" spans="1:8" ht="14.25" x14ac:dyDescent="0.2">
      <c r="A19" s="101" t="s">
        <v>66</v>
      </c>
      <c r="B19" s="111" t="s">
        <v>236</v>
      </c>
      <c r="C19" s="105">
        <v>0.1111</v>
      </c>
      <c r="D19" s="104"/>
    </row>
    <row r="20" spans="1:8" ht="14.25" x14ac:dyDescent="0.2">
      <c r="A20" s="101" t="s">
        <v>67</v>
      </c>
      <c r="B20" s="111" t="s">
        <v>68</v>
      </c>
      <c r="C20" s="105">
        <v>8.3299999999999999E-2</v>
      </c>
      <c r="D20" s="104"/>
    </row>
    <row r="21" spans="1:8" ht="14.25" x14ac:dyDescent="0.2">
      <c r="A21" s="101" t="s">
        <v>103</v>
      </c>
      <c r="B21" s="111" t="s">
        <v>70</v>
      </c>
      <c r="C21" s="105">
        <v>5.9999999999999995E-4</v>
      </c>
      <c r="D21" s="104"/>
    </row>
    <row r="22" spans="1:8" ht="14.25" x14ac:dyDescent="0.2">
      <c r="A22" s="101" t="s">
        <v>69</v>
      </c>
      <c r="B22" s="111" t="s">
        <v>233</v>
      </c>
      <c r="C22" s="105">
        <v>2.9999999999999997E-4</v>
      </c>
      <c r="D22" s="104"/>
    </row>
    <row r="23" spans="1:8" ht="14.25" x14ac:dyDescent="0.2">
      <c r="A23" s="101" t="s">
        <v>71</v>
      </c>
      <c r="B23" s="111" t="s">
        <v>72</v>
      </c>
      <c r="C23" s="105">
        <v>8.2000000000000007E-3</v>
      </c>
      <c r="D23" s="104"/>
    </row>
    <row r="24" spans="1:8" ht="14.25" x14ac:dyDescent="0.2">
      <c r="A24" s="101" t="s">
        <v>73</v>
      </c>
      <c r="B24" s="111" t="s">
        <v>74</v>
      </c>
      <c r="C24" s="105">
        <v>3.0999999999999999E-3</v>
      </c>
      <c r="D24" s="104"/>
    </row>
    <row r="25" spans="1:8" ht="14.25" x14ac:dyDescent="0.2">
      <c r="A25" s="101" t="s">
        <v>234</v>
      </c>
      <c r="B25" s="111" t="s">
        <v>75</v>
      </c>
      <c r="C25" s="105">
        <v>1.66E-2</v>
      </c>
      <c r="D25" s="104"/>
    </row>
    <row r="26" spans="1:8" ht="14.25" x14ac:dyDescent="0.2">
      <c r="A26" s="101" t="s">
        <v>235</v>
      </c>
      <c r="B26" s="111" t="s">
        <v>282</v>
      </c>
      <c r="C26" s="105">
        <v>6.8000000000000005E-4</v>
      </c>
      <c r="D26" s="104"/>
    </row>
    <row r="27" spans="1:8" ht="15" x14ac:dyDescent="0.2">
      <c r="A27" s="101" t="s">
        <v>76</v>
      </c>
      <c r="B27" s="106" t="s">
        <v>77</v>
      </c>
      <c r="C27" s="107">
        <f>SUM(C19:C26)</f>
        <v>0.22388000000000002</v>
      </c>
      <c r="D27" s="112"/>
    </row>
    <row r="28" spans="1:8" ht="15" x14ac:dyDescent="0.2">
      <c r="A28" s="108"/>
      <c r="B28" s="109"/>
      <c r="C28" s="110"/>
      <c r="D28" s="112"/>
    </row>
    <row r="29" spans="1:8" ht="14.25" x14ac:dyDescent="0.2">
      <c r="A29" s="101" t="s">
        <v>78</v>
      </c>
      <c r="B29" s="102" t="s">
        <v>79</v>
      </c>
      <c r="C29" s="105">
        <v>4.1999999999999997E-3</v>
      </c>
      <c r="D29" s="104"/>
      <c r="E29" s="113"/>
    </row>
    <row r="30" spans="1:8" ht="14.25" x14ac:dyDescent="0.2">
      <c r="A30" s="101" t="s">
        <v>102</v>
      </c>
      <c r="B30" s="102" t="s">
        <v>238</v>
      </c>
      <c r="C30" s="105">
        <v>2.9999999999999997E-4</v>
      </c>
      <c r="D30" s="104"/>
      <c r="E30" s="113"/>
    </row>
    <row r="31" spans="1:8" ht="14.25" x14ac:dyDescent="0.2">
      <c r="A31" s="101" t="s">
        <v>80</v>
      </c>
      <c r="B31" s="102" t="s">
        <v>239</v>
      </c>
      <c r="C31" s="105">
        <v>1E-4</v>
      </c>
      <c r="D31" s="104"/>
      <c r="H31" s="114"/>
    </row>
    <row r="32" spans="1:8" ht="14.25" x14ac:dyDescent="0.2">
      <c r="A32" s="101" t="s">
        <v>81</v>
      </c>
      <c r="B32" s="102" t="s">
        <v>240</v>
      </c>
      <c r="C32" s="105">
        <v>1.9199999999999998E-2</v>
      </c>
      <c r="D32" s="104"/>
      <c r="E32" s="113"/>
    </row>
    <row r="33" spans="1:7" ht="14.25" x14ac:dyDescent="0.2">
      <c r="A33" s="101" t="s">
        <v>82</v>
      </c>
      <c r="B33" s="102" t="s">
        <v>242</v>
      </c>
      <c r="C33" s="105">
        <v>7.1000000000000004E-3</v>
      </c>
      <c r="D33" s="104"/>
      <c r="G33" s="113"/>
    </row>
    <row r="34" spans="1:7" ht="14.25" x14ac:dyDescent="0.2">
      <c r="A34" s="101" t="s">
        <v>237</v>
      </c>
      <c r="B34" s="102" t="s">
        <v>241</v>
      </c>
      <c r="C34" s="105">
        <v>0.04</v>
      </c>
      <c r="D34" s="104"/>
    </row>
    <row r="35" spans="1:7" ht="15" x14ac:dyDescent="0.2">
      <c r="A35" s="101" t="s">
        <v>83</v>
      </c>
      <c r="B35" s="106" t="s">
        <v>84</v>
      </c>
      <c r="C35" s="107">
        <f>SUM(C29:C34)</f>
        <v>7.0899999999999991E-2</v>
      </c>
      <c r="D35" s="112"/>
    </row>
    <row r="36" spans="1:7" ht="15" x14ac:dyDescent="0.2">
      <c r="A36" s="108"/>
      <c r="B36" s="109"/>
      <c r="C36" s="110"/>
      <c r="D36" s="112"/>
    </row>
    <row r="37" spans="1:7" ht="14.25" x14ac:dyDescent="0.2">
      <c r="A37" s="101" t="s">
        <v>85</v>
      </c>
      <c r="B37" s="102" t="s">
        <v>86</v>
      </c>
      <c r="C37" s="105">
        <v>7.1599999999999997E-2</v>
      </c>
      <c r="D37" s="104"/>
    </row>
    <row r="38" spans="1:7" ht="17.25" customHeight="1" x14ac:dyDescent="0.2">
      <c r="A38" s="101" t="s">
        <v>87</v>
      </c>
      <c r="B38" s="115" t="s">
        <v>115</v>
      </c>
      <c r="C38" s="105">
        <v>2.9999999999999997E-4</v>
      </c>
      <c r="D38" s="104"/>
    </row>
    <row r="39" spans="1:7" ht="15" x14ac:dyDescent="0.2">
      <c r="A39" s="101" t="s">
        <v>88</v>
      </c>
      <c r="B39" s="106" t="s">
        <v>89</v>
      </c>
      <c r="C39" s="107">
        <f>SUM(C37:C38)</f>
        <v>7.1899999999999992E-2</v>
      </c>
      <c r="D39" s="112"/>
    </row>
    <row r="40" spans="1:7" ht="15.75" thickBot="1" x14ac:dyDescent="0.25">
      <c r="A40" s="116"/>
      <c r="B40" s="117" t="s">
        <v>90</v>
      </c>
      <c r="C40" s="118">
        <f>C39+C35+C27+C17</f>
        <v>0.7246800000000001</v>
      </c>
      <c r="D40" s="112"/>
    </row>
    <row r="41" spans="1:7" ht="15" x14ac:dyDescent="0.2">
      <c r="A41" s="104"/>
      <c r="B41" s="119"/>
      <c r="C41" s="120"/>
      <c r="D41" s="121"/>
    </row>
    <row r="42" spans="1:7" ht="14.25" x14ac:dyDescent="0.2">
      <c r="A42" s="104"/>
      <c r="B42" s="104"/>
      <c r="C42" s="286">
        <v>46001</v>
      </c>
      <c r="D42" s="123"/>
    </row>
    <row r="43" spans="1:7" ht="14.25" x14ac:dyDescent="0.2">
      <c r="A43" s="104"/>
      <c r="B43" s="104"/>
      <c r="C43" s="122"/>
      <c r="D43" s="104"/>
    </row>
    <row r="44" spans="1:7" ht="14.25" x14ac:dyDescent="0.2">
      <c r="A44" s="104"/>
      <c r="B44" s="104"/>
      <c r="C44" s="122"/>
      <c r="D44" s="104"/>
    </row>
    <row r="45" spans="1:7" ht="14.25" x14ac:dyDescent="0.2">
      <c r="A45" s="104"/>
      <c r="B45" s="104"/>
      <c r="C45" s="122"/>
      <c r="D45" s="104"/>
    </row>
    <row r="46" spans="1:7" ht="14.25" x14ac:dyDescent="0.2">
      <c r="A46" s="104"/>
      <c r="B46" s="104"/>
      <c r="C46" s="122"/>
      <c r="D46" s="104"/>
    </row>
    <row r="47" spans="1:7" ht="14.25" x14ac:dyDescent="0.2">
      <c r="A47" s="104"/>
      <c r="B47" s="104"/>
      <c r="C47" s="122"/>
      <c r="D47" s="104"/>
    </row>
    <row r="48" spans="1:7" ht="14.25" x14ac:dyDescent="0.2">
      <c r="A48" s="104"/>
      <c r="B48" s="281"/>
      <c r="C48" s="229"/>
      <c r="D48" s="229"/>
    </row>
    <row r="49" spans="1:4" x14ac:dyDescent="0.2">
      <c r="A49" s="112"/>
      <c r="B49" s="278"/>
      <c r="C49" s="285"/>
      <c r="D49" s="285"/>
    </row>
    <row r="50" spans="1:4" ht="16.5" x14ac:dyDescent="0.2">
      <c r="A50" s="124"/>
      <c r="B50" s="282"/>
      <c r="C50" s="10"/>
      <c r="D50" s="10"/>
    </row>
    <row r="51" spans="1:4" x14ac:dyDescent="0.2">
      <c r="A51" s="125"/>
      <c r="B51" s="279"/>
      <c r="C51" s="284"/>
      <c r="D51" s="284"/>
    </row>
    <row r="52" spans="1:4" ht="14.25" x14ac:dyDescent="0.2">
      <c r="A52" s="104"/>
      <c r="B52" s="280"/>
      <c r="C52" s="137"/>
      <c r="D52" s="137"/>
    </row>
    <row r="53" spans="1:4" ht="14.25" x14ac:dyDescent="0.2">
      <c r="A53" s="104"/>
      <c r="B53" s="127"/>
      <c r="C53" s="104"/>
    </row>
    <row r="54" spans="1:4" ht="14.25" x14ac:dyDescent="0.2">
      <c r="A54" s="104"/>
      <c r="B54" s="122"/>
      <c r="C54" s="126"/>
    </row>
    <row r="55" spans="1:4" ht="14.25" x14ac:dyDescent="0.2">
      <c r="A55" s="104"/>
      <c r="B55" s="127"/>
      <c r="C55" s="104"/>
    </row>
    <row r="56" spans="1:4" ht="14.25" x14ac:dyDescent="0.2">
      <c r="A56" s="104"/>
      <c r="B56" s="122"/>
      <c r="C56" s="126"/>
    </row>
    <row r="57" spans="1:4" ht="14.25" x14ac:dyDescent="0.2">
      <c r="A57" s="104"/>
      <c r="B57" s="127"/>
      <c r="C57" s="104"/>
    </row>
    <row r="58" spans="1:4" ht="14.25" x14ac:dyDescent="0.2">
      <c r="A58" s="104"/>
      <c r="B58" s="122"/>
      <c r="C58" s="126"/>
    </row>
    <row r="59" spans="1:4" ht="14.25" x14ac:dyDescent="0.2">
      <c r="A59" s="104"/>
      <c r="B59" s="127"/>
      <c r="C59" s="104"/>
    </row>
    <row r="60" spans="1:4" ht="14.25" x14ac:dyDescent="0.2">
      <c r="A60" s="104"/>
      <c r="B60" s="122"/>
      <c r="C60" s="126"/>
    </row>
    <row r="61" spans="1:4" ht="16.5" x14ac:dyDescent="0.2">
      <c r="A61" s="124"/>
    </row>
    <row r="64" spans="1:4" x14ac:dyDescent="0.2">
      <c r="A64" s="128"/>
    </row>
  </sheetData>
  <mergeCells count="1">
    <mergeCell ref="A7:C7"/>
  </mergeCells>
  <phoneticPr fontId="2" type="noConversion"/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6128E-41FF-45FF-8255-47DBA63AB6AD}">
  <dimension ref="A6:AN81"/>
  <sheetViews>
    <sheetView view="pageBreakPreview" zoomScale="60" zoomScaleNormal="118" workbookViewId="0">
      <selection activeCell="R9" sqref="R9"/>
    </sheetView>
  </sheetViews>
  <sheetFormatPr defaultRowHeight="12.75" x14ac:dyDescent="0.2"/>
  <cols>
    <col min="1" max="1" width="6.28515625" style="229" customWidth="1"/>
    <col min="2" max="2" width="50.42578125" style="148" customWidth="1"/>
    <col min="3" max="3" width="10.7109375" style="147" bestFit="1" customWidth="1"/>
    <col min="4" max="11" width="10.7109375" style="149" customWidth="1"/>
    <col min="12" max="13" width="10.5703125" style="149" customWidth="1"/>
    <col min="14" max="19" width="13" style="149" customWidth="1"/>
    <col min="20" max="21" width="12.42578125" customWidth="1"/>
    <col min="22" max="22" width="11.7109375" customWidth="1"/>
    <col min="23" max="23" width="11.28515625" customWidth="1"/>
    <col min="24" max="25" width="9.140625" customWidth="1"/>
    <col min="26" max="31" width="9.140625" style="290" customWidth="1"/>
    <col min="32" max="35" width="9.140625" customWidth="1"/>
    <col min="36" max="36" width="13.85546875" customWidth="1"/>
    <col min="38" max="38" width="24.28515625" bestFit="1" customWidth="1"/>
    <col min="40" max="40" width="12.42578125" bestFit="1" customWidth="1"/>
  </cols>
  <sheetData>
    <row r="6" spans="1:40" ht="23.25" customHeight="1" thickBot="1" x14ac:dyDescent="0.25">
      <c r="A6" s="373" t="s">
        <v>303</v>
      </c>
      <c r="B6" s="373"/>
      <c r="C6" s="373"/>
      <c r="D6" s="373"/>
      <c r="E6" s="373"/>
      <c r="F6" s="373"/>
      <c r="G6" s="373"/>
      <c r="H6" s="373"/>
      <c r="I6" s="373"/>
      <c r="J6" s="373"/>
      <c r="K6" s="373"/>
      <c r="L6" s="373"/>
      <c r="M6" s="373"/>
      <c r="N6" s="373"/>
      <c r="O6" s="373"/>
      <c r="P6" s="373"/>
      <c r="Q6" s="373"/>
      <c r="R6" s="373"/>
      <c r="S6" s="373"/>
      <c r="T6" s="373"/>
      <c r="U6" s="373"/>
      <c r="V6" s="373"/>
      <c r="W6" s="373"/>
      <c r="X6" s="373"/>
      <c r="Y6" s="373"/>
      <c r="Z6" s="373"/>
      <c r="AA6" s="373"/>
      <c r="AB6" s="373"/>
      <c r="AC6" s="373"/>
      <c r="AD6" s="373"/>
      <c r="AE6" s="373"/>
      <c r="AF6" s="373"/>
      <c r="AG6" s="373"/>
      <c r="AH6" s="373"/>
      <c r="AI6" s="373"/>
      <c r="AJ6" s="373"/>
    </row>
    <row r="7" spans="1:40" ht="127.5" customHeight="1" thickBot="1" x14ac:dyDescent="0.25">
      <c r="A7" s="252" t="s">
        <v>148</v>
      </c>
      <c r="B7" s="253" t="s">
        <v>128</v>
      </c>
      <c r="C7" s="253" t="s">
        <v>129</v>
      </c>
      <c r="D7" s="254" t="s">
        <v>178</v>
      </c>
      <c r="E7" s="254" t="s">
        <v>179</v>
      </c>
      <c r="F7" s="254" t="s">
        <v>182</v>
      </c>
      <c r="G7" s="254" t="s">
        <v>184</v>
      </c>
      <c r="H7" s="254" t="s">
        <v>185</v>
      </c>
      <c r="I7" s="254" t="s">
        <v>191</v>
      </c>
      <c r="J7" s="254" t="s">
        <v>198</v>
      </c>
      <c r="K7" s="254" t="s">
        <v>194</v>
      </c>
      <c r="L7" s="254" t="s">
        <v>192</v>
      </c>
      <c r="M7" s="254" t="s">
        <v>197</v>
      </c>
      <c r="N7" s="254" t="s">
        <v>249</v>
      </c>
      <c r="O7" s="254" t="s">
        <v>250</v>
      </c>
      <c r="P7" s="254" t="s">
        <v>252</v>
      </c>
      <c r="Q7" s="254" t="s">
        <v>253</v>
      </c>
      <c r="R7" s="254" t="s">
        <v>251</v>
      </c>
      <c r="S7" s="254" t="s">
        <v>261</v>
      </c>
      <c r="T7" s="255" t="s">
        <v>147</v>
      </c>
      <c r="U7" s="256" t="s">
        <v>177</v>
      </c>
      <c r="V7" s="256" t="s">
        <v>149</v>
      </c>
      <c r="W7" s="257" t="s">
        <v>150</v>
      </c>
      <c r="X7" s="258" t="s">
        <v>152</v>
      </c>
      <c r="Y7" s="258" t="s">
        <v>156</v>
      </c>
      <c r="Z7" s="374" t="s">
        <v>169</v>
      </c>
      <c r="AA7" s="374"/>
      <c r="AB7" s="374"/>
      <c r="AC7" s="374"/>
      <c r="AD7" s="374"/>
      <c r="AE7" s="374"/>
      <c r="AF7" s="376" t="s">
        <v>245</v>
      </c>
      <c r="AG7" s="377"/>
      <c r="AH7" s="377"/>
      <c r="AI7" s="378"/>
      <c r="AJ7" s="228" t="s">
        <v>175</v>
      </c>
      <c r="AL7" t="s">
        <v>270</v>
      </c>
      <c r="AM7" t="s">
        <v>271</v>
      </c>
      <c r="AN7" t="s">
        <v>274</v>
      </c>
    </row>
    <row r="8" spans="1:40" ht="24.95" customHeight="1" x14ac:dyDescent="0.2">
      <c r="A8" s="230">
        <v>1</v>
      </c>
      <c r="B8" s="215" t="s">
        <v>171</v>
      </c>
      <c r="C8" s="216" t="s">
        <v>130</v>
      </c>
      <c r="D8" s="217">
        <v>6.98</v>
      </c>
      <c r="E8" s="217">
        <v>7.45</v>
      </c>
      <c r="F8" s="217">
        <v>10.42</v>
      </c>
      <c r="G8" s="217"/>
      <c r="H8" s="217">
        <v>7.4</v>
      </c>
      <c r="I8" s="217"/>
      <c r="J8" s="217"/>
      <c r="K8" s="217">
        <v>6.1</v>
      </c>
      <c r="L8" s="217"/>
      <c r="M8" s="217">
        <v>6.64</v>
      </c>
      <c r="N8" s="217"/>
      <c r="O8" s="217"/>
      <c r="P8" s="217"/>
      <c r="Q8" s="217"/>
      <c r="R8" s="217"/>
      <c r="S8" s="217"/>
      <c r="T8" s="218">
        <v>7.05</v>
      </c>
      <c r="U8" s="218"/>
      <c r="V8" s="218">
        <v>6.51</v>
      </c>
      <c r="W8" s="219">
        <v>5.99</v>
      </c>
      <c r="X8" s="218"/>
      <c r="Y8" s="218">
        <v>11.6</v>
      </c>
      <c r="Z8" s="291">
        <v>10.99</v>
      </c>
      <c r="AA8" s="291">
        <v>9.9</v>
      </c>
      <c r="AB8" s="291">
        <v>9.99</v>
      </c>
      <c r="AC8" s="291"/>
      <c r="AD8" s="291"/>
      <c r="AE8" s="291"/>
      <c r="AF8" s="218"/>
      <c r="AG8" s="218"/>
      <c r="AH8" s="244"/>
      <c r="AI8" s="220"/>
      <c r="AJ8" s="248">
        <f t="shared" ref="AJ8:AJ13" si="0">AVERAGE(D8:AE8)</f>
        <v>8.2323076923076908</v>
      </c>
      <c r="AK8" s="153">
        <f>COUNT(D8:AI8)</f>
        <v>13</v>
      </c>
      <c r="AL8" s="149">
        <f>960/120*365/5</f>
        <v>584</v>
      </c>
      <c r="AM8" s="149">
        <f>AL8/12</f>
        <v>48.666666666666664</v>
      </c>
      <c r="AN8" s="149">
        <f>AJ8*AM8</f>
        <v>400.63897435897428</v>
      </c>
    </row>
    <row r="9" spans="1:40" ht="24.95" customHeight="1" x14ac:dyDescent="0.2">
      <c r="A9" s="230">
        <v>2</v>
      </c>
      <c r="B9" s="307" t="s">
        <v>137</v>
      </c>
      <c r="C9" s="308" t="s">
        <v>138</v>
      </c>
      <c r="D9" s="309"/>
      <c r="E9" s="309">
        <v>4.95</v>
      </c>
      <c r="F9" s="309"/>
      <c r="G9" s="309"/>
      <c r="H9" s="309">
        <v>6.34</v>
      </c>
      <c r="I9" s="309"/>
      <c r="J9" s="309"/>
      <c r="K9" s="309">
        <v>6.89</v>
      </c>
      <c r="L9" s="309">
        <v>5.42</v>
      </c>
      <c r="M9" s="309">
        <v>5.4</v>
      </c>
      <c r="N9" s="309"/>
      <c r="O9" s="309"/>
      <c r="P9" s="309"/>
      <c r="Q9" s="309"/>
      <c r="R9" s="309"/>
      <c r="S9" s="309"/>
      <c r="T9" s="310"/>
      <c r="U9" s="310"/>
      <c r="V9" s="310">
        <v>4.97</v>
      </c>
      <c r="W9" s="310"/>
      <c r="X9" s="310"/>
      <c r="Y9" s="310"/>
      <c r="Z9" s="311">
        <v>12.9</v>
      </c>
      <c r="AA9" s="311">
        <v>10.78</v>
      </c>
      <c r="AB9" s="311">
        <v>7.64</v>
      </c>
      <c r="AC9" s="311">
        <v>9.59</v>
      </c>
      <c r="AD9" s="311">
        <v>6.68</v>
      </c>
      <c r="AE9" s="311"/>
      <c r="AF9" s="310"/>
      <c r="AG9" s="310"/>
      <c r="AH9" s="245"/>
      <c r="AI9" s="221"/>
      <c r="AJ9" s="249">
        <f t="shared" si="0"/>
        <v>7.414545454545455</v>
      </c>
      <c r="AK9" s="153">
        <f t="shared" ref="AK9:AK60" si="1">COUNT(D9:AI9)</f>
        <v>11</v>
      </c>
      <c r="AL9" s="149">
        <f>2*365</f>
        <v>730</v>
      </c>
      <c r="AM9" s="149">
        <f>AL9/12</f>
        <v>60.833333333333336</v>
      </c>
      <c r="AN9" s="149">
        <f t="shared" ref="AN9:AN60" si="2">AJ9*AM9</f>
        <v>451.05151515151522</v>
      </c>
    </row>
    <row r="10" spans="1:40" ht="24.95" customHeight="1" x14ac:dyDescent="0.2">
      <c r="A10" s="230">
        <v>3</v>
      </c>
      <c r="B10" s="307" t="s">
        <v>157</v>
      </c>
      <c r="C10" s="308" t="s">
        <v>132</v>
      </c>
      <c r="D10" s="309">
        <v>9.06</v>
      </c>
      <c r="E10" s="309">
        <v>7.32</v>
      </c>
      <c r="F10" s="309">
        <v>11</v>
      </c>
      <c r="G10" s="309"/>
      <c r="H10" s="309">
        <v>6.4</v>
      </c>
      <c r="I10" s="309"/>
      <c r="J10" s="309"/>
      <c r="K10" s="309">
        <v>5.94</v>
      </c>
      <c r="L10" s="309"/>
      <c r="M10" s="309">
        <v>6</v>
      </c>
      <c r="N10" s="309"/>
      <c r="O10" s="309"/>
      <c r="P10" s="309"/>
      <c r="Q10" s="309"/>
      <c r="R10" s="309"/>
      <c r="S10" s="309"/>
      <c r="T10" s="310">
        <v>7.63</v>
      </c>
      <c r="U10" s="310"/>
      <c r="V10" s="310">
        <v>7</v>
      </c>
      <c r="W10" s="310"/>
      <c r="X10" s="310"/>
      <c r="Y10" s="310">
        <v>6.06</v>
      </c>
      <c r="Z10" s="311">
        <v>8.9</v>
      </c>
      <c r="AA10" s="311">
        <v>7.9</v>
      </c>
      <c r="AB10" s="311">
        <v>8.1300000000000008</v>
      </c>
      <c r="AC10" s="311">
        <v>9.5299999999999994</v>
      </c>
      <c r="AD10" s="311">
        <v>7.24</v>
      </c>
      <c r="AE10" s="311"/>
      <c r="AF10" s="310"/>
      <c r="AG10" s="310"/>
      <c r="AH10" s="245"/>
      <c r="AI10" s="221"/>
      <c r="AJ10" s="249">
        <f t="shared" si="0"/>
        <v>7.722142857142857</v>
      </c>
      <c r="AK10" s="153">
        <f t="shared" si="1"/>
        <v>14</v>
      </c>
      <c r="AL10" s="149">
        <f>8*12</f>
        <v>96</v>
      </c>
      <c r="AM10" s="149">
        <f t="shared" ref="AM10:AM60" si="3">AL10/12</f>
        <v>8</v>
      </c>
      <c r="AN10" s="149">
        <f t="shared" si="2"/>
        <v>61.777142857142856</v>
      </c>
    </row>
    <row r="11" spans="1:40" ht="24.95" customHeight="1" x14ac:dyDescent="0.2">
      <c r="A11" s="230">
        <v>4</v>
      </c>
      <c r="B11" s="307" t="s">
        <v>140</v>
      </c>
      <c r="C11" s="308" t="s">
        <v>132</v>
      </c>
      <c r="D11" s="309"/>
      <c r="E11" s="309"/>
      <c r="F11" s="309"/>
      <c r="G11" s="309"/>
      <c r="H11" s="309">
        <v>9.14</v>
      </c>
      <c r="I11" s="309"/>
      <c r="J11" s="309"/>
      <c r="K11" s="309">
        <v>10.17</v>
      </c>
      <c r="L11" s="309">
        <v>9</v>
      </c>
      <c r="M11" s="309">
        <v>7.88</v>
      </c>
      <c r="N11" s="309"/>
      <c r="O11" s="309"/>
      <c r="P11" s="309"/>
      <c r="Q11" s="309"/>
      <c r="R11" s="309"/>
      <c r="S11" s="309"/>
      <c r="T11" s="310">
        <v>9.39</v>
      </c>
      <c r="U11" s="310"/>
      <c r="V11" s="310"/>
      <c r="W11" s="310"/>
      <c r="X11" s="310"/>
      <c r="Y11" s="310"/>
      <c r="Z11" s="311">
        <v>9.5</v>
      </c>
      <c r="AA11" s="311">
        <v>8.1999999999999993</v>
      </c>
      <c r="AB11" s="311">
        <v>8</v>
      </c>
      <c r="AC11" s="311"/>
      <c r="AD11" s="311"/>
      <c r="AE11" s="311"/>
      <c r="AF11" s="310"/>
      <c r="AG11" s="310"/>
      <c r="AH11" s="245"/>
      <c r="AI11" s="221"/>
      <c r="AJ11" s="249">
        <f t="shared" si="0"/>
        <v>8.91</v>
      </c>
      <c r="AK11" s="153">
        <f t="shared" si="1"/>
        <v>8</v>
      </c>
      <c r="AL11" s="149"/>
      <c r="AM11" s="149">
        <f t="shared" si="3"/>
        <v>0</v>
      </c>
      <c r="AN11" s="149">
        <f t="shared" si="2"/>
        <v>0</v>
      </c>
    </row>
    <row r="12" spans="1:40" ht="24.95" customHeight="1" x14ac:dyDescent="0.2">
      <c r="A12" s="230">
        <v>5</v>
      </c>
      <c r="B12" s="307" t="s">
        <v>153</v>
      </c>
      <c r="C12" s="308" t="s">
        <v>132</v>
      </c>
      <c r="D12" s="309"/>
      <c r="E12" s="309"/>
      <c r="F12" s="309"/>
      <c r="G12" s="309"/>
      <c r="H12" s="309">
        <v>54.47</v>
      </c>
      <c r="I12" s="309"/>
      <c r="J12" s="309"/>
      <c r="K12" s="309">
        <v>99.99</v>
      </c>
      <c r="L12" s="309"/>
      <c r="M12" s="309"/>
      <c r="N12" s="309"/>
      <c r="O12" s="309"/>
      <c r="P12" s="309"/>
      <c r="Q12" s="309"/>
      <c r="R12" s="309"/>
      <c r="S12" s="309"/>
      <c r="T12" s="310"/>
      <c r="U12" s="310"/>
      <c r="V12" s="310"/>
      <c r="W12" s="310"/>
      <c r="X12" s="310"/>
      <c r="Y12" s="310"/>
      <c r="Z12" s="311">
        <v>55.95</v>
      </c>
      <c r="AA12" s="311">
        <v>71.489999999999995</v>
      </c>
      <c r="AB12" s="311">
        <v>71.5</v>
      </c>
      <c r="AC12" s="311"/>
      <c r="AD12" s="311"/>
      <c r="AE12" s="311"/>
      <c r="AF12" s="310"/>
      <c r="AG12" s="310"/>
      <c r="AH12" s="245"/>
      <c r="AI12" s="221"/>
      <c r="AJ12" s="249">
        <f t="shared" si="0"/>
        <v>70.679999999999993</v>
      </c>
      <c r="AK12" s="153">
        <f t="shared" si="1"/>
        <v>5</v>
      </c>
      <c r="AL12" s="149">
        <f>8*2</f>
        <v>16</v>
      </c>
      <c r="AM12" s="149">
        <f t="shared" si="3"/>
        <v>1.3333333333333333</v>
      </c>
      <c r="AN12" s="149">
        <f t="shared" si="2"/>
        <v>94.239999999999981</v>
      </c>
    </row>
    <row r="13" spans="1:40" ht="24.95" customHeight="1" x14ac:dyDescent="0.2">
      <c r="A13" s="230">
        <v>6</v>
      </c>
      <c r="B13" s="307" t="s">
        <v>146</v>
      </c>
      <c r="C13" s="308" t="s">
        <v>132</v>
      </c>
      <c r="D13" s="309"/>
      <c r="E13" s="309"/>
      <c r="F13" s="309"/>
      <c r="G13" s="309"/>
      <c r="H13" s="309">
        <v>2.6</v>
      </c>
      <c r="I13" s="309"/>
      <c r="J13" s="309"/>
      <c r="K13" s="309">
        <v>2.9</v>
      </c>
      <c r="L13" s="309"/>
      <c r="M13" s="309">
        <v>2.84</v>
      </c>
      <c r="N13" s="309"/>
      <c r="O13" s="309"/>
      <c r="P13" s="309"/>
      <c r="Q13" s="309"/>
      <c r="R13" s="309"/>
      <c r="S13" s="309"/>
      <c r="T13" s="310"/>
      <c r="U13" s="310"/>
      <c r="V13" s="310"/>
      <c r="W13" s="310"/>
      <c r="X13" s="310"/>
      <c r="Y13" s="310"/>
      <c r="Z13" s="311">
        <v>2.8</v>
      </c>
      <c r="AA13" s="311">
        <v>2.76</v>
      </c>
      <c r="AB13" s="311">
        <v>3.13</v>
      </c>
      <c r="AC13" s="311">
        <v>2.69</v>
      </c>
      <c r="AD13" s="311">
        <v>2.9</v>
      </c>
      <c r="AE13" s="311"/>
      <c r="AF13" s="310"/>
      <c r="AG13" s="310"/>
      <c r="AH13" s="245"/>
      <c r="AI13" s="221"/>
      <c r="AJ13" s="249">
        <f t="shared" si="0"/>
        <v>2.8275000000000001</v>
      </c>
      <c r="AK13" s="153">
        <f t="shared" si="1"/>
        <v>8</v>
      </c>
      <c r="AL13" s="149">
        <f>24*12</f>
        <v>288</v>
      </c>
      <c r="AM13" s="149">
        <f t="shared" si="3"/>
        <v>24</v>
      </c>
      <c r="AN13" s="149">
        <f t="shared" si="2"/>
        <v>67.86</v>
      </c>
    </row>
    <row r="14" spans="1:40" ht="24.95" customHeight="1" x14ac:dyDescent="0.2">
      <c r="A14" s="230">
        <v>7</v>
      </c>
      <c r="B14" s="307" t="s">
        <v>151</v>
      </c>
      <c r="C14" s="308" t="s">
        <v>132</v>
      </c>
      <c r="D14" s="310"/>
      <c r="E14" s="310"/>
      <c r="F14" s="310"/>
      <c r="G14" s="310"/>
      <c r="H14" s="310"/>
      <c r="I14" s="310"/>
      <c r="J14" s="310"/>
      <c r="K14" s="310"/>
      <c r="L14" s="310"/>
      <c r="M14" s="310"/>
      <c r="N14" s="310"/>
      <c r="O14" s="310"/>
      <c r="P14" s="310"/>
      <c r="Q14" s="310"/>
      <c r="R14" s="310"/>
      <c r="S14" s="310"/>
      <c r="T14" s="310"/>
      <c r="U14" s="310"/>
      <c r="V14" s="310"/>
      <c r="W14" s="310">
        <v>8.8000000000000007</v>
      </c>
      <c r="X14" s="310">
        <v>21.1</v>
      </c>
      <c r="Y14" s="310"/>
      <c r="Z14" s="311">
        <v>2.69</v>
      </c>
      <c r="AA14" s="311">
        <v>2.9</v>
      </c>
      <c r="AB14" s="311">
        <v>3.58</v>
      </c>
      <c r="AC14" s="311">
        <v>5</v>
      </c>
      <c r="AD14" s="311"/>
      <c r="AE14" s="311"/>
      <c r="AF14" s="310"/>
      <c r="AG14" s="310"/>
      <c r="AH14" s="245"/>
      <c r="AI14" s="221"/>
      <c r="AJ14" s="249">
        <f t="shared" ref="AJ14:AJ59" si="4">AVERAGE(D14:AE14)</f>
        <v>7.3449999999999998</v>
      </c>
      <c r="AK14" s="153">
        <f t="shared" si="1"/>
        <v>6</v>
      </c>
      <c r="AL14" s="149"/>
      <c r="AM14" s="149">
        <f t="shared" si="3"/>
        <v>0</v>
      </c>
      <c r="AN14" s="149">
        <f t="shared" si="2"/>
        <v>0</v>
      </c>
    </row>
    <row r="15" spans="1:40" ht="24.95" customHeight="1" x14ac:dyDescent="0.2">
      <c r="A15" s="230">
        <v>8</v>
      </c>
      <c r="B15" s="307" t="s">
        <v>139</v>
      </c>
      <c r="C15" s="308" t="s">
        <v>132</v>
      </c>
      <c r="D15" s="309"/>
      <c r="E15" s="309"/>
      <c r="F15" s="309"/>
      <c r="G15" s="309">
        <v>3.8</v>
      </c>
      <c r="H15" s="309">
        <v>4.7</v>
      </c>
      <c r="I15" s="309"/>
      <c r="J15" s="309"/>
      <c r="K15" s="309">
        <v>4.8899999999999997</v>
      </c>
      <c r="L15" s="309">
        <v>4.9000000000000004</v>
      </c>
      <c r="M15" s="309">
        <v>3.95</v>
      </c>
      <c r="N15" s="309"/>
      <c r="O15" s="309"/>
      <c r="P15" s="309"/>
      <c r="Q15" s="309"/>
      <c r="R15" s="309"/>
      <c r="S15" s="309"/>
      <c r="T15" s="310"/>
      <c r="U15" s="310"/>
      <c r="V15" s="310">
        <v>4.9000000000000004</v>
      </c>
      <c r="W15" s="310"/>
      <c r="X15" s="310"/>
      <c r="Y15" s="312"/>
      <c r="Z15" s="311">
        <v>9.75</v>
      </c>
      <c r="AA15" s="311">
        <v>4.95</v>
      </c>
      <c r="AB15" s="311">
        <v>4.59</v>
      </c>
      <c r="AC15" s="311">
        <v>9.1999999999999993</v>
      </c>
      <c r="AD15" s="311">
        <v>4.79</v>
      </c>
      <c r="AE15" s="311"/>
      <c r="AF15" s="310"/>
      <c r="AG15" s="310"/>
      <c r="AH15" s="245"/>
      <c r="AI15" s="221"/>
      <c r="AJ15" s="249">
        <f t="shared" si="4"/>
        <v>5.4927272727272731</v>
      </c>
      <c r="AK15" s="153">
        <f t="shared" si="1"/>
        <v>11</v>
      </c>
      <c r="AL15" s="149"/>
      <c r="AM15" s="149">
        <f t="shared" si="3"/>
        <v>0</v>
      </c>
      <c r="AN15" s="149">
        <f t="shared" si="2"/>
        <v>0</v>
      </c>
    </row>
    <row r="16" spans="1:40" ht="24.95" customHeight="1" x14ac:dyDescent="0.2">
      <c r="A16" s="230">
        <v>9</v>
      </c>
      <c r="B16" s="307" t="s">
        <v>161</v>
      </c>
      <c r="C16" s="308" t="s">
        <v>132</v>
      </c>
      <c r="D16" s="309">
        <v>2.44</v>
      </c>
      <c r="E16" s="309"/>
      <c r="F16" s="309"/>
      <c r="G16" s="309"/>
      <c r="H16" s="309"/>
      <c r="I16" s="309"/>
      <c r="J16" s="309"/>
      <c r="K16" s="309"/>
      <c r="L16" s="309">
        <v>3.39</v>
      </c>
      <c r="M16" s="309"/>
      <c r="N16" s="309"/>
      <c r="O16" s="309"/>
      <c r="P16" s="309"/>
      <c r="Q16" s="309"/>
      <c r="R16" s="309"/>
      <c r="S16" s="309"/>
      <c r="T16" s="310"/>
      <c r="U16" s="310"/>
      <c r="V16" s="310"/>
      <c r="W16" s="310"/>
      <c r="X16" s="310"/>
      <c r="Y16" s="310"/>
      <c r="Z16" s="311">
        <v>3.99</v>
      </c>
      <c r="AA16" s="311">
        <v>8.48</v>
      </c>
      <c r="AB16" s="311">
        <v>9.99</v>
      </c>
      <c r="AC16" s="311">
        <v>2.9</v>
      </c>
      <c r="AD16" s="311">
        <v>3.6</v>
      </c>
      <c r="AE16" s="311"/>
      <c r="AF16" s="310"/>
      <c r="AG16" s="310"/>
      <c r="AH16" s="245"/>
      <c r="AI16" s="221"/>
      <c r="AJ16" s="249">
        <f t="shared" si="4"/>
        <v>4.97</v>
      </c>
      <c r="AK16" s="153">
        <f t="shared" si="1"/>
        <v>7</v>
      </c>
      <c r="AL16" s="149">
        <f>1100/120*30*12</f>
        <v>3300</v>
      </c>
      <c r="AM16" s="149">
        <f t="shared" si="3"/>
        <v>275</v>
      </c>
      <c r="AN16" s="149">
        <f t="shared" si="2"/>
        <v>1366.75</v>
      </c>
    </row>
    <row r="17" spans="1:40" ht="24.95" customHeight="1" x14ac:dyDescent="0.2">
      <c r="A17" s="230">
        <v>10</v>
      </c>
      <c r="B17" s="307" t="s">
        <v>273</v>
      </c>
      <c r="C17" s="308" t="s">
        <v>132</v>
      </c>
      <c r="D17" s="309"/>
      <c r="E17" s="309"/>
      <c r="F17" s="309"/>
      <c r="G17" s="309"/>
      <c r="H17" s="309"/>
      <c r="I17" s="309"/>
      <c r="J17" s="309"/>
      <c r="K17" s="309"/>
      <c r="L17" s="309"/>
      <c r="M17" s="309"/>
      <c r="N17" s="309"/>
      <c r="O17" s="309"/>
      <c r="P17" s="309"/>
      <c r="Q17" s="309"/>
      <c r="R17" s="309"/>
      <c r="S17" s="309"/>
      <c r="T17" s="310"/>
      <c r="U17" s="310"/>
      <c r="V17" s="310"/>
      <c r="W17" s="310"/>
      <c r="X17" s="310"/>
      <c r="Y17" s="310"/>
      <c r="Z17" s="311">
        <v>9.4</v>
      </c>
      <c r="AA17" s="311">
        <v>9.98</v>
      </c>
      <c r="AB17" s="311">
        <v>10.5</v>
      </c>
      <c r="AC17" s="311">
        <v>11.66</v>
      </c>
      <c r="AD17" s="311">
        <v>10.3</v>
      </c>
      <c r="AE17" s="311">
        <v>11.9</v>
      </c>
      <c r="AF17" s="310"/>
      <c r="AG17" s="310"/>
      <c r="AH17" s="245"/>
      <c r="AI17" s="221"/>
      <c r="AJ17" s="249">
        <f t="shared" si="4"/>
        <v>10.623333333333333</v>
      </c>
      <c r="AK17" s="153">
        <f t="shared" si="1"/>
        <v>6</v>
      </c>
      <c r="AL17" s="149">
        <f>200*12/2</f>
        <v>1200</v>
      </c>
      <c r="AM17" s="149">
        <f t="shared" si="3"/>
        <v>100</v>
      </c>
      <c r="AN17" s="149">
        <f t="shared" si="2"/>
        <v>1062.3333333333333</v>
      </c>
    </row>
    <row r="18" spans="1:40" ht="24.95" customHeight="1" x14ac:dyDescent="0.2">
      <c r="A18" s="230">
        <v>11</v>
      </c>
      <c r="B18" s="313" t="s">
        <v>163</v>
      </c>
      <c r="C18" s="308" t="s">
        <v>132</v>
      </c>
      <c r="D18" s="309"/>
      <c r="E18" s="309"/>
      <c r="F18" s="309"/>
      <c r="G18" s="309"/>
      <c r="H18" s="309"/>
      <c r="I18" s="309"/>
      <c r="J18" s="309"/>
      <c r="K18" s="309">
        <v>10</v>
      </c>
      <c r="L18" s="309"/>
      <c r="M18" s="309"/>
      <c r="N18" s="309"/>
      <c r="O18" s="309"/>
      <c r="P18" s="309"/>
      <c r="Q18" s="309"/>
      <c r="R18" s="309"/>
      <c r="S18" s="309"/>
      <c r="T18" s="310"/>
      <c r="U18" s="310"/>
      <c r="V18" s="310"/>
      <c r="W18" s="310"/>
      <c r="X18" s="310"/>
      <c r="Y18" s="310"/>
      <c r="Z18" s="311">
        <v>10</v>
      </c>
      <c r="AA18" s="311">
        <v>44.85</v>
      </c>
      <c r="AB18" s="311">
        <v>34</v>
      </c>
      <c r="AC18" s="311">
        <v>29.9</v>
      </c>
      <c r="AD18" s="311"/>
      <c r="AE18" s="311"/>
      <c r="AF18" s="310">
        <v>42.61</v>
      </c>
      <c r="AG18" s="310">
        <v>40.15</v>
      </c>
      <c r="AH18" s="245"/>
      <c r="AI18" s="221"/>
      <c r="AJ18" s="249">
        <f t="shared" si="4"/>
        <v>25.75</v>
      </c>
      <c r="AK18" s="153">
        <f t="shared" si="1"/>
        <v>7</v>
      </c>
      <c r="AL18" s="149">
        <f>8*6</f>
        <v>48</v>
      </c>
      <c r="AM18" s="149">
        <f t="shared" si="3"/>
        <v>4</v>
      </c>
      <c r="AN18" s="149">
        <f t="shared" si="2"/>
        <v>103</v>
      </c>
    </row>
    <row r="19" spans="1:40" ht="24.95" customHeight="1" x14ac:dyDescent="0.2">
      <c r="A19" s="230">
        <v>12</v>
      </c>
      <c r="B19" s="307" t="s">
        <v>155</v>
      </c>
      <c r="C19" s="308" t="s">
        <v>132</v>
      </c>
      <c r="D19" s="310"/>
      <c r="E19" s="310"/>
      <c r="F19" s="310"/>
      <c r="G19" s="310"/>
      <c r="H19" s="310"/>
      <c r="I19" s="310"/>
      <c r="J19" s="310"/>
      <c r="K19" s="310"/>
      <c r="L19" s="310"/>
      <c r="M19" s="310"/>
      <c r="N19" s="310"/>
      <c r="O19" s="310"/>
      <c r="P19" s="310"/>
      <c r="Q19" s="310"/>
      <c r="R19" s="310"/>
      <c r="S19" s="310"/>
      <c r="T19" s="310"/>
      <c r="U19" s="310"/>
      <c r="V19" s="310"/>
      <c r="W19" s="310"/>
      <c r="X19" s="310">
        <v>21.26</v>
      </c>
      <c r="Y19" s="310">
        <v>21.1</v>
      </c>
      <c r="Z19" s="311">
        <v>32.86</v>
      </c>
      <c r="AA19" s="311">
        <v>43</v>
      </c>
      <c r="AB19" s="311">
        <v>23.4</v>
      </c>
      <c r="AC19" s="311">
        <v>32</v>
      </c>
      <c r="AD19" s="311">
        <v>27.7</v>
      </c>
      <c r="AE19" s="311"/>
      <c r="AF19" s="310"/>
      <c r="AG19" s="310"/>
      <c r="AH19" s="245"/>
      <c r="AI19" s="221"/>
      <c r="AJ19" s="249">
        <f t="shared" si="4"/>
        <v>28.759999999999998</v>
      </c>
      <c r="AK19" s="153">
        <f t="shared" si="1"/>
        <v>7</v>
      </c>
      <c r="AL19" s="149">
        <f>26*2</f>
        <v>52</v>
      </c>
      <c r="AM19" s="149">
        <f t="shared" si="3"/>
        <v>4.333333333333333</v>
      </c>
      <c r="AN19" s="149">
        <f t="shared" si="2"/>
        <v>124.62666666666665</v>
      </c>
    </row>
    <row r="20" spans="1:40" ht="24.95" customHeight="1" x14ac:dyDescent="0.2">
      <c r="A20" s="230">
        <v>13</v>
      </c>
      <c r="B20" s="307" t="s">
        <v>154</v>
      </c>
      <c r="C20" s="308" t="s">
        <v>132</v>
      </c>
      <c r="D20" s="310"/>
      <c r="E20" s="310"/>
      <c r="F20" s="310"/>
      <c r="G20" s="310"/>
      <c r="H20" s="310">
        <v>19.5</v>
      </c>
      <c r="I20" s="310"/>
      <c r="J20" s="310"/>
      <c r="K20" s="310">
        <v>18.5</v>
      </c>
      <c r="L20" s="310"/>
      <c r="M20" s="310"/>
      <c r="N20" s="310"/>
      <c r="O20" s="310"/>
      <c r="P20" s="310"/>
      <c r="Q20" s="310"/>
      <c r="R20" s="310"/>
      <c r="S20" s="310"/>
      <c r="T20" s="310"/>
      <c r="U20" s="310"/>
      <c r="V20" s="310"/>
      <c r="W20" s="310"/>
      <c r="X20" s="310">
        <v>31.69</v>
      </c>
      <c r="Y20" s="310">
        <v>21.27</v>
      </c>
      <c r="Z20" s="311">
        <v>22.05</v>
      </c>
      <c r="AA20" s="311">
        <v>22.9</v>
      </c>
      <c r="AB20" s="311">
        <v>31</v>
      </c>
      <c r="AC20" s="311">
        <v>24.98</v>
      </c>
      <c r="AD20" s="311">
        <v>32.93</v>
      </c>
      <c r="AE20" s="311">
        <v>23.1</v>
      </c>
      <c r="AF20" s="310"/>
      <c r="AG20" s="310"/>
      <c r="AH20" s="245"/>
      <c r="AI20" s="221"/>
      <c r="AJ20" s="249">
        <f t="shared" si="4"/>
        <v>24.791999999999998</v>
      </c>
      <c r="AK20" s="153">
        <f t="shared" si="1"/>
        <v>10</v>
      </c>
      <c r="AL20" s="149">
        <f>24*2</f>
        <v>48</v>
      </c>
      <c r="AM20" s="149">
        <f t="shared" si="3"/>
        <v>4</v>
      </c>
      <c r="AN20" s="149">
        <f t="shared" si="2"/>
        <v>99.167999999999992</v>
      </c>
    </row>
    <row r="21" spans="1:40" ht="53.25" customHeight="1" x14ac:dyDescent="0.2">
      <c r="A21" s="230">
        <v>14</v>
      </c>
      <c r="B21" s="307" t="s">
        <v>160</v>
      </c>
      <c r="C21" s="308" t="s">
        <v>132</v>
      </c>
      <c r="D21" s="310"/>
      <c r="E21" s="310">
        <v>25.8</v>
      </c>
      <c r="F21" s="310"/>
      <c r="G21" s="310"/>
      <c r="H21" s="310">
        <v>22.99</v>
      </c>
      <c r="I21" s="310"/>
      <c r="J21" s="310"/>
      <c r="K21" s="310">
        <v>19.52</v>
      </c>
      <c r="L21" s="310"/>
      <c r="M21" s="310"/>
      <c r="N21" s="310"/>
      <c r="O21" s="310"/>
      <c r="P21" s="310"/>
      <c r="Q21" s="310"/>
      <c r="R21" s="310"/>
      <c r="S21" s="310"/>
      <c r="T21" s="310"/>
      <c r="U21" s="310"/>
      <c r="V21" s="310">
        <v>43.8</v>
      </c>
      <c r="W21" s="310">
        <v>21.99</v>
      </c>
      <c r="X21" s="310">
        <v>21.87</v>
      </c>
      <c r="Y21" s="310">
        <v>21.11</v>
      </c>
      <c r="Z21" s="311">
        <v>28.4</v>
      </c>
      <c r="AA21" s="311">
        <v>58</v>
      </c>
      <c r="AB21" s="311">
        <v>24.98</v>
      </c>
      <c r="AC21" s="311">
        <v>35.9</v>
      </c>
      <c r="AD21" s="311">
        <v>27.53</v>
      </c>
      <c r="AE21" s="311"/>
      <c r="AF21" s="310"/>
      <c r="AG21" s="310"/>
      <c r="AH21" s="245"/>
      <c r="AI21" s="221"/>
      <c r="AJ21" s="249">
        <f t="shared" si="4"/>
        <v>29.324166666666667</v>
      </c>
      <c r="AK21" s="153">
        <f t="shared" si="1"/>
        <v>12</v>
      </c>
      <c r="AL21" s="149">
        <f>AL20</f>
        <v>48</v>
      </c>
      <c r="AM21" s="149">
        <f t="shared" si="3"/>
        <v>4</v>
      </c>
      <c r="AN21" s="149">
        <f t="shared" si="2"/>
        <v>117.29666666666667</v>
      </c>
    </row>
    <row r="22" spans="1:40" ht="24.95" customHeight="1" x14ac:dyDescent="0.2">
      <c r="A22" s="230">
        <v>15</v>
      </c>
      <c r="B22" s="307" t="s">
        <v>165</v>
      </c>
      <c r="C22" s="308" t="s">
        <v>132</v>
      </c>
      <c r="D22" s="309"/>
      <c r="E22" s="309"/>
      <c r="F22" s="309"/>
      <c r="G22" s="309"/>
      <c r="H22" s="309"/>
      <c r="I22" s="309"/>
      <c r="J22" s="309"/>
      <c r="K22" s="309">
        <v>1.98</v>
      </c>
      <c r="L22" s="309"/>
      <c r="M22" s="309"/>
      <c r="N22" s="309"/>
      <c r="O22" s="309"/>
      <c r="P22" s="309"/>
      <c r="Q22" s="309"/>
      <c r="R22" s="309"/>
      <c r="S22" s="309"/>
      <c r="T22" s="310"/>
      <c r="U22" s="310"/>
      <c r="V22" s="310"/>
      <c r="W22" s="310"/>
      <c r="X22" s="310"/>
      <c r="Y22" s="310"/>
      <c r="Z22" s="311">
        <v>7.99</v>
      </c>
      <c r="AA22" s="311">
        <v>4</v>
      </c>
      <c r="AB22" s="311">
        <v>9.25</v>
      </c>
      <c r="AC22" s="311">
        <v>6.5</v>
      </c>
      <c r="AD22" s="311">
        <v>4.78</v>
      </c>
      <c r="AE22" s="311"/>
      <c r="AF22" s="310"/>
      <c r="AG22" s="310"/>
      <c r="AH22" s="245"/>
      <c r="AI22" s="221"/>
      <c r="AJ22" s="249">
        <f t="shared" si="4"/>
        <v>5.75</v>
      </c>
      <c r="AK22" s="153">
        <f t="shared" si="1"/>
        <v>6</v>
      </c>
      <c r="AL22" s="149">
        <f>8*4</f>
        <v>32</v>
      </c>
      <c r="AM22" s="149">
        <f t="shared" si="3"/>
        <v>2.6666666666666665</v>
      </c>
      <c r="AN22" s="149">
        <f t="shared" si="2"/>
        <v>15.333333333333332</v>
      </c>
    </row>
    <row r="23" spans="1:40" ht="27" customHeight="1" x14ac:dyDescent="0.2">
      <c r="A23" s="230">
        <v>16</v>
      </c>
      <c r="B23" s="307" t="s">
        <v>187</v>
      </c>
      <c r="C23" s="308" t="s">
        <v>132</v>
      </c>
      <c r="D23" s="309"/>
      <c r="E23" s="309"/>
      <c r="F23" s="309"/>
      <c r="G23" s="309"/>
      <c r="H23" s="309"/>
      <c r="I23" s="309"/>
      <c r="J23" s="309"/>
      <c r="K23" s="309"/>
      <c r="L23" s="309"/>
      <c r="M23" s="309"/>
      <c r="N23" s="309"/>
      <c r="O23" s="309"/>
      <c r="P23" s="309"/>
      <c r="Q23" s="309"/>
      <c r="R23" s="309"/>
      <c r="S23" s="309"/>
      <c r="T23" s="310"/>
      <c r="U23" s="310"/>
      <c r="V23" s="310"/>
      <c r="W23" s="310"/>
      <c r="X23" s="310"/>
      <c r="Y23" s="310"/>
      <c r="Z23" s="311">
        <v>20.2</v>
      </c>
      <c r="AA23" s="311">
        <v>16.5</v>
      </c>
      <c r="AB23" s="311">
        <v>22.9</v>
      </c>
      <c r="AC23" s="311">
        <v>9.9</v>
      </c>
      <c r="AD23" s="311">
        <v>13.8</v>
      </c>
      <c r="AE23" s="311">
        <v>40.5</v>
      </c>
      <c r="AF23" s="310"/>
      <c r="AG23" s="310"/>
      <c r="AH23" s="245"/>
      <c r="AI23" s="221"/>
      <c r="AJ23" s="249">
        <f t="shared" si="4"/>
        <v>20.633333333333333</v>
      </c>
      <c r="AK23" s="153">
        <f t="shared" si="1"/>
        <v>6</v>
      </c>
      <c r="AL23" s="149">
        <f>8*2</f>
        <v>16</v>
      </c>
      <c r="AM23" s="149">
        <f t="shared" si="3"/>
        <v>1.3333333333333333</v>
      </c>
      <c r="AN23" s="149">
        <f t="shared" si="2"/>
        <v>27.511111111111109</v>
      </c>
    </row>
    <row r="24" spans="1:40" ht="24.95" customHeight="1" x14ac:dyDescent="0.2">
      <c r="A24" s="230">
        <v>17</v>
      </c>
      <c r="B24" s="307" t="s">
        <v>144</v>
      </c>
      <c r="C24" s="308" t="s">
        <v>132</v>
      </c>
      <c r="D24" s="309"/>
      <c r="E24" s="309"/>
      <c r="F24" s="309">
        <v>9</v>
      </c>
      <c r="G24" s="309"/>
      <c r="H24" s="309">
        <v>3.43</v>
      </c>
      <c r="I24" s="309"/>
      <c r="J24" s="309"/>
      <c r="K24" s="309"/>
      <c r="L24" s="309"/>
      <c r="M24" s="309">
        <v>3.4</v>
      </c>
      <c r="N24" s="309"/>
      <c r="O24" s="309"/>
      <c r="P24" s="309"/>
      <c r="Q24" s="309"/>
      <c r="R24" s="309"/>
      <c r="S24" s="309"/>
      <c r="T24" s="310">
        <v>3.13</v>
      </c>
      <c r="U24" s="310"/>
      <c r="V24" s="310">
        <v>5.17</v>
      </c>
      <c r="W24" s="310"/>
      <c r="X24" s="310"/>
      <c r="Y24" s="310">
        <v>3.12</v>
      </c>
      <c r="Z24" s="311">
        <v>9.5</v>
      </c>
      <c r="AA24" s="311">
        <v>3.4</v>
      </c>
      <c r="AB24" s="311">
        <v>9.5</v>
      </c>
      <c r="AC24" s="311"/>
      <c r="AD24" s="311"/>
      <c r="AE24" s="311"/>
      <c r="AF24" s="310"/>
      <c r="AG24" s="310"/>
      <c r="AH24" s="245"/>
      <c r="AI24" s="221"/>
      <c r="AJ24" s="249">
        <f t="shared" si="4"/>
        <v>5.5166666666666666</v>
      </c>
      <c r="AK24" s="153">
        <f t="shared" si="1"/>
        <v>9</v>
      </c>
      <c r="AL24" s="149">
        <f>8*2</f>
        <v>16</v>
      </c>
      <c r="AM24" s="149">
        <f t="shared" si="3"/>
        <v>1.3333333333333333</v>
      </c>
      <c r="AN24" s="149">
        <f t="shared" si="2"/>
        <v>7.3555555555555552</v>
      </c>
    </row>
    <row r="25" spans="1:40" ht="24.95" customHeight="1" x14ac:dyDescent="0.2">
      <c r="A25" s="230">
        <v>18</v>
      </c>
      <c r="B25" s="307" t="s">
        <v>162</v>
      </c>
      <c r="C25" s="308" t="s">
        <v>132</v>
      </c>
      <c r="D25" s="310">
        <v>0.56000000000000005</v>
      </c>
      <c r="E25" s="310"/>
      <c r="F25" s="310">
        <f>3.98/4</f>
        <v>0.995</v>
      </c>
      <c r="G25" s="310"/>
      <c r="H25" s="310">
        <f>2.14/4</f>
        <v>0.53500000000000003</v>
      </c>
      <c r="I25" s="310">
        <v>0.65</v>
      </c>
      <c r="J25" s="310"/>
      <c r="K25" s="310">
        <v>0.47</v>
      </c>
      <c r="L25" s="310">
        <v>0.56000000000000005</v>
      </c>
      <c r="M25" s="310">
        <v>0.5</v>
      </c>
      <c r="N25" s="310"/>
      <c r="O25" s="310"/>
      <c r="P25" s="310"/>
      <c r="Q25" s="310"/>
      <c r="R25" s="310"/>
      <c r="S25" s="310"/>
      <c r="T25" s="310"/>
      <c r="U25" s="310"/>
      <c r="V25" s="310"/>
      <c r="W25" s="310"/>
      <c r="X25" s="310"/>
      <c r="Y25" s="310">
        <v>0.5</v>
      </c>
      <c r="Z25" s="311">
        <v>0.85</v>
      </c>
      <c r="AA25" s="311">
        <v>0.88</v>
      </c>
      <c r="AB25" s="311">
        <v>0.65</v>
      </c>
      <c r="AC25" s="311">
        <v>0.68</v>
      </c>
      <c r="AD25" s="311"/>
      <c r="AE25" s="311"/>
      <c r="AF25" s="310"/>
      <c r="AG25" s="310"/>
      <c r="AH25" s="245"/>
      <c r="AI25" s="221"/>
      <c r="AJ25" s="249">
        <f t="shared" si="4"/>
        <v>0.65249999999999997</v>
      </c>
      <c r="AK25" s="153">
        <f t="shared" si="1"/>
        <v>12</v>
      </c>
      <c r="AL25" s="149">
        <f>8*6*12</f>
        <v>576</v>
      </c>
      <c r="AM25" s="149">
        <f t="shared" si="3"/>
        <v>48</v>
      </c>
      <c r="AN25" s="149">
        <f t="shared" si="2"/>
        <v>31.32</v>
      </c>
    </row>
    <row r="26" spans="1:40" ht="24.95" customHeight="1" x14ac:dyDescent="0.2">
      <c r="A26" s="230">
        <v>19</v>
      </c>
      <c r="B26" s="307" t="s">
        <v>181</v>
      </c>
      <c r="C26" s="308" t="s">
        <v>132</v>
      </c>
      <c r="D26" s="310"/>
      <c r="E26" s="310"/>
      <c r="F26" s="310">
        <v>1.48</v>
      </c>
      <c r="G26" s="310">
        <v>1.61</v>
      </c>
      <c r="H26" s="310"/>
      <c r="I26" s="310"/>
      <c r="J26" s="310"/>
      <c r="K26" s="310"/>
      <c r="L26" s="310"/>
      <c r="M26" s="310"/>
      <c r="N26" s="310"/>
      <c r="O26" s="310"/>
      <c r="P26" s="310"/>
      <c r="Q26" s="310"/>
      <c r="R26" s="310"/>
      <c r="S26" s="310"/>
      <c r="T26" s="310"/>
      <c r="U26" s="310"/>
      <c r="V26" s="310"/>
      <c r="W26" s="310"/>
      <c r="X26" s="310"/>
      <c r="Y26" s="310"/>
      <c r="Z26" s="311">
        <v>3.35</v>
      </c>
      <c r="AA26" s="311">
        <v>2</v>
      </c>
      <c r="AB26" s="311"/>
      <c r="AC26" s="311"/>
      <c r="AD26" s="311"/>
      <c r="AE26" s="311"/>
      <c r="AF26" s="310">
        <v>3.5</v>
      </c>
      <c r="AG26" s="310">
        <v>2.9</v>
      </c>
      <c r="AH26" s="245">
        <v>2.75</v>
      </c>
      <c r="AI26" s="221">
        <v>2</v>
      </c>
      <c r="AJ26" s="249">
        <f t="shared" si="4"/>
        <v>2.11</v>
      </c>
      <c r="AK26" s="153">
        <f t="shared" si="1"/>
        <v>8</v>
      </c>
      <c r="AL26" s="149"/>
      <c r="AM26" s="149">
        <f t="shared" si="3"/>
        <v>0</v>
      </c>
      <c r="AN26" s="149">
        <f t="shared" si="2"/>
        <v>0</v>
      </c>
    </row>
    <row r="27" spans="1:40" ht="24.95" customHeight="1" x14ac:dyDescent="0.2">
      <c r="A27" s="230">
        <v>20</v>
      </c>
      <c r="B27" s="307" t="s">
        <v>158</v>
      </c>
      <c r="C27" s="308" t="s">
        <v>132</v>
      </c>
      <c r="D27" s="309"/>
      <c r="E27" s="309">
        <v>1.63</v>
      </c>
      <c r="F27" s="309"/>
      <c r="G27" s="309"/>
      <c r="H27" s="309"/>
      <c r="I27" s="309"/>
      <c r="J27" s="309"/>
      <c r="K27" s="309"/>
      <c r="L27" s="309"/>
      <c r="M27" s="309"/>
      <c r="N27" s="309"/>
      <c r="O27" s="309"/>
      <c r="P27" s="309"/>
      <c r="Q27" s="309"/>
      <c r="R27" s="309"/>
      <c r="S27" s="309">
        <v>0.98</v>
      </c>
      <c r="T27" s="310"/>
      <c r="U27" s="310"/>
      <c r="V27" s="310"/>
      <c r="W27" s="310"/>
      <c r="X27" s="310"/>
      <c r="Y27" s="310">
        <v>0.84</v>
      </c>
      <c r="Z27" s="311">
        <v>2.98</v>
      </c>
      <c r="AA27" s="311">
        <v>3.18</v>
      </c>
      <c r="AB27" s="311">
        <v>2.04</v>
      </c>
      <c r="AC27" s="311">
        <v>3.15</v>
      </c>
      <c r="AD27" s="311">
        <v>2.04</v>
      </c>
      <c r="AE27" s="311"/>
      <c r="AF27" s="310"/>
      <c r="AG27" s="310"/>
      <c r="AH27" s="245"/>
      <c r="AI27" s="221"/>
      <c r="AJ27" s="249">
        <f t="shared" si="4"/>
        <v>2.105</v>
      </c>
      <c r="AK27" s="153">
        <f t="shared" si="1"/>
        <v>8</v>
      </c>
      <c r="AL27" s="149">
        <f>4*8*12</f>
        <v>384</v>
      </c>
      <c r="AM27" s="149">
        <f t="shared" si="3"/>
        <v>32</v>
      </c>
      <c r="AN27" s="149">
        <f t="shared" si="2"/>
        <v>67.36</v>
      </c>
    </row>
    <row r="28" spans="1:40" ht="24.95" customHeight="1" x14ac:dyDescent="0.2">
      <c r="A28" s="230">
        <v>21</v>
      </c>
      <c r="B28" s="307" t="s">
        <v>166</v>
      </c>
      <c r="C28" s="308" t="s">
        <v>132</v>
      </c>
      <c r="D28" s="309"/>
      <c r="E28" s="309"/>
      <c r="F28" s="309"/>
      <c r="G28" s="309"/>
      <c r="H28" s="309"/>
      <c r="I28" s="309"/>
      <c r="J28" s="309"/>
      <c r="K28" s="309"/>
      <c r="L28" s="309"/>
      <c r="M28" s="309"/>
      <c r="N28" s="309"/>
      <c r="O28" s="309"/>
      <c r="P28" s="309"/>
      <c r="Q28" s="309"/>
      <c r="R28" s="309"/>
      <c r="S28" s="309"/>
      <c r="T28" s="310"/>
      <c r="U28" s="310"/>
      <c r="V28" s="310"/>
      <c r="W28" s="310"/>
      <c r="X28" s="310"/>
      <c r="Y28" s="310"/>
      <c r="Z28" s="311">
        <v>50</v>
      </c>
      <c r="AA28" s="311">
        <v>9.9499999999999993</v>
      </c>
      <c r="AB28" s="311">
        <v>9.5</v>
      </c>
      <c r="AC28" s="311">
        <v>14.99</v>
      </c>
      <c r="AD28" s="311">
        <v>20.14</v>
      </c>
      <c r="AE28" s="311"/>
      <c r="AF28" s="310"/>
      <c r="AG28" s="310"/>
      <c r="AH28" s="245"/>
      <c r="AI28" s="221"/>
      <c r="AJ28" s="249">
        <f t="shared" si="4"/>
        <v>20.916</v>
      </c>
      <c r="AK28" s="153">
        <f t="shared" si="1"/>
        <v>5</v>
      </c>
      <c r="AL28" s="149"/>
      <c r="AM28" s="149">
        <f t="shared" si="3"/>
        <v>0</v>
      </c>
      <c r="AN28" s="149">
        <f t="shared" si="2"/>
        <v>0</v>
      </c>
    </row>
    <row r="29" spans="1:40" ht="24.95" customHeight="1" x14ac:dyDescent="0.2">
      <c r="A29" s="230">
        <v>22</v>
      </c>
      <c r="B29" s="307" t="s">
        <v>275</v>
      </c>
      <c r="C29" s="308" t="s">
        <v>132</v>
      </c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09"/>
      <c r="T29" s="310"/>
      <c r="U29" s="310"/>
      <c r="V29" s="310"/>
      <c r="W29" s="310"/>
      <c r="X29" s="310"/>
      <c r="Y29" s="310"/>
      <c r="Z29" s="311"/>
      <c r="AA29" s="311"/>
      <c r="AB29" s="311"/>
      <c r="AC29" s="311"/>
      <c r="AD29" s="311"/>
      <c r="AE29" s="311"/>
      <c r="AF29" s="310">
        <v>21.42</v>
      </c>
      <c r="AG29" s="310">
        <v>17.09</v>
      </c>
      <c r="AH29" s="245">
        <v>23.81</v>
      </c>
      <c r="AI29" s="221">
        <v>20.9</v>
      </c>
      <c r="AJ29" s="249">
        <f>AVERAGE(D29:AI29)</f>
        <v>20.805</v>
      </c>
      <c r="AK29" s="153">
        <f t="shared" si="1"/>
        <v>4</v>
      </c>
      <c r="AL29" s="149">
        <f>8*2</f>
        <v>16</v>
      </c>
      <c r="AM29" s="149">
        <f t="shared" si="3"/>
        <v>1.3333333333333333</v>
      </c>
      <c r="AN29" s="149">
        <f t="shared" si="2"/>
        <v>27.74</v>
      </c>
    </row>
    <row r="30" spans="1:40" ht="24.95" customHeight="1" x14ac:dyDescent="0.2">
      <c r="A30" s="230">
        <v>23</v>
      </c>
      <c r="B30" s="307" t="s">
        <v>167</v>
      </c>
      <c r="C30" s="308" t="s">
        <v>132</v>
      </c>
      <c r="D30" s="310"/>
      <c r="E30" s="310"/>
      <c r="F30" s="310"/>
      <c r="G30" s="310">
        <v>2.2200000000000002</v>
      </c>
      <c r="H30" s="310">
        <v>2.25</v>
      </c>
      <c r="I30" s="310"/>
      <c r="J30" s="310"/>
      <c r="K30" s="310">
        <v>1.48</v>
      </c>
      <c r="L30" s="310"/>
      <c r="M30" s="310">
        <v>8.49</v>
      </c>
      <c r="N30" s="310"/>
      <c r="O30" s="310"/>
      <c r="P30" s="310"/>
      <c r="Q30" s="310"/>
      <c r="R30" s="310"/>
      <c r="S30" s="310"/>
      <c r="T30" s="310"/>
      <c r="U30" s="310"/>
      <c r="V30" s="310"/>
      <c r="W30" s="310"/>
      <c r="X30" s="310"/>
      <c r="Y30" s="310"/>
      <c r="Z30" s="311">
        <v>3.45</v>
      </c>
      <c r="AA30" s="311">
        <v>3</v>
      </c>
      <c r="AB30" s="311">
        <v>1.74</v>
      </c>
      <c r="AC30" s="311">
        <v>1.9</v>
      </c>
      <c r="AD30" s="311">
        <v>1.59</v>
      </c>
      <c r="AE30" s="311">
        <v>2.82</v>
      </c>
      <c r="AF30" s="310"/>
      <c r="AG30" s="310"/>
      <c r="AH30" s="245"/>
      <c r="AI30" s="221"/>
      <c r="AJ30" s="249">
        <f t="shared" si="4"/>
        <v>2.8939999999999997</v>
      </c>
      <c r="AK30" s="153">
        <f t="shared" si="1"/>
        <v>10</v>
      </c>
      <c r="AL30" s="149">
        <f>8*3</f>
        <v>24</v>
      </c>
      <c r="AM30" s="149">
        <f t="shared" si="3"/>
        <v>2</v>
      </c>
      <c r="AN30" s="149">
        <f t="shared" si="2"/>
        <v>5.7879999999999994</v>
      </c>
    </row>
    <row r="31" spans="1:40" ht="24.95" customHeight="1" x14ac:dyDescent="0.2">
      <c r="A31" s="230">
        <v>24</v>
      </c>
      <c r="B31" s="307" t="s">
        <v>246</v>
      </c>
      <c r="C31" s="308" t="s">
        <v>132</v>
      </c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09"/>
      <c r="T31" s="310"/>
      <c r="U31" s="310"/>
      <c r="V31" s="310"/>
      <c r="W31" s="310"/>
      <c r="X31" s="310"/>
      <c r="Y31" s="310"/>
      <c r="Z31" s="311">
        <v>14.98</v>
      </c>
      <c r="AA31" s="311">
        <v>15.66</v>
      </c>
      <c r="AB31" s="311">
        <v>19.78</v>
      </c>
      <c r="AC31" s="311"/>
      <c r="AD31" s="311"/>
      <c r="AE31" s="311"/>
      <c r="AF31" s="310">
        <v>15.9</v>
      </c>
      <c r="AG31" s="310">
        <v>19</v>
      </c>
      <c r="AH31" s="245">
        <v>16.940000000000001</v>
      </c>
      <c r="AI31" s="221"/>
      <c r="AJ31" s="249">
        <f t="shared" si="4"/>
        <v>16.806666666666668</v>
      </c>
      <c r="AK31" s="153">
        <f t="shared" si="1"/>
        <v>6</v>
      </c>
      <c r="AL31" s="149">
        <f>8</f>
        <v>8</v>
      </c>
      <c r="AM31" s="149">
        <f t="shared" si="3"/>
        <v>0.66666666666666663</v>
      </c>
      <c r="AN31" s="149">
        <f t="shared" si="2"/>
        <v>11.204444444444444</v>
      </c>
    </row>
    <row r="32" spans="1:40" ht="24.95" customHeight="1" x14ac:dyDescent="0.2">
      <c r="A32" s="230">
        <v>25</v>
      </c>
      <c r="B32" s="307" t="s">
        <v>176</v>
      </c>
      <c r="C32" s="308" t="s">
        <v>132</v>
      </c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09"/>
      <c r="T32" s="310"/>
      <c r="U32" s="310"/>
      <c r="V32" s="310"/>
      <c r="W32" s="310"/>
      <c r="X32" s="310"/>
      <c r="Y32" s="310"/>
      <c r="Z32" s="311">
        <v>23.2</v>
      </c>
      <c r="AA32" s="311">
        <v>17.989999999999998</v>
      </c>
      <c r="AB32" s="311">
        <v>23.9</v>
      </c>
      <c r="AC32" s="311">
        <v>23</v>
      </c>
      <c r="AD32" s="311">
        <v>23.99</v>
      </c>
      <c r="AE32" s="311">
        <v>23</v>
      </c>
      <c r="AF32" s="310"/>
      <c r="AG32" s="310"/>
      <c r="AH32" s="245"/>
      <c r="AI32" s="221"/>
      <c r="AJ32" s="249">
        <f t="shared" si="4"/>
        <v>22.513333333333332</v>
      </c>
      <c r="AK32" s="153">
        <f t="shared" si="1"/>
        <v>6</v>
      </c>
      <c r="AL32" s="149"/>
      <c r="AM32" s="149">
        <f t="shared" si="3"/>
        <v>0</v>
      </c>
      <c r="AN32" s="149">
        <f t="shared" si="2"/>
        <v>0</v>
      </c>
    </row>
    <row r="33" spans="1:40" ht="24.95" customHeight="1" x14ac:dyDescent="0.2">
      <c r="A33" s="230">
        <v>26</v>
      </c>
      <c r="B33" s="307" t="s">
        <v>247</v>
      </c>
      <c r="C33" s="308" t="s">
        <v>132</v>
      </c>
      <c r="D33" s="309"/>
      <c r="E33" s="309"/>
      <c r="F33" s="309"/>
      <c r="G33" s="309"/>
      <c r="H33" s="309"/>
      <c r="I33" s="309"/>
      <c r="J33" s="309"/>
      <c r="K33" s="309"/>
      <c r="L33" s="310"/>
      <c r="M33" s="310"/>
      <c r="N33" s="310"/>
      <c r="O33" s="310"/>
      <c r="P33" s="310"/>
      <c r="Q33" s="310"/>
      <c r="R33" s="310"/>
      <c r="S33" s="310"/>
      <c r="T33" s="310"/>
      <c r="U33" s="310"/>
      <c r="V33" s="310">
        <v>45</v>
      </c>
      <c r="W33" s="310"/>
      <c r="X33" s="310"/>
      <c r="Y33" s="310"/>
      <c r="Z33" s="311">
        <v>55.24</v>
      </c>
      <c r="AA33" s="311">
        <v>40</v>
      </c>
      <c r="AB33" s="311">
        <v>66</v>
      </c>
      <c r="AC33" s="311">
        <v>61.42</v>
      </c>
      <c r="AD33" s="311">
        <v>55</v>
      </c>
      <c r="AE33" s="311">
        <v>112.41</v>
      </c>
      <c r="AF33" s="310"/>
      <c r="AG33" s="310"/>
      <c r="AH33" s="245"/>
      <c r="AI33" s="221"/>
      <c r="AJ33" s="249">
        <f t="shared" si="4"/>
        <v>62.152857142857151</v>
      </c>
      <c r="AK33" s="153">
        <f t="shared" si="1"/>
        <v>7</v>
      </c>
      <c r="AL33" s="149"/>
      <c r="AM33" s="149">
        <f t="shared" si="3"/>
        <v>0</v>
      </c>
      <c r="AN33" s="149">
        <f t="shared" si="2"/>
        <v>0</v>
      </c>
    </row>
    <row r="34" spans="1:40" ht="24.95" customHeight="1" x14ac:dyDescent="0.2">
      <c r="A34" s="230">
        <v>27</v>
      </c>
      <c r="B34" s="307" t="s">
        <v>248</v>
      </c>
      <c r="C34" s="308" t="s">
        <v>132</v>
      </c>
      <c r="D34" s="309"/>
      <c r="E34" s="309"/>
      <c r="F34" s="309"/>
      <c r="G34" s="309"/>
      <c r="H34" s="309"/>
      <c r="I34" s="309"/>
      <c r="J34" s="309"/>
      <c r="K34" s="309"/>
      <c r="L34" s="310"/>
      <c r="M34" s="310"/>
      <c r="N34" s="310"/>
      <c r="O34" s="310"/>
      <c r="P34" s="310"/>
      <c r="Q34" s="310"/>
      <c r="R34" s="310"/>
      <c r="S34" s="310"/>
      <c r="T34" s="310"/>
      <c r="U34" s="310"/>
      <c r="V34" s="310"/>
      <c r="W34" s="310"/>
      <c r="X34" s="310"/>
      <c r="Y34" s="310"/>
      <c r="Z34" s="311">
        <v>72</v>
      </c>
      <c r="AA34" s="311">
        <v>74.02</v>
      </c>
      <c r="AB34" s="311">
        <v>71.819999999999993</v>
      </c>
      <c r="AC34" s="311">
        <v>52.5</v>
      </c>
      <c r="AD34" s="311">
        <v>71.72</v>
      </c>
      <c r="AE34" s="311">
        <v>64.95</v>
      </c>
      <c r="AF34" s="310"/>
      <c r="AG34" s="310"/>
      <c r="AH34" s="245"/>
      <c r="AI34" s="221"/>
      <c r="AJ34" s="249">
        <f t="shared" si="4"/>
        <v>67.834999999999994</v>
      </c>
      <c r="AK34" s="153">
        <f t="shared" si="1"/>
        <v>6</v>
      </c>
      <c r="AL34" s="149">
        <f>7*365/182.5</f>
        <v>14</v>
      </c>
      <c r="AM34" s="149">
        <f t="shared" si="3"/>
        <v>1.1666666666666667</v>
      </c>
      <c r="AN34" s="149">
        <f t="shared" si="2"/>
        <v>79.140833333333333</v>
      </c>
    </row>
    <row r="35" spans="1:40" ht="24.95" customHeight="1" x14ac:dyDescent="0.2">
      <c r="A35" s="230">
        <v>28</v>
      </c>
      <c r="B35" s="307" t="s">
        <v>141</v>
      </c>
      <c r="C35" s="308" t="s">
        <v>132</v>
      </c>
      <c r="D35" s="309">
        <v>42</v>
      </c>
      <c r="E35" s="309"/>
      <c r="F35" s="309"/>
      <c r="G35" s="309"/>
      <c r="H35" s="309"/>
      <c r="I35" s="309"/>
      <c r="J35" s="309"/>
      <c r="K35" s="309"/>
      <c r="L35" s="310">
        <v>41</v>
      </c>
      <c r="M35" s="310"/>
      <c r="N35" s="310"/>
      <c r="O35" s="310"/>
      <c r="P35" s="310"/>
      <c r="Q35" s="310"/>
      <c r="R35" s="310"/>
      <c r="S35" s="310"/>
      <c r="T35" s="310"/>
      <c r="U35" s="310"/>
      <c r="V35" s="310"/>
      <c r="W35" s="310"/>
      <c r="X35" s="310"/>
      <c r="Y35" s="310"/>
      <c r="Z35" s="311">
        <v>68.62</v>
      </c>
      <c r="AA35" s="311">
        <v>55</v>
      </c>
      <c r="AB35" s="311">
        <v>33.450000000000003</v>
      </c>
      <c r="AC35" s="311">
        <v>50.19</v>
      </c>
      <c r="AD35" s="311">
        <v>68.62</v>
      </c>
      <c r="AE35" s="311">
        <v>70.760000000000005</v>
      </c>
      <c r="AF35" s="310"/>
      <c r="AG35" s="310"/>
      <c r="AH35" s="245"/>
      <c r="AI35" s="221"/>
      <c r="AJ35" s="249">
        <f t="shared" si="4"/>
        <v>53.704999999999998</v>
      </c>
      <c r="AK35" s="153">
        <f t="shared" si="1"/>
        <v>8</v>
      </c>
      <c r="AL35" s="149">
        <f>28*365/120</f>
        <v>85.166666666666671</v>
      </c>
      <c r="AM35" s="149">
        <f t="shared" si="3"/>
        <v>7.0972222222222223</v>
      </c>
      <c r="AN35" s="149">
        <f t="shared" si="2"/>
        <v>381.15631944444442</v>
      </c>
    </row>
    <row r="36" spans="1:40" ht="24.95" customHeight="1" x14ac:dyDescent="0.2">
      <c r="A36" s="230">
        <v>29</v>
      </c>
      <c r="B36" s="307" t="s">
        <v>135</v>
      </c>
      <c r="C36" s="308" t="s">
        <v>22</v>
      </c>
      <c r="D36" s="310"/>
      <c r="E36" s="310">
        <v>2.14</v>
      </c>
      <c r="F36" s="310"/>
      <c r="G36" s="310"/>
      <c r="H36" s="310">
        <v>1.7</v>
      </c>
      <c r="I36" s="310"/>
      <c r="J36" s="310">
        <v>5.54</v>
      </c>
      <c r="K36" s="310">
        <v>2.25</v>
      </c>
      <c r="L36" s="309">
        <v>1.75</v>
      </c>
      <c r="M36" s="310"/>
      <c r="N36" s="310"/>
      <c r="O36" s="310">
        <v>4.54</v>
      </c>
      <c r="P36" s="310"/>
      <c r="Q36" s="310"/>
      <c r="R36" s="310"/>
      <c r="S36" s="310"/>
      <c r="T36" s="310"/>
      <c r="U36" s="310"/>
      <c r="V36" s="310"/>
      <c r="W36" s="310"/>
      <c r="X36" s="310">
        <v>1.67</v>
      </c>
      <c r="Y36" s="310"/>
      <c r="Z36" s="311">
        <v>2.9</v>
      </c>
      <c r="AA36" s="311">
        <v>2.56</v>
      </c>
      <c r="AB36" s="311">
        <v>1.68</v>
      </c>
      <c r="AC36" s="311"/>
      <c r="AD36" s="311"/>
      <c r="AE36" s="311"/>
      <c r="AF36" s="310"/>
      <c r="AG36" s="310"/>
      <c r="AH36" s="245"/>
      <c r="AI36" s="221"/>
      <c r="AJ36" s="249">
        <f t="shared" si="4"/>
        <v>2.6729999999999992</v>
      </c>
      <c r="AK36" s="153">
        <f t="shared" si="1"/>
        <v>10</v>
      </c>
      <c r="AL36" s="149"/>
      <c r="AM36" s="149">
        <f t="shared" si="3"/>
        <v>0</v>
      </c>
      <c r="AN36" s="149">
        <f t="shared" si="2"/>
        <v>0</v>
      </c>
    </row>
    <row r="37" spans="1:40" ht="24.95" customHeight="1" x14ac:dyDescent="0.2">
      <c r="A37" s="230">
        <v>30</v>
      </c>
      <c r="B37" s="307" t="s">
        <v>136</v>
      </c>
      <c r="C37" s="308" t="s">
        <v>22</v>
      </c>
      <c r="D37" s="310"/>
      <c r="E37" s="310"/>
      <c r="F37" s="310">
        <v>2.71</v>
      </c>
      <c r="G37" s="310"/>
      <c r="H37" s="310">
        <v>1.7</v>
      </c>
      <c r="I37" s="310"/>
      <c r="J37" s="310">
        <v>5.54</v>
      </c>
      <c r="K37" s="310">
        <v>2.25</v>
      </c>
      <c r="L37" s="310">
        <v>1.75</v>
      </c>
      <c r="M37" s="310"/>
      <c r="N37" s="310"/>
      <c r="O37" s="310">
        <v>4.54</v>
      </c>
      <c r="P37" s="310"/>
      <c r="Q37" s="310"/>
      <c r="R37" s="310"/>
      <c r="S37" s="310"/>
      <c r="T37" s="310"/>
      <c r="U37" s="310"/>
      <c r="V37" s="310"/>
      <c r="W37" s="310"/>
      <c r="X37" s="310">
        <v>1.67</v>
      </c>
      <c r="Y37" s="310"/>
      <c r="Z37" s="311">
        <v>2.0299999999999998</v>
      </c>
      <c r="AA37" s="311">
        <v>2.9</v>
      </c>
      <c r="AB37" s="311">
        <v>2.56</v>
      </c>
      <c r="AC37" s="311">
        <v>3.5</v>
      </c>
      <c r="AD37" s="311">
        <v>1.68</v>
      </c>
      <c r="AE37" s="311"/>
      <c r="AF37" s="310"/>
      <c r="AG37" s="310"/>
      <c r="AH37" s="245"/>
      <c r="AI37" s="221"/>
      <c r="AJ37" s="249">
        <f t="shared" si="4"/>
        <v>2.7358333333333333</v>
      </c>
      <c r="AK37" s="153">
        <f t="shared" si="1"/>
        <v>12</v>
      </c>
      <c r="AL37" s="149"/>
      <c r="AM37" s="149">
        <f t="shared" si="3"/>
        <v>0</v>
      </c>
      <c r="AN37" s="149">
        <f t="shared" si="2"/>
        <v>0</v>
      </c>
    </row>
    <row r="38" spans="1:40" s="137" customFormat="1" ht="24.95" customHeight="1" x14ac:dyDescent="0.2">
      <c r="A38" s="230">
        <v>31</v>
      </c>
      <c r="B38" s="307" t="s">
        <v>188</v>
      </c>
      <c r="C38" s="308" t="s">
        <v>132</v>
      </c>
      <c r="D38" s="309"/>
      <c r="E38" s="309"/>
      <c r="F38" s="309"/>
      <c r="G38" s="309"/>
      <c r="H38" s="309">
        <v>4.8899999999999997</v>
      </c>
      <c r="I38" s="309"/>
      <c r="J38" s="309"/>
      <c r="K38" s="309">
        <v>3.5</v>
      </c>
      <c r="L38" s="309"/>
      <c r="M38" s="309">
        <v>4.0999999999999996</v>
      </c>
      <c r="N38" s="309"/>
      <c r="O38" s="309"/>
      <c r="P38" s="309"/>
      <c r="Q38" s="309"/>
      <c r="R38" s="309"/>
      <c r="S38" s="309"/>
      <c r="T38" s="312">
        <v>3.91</v>
      </c>
      <c r="U38" s="312"/>
      <c r="V38" s="312">
        <v>7.69</v>
      </c>
      <c r="W38" s="312"/>
      <c r="X38" s="312"/>
      <c r="Y38" s="312"/>
      <c r="Z38" s="314"/>
      <c r="AA38" s="314"/>
      <c r="AB38" s="314"/>
      <c r="AC38" s="314"/>
      <c r="AD38" s="314"/>
      <c r="AE38" s="314"/>
      <c r="AF38" s="312"/>
      <c r="AG38" s="312"/>
      <c r="AH38" s="246"/>
      <c r="AI38" s="224"/>
      <c r="AJ38" s="249">
        <f t="shared" si="4"/>
        <v>4.8179999999999996</v>
      </c>
      <c r="AK38" s="153">
        <f t="shared" si="1"/>
        <v>5</v>
      </c>
      <c r="AL38" s="265">
        <f>8*2</f>
        <v>16</v>
      </c>
      <c r="AM38" s="149">
        <f t="shared" si="3"/>
        <v>1.3333333333333333</v>
      </c>
      <c r="AN38" s="149">
        <f t="shared" si="2"/>
        <v>6.4239999999999995</v>
      </c>
    </row>
    <row r="39" spans="1:40" ht="24.95" customHeight="1" x14ac:dyDescent="0.2">
      <c r="A39" s="230">
        <v>32</v>
      </c>
      <c r="B39" s="307" t="s">
        <v>272</v>
      </c>
      <c r="C39" s="308" t="s">
        <v>132</v>
      </c>
      <c r="D39" s="309"/>
      <c r="E39" s="315"/>
      <c r="F39" s="315"/>
      <c r="G39" s="315"/>
      <c r="H39" s="315"/>
      <c r="I39" s="315"/>
      <c r="J39" s="315"/>
      <c r="K39" s="309">
        <v>0.99</v>
      </c>
      <c r="L39" s="309">
        <v>1.7</v>
      </c>
      <c r="M39" s="309"/>
      <c r="N39" s="309"/>
      <c r="O39" s="309"/>
      <c r="P39" s="309"/>
      <c r="Q39" s="309"/>
      <c r="R39" s="309"/>
      <c r="S39" s="309"/>
      <c r="T39" s="310"/>
      <c r="U39" s="310"/>
      <c r="V39" s="310"/>
      <c r="W39" s="310"/>
      <c r="X39" s="310"/>
      <c r="Y39" s="310"/>
      <c r="Z39" s="311">
        <v>1.45</v>
      </c>
      <c r="AA39" s="311">
        <v>1.04</v>
      </c>
      <c r="AB39" s="311">
        <v>0.99</v>
      </c>
      <c r="AC39" s="311">
        <f>1.88/2</f>
        <v>0.94</v>
      </c>
      <c r="AD39" s="311">
        <v>1.2</v>
      </c>
      <c r="AE39" s="311">
        <v>1.32</v>
      </c>
      <c r="AF39" s="310"/>
      <c r="AG39" s="310"/>
      <c r="AH39" s="245"/>
      <c r="AI39" s="221"/>
      <c r="AJ39" s="249">
        <f t="shared" si="4"/>
        <v>1.2037499999999999</v>
      </c>
      <c r="AK39" s="153">
        <f t="shared" si="1"/>
        <v>8</v>
      </c>
      <c r="AL39" s="149">
        <f>8*2*12</f>
        <v>192</v>
      </c>
      <c r="AM39" s="149">
        <f t="shared" si="3"/>
        <v>16</v>
      </c>
      <c r="AN39" s="149">
        <f t="shared" si="2"/>
        <v>19.259999999999998</v>
      </c>
    </row>
    <row r="40" spans="1:40" ht="24.95" customHeight="1" x14ac:dyDescent="0.2">
      <c r="A40" s="230">
        <v>33</v>
      </c>
      <c r="B40" s="307" t="s">
        <v>186</v>
      </c>
      <c r="C40" s="308" t="s">
        <v>132</v>
      </c>
      <c r="D40" s="309">
        <v>7.27</v>
      </c>
      <c r="E40" s="309"/>
      <c r="F40" s="309"/>
      <c r="G40" s="309"/>
      <c r="H40" s="309">
        <v>2</v>
      </c>
      <c r="I40" s="309"/>
      <c r="J40" s="309"/>
      <c r="K40" s="309">
        <f>7.12/3</f>
        <v>2.3733333333333335</v>
      </c>
      <c r="L40" s="309"/>
      <c r="M40" s="309"/>
      <c r="N40" s="309"/>
      <c r="O40" s="309"/>
      <c r="P40" s="309"/>
      <c r="Q40" s="309"/>
      <c r="R40" s="309"/>
      <c r="S40" s="309"/>
      <c r="T40" s="310"/>
      <c r="U40" s="310"/>
      <c r="V40" s="310"/>
      <c r="W40" s="310"/>
      <c r="X40" s="310"/>
      <c r="Y40" s="310"/>
      <c r="Z40" s="311">
        <v>4.29</v>
      </c>
      <c r="AA40" s="311">
        <v>1.7</v>
      </c>
      <c r="AB40" s="311">
        <v>1.95</v>
      </c>
      <c r="AC40" s="311">
        <v>1.41</v>
      </c>
      <c r="AD40" s="311"/>
      <c r="AE40" s="311"/>
      <c r="AF40" s="310"/>
      <c r="AG40" s="310"/>
      <c r="AH40" s="245"/>
      <c r="AI40" s="221"/>
      <c r="AJ40" s="249">
        <f t="shared" si="4"/>
        <v>2.999047619047619</v>
      </c>
      <c r="AK40" s="153">
        <f t="shared" si="1"/>
        <v>7</v>
      </c>
      <c r="AL40" s="149"/>
      <c r="AM40" s="149">
        <f t="shared" si="3"/>
        <v>0</v>
      </c>
      <c r="AN40" s="149">
        <f t="shared" si="2"/>
        <v>0</v>
      </c>
    </row>
    <row r="41" spans="1:40" ht="24.95" customHeight="1" x14ac:dyDescent="0.2">
      <c r="A41" s="230">
        <v>34</v>
      </c>
      <c r="B41" s="307" t="s">
        <v>133</v>
      </c>
      <c r="C41" s="308" t="s">
        <v>132</v>
      </c>
      <c r="D41" s="309">
        <v>2.4</v>
      </c>
      <c r="E41" s="309">
        <v>3.35</v>
      </c>
      <c r="F41" s="309"/>
      <c r="G41" s="309"/>
      <c r="H41" s="309">
        <v>2.5</v>
      </c>
      <c r="I41" s="309">
        <v>4.29</v>
      </c>
      <c r="J41" s="309"/>
      <c r="K41" s="309">
        <v>2.57</v>
      </c>
      <c r="L41" s="309"/>
      <c r="M41" s="309">
        <v>4.09</v>
      </c>
      <c r="N41" s="309"/>
      <c r="O41" s="309"/>
      <c r="P41" s="309"/>
      <c r="Q41" s="309"/>
      <c r="R41" s="309"/>
      <c r="S41" s="309"/>
      <c r="T41" s="310"/>
      <c r="U41" s="310"/>
      <c r="V41" s="310">
        <v>6.26</v>
      </c>
      <c r="W41" s="310"/>
      <c r="X41" s="310"/>
      <c r="Y41" s="310">
        <v>2.5</v>
      </c>
      <c r="Z41" s="311">
        <v>4.29</v>
      </c>
      <c r="AA41" s="311">
        <v>5.07</v>
      </c>
      <c r="AB41" s="311">
        <v>2.2599999999999998</v>
      </c>
      <c r="AC41" s="311">
        <v>3.92</v>
      </c>
      <c r="AD41" s="311"/>
      <c r="AE41" s="311"/>
      <c r="AF41" s="310"/>
      <c r="AG41" s="310"/>
      <c r="AH41" s="245"/>
      <c r="AI41" s="221"/>
      <c r="AJ41" s="249">
        <f t="shared" si="4"/>
        <v>3.625</v>
      </c>
      <c r="AK41" s="153">
        <f t="shared" si="1"/>
        <v>12</v>
      </c>
      <c r="AL41" s="149">
        <f>8*8*12</f>
        <v>768</v>
      </c>
      <c r="AM41" s="149">
        <f t="shared" si="3"/>
        <v>64</v>
      </c>
      <c r="AN41" s="149">
        <f t="shared" si="2"/>
        <v>232</v>
      </c>
    </row>
    <row r="42" spans="1:40" ht="24.95" customHeight="1" x14ac:dyDescent="0.2">
      <c r="A42" s="230">
        <v>35</v>
      </c>
      <c r="B42" s="307" t="s">
        <v>159</v>
      </c>
      <c r="C42" s="308" t="s">
        <v>168</v>
      </c>
      <c r="D42" s="309">
        <v>43.15</v>
      </c>
      <c r="E42" s="309"/>
      <c r="F42" s="309"/>
      <c r="G42" s="309"/>
      <c r="H42" s="309"/>
      <c r="I42" s="309"/>
      <c r="J42" s="309"/>
      <c r="K42" s="309">
        <v>26.73</v>
      </c>
      <c r="L42" s="310"/>
      <c r="M42" s="310"/>
      <c r="N42" s="310"/>
      <c r="O42" s="310"/>
      <c r="P42" s="310"/>
      <c r="Q42" s="310"/>
      <c r="R42" s="310"/>
      <c r="S42" s="310"/>
      <c r="T42" s="310"/>
      <c r="U42" s="310"/>
      <c r="V42" s="310"/>
      <c r="W42" s="310"/>
      <c r="X42" s="310"/>
      <c r="Y42" s="310">
        <v>34.69</v>
      </c>
      <c r="Z42" s="311">
        <v>29.08</v>
      </c>
      <c r="AA42" s="311">
        <v>49</v>
      </c>
      <c r="AB42" s="311">
        <v>26</v>
      </c>
      <c r="AC42" s="311">
        <v>24</v>
      </c>
      <c r="AD42" s="311">
        <v>29.9</v>
      </c>
      <c r="AE42" s="311">
        <v>71.150000000000006</v>
      </c>
      <c r="AF42" s="310"/>
      <c r="AG42" s="310"/>
      <c r="AH42" s="245"/>
      <c r="AI42" s="221"/>
      <c r="AJ42" s="249">
        <f t="shared" si="4"/>
        <v>37.077777777777769</v>
      </c>
      <c r="AK42" s="153">
        <f t="shared" si="1"/>
        <v>9</v>
      </c>
      <c r="AL42" s="149">
        <f>20*26*12/8</f>
        <v>780</v>
      </c>
      <c r="AM42" s="149">
        <f t="shared" si="3"/>
        <v>65</v>
      </c>
      <c r="AN42" s="149">
        <f t="shared" si="2"/>
        <v>2410.0555555555547</v>
      </c>
    </row>
    <row r="43" spans="1:40" ht="24.95" customHeight="1" x14ac:dyDescent="0.2">
      <c r="A43" s="230">
        <v>36</v>
      </c>
      <c r="B43" s="307" t="s">
        <v>183</v>
      </c>
      <c r="C43" s="308" t="s">
        <v>134</v>
      </c>
      <c r="D43" s="309">
        <v>55.28</v>
      </c>
      <c r="E43" s="309"/>
      <c r="F43" s="309">
        <v>23.8</v>
      </c>
      <c r="G43" s="309"/>
      <c r="H43" s="309">
        <v>7.37</v>
      </c>
      <c r="I43" s="309"/>
      <c r="J43" s="309"/>
      <c r="K43" s="309">
        <v>29.2</v>
      </c>
      <c r="L43" s="310">
        <v>7.24</v>
      </c>
      <c r="M43" s="310"/>
      <c r="N43" s="310"/>
      <c r="O43" s="310"/>
      <c r="P43" s="310"/>
      <c r="Q43" s="310"/>
      <c r="R43" s="310"/>
      <c r="S43" s="310"/>
      <c r="T43" s="310"/>
      <c r="U43" s="310"/>
      <c r="V43" s="310"/>
      <c r="W43" s="310"/>
      <c r="X43" s="310"/>
      <c r="Y43" s="310">
        <v>29.7</v>
      </c>
      <c r="Z43" s="311">
        <v>19.399999999999999</v>
      </c>
      <c r="AA43" s="311">
        <v>7.24</v>
      </c>
      <c r="AB43" s="311">
        <v>6.35</v>
      </c>
      <c r="AC43" s="311">
        <v>8.25</v>
      </c>
      <c r="AD43" s="311">
        <v>6.85</v>
      </c>
      <c r="AE43" s="311">
        <v>6.2</v>
      </c>
      <c r="AF43" s="310"/>
      <c r="AG43" s="310"/>
      <c r="AH43" s="245"/>
      <c r="AI43" s="221"/>
      <c r="AJ43" s="249">
        <f t="shared" si="4"/>
        <v>17.239999999999998</v>
      </c>
      <c r="AK43" s="153">
        <f t="shared" si="1"/>
        <v>12</v>
      </c>
      <c r="AL43" s="149">
        <f>320/4*12</f>
        <v>960</v>
      </c>
      <c r="AM43" s="149">
        <f t="shared" si="3"/>
        <v>80</v>
      </c>
      <c r="AN43" s="149">
        <f t="shared" si="2"/>
        <v>1379.1999999999998</v>
      </c>
    </row>
    <row r="44" spans="1:40" s="137" customFormat="1" ht="24.95" customHeight="1" x14ac:dyDescent="0.2">
      <c r="A44" s="230">
        <v>37</v>
      </c>
      <c r="B44" s="307" t="s">
        <v>196</v>
      </c>
      <c r="C44" s="308" t="s">
        <v>132</v>
      </c>
      <c r="D44" s="309"/>
      <c r="E44" s="309"/>
      <c r="F44" s="309"/>
      <c r="G44" s="309"/>
      <c r="H44" s="309"/>
      <c r="I44" s="309"/>
      <c r="J44" s="309"/>
      <c r="K44" s="309">
        <v>7.76</v>
      </c>
      <c r="L44" s="309"/>
      <c r="M44" s="309"/>
      <c r="N44" s="309"/>
      <c r="O44" s="309"/>
      <c r="P44" s="309"/>
      <c r="Q44" s="309"/>
      <c r="R44" s="309"/>
      <c r="S44" s="309"/>
      <c r="T44" s="312"/>
      <c r="U44" s="312"/>
      <c r="V44" s="312"/>
      <c r="W44" s="312"/>
      <c r="X44" s="312"/>
      <c r="Y44" s="312"/>
      <c r="Z44" s="314">
        <v>7</v>
      </c>
      <c r="AA44" s="314">
        <v>7</v>
      </c>
      <c r="AB44" s="314">
        <v>9.25</v>
      </c>
      <c r="AC44" s="314">
        <v>11.17</v>
      </c>
      <c r="AD44" s="314">
        <v>8.4499999999999993</v>
      </c>
      <c r="AE44" s="314">
        <v>10.1</v>
      </c>
      <c r="AF44" s="312"/>
      <c r="AG44" s="312"/>
      <c r="AH44" s="246"/>
      <c r="AI44" s="224"/>
      <c r="AJ44" s="249">
        <f t="shared" si="4"/>
        <v>8.6757142857142853</v>
      </c>
      <c r="AK44" s="153">
        <f t="shared" si="1"/>
        <v>7</v>
      </c>
      <c r="AL44" s="265">
        <f>8*12</f>
        <v>96</v>
      </c>
      <c r="AM44" s="149">
        <f t="shared" si="3"/>
        <v>8</v>
      </c>
      <c r="AN44" s="149">
        <f t="shared" si="2"/>
        <v>69.405714285714282</v>
      </c>
    </row>
    <row r="45" spans="1:40" ht="24.95" customHeight="1" x14ac:dyDescent="0.2">
      <c r="A45" s="230">
        <v>38</v>
      </c>
      <c r="B45" s="307" t="s">
        <v>193</v>
      </c>
      <c r="C45" s="308" t="s">
        <v>132</v>
      </c>
      <c r="D45" s="309">
        <v>6</v>
      </c>
      <c r="E45" s="309"/>
      <c r="F45" s="315"/>
      <c r="G45" s="315"/>
      <c r="H45" s="309">
        <v>6.49</v>
      </c>
      <c r="I45" s="315"/>
      <c r="J45" s="315"/>
      <c r="K45" s="309">
        <v>4.78</v>
      </c>
      <c r="L45" s="309">
        <v>5.5</v>
      </c>
      <c r="M45" s="309">
        <v>6</v>
      </c>
      <c r="N45" s="309"/>
      <c r="O45" s="309"/>
      <c r="P45" s="309"/>
      <c r="Q45" s="309"/>
      <c r="R45" s="309"/>
      <c r="S45" s="309"/>
      <c r="T45" s="309">
        <v>5.16</v>
      </c>
      <c r="U45" s="309"/>
      <c r="V45" s="310">
        <v>5.15</v>
      </c>
      <c r="W45" s="310"/>
      <c r="X45" s="310"/>
      <c r="Y45" s="310"/>
      <c r="Z45" s="311">
        <v>5.99</v>
      </c>
      <c r="AA45" s="311">
        <v>4.8</v>
      </c>
      <c r="AB45" s="311">
        <v>9.11</v>
      </c>
      <c r="AC45" s="311">
        <v>5.13</v>
      </c>
      <c r="AD45" s="311">
        <v>5.34</v>
      </c>
      <c r="AE45" s="311"/>
      <c r="AF45" s="310"/>
      <c r="AG45" s="310"/>
      <c r="AH45" s="245"/>
      <c r="AI45" s="221"/>
      <c r="AJ45" s="249">
        <f t="shared" si="4"/>
        <v>5.7875000000000005</v>
      </c>
      <c r="AK45" s="153">
        <f t="shared" si="1"/>
        <v>12</v>
      </c>
      <c r="AL45" s="149">
        <f>8*4</f>
        <v>32</v>
      </c>
      <c r="AM45" s="149">
        <f t="shared" si="3"/>
        <v>2.6666666666666665</v>
      </c>
      <c r="AN45" s="149">
        <f t="shared" si="2"/>
        <v>15.433333333333334</v>
      </c>
    </row>
    <row r="46" spans="1:40" ht="24.95" customHeight="1" x14ac:dyDescent="0.2">
      <c r="A46" s="230">
        <v>39</v>
      </c>
      <c r="B46" s="307" t="s">
        <v>195</v>
      </c>
      <c r="C46" s="308" t="s">
        <v>132</v>
      </c>
      <c r="D46" s="310"/>
      <c r="E46" s="310"/>
      <c r="F46" s="310"/>
      <c r="G46" s="310"/>
      <c r="H46" s="310"/>
      <c r="I46" s="310"/>
      <c r="J46" s="310"/>
      <c r="K46" s="310"/>
      <c r="L46" s="310"/>
      <c r="M46" s="310"/>
      <c r="N46" s="310"/>
      <c r="O46" s="310"/>
      <c r="P46" s="310"/>
      <c r="Q46" s="310"/>
      <c r="R46" s="310"/>
      <c r="S46" s="310"/>
      <c r="T46" s="310"/>
      <c r="U46" s="310"/>
      <c r="V46" s="310"/>
      <c r="W46" s="310"/>
      <c r="X46" s="310"/>
      <c r="Y46" s="310">
        <v>3.56</v>
      </c>
      <c r="Z46" s="311">
        <v>9.76</v>
      </c>
      <c r="AA46" s="311">
        <v>7.7</v>
      </c>
      <c r="AB46" s="311">
        <v>10.1</v>
      </c>
      <c r="AC46" s="311">
        <v>10.99</v>
      </c>
      <c r="AD46" s="311">
        <v>11.23</v>
      </c>
      <c r="AE46" s="311">
        <v>10.8</v>
      </c>
      <c r="AF46" s="310"/>
      <c r="AG46" s="310"/>
      <c r="AH46" s="245"/>
      <c r="AI46" s="221"/>
      <c r="AJ46" s="249">
        <f t="shared" si="4"/>
        <v>9.1628571428571437</v>
      </c>
      <c r="AK46" s="153">
        <f t="shared" si="1"/>
        <v>7</v>
      </c>
      <c r="AL46" s="149"/>
      <c r="AM46" s="149">
        <f t="shared" si="3"/>
        <v>0</v>
      </c>
      <c r="AN46" s="149">
        <f t="shared" si="2"/>
        <v>0</v>
      </c>
    </row>
    <row r="47" spans="1:40" ht="24.95" customHeight="1" x14ac:dyDescent="0.2">
      <c r="A47" s="230">
        <v>40</v>
      </c>
      <c r="B47" s="307" t="s">
        <v>145</v>
      </c>
      <c r="C47" s="308" t="s">
        <v>131</v>
      </c>
      <c r="D47" s="309">
        <v>24.72</v>
      </c>
      <c r="E47" s="309"/>
      <c r="F47" s="309">
        <v>48.8</v>
      </c>
      <c r="G47" s="309"/>
      <c r="H47" s="309">
        <v>17.899999999999999</v>
      </c>
      <c r="I47" s="309"/>
      <c r="J47" s="309"/>
      <c r="K47" s="309"/>
      <c r="L47" s="309"/>
      <c r="M47" s="309">
        <f>10*1.75</f>
        <v>17.5</v>
      </c>
      <c r="N47" s="309"/>
      <c r="O47" s="309"/>
      <c r="P47" s="309"/>
      <c r="Q47" s="309"/>
      <c r="R47" s="309"/>
      <c r="S47" s="309"/>
      <c r="T47" s="310"/>
      <c r="U47" s="310"/>
      <c r="V47" s="310"/>
      <c r="W47" s="310"/>
      <c r="X47" s="310"/>
      <c r="Y47" s="310"/>
      <c r="Z47" s="311">
        <v>17.7</v>
      </c>
      <c r="AA47" s="311">
        <v>32</v>
      </c>
      <c r="AB47" s="311">
        <v>25.07</v>
      </c>
      <c r="AC47" s="311">
        <v>27.64</v>
      </c>
      <c r="AD47" s="311">
        <v>23.13</v>
      </c>
      <c r="AE47" s="311">
        <v>28.18</v>
      </c>
      <c r="AF47" s="310"/>
      <c r="AG47" s="310"/>
      <c r="AH47" s="245"/>
      <c r="AI47" s="221"/>
      <c r="AJ47" s="249">
        <f t="shared" si="4"/>
        <v>26.263999999999999</v>
      </c>
      <c r="AK47" s="153">
        <f t="shared" si="1"/>
        <v>10</v>
      </c>
      <c r="AL47" s="149">
        <v>110</v>
      </c>
      <c r="AM47" s="149">
        <f t="shared" si="3"/>
        <v>9.1666666666666661</v>
      </c>
      <c r="AN47" s="149">
        <f t="shared" si="2"/>
        <v>240.7533333333333</v>
      </c>
    </row>
    <row r="48" spans="1:40" ht="24.95" customHeight="1" x14ac:dyDescent="0.2">
      <c r="A48" s="230">
        <v>41</v>
      </c>
      <c r="B48" s="307" t="s">
        <v>143</v>
      </c>
      <c r="C48" s="308" t="s">
        <v>131</v>
      </c>
      <c r="D48" s="309"/>
      <c r="E48" s="309"/>
      <c r="F48" s="309"/>
      <c r="G48" s="309"/>
      <c r="H48" s="309">
        <v>9.3000000000000007</v>
      </c>
      <c r="I48" s="309">
        <v>11.39</v>
      </c>
      <c r="J48" s="309"/>
      <c r="K48" s="309"/>
      <c r="L48" s="309"/>
      <c r="M48" s="309">
        <v>11.8</v>
      </c>
      <c r="N48" s="309"/>
      <c r="O48" s="309"/>
      <c r="P48" s="309"/>
      <c r="Q48" s="309"/>
      <c r="R48" s="309"/>
      <c r="S48" s="309"/>
      <c r="T48" s="310"/>
      <c r="U48" s="310"/>
      <c r="V48" s="310">
        <v>6.35</v>
      </c>
      <c r="W48" s="310"/>
      <c r="X48" s="310"/>
      <c r="Y48" s="310"/>
      <c r="Z48" s="311">
        <v>10.5</v>
      </c>
      <c r="AA48" s="311">
        <v>17.649999999999999</v>
      </c>
      <c r="AB48" s="311">
        <v>13.17</v>
      </c>
      <c r="AC48" s="311"/>
      <c r="AD48" s="311"/>
      <c r="AE48" s="311"/>
      <c r="AF48" s="310"/>
      <c r="AG48" s="310"/>
      <c r="AH48" s="245"/>
      <c r="AI48" s="221"/>
      <c r="AJ48" s="249">
        <f t="shared" si="4"/>
        <v>11.451428571428574</v>
      </c>
      <c r="AK48" s="153">
        <f t="shared" si="1"/>
        <v>7</v>
      </c>
      <c r="AL48" s="149"/>
      <c r="AM48" s="149">
        <f t="shared" si="3"/>
        <v>0</v>
      </c>
      <c r="AN48" s="149">
        <f t="shared" si="2"/>
        <v>0</v>
      </c>
    </row>
    <row r="49" spans="1:40" ht="24.95" customHeight="1" x14ac:dyDescent="0.2">
      <c r="A49" s="230">
        <v>42</v>
      </c>
      <c r="B49" s="307" t="s">
        <v>142</v>
      </c>
      <c r="C49" s="308" t="s">
        <v>131</v>
      </c>
      <c r="D49" s="309"/>
      <c r="E49" s="309"/>
      <c r="F49" s="309">
        <v>33.22</v>
      </c>
      <c r="G49" s="309"/>
      <c r="H49" s="309">
        <v>11.9</v>
      </c>
      <c r="I49" s="309">
        <v>19.09</v>
      </c>
      <c r="J49" s="309"/>
      <c r="K49" s="309"/>
      <c r="L49" s="309">
        <f>0.15*100</f>
        <v>15</v>
      </c>
      <c r="M49" s="309">
        <f>10*1.33</f>
        <v>13.3</v>
      </c>
      <c r="N49" s="309"/>
      <c r="O49" s="309"/>
      <c r="P49" s="309"/>
      <c r="Q49" s="309"/>
      <c r="R49" s="309"/>
      <c r="S49" s="309"/>
      <c r="T49" s="310"/>
      <c r="U49" s="310"/>
      <c r="V49" s="310">
        <v>10.15</v>
      </c>
      <c r="W49" s="310"/>
      <c r="X49" s="310"/>
      <c r="Y49" s="310"/>
      <c r="Z49" s="311">
        <v>25</v>
      </c>
      <c r="AA49" s="311"/>
      <c r="AB49" s="311"/>
      <c r="AC49" s="311"/>
      <c r="AD49" s="311"/>
      <c r="AE49" s="311"/>
      <c r="AF49" s="310"/>
      <c r="AG49" s="310"/>
      <c r="AH49" s="245"/>
      <c r="AI49" s="221"/>
      <c r="AJ49" s="249">
        <f t="shared" si="4"/>
        <v>18.237142857142857</v>
      </c>
      <c r="AK49" s="153">
        <f t="shared" si="1"/>
        <v>7</v>
      </c>
      <c r="AL49" s="149">
        <v>115</v>
      </c>
      <c r="AM49" s="149">
        <f t="shared" si="3"/>
        <v>9.5833333333333339</v>
      </c>
      <c r="AN49" s="149">
        <f t="shared" si="2"/>
        <v>174.77261904761906</v>
      </c>
    </row>
    <row r="50" spans="1:40" ht="24.95" customHeight="1" x14ac:dyDescent="0.2">
      <c r="A50" s="230">
        <v>43</v>
      </c>
      <c r="B50" s="307" t="s">
        <v>190</v>
      </c>
      <c r="C50" s="308" t="s">
        <v>130</v>
      </c>
      <c r="D50" s="309">
        <v>10.61</v>
      </c>
      <c r="E50" s="309"/>
      <c r="F50" s="309"/>
      <c r="G50" s="309"/>
      <c r="H50" s="309">
        <v>8.6</v>
      </c>
      <c r="I50" s="309"/>
      <c r="J50" s="309"/>
      <c r="K50" s="309"/>
      <c r="L50" s="310"/>
      <c r="M50" s="310">
        <v>10.6</v>
      </c>
      <c r="N50" s="310"/>
      <c r="O50" s="310"/>
      <c r="P50" s="310"/>
      <c r="Q50" s="310"/>
      <c r="R50" s="310"/>
      <c r="S50" s="310"/>
      <c r="T50" s="310">
        <v>8.8699999999999992</v>
      </c>
      <c r="U50" s="310"/>
      <c r="V50" s="310"/>
      <c r="W50" s="310"/>
      <c r="X50" s="310"/>
      <c r="Y50" s="310"/>
      <c r="Z50" s="311">
        <v>25.5</v>
      </c>
      <c r="AA50" s="311">
        <v>29.85</v>
      </c>
      <c r="AB50" s="311">
        <v>23</v>
      </c>
      <c r="AC50" s="311">
        <v>35</v>
      </c>
      <c r="AD50" s="311">
        <v>21.63</v>
      </c>
      <c r="AE50" s="311"/>
      <c r="AF50" s="310"/>
      <c r="AG50" s="310"/>
      <c r="AH50" s="245"/>
      <c r="AI50" s="221"/>
      <c r="AJ50" s="249">
        <f t="shared" si="4"/>
        <v>19.295555555555556</v>
      </c>
      <c r="AK50" s="153">
        <f t="shared" si="1"/>
        <v>9</v>
      </c>
      <c r="AL50" s="149">
        <f>160/120*365</f>
        <v>486.66666666666663</v>
      </c>
      <c r="AM50" s="149">
        <f t="shared" si="3"/>
        <v>40.55555555555555</v>
      </c>
      <c r="AN50" s="149">
        <f t="shared" si="2"/>
        <v>782.5419753086419</v>
      </c>
    </row>
    <row r="51" spans="1:40" ht="24.95" customHeight="1" x14ac:dyDescent="0.2">
      <c r="A51" s="230">
        <v>44</v>
      </c>
      <c r="B51" s="307" t="s">
        <v>180</v>
      </c>
      <c r="C51" s="308" t="s">
        <v>132</v>
      </c>
      <c r="D51" s="309">
        <v>5.5</v>
      </c>
      <c r="E51" s="309">
        <v>3.45</v>
      </c>
      <c r="F51" s="309">
        <v>6</v>
      </c>
      <c r="G51" s="309"/>
      <c r="H51" s="309">
        <v>3.2</v>
      </c>
      <c r="I51" s="309"/>
      <c r="J51" s="309"/>
      <c r="K51" s="309">
        <v>6.9</v>
      </c>
      <c r="L51" s="310"/>
      <c r="M51" s="310">
        <v>2.69</v>
      </c>
      <c r="N51" s="310"/>
      <c r="O51" s="310"/>
      <c r="P51" s="310"/>
      <c r="Q51" s="310"/>
      <c r="R51" s="310"/>
      <c r="S51" s="310"/>
      <c r="T51" s="310">
        <v>5.79</v>
      </c>
      <c r="U51" s="310"/>
      <c r="V51" s="310">
        <v>2.58</v>
      </c>
      <c r="W51" s="310">
        <v>2.7</v>
      </c>
      <c r="X51" s="310"/>
      <c r="Y51" s="310"/>
      <c r="Z51" s="311">
        <v>2.99</v>
      </c>
      <c r="AA51" s="311">
        <v>3</v>
      </c>
      <c r="AB51" s="311">
        <v>8.9</v>
      </c>
      <c r="AC51" s="311">
        <v>3.3</v>
      </c>
      <c r="AD51" s="311">
        <v>6.5</v>
      </c>
      <c r="AE51" s="311">
        <v>3.3</v>
      </c>
      <c r="AF51" s="310"/>
      <c r="AG51" s="310"/>
      <c r="AH51" s="245"/>
      <c r="AI51" s="221"/>
      <c r="AJ51" s="249">
        <f t="shared" si="4"/>
        <v>4.4533333333333331</v>
      </c>
      <c r="AK51" s="153">
        <f t="shared" si="1"/>
        <v>15</v>
      </c>
      <c r="AL51" s="149">
        <f>15*12</f>
        <v>180</v>
      </c>
      <c r="AM51" s="149">
        <f t="shared" si="3"/>
        <v>15</v>
      </c>
      <c r="AN51" s="149">
        <f t="shared" si="2"/>
        <v>66.8</v>
      </c>
    </row>
    <row r="52" spans="1:40" ht="24.95" customHeight="1" x14ac:dyDescent="0.2">
      <c r="A52" s="230">
        <v>45</v>
      </c>
      <c r="B52" s="307" t="s">
        <v>170</v>
      </c>
      <c r="C52" s="308" t="s">
        <v>132</v>
      </c>
      <c r="D52" s="309"/>
      <c r="E52" s="309"/>
      <c r="F52" s="309"/>
      <c r="G52" s="309"/>
      <c r="H52" s="309"/>
      <c r="I52" s="309"/>
      <c r="J52" s="309"/>
      <c r="K52" s="309"/>
      <c r="L52" s="310"/>
      <c r="M52" s="310"/>
      <c r="N52" s="310"/>
      <c r="O52" s="310"/>
      <c r="P52" s="310"/>
      <c r="Q52" s="310"/>
      <c r="R52" s="310"/>
      <c r="S52" s="310"/>
      <c r="T52" s="310"/>
      <c r="U52" s="310"/>
      <c r="V52" s="310"/>
      <c r="W52" s="310"/>
      <c r="X52" s="310"/>
      <c r="Y52" s="310"/>
      <c r="Z52" s="311">
        <v>24.47</v>
      </c>
      <c r="AA52" s="311">
        <v>37.5</v>
      </c>
      <c r="AB52" s="311">
        <v>33.5</v>
      </c>
      <c r="AC52" s="311">
        <v>37.4</v>
      </c>
      <c r="AD52" s="311">
        <v>32.99</v>
      </c>
      <c r="AE52" s="311">
        <v>37.4</v>
      </c>
      <c r="AF52" s="310"/>
      <c r="AG52" s="310"/>
      <c r="AH52" s="245"/>
      <c r="AI52" s="221"/>
      <c r="AJ52" s="249">
        <f t="shared" si="4"/>
        <v>33.876666666666672</v>
      </c>
      <c r="AK52" s="153">
        <f t="shared" si="1"/>
        <v>6</v>
      </c>
      <c r="AL52" s="149">
        <v>20</v>
      </c>
      <c r="AM52" s="149">
        <f t="shared" si="3"/>
        <v>1.6666666666666667</v>
      </c>
      <c r="AN52" s="149">
        <f t="shared" si="2"/>
        <v>56.461111111111123</v>
      </c>
    </row>
    <row r="53" spans="1:40" ht="24.95" customHeight="1" x14ac:dyDescent="0.2">
      <c r="A53" s="230">
        <v>46</v>
      </c>
      <c r="B53" s="307" t="s">
        <v>189</v>
      </c>
      <c r="C53" s="308" t="s">
        <v>132</v>
      </c>
      <c r="D53" s="309">
        <v>7.18</v>
      </c>
      <c r="E53" s="309">
        <v>6.1</v>
      </c>
      <c r="F53" s="309">
        <v>11</v>
      </c>
      <c r="G53" s="309"/>
      <c r="H53" s="309">
        <v>7.5</v>
      </c>
      <c r="I53" s="309"/>
      <c r="J53" s="309"/>
      <c r="K53" s="309"/>
      <c r="L53" s="310"/>
      <c r="M53" s="310">
        <v>6.99</v>
      </c>
      <c r="N53" s="310"/>
      <c r="O53" s="310"/>
      <c r="P53" s="310"/>
      <c r="Q53" s="310"/>
      <c r="R53" s="310"/>
      <c r="S53" s="310"/>
      <c r="T53" s="310">
        <v>11.31</v>
      </c>
      <c r="U53" s="310"/>
      <c r="V53" s="310"/>
      <c r="W53" s="310"/>
      <c r="X53" s="310"/>
      <c r="Y53" s="310"/>
      <c r="Z53" s="311">
        <v>11.9</v>
      </c>
      <c r="AA53" s="311">
        <v>8.98</v>
      </c>
      <c r="AB53" s="311">
        <v>10.99</v>
      </c>
      <c r="AC53" s="311">
        <v>6.97</v>
      </c>
      <c r="AD53" s="311">
        <v>10.95</v>
      </c>
      <c r="AE53" s="311"/>
      <c r="AF53" s="310"/>
      <c r="AG53" s="310"/>
      <c r="AH53" s="245"/>
      <c r="AI53" s="221"/>
      <c r="AJ53" s="249">
        <f t="shared" si="4"/>
        <v>9.07909090909091</v>
      </c>
      <c r="AK53" s="153">
        <f t="shared" si="1"/>
        <v>11</v>
      </c>
      <c r="AL53" s="149">
        <f>9*12</f>
        <v>108</v>
      </c>
      <c r="AM53" s="149">
        <f t="shared" si="3"/>
        <v>9</v>
      </c>
      <c r="AN53" s="149">
        <f t="shared" si="2"/>
        <v>81.711818181818188</v>
      </c>
    </row>
    <row r="54" spans="1:40" ht="24.95" customHeight="1" x14ac:dyDescent="0.2">
      <c r="A54" s="230">
        <v>47</v>
      </c>
      <c r="B54" s="307" t="s">
        <v>164</v>
      </c>
      <c r="C54" s="308" t="s">
        <v>132</v>
      </c>
      <c r="D54" s="309"/>
      <c r="E54" s="309"/>
      <c r="F54" s="309"/>
      <c r="G54" s="309"/>
      <c r="H54" s="309"/>
      <c r="I54" s="309"/>
      <c r="J54" s="309"/>
      <c r="K54" s="309"/>
      <c r="L54" s="310"/>
      <c r="M54" s="310"/>
      <c r="N54" s="310"/>
      <c r="O54" s="310"/>
      <c r="P54" s="310"/>
      <c r="Q54" s="310"/>
      <c r="R54" s="310"/>
      <c r="S54" s="310"/>
      <c r="T54" s="310"/>
      <c r="U54" s="310"/>
      <c r="V54" s="310"/>
      <c r="W54" s="310"/>
      <c r="X54" s="310"/>
      <c r="Y54" s="310"/>
      <c r="Z54" s="311">
        <v>21.99</v>
      </c>
      <c r="AA54" s="311">
        <v>21.16</v>
      </c>
      <c r="AB54" s="311">
        <v>13.75</v>
      </c>
      <c r="AC54" s="311">
        <v>28.15</v>
      </c>
      <c r="AD54" s="311">
        <v>19.2</v>
      </c>
      <c r="AE54" s="311">
        <v>22.9</v>
      </c>
      <c r="AF54" s="310"/>
      <c r="AG54" s="310"/>
      <c r="AH54" s="245"/>
      <c r="AI54" s="221"/>
      <c r="AJ54" s="249">
        <f t="shared" si="4"/>
        <v>21.191666666666666</v>
      </c>
      <c r="AK54" s="153">
        <f t="shared" si="1"/>
        <v>6</v>
      </c>
      <c r="AL54" s="149">
        <f>1*365/120</f>
        <v>3.0416666666666665</v>
      </c>
      <c r="AM54" s="149">
        <f t="shared" si="3"/>
        <v>0.25347222222222221</v>
      </c>
      <c r="AN54" s="149">
        <f t="shared" si="2"/>
        <v>5.371498842592592</v>
      </c>
    </row>
    <row r="55" spans="1:40" ht="24.95" customHeight="1" x14ac:dyDescent="0.2">
      <c r="A55" s="230">
        <v>48</v>
      </c>
      <c r="B55" s="307" t="s">
        <v>266</v>
      </c>
      <c r="C55" s="308" t="s">
        <v>132</v>
      </c>
      <c r="D55" s="309"/>
      <c r="E55" s="309"/>
      <c r="F55" s="309"/>
      <c r="G55" s="309"/>
      <c r="H55" s="309"/>
      <c r="I55" s="309"/>
      <c r="J55" s="309"/>
      <c r="K55" s="309"/>
      <c r="L55" s="310"/>
      <c r="M55" s="310"/>
      <c r="N55" s="310"/>
      <c r="O55" s="310"/>
      <c r="P55" s="310"/>
      <c r="Q55" s="310"/>
      <c r="R55" s="310"/>
      <c r="S55" s="310"/>
      <c r="T55" s="310"/>
      <c r="U55" s="310"/>
      <c r="V55" s="310"/>
      <c r="W55" s="310"/>
      <c r="X55" s="310"/>
      <c r="Y55" s="310"/>
      <c r="Z55" s="311">
        <v>171.9</v>
      </c>
      <c r="AA55" s="316"/>
      <c r="AB55" s="311"/>
      <c r="AC55" s="311"/>
      <c r="AD55" s="311"/>
      <c r="AE55" s="311"/>
      <c r="AF55" s="310">
        <v>184.07</v>
      </c>
      <c r="AG55" s="310">
        <v>159.9</v>
      </c>
      <c r="AH55" s="245">
        <v>169.9</v>
      </c>
      <c r="AI55" s="221">
        <v>153.97999999999999</v>
      </c>
      <c r="AJ55" s="249">
        <f t="shared" si="4"/>
        <v>171.9</v>
      </c>
      <c r="AK55" s="153">
        <f t="shared" si="1"/>
        <v>5</v>
      </c>
      <c r="AL55" s="149">
        <v>10</v>
      </c>
      <c r="AM55" s="149">
        <f t="shared" si="3"/>
        <v>0.83333333333333337</v>
      </c>
      <c r="AN55" s="149">
        <f t="shared" si="2"/>
        <v>143.25</v>
      </c>
    </row>
    <row r="56" spans="1:40" ht="51" x14ac:dyDescent="0.2">
      <c r="A56" s="230">
        <v>49</v>
      </c>
      <c r="B56" s="307" t="s">
        <v>173</v>
      </c>
      <c r="C56" s="308" t="s">
        <v>172</v>
      </c>
      <c r="D56" s="310"/>
      <c r="E56" s="310"/>
      <c r="F56" s="310"/>
      <c r="G56" s="310"/>
      <c r="H56" s="310"/>
      <c r="I56" s="310"/>
      <c r="J56" s="310">
        <v>131.16999999999999</v>
      </c>
      <c r="K56" s="310"/>
      <c r="L56" s="310"/>
      <c r="M56" s="310"/>
      <c r="N56" s="310">
        <v>143.78</v>
      </c>
      <c r="O56" s="310">
        <v>98.8</v>
      </c>
      <c r="P56" s="310">
        <v>128</v>
      </c>
      <c r="Q56" s="310">
        <v>114.79</v>
      </c>
      <c r="R56" s="310">
        <v>123.4</v>
      </c>
      <c r="S56" s="310"/>
      <c r="T56" s="310"/>
      <c r="U56" s="310"/>
      <c r="V56" s="310"/>
      <c r="W56" s="310"/>
      <c r="X56" s="310"/>
      <c r="Y56" s="310"/>
      <c r="Z56" s="311">
        <v>148.5</v>
      </c>
      <c r="AA56" s="311">
        <v>185.59</v>
      </c>
      <c r="AB56" s="311">
        <v>187.59</v>
      </c>
      <c r="AC56" s="311"/>
      <c r="AD56" s="311"/>
      <c r="AE56" s="311"/>
      <c r="AF56" s="310">
        <v>124.9</v>
      </c>
      <c r="AG56" s="310">
        <v>173.47</v>
      </c>
      <c r="AH56" s="245"/>
      <c r="AI56" s="221"/>
      <c r="AJ56" s="249">
        <f t="shared" si="4"/>
        <v>140.17999999999998</v>
      </c>
      <c r="AK56" s="153">
        <f t="shared" si="1"/>
        <v>11</v>
      </c>
      <c r="AL56" s="149"/>
      <c r="AM56" s="149">
        <f t="shared" si="3"/>
        <v>0</v>
      </c>
      <c r="AN56" s="149">
        <f t="shared" si="2"/>
        <v>0</v>
      </c>
    </row>
    <row r="57" spans="1:40" ht="24.95" customHeight="1" x14ac:dyDescent="0.2">
      <c r="A57" s="230">
        <v>50</v>
      </c>
      <c r="B57" s="317" t="s">
        <v>174</v>
      </c>
      <c r="C57" s="308" t="s">
        <v>132</v>
      </c>
      <c r="D57" s="310"/>
      <c r="E57" s="310"/>
      <c r="F57" s="310"/>
      <c r="G57" s="310"/>
      <c r="H57" s="310"/>
      <c r="I57" s="310"/>
      <c r="J57" s="310">
        <v>1.1000000000000001</v>
      </c>
      <c r="K57" s="310"/>
      <c r="L57" s="310"/>
      <c r="M57" s="310"/>
      <c r="N57" s="310">
        <v>2.84</v>
      </c>
      <c r="O57" s="310"/>
      <c r="P57" s="310"/>
      <c r="Q57" s="310"/>
      <c r="R57" s="310"/>
      <c r="S57" s="310"/>
      <c r="T57" s="310"/>
      <c r="U57" s="310">
        <v>3</v>
      </c>
      <c r="V57" s="310"/>
      <c r="W57" s="310"/>
      <c r="X57" s="310"/>
      <c r="Y57" s="310"/>
      <c r="Z57" s="311">
        <v>0.63</v>
      </c>
      <c r="AA57" s="311">
        <v>0.82</v>
      </c>
      <c r="AB57" s="311">
        <v>0.35</v>
      </c>
      <c r="AC57" s="311">
        <v>0.36</v>
      </c>
      <c r="AD57" s="311">
        <v>0.4</v>
      </c>
      <c r="AE57" s="311">
        <v>0.43</v>
      </c>
      <c r="AF57" s="310"/>
      <c r="AG57" s="310"/>
      <c r="AH57" s="245"/>
      <c r="AI57" s="221"/>
      <c r="AJ57" s="249">
        <f t="shared" si="4"/>
        <v>1.1033333333333331</v>
      </c>
      <c r="AK57" s="153">
        <f t="shared" si="1"/>
        <v>9</v>
      </c>
      <c r="AL57" s="149"/>
      <c r="AM57" s="149">
        <f t="shared" si="3"/>
        <v>0</v>
      </c>
      <c r="AN57" s="149">
        <f t="shared" si="2"/>
        <v>0</v>
      </c>
    </row>
    <row r="58" spans="1:40" ht="24.95" customHeight="1" x14ac:dyDescent="0.2">
      <c r="A58" s="230">
        <v>51</v>
      </c>
      <c r="B58" s="307" t="s">
        <v>200</v>
      </c>
      <c r="C58" s="308" t="s">
        <v>22</v>
      </c>
      <c r="D58" s="310"/>
      <c r="E58" s="310"/>
      <c r="F58" s="310"/>
      <c r="G58" s="310"/>
      <c r="H58" s="310"/>
      <c r="I58" s="310"/>
      <c r="J58" s="310">
        <v>71.900000000000006</v>
      </c>
      <c r="K58" s="310"/>
      <c r="L58" s="310"/>
      <c r="M58" s="310"/>
      <c r="N58" s="310">
        <v>71.94</v>
      </c>
      <c r="O58" s="310"/>
      <c r="P58" s="310">
        <v>39.89</v>
      </c>
      <c r="Q58" s="310">
        <v>56.07</v>
      </c>
      <c r="R58" s="310"/>
      <c r="S58" s="310"/>
      <c r="T58" s="310"/>
      <c r="U58" s="310">
        <v>72</v>
      </c>
      <c r="V58" s="310"/>
      <c r="W58" s="310"/>
      <c r="X58" s="310"/>
      <c r="Y58" s="310"/>
      <c r="Z58" s="311">
        <v>77.98</v>
      </c>
      <c r="AA58" s="311">
        <v>79.900000000000006</v>
      </c>
      <c r="AB58" s="311"/>
      <c r="AC58" s="311"/>
      <c r="AD58" s="311"/>
      <c r="AE58" s="311"/>
      <c r="AF58" s="310"/>
      <c r="AG58" s="310"/>
      <c r="AH58" s="245"/>
      <c r="AI58" s="221"/>
      <c r="AJ58" s="249">
        <f t="shared" si="4"/>
        <v>67.09714285714287</v>
      </c>
      <c r="AK58" s="153">
        <f t="shared" si="1"/>
        <v>7</v>
      </c>
      <c r="AL58" s="149"/>
      <c r="AM58" s="149">
        <f t="shared" si="3"/>
        <v>0</v>
      </c>
      <c r="AN58" s="149">
        <f t="shared" si="2"/>
        <v>0</v>
      </c>
    </row>
    <row r="59" spans="1:40" ht="24.95" hidden="1" customHeight="1" x14ac:dyDescent="0.2">
      <c r="A59" s="230">
        <v>52</v>
      </c>
      <c r="B59" s="307" t="s">
        <v>199</v>
      </c>
      <c r="C59" s="308" t="s">
        <v>132</v>
      </c>
      <c r="D59" s="310"/>
      <c r="E59" s="310"/>
      <c r="F59" s="310"/>
      <c r="G59" s="310"/>
      <c r="H59" s="310"/>
      <c r="I59" s="310"/>
      <c r="J59" s="310">
        <v>9.91</v>
      </c>
      <c r="K59" s="310"/>
      <c r="L59" s="310"/>
      <c r="M59" s="310"/>
      <c r="N59" s="310"/>
      <c r="O59" s="310"/>
      <c r="P59" s="310"/>
      <c r="Q59" s="310"/>
      <c r="R59" s="310"/>
      <c r="S59" s="310"/>
      <c r="T59" s="310"/>
      <c r="U59" s="310"/>
      <c r="V59" s="310"/>
      <c r="W59" s="310"/>
      <c r="X59" s="310"/>
      <c r="Y59" s="310"/>
      <c r="Z59" s="311">
        <v>2.65</v>
      </c>
      <c r="AA59" s="311">
        <v>1.4</v>
      </c>
      <c r="AB59" s="311">
        <v>3.98</v>
      </c>
      <c r="AC59" s="311"/>
      <c r="AD59" s="311"/>
      <c r="AE59" s="311"/>
      <c r="AF59" s="310"/>
      <c r="AG59" s="310"/>
      <c r="AH59" s="245"/>
      <c r="AI59" s="221"/>
      <c r="AJ59" s="249">
        <f t="shared" si="4"/>
        <v>4.4850000000000003</v>
      </c>
      <c r="AK59" s="153">
        <f t="shared" si="1"/>
        <v>4</v>
      </c>
      <c r="AL59" s="149"/>
      <c r="AM59" s="149">
        <f t="shared" si="3"/>
        <v>0</v>
      </c>
      <c r="AN59" s="149">
        <f t="shared" si="2"/>
        <v>0</v>
      </c>
    </row>
    <row r="60" spans="1:40" ht="24.95" customHeight="1" thickBot="1" x14ac:dyDescent="0.25">
      <c r="A60" s="231">
        <v>53</v>
      </c>
      <c r="B60" s="225" t="s">
        <v>201</v>
      </c>
      <c r="C60" s="222" t="s">
        <v>268</v>
      </c>
      <c r="D60" s="226"/>
      <c r="E60" s="226"/>
      <c r="F60" s="226"/>
      <c r="G60" s="226"/>
      <c r="H60" s="226"/>
      <c r="I60" s="226"/>
      <c r="J60" s="226">
        <v>9.77</v>
      </c>
      <c r="K60" s="226"/>
      <c r="L60" s="226"/>
      <c r="M60" s="226"/>
      <c r="N60" s="226">
        <v>10.19</v>
      </c>
      <c r="O60" s="226"/>
      <c r="P60" s="226"/>
      <c r="Q60" s="226"/>
      <c r="R60" s="226"/>
      <c r="S60" s="226"/>
      <c r="T60" s="227"/>
      <c r="U60" s="227"/>
      <c r="V60" s="227"/>
      <c r="W60" s="227"/>
      <c r="X60" s="227"/>
      <c r="Y60" s="227"/>
      <c r="Z60" s="292">
        <v>24</v>
      </c>
      <c r="AA60" s="293"/>
      <c r="AB60" s="293"/>
      <c r="AC60" s="293"/>
      <c r="AD60" s="293"/>
      <c r="AE60" s="293"/>
      <c r="AF60" s="227">
        <v>24.99</v>
      </c>
      <c r="AG60" s="227">
        <v>31.9</v>
      </c>
      <c r="AH60" s="247">
        <v>24.99</v>
      </c>
      <c r="AI60" s="251">
        <v>19.899999999999999</v>
      </c>
      <c r="AJ60" s="250">
        <f>AVERAGE(D60:AE60)</f>
        <v>14.653333333333334</v>
      </c>
      <c r="AK60" s="153">
        <f t="shared" si="1"/>
        <v>7</v>
      </c>
      <c r="AL60" s="149"/>
      <c r="AM60" s="149">
        <f t="shared" si="3"/>
        <v>0</v>
      </c>
      <c r="AN60" s="149">
        <f t="shared" si="2"/>
        <v>0</v>
      </c>
    </row>
    <row r="61" spans="1:40" x14ac:dyDescent="0.2">
      <c r="AL61" s="340" t="s">
        <v>276</v>
      </c>
      <c r="AM61" s="340"/>
      <c r="AN61" s="266">
        <f>SUM(AN8:AN60)</f>
        <v>10286.092855256238</v>
      </c>
    </row>
    <row r="63" spans="1:40" ht="13.5" thickBot="1" x14ac:dyDescent="0.25"/>
    <row r="64" spans="1:40" ht="26.25" thickBot="1" x14ac:dyDescent="0.25">
      <c r="A64" s="237" t="s">
        <v>148</v>
      </c>
      <c r="B64" s="238" t="s">
        <v>260</v>
      </c>
      <c r="C64" s="239" t="s">
        <v>231</v>
      </c>
    </row>
    <row r="65" spans="1:4" ht="38.25" x14ac:dyDescent="0.2">
      <c r="A65" s="379">
        <v>51</v>
      </c>
      <c r="B65" s="233" t="s">
        <v>232</v>
      </c>
      <c r="C65" s="289">
        <v>4000</v>
      </c>
    </row>
    <row r="66" spans="1:4" x14ac:dyDescent="0.2">
      <c r="A66" s="380"/>
      <c r="B66" s="152" t="s">
        <v>254</v>
      </c>
      <c r="C66" s="234">
        <v>2850</v>
      </c>
    </row>
    <row r="67" spans="1:4" x14ac:dyDescent="0.2">
      <c r="A67" s="380"/>
      <c r="B67" s="152" t="s">
        <v>254</v>
      </c>
      <c r="C67" s="234">
        <v>2821.24</v>
      </c>
    </row>
    <row r="68" spans="1:4" x14ac:dyDescent="0.2">
      <c r="A68" s="380"/>
      <c r="B68" s="152" t="s">
        <v>254</v>
      </c>
      <c r="C68" s="234">
        <v>3511.67</v>
      </c>
    </row>
    <row r="69" spans="1:4" x14ac:dyDescent="0.2">
      <c r="A69" s="380"/>
      <c r="B69" s="152" t="s">
        <v>254</v>
      </c>
      <c r="C69" s="234">
        <v>2429</v>
      </c>
    </row>
    <row r="70" spans="1:4" x14ac:dyDescent="0.2">
      <c r="A70" s="380"/>
      <c r="B70" s="232" t="s">
        <v>255</v>
      </c>
      <c r="C70" s="234">
        <v>2850</v>
      </c>
    </row>
    <row r="71" spans="1:4" x14ac:dyDescent="0.2">
      <c r="A71" s="380"/>
      <c r="B71" s="232" t="s">
        <v>256</v>
      </c>
      <c r="C71" s="234">
        <v>3000</v>
      </c>
    </row>
    <row r="72" spans="1:4" x14ac:dyDescent="0.2">
      <c r="A72" s="380"/>
      <c r="B72" s="232" t="s">
        <v>257</v>
      </c>
      <c r="C72" s="234">
        <v>2716.73</v>
      </c>
    </row>
    <row r="73" spans="1:4" x14ac:dyDescent="0.2">
      <c r="A73" s="380"/>
      <c r="B73" s="232" t="s">
        <v>258</v>
      </c>
      <c r="C73" s="234">
        <v>2530</v>
      </c>
    </row>
    <row r="74" spans="1:4" ht="13.5" thickBot="1" x14ac:dyDescent="0.25">
      <c r="A74" s="381"/>
      <c r="B74" s="235" t="s">
        <v>259</v>
      </c>
      <c r="C74" s="236">
        <v>2798</v>
      </c>
    </row>
    <row r="75" spans="1:4" x14ac:dyDescent="0.2">
      <c r="A75" s="240"/>
      <c r="B75" s="241" t="s">
        <v>263</v>
      </c>
      <c r="C75" s="242">
        <f>AVERAGE(C67:C74)</f>
        <v>2832.08</v>
      </c>
    </row>
    <row r="76" spans="1:4" x14ac:dyDescent="0.2">
      <c r="A76" s="240"/>
      <c r="B76" s="241" t="s">
        <v>302</v>
      </c>
      <c r="C76" s="242">
        <f>C78*C79/12</f>
        <v>586.30000000000007</v>
      </c>
      <c r="D76" s="243" t="s">
        <v>262</v>
      </c>
    </row>
    <row r="77" spans="1:4" x14ac:dyDescent="0.2">
      <c r="A77" s="375" t="s">
        <v>295</v>
      </c>
      <c r="B77" s="375"/>
      <c r="C77" s="242">
        <f>C75+C76</f>
        <v>3418.38</v>
      </c>
    </row>
    <row r="78" spans="1:4" x14ac:dyDescent="0.2">
      <c r="A78" s="305"/>
      <c r="B78" s="241" t="s">
        <v>300</v>
      </c>
      <c r="C78" s="242">
        <f>((3*8)+(20))*26</f>
        <v>1144</v>
      </c>
    </row>
    <row r="79" spans="1:4" x14ac:dyDescent="0.2">
      <c r="A79" s="305"/>
      <c r="B79" s="241" t="s">
        <v>301</v>
      </c>
      <c r="C79" s="306">
        <v>6.15</v>
      </c>
    </row>
    <row r="81" spans="2:2" x14ac:dyDescent="0.2">
      <c r="B81" s="137"/>
    </row>
  </sheetData>
  <sortState xmlns:xlrd2="http://schemas.microsoft.com/office/spreadsheetml/2017/richdata2" ref="A8:Y54">
    <sortCondition ref="B8:B54"/>
  </sortState>
  <mergeCells count="6">
    <mergeCell ref="A6:AJ6"/>
    <mergeCell ref="Z7:AE7"/>
    <mergeCell ref="A77:B77"/>
    <mergeCell ref="AF7:AI7"/>
    <mergeCell ref="AL61:AM61"/>
    <mergeCell ref="A65:A74"/>
  </mergeCells>
  <phoneticPr fontId="2" type="noConversion"/>
  <hyperlinks>
    <hyperlink ref="V7" r:id="rId1" xr:uid="{84B901D5-6BB2-457F-A99C-F754269695FF}"/>
    <hyperlink ref="W7" r:id="rId2" xr:uid="{E69D38F0-1306-45C0-92E5-96EE0FEAC8C6}"/>
    <hyperlink ref="X7" r:id="rId3" xr:uid="{5711C9BB-A53A-4042-B48F-8C82507B4608}"/>
    <hyperlink ref="Y7" r:id="rId4" xr:uid="{CC022864-50E1-418C-B1F9-73C40CD4EE6A}"/>
    <hyperlink ref="U7" r:id="rId5" xr:uid="{0EA3096E-8E4B-432A-8DE6-E5CC78825183}"/>
    <hyperlink ref="D7" r:id="rId6" xr:uid="{CA138E63-9162-48FE-9D5F-1BF7B52C5B3A}"/>
    <hyperlink ref="E7" r:id="rId7" xr:uid="{1C44808C-2951-4F87-B576-D8C0B0B1F217}"/>
    <hyperlink ref="F7" r:id="rId8" xr:uid="{F12A0233-CA5D-40F4-899E-4A482F8E2019}"/>
    <hyperlink ref="I7" r:id="rId9" xr:uid="{6E62CB2B-9551-4699-9D78-EF4C891EC4BB}"/>
    <hyperlink ref="L7" r:id="rId10" xr:uid="{0528D33A-9DC4-4AFA-A268-AF20152B3EAF}"/>
    <hyperlink ref="M7" r:id="rId11" xr:uid="{6B9B4DC7-C262-404C-8963-662FFDD960EC}"/>
    <hyperlink ref="B65" r:id="rId12" xr:uid="{DE0B6430-9B53-4BDD-B348-67B3966B528C}"/>
    <hyperlink ref="N7" r:id="rId13" xr:uid="{BF95E249-2C5B-4F9F-9C9D-9B0E9CC51C82}"/>
    <hyperlink ref="O7" r:id="rId14" xr:uid="{08A055EC-00F2-4E78-834B-C1099416B7DC}"/>
    <hyperlink ref="R7" r:id="rId15" xr:uid="{A5DC3EA1-300D-4B1E-92BB-8DA9F758BB06}"/>
    <hyperlink ref="P7" r:id="rId16" xr:uid="{5968396C-36DA-4187-9BAD-22005E1A5F97}"/>
    <hyperlink ref="B70" r:id="rId17" xr:uid="{4B249995-8FC4-4EFF-80A8-87E419A06114}"/>
    <hyperlink ref="B71" r:id="rId18" xr:uid="{EDD62189-29D0-4E68-A839-B1F1C739ADBC}"/>
    <hyperlink ref="B72" r:id="rId19" xr:uid="{795E695D-122C-4DC8-9088-D49F72EE789D}"/>
    <hyperlink ref="B73" r:id="rId20" xr:uid="{8714BE9F-82BF-4352-8C43-A7E3D9967754}"/>
    <hyperlink ref="B74" r:id="rId21" xr:uid="{2E81C87A-CF1B-460B-95AA-373FD99AFB83}"/>
    <hyperlink ref="D76" r:id="rId22" xr:uid="{EEFBCBC2-4E1A-4F5B-B6C2-AD5D676653E7}"/>
  </hyperlinks>
  <pageMargins left="0.511811024" right="0.511811024" top="0.78740157499999996" bottom="0.78740157499999996" header="0.31496062000000002" footer="0.31496062000000002"/>
  <pageSetup paperSize="9" scale="78" orientation="portrait" r:id="rId23"/>
  <rowBreaks count="1" manualBreakCount="1">
    <brk id="27" max="35" man="1"/>
  </rowBreaks>
  <colBreaks count="3" manualBreakCount="3">
    <brk id="7" max="59" man="1"/>
    <brk id="17" max="59" man="1"/>
    <brk id="28" max="5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5</vt:i4>
      </vt:variant>
    </vt:vector>
  </HeadingPairs>
  <TitlesOfParts>
    <vt:vector size="9" baseType="lpstr">
      <vt:lpstr>ORÇAMENTO</vt:lpstr>
      <vt:lpstr>BDI S DES</vt:lpstr>
      <vt:lpstr>Encargos Sociais</vt:lpstr>
      <vt:lpstr>MATERIAIS</vt:lpstr>
      <vt:lpstr>'BDI S DES'!Area_de_impressao</vt:lpstr>
      <vt:lpstr>'Encargos Sociais'!Area_de_impressao</vt:lpstr>
      <vt:lpstr>MATERIAIS!Area_de_impressao</vt:lpstr>
      <vt:lpstr>ORÇAMENTO!Area_de_impressao</vt:lpstr>
      <vt:lpstr>ORÇAMENTO!Titulos_de_impressao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LUCIANE SKREBSKY DE FREITAS</cp:lastModifiedBy>
  <cp:lastPrinted>2025-12-15T20:54:34Z</cp:lastPrinted>
  <dcterms:created xsi:type="dcterms:W3CDTF">2000-12-13T10:02:50Z</dcterms:created>
  <dcterms:modified xsi:type="dcterms:W3CDTF">2026-02-26T19:13:00Z</dcterms:modified>
</cp:coreProperties>
</file>