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cuments\Licitações\"/>
    </mc:Choice>
  </mc:AlternateContent>
  <xr:revisionPtr revIDLastSave="0" documentId="13_ncr:1_{95DE18D2-70D0-44C2-9F67-2BE657DECA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oposta" sheetId="11" r:id="rId1"/>
    <sheet name="Monitoramento" sheetId="9" r:id="rId2"/>
    <sheet name="Ronda" sheetId="10" r:id="rId3"/>
  </sheets>
  <definedNames>
    <definedName name="ACOMPANHAMENTO" hidden="1">IF(VALUE(#REF!)=2,"BM","PLE")</definedName>
    <definedName name="_xlnm.Print_Area" localSheetId="0">Proposta!$B$1:$AD$55</definedName>
    <definedName name="AUTOEVENTO" hidden="1">#REF!</definedName>
    <definedName name="BDI.Opcao" hidden="1">#REF!</definedName>
    <definedName name="BDI.TipoObra" hidden="1">#REF!</definedName>
    <definedName name="BM.AFAcumulado" hidden="1">#REF!</definedName>
    <definedName name="BM.AFAnterior" hidden="1">#REF!</definedName>
    <definedName name="BM.MaxMed" hidden="1">IF(RegimeExecucao="Global",1,#REF!)</definedName>
    <definedName name="BM.MEDAcumulado" hidden="1">IF(COUNTIF(#REF!,BM.medicao)&gt;0,SUM(OFFSET(#REF!,0,0,1,MATCH(BM.medicao,#REF!,0))),0)</definedName>
    <definedName name="BM.MEDAnterior" hidden="1">IF(COUNTIF(#REF!,BM.medicao-1)&gt;0,SUM(OFFSET(#REF!,0,0,1,MATCH(BM.medicao-1,#REF!,0))),0)</definedName>
    <definedName name="BM.medicao" hidden="1">OFFSET(#REF!,1,0)</definedName>
    <definedName name="BM.MinMed" hidden="1">IF(RegimeExecucao="Global",-1,-#REF!)</definedName>
    <definedName name="CAIXA.Modo" hidden="1">#REF!</definedName>
    <definedName name="CÁLCULO.NúmeroDeEventos" hidden="1">IF(AUTOEVENTO&lt;&gt;"manual",MAX(#REF!),MAX(OFFSET(#REF!,1,0)))</definedName>
    <definedName name="CÁLCULO.NúmeroDeFrentes" hidden="1">COLUMN(#REF!)-COLUMN(#REF!)</definedName>
    <definedName name="CÁLCULO.TotalAdmLocal" hidden="1">IF(AUTOEVENTO="manual",SUMIF(#REF!,1,#REF!),0)</definedName>
    <definedName name="CRONO.LinhasNecessarias" hidden="1">COUNTIF(#REF!,"Manual")+COUNTIF(#REF!,"SemiAuto")+COUNT(ORÇAMENTO.ListaCrono)</definedName>
    <definedName name="CRONO.MaxParc" hidden="1">#REF!+#REF!</definedName>
    <definedName name="CRONO.NivelExibicao" hidden="1">#REF!</definedName>
    <definedName name="CRONOPLE.ValorDoEvento" hidden="1">SUMIF(#REF!,#REF!,OFFSET(#REF!,0,#REF!))</definedName>
    <definedName name="DESONERACAO" hidden="1">IF(OR(Import.Desoneracao="DESONERADO",Import.Desoneracao="SIM"),"SIM","NÃO")</definedName>
    <definedName name="EVENTOS.Lista" hidden="1">#REF!:OFFSET(#REF!,-1,0)</definedName>
    <definedName name="EVENTOS.ListaValidacao" hidden="1">#REF!:OFFSET(#REF!,-1,0)</definedName>
    <definedName name="Excel_BuiltIn_Database" hidden="1">TEXT(Import.DataBase,"mm-aaaa")</definedName>
    <definedName name="Import.Apelido" hidden="1">#REF!</definedName>
    <definedName name="Import.BMAFAcumulado" hidden="1">OFFSET(#REF!,1,0):OFFSET(#REF!,-1,0)</definedName>
    <definedName name="Import.CNPJ" hidden="1">#REF!</definedName>
    <definedName name="Import.Código" hidden="1">OFFSET(#REF!,1,0):OFFSET(#REF!,-1,0)</definedName>
    <definedName name="Import.Contrapartida" hidden="1">#REF!</definedName>
    <definedName name="Import.CPMaxPerc" hidden="1">#REF!</definedName>
    <definedName name="Import.CPMinAbsoluta" hidden="1">#REF!</definedName>
    <definedName name="Import.CPMinPerc" hidden="1">#REF!</definedName>
    <definedName name="Import.CR" hidden="1">#REF!</definedName>
    <definedName name="Import.CRONOPLE" hidden="1">OFFSET(#REF!,1,1):OFFSET(#REF!,-1,-1)</definedName>
    <definedName name="Import.CTEF" hidden="1">#REF!</definedName>
    <definedName name="Import.CustoUnitário" hidden="1">OFFSET(#REF!,1,0):OFFSET(#REF!,-1,0)</definedName>
    <definedName name="Import.DataBase" hidden="1">OFFSET(#REF!,0,-1)</definedName>
    <definedName name="Import.DataBaseLicit" hidden="1">OFFSET(#REF!,0,-1)</definedName>
    <definedName name="Import.DataEmissaoLicit" hidden="1">#REF!</definedName>
    <definedName name="Import.DataInicioObra" hidden="1">#REF!</definedName>
    <definedName name="Import.DescLote" hidden="1">#REF!</definedName>
    <definedName name="Import.Descrição" hidden="1">OFFSET(#REF!,1,0):OFFSET(#REF!,-1,0)</definedName>
    <definedName name="Import.Desoneracao" hidden="1">OFFSET(#REF!,0,-1)</definedName>
    <definedName name="Import.empresa" hidden="1">#REF!</definedName>
    <definedName name="Import.Eventos.Nomes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unicípio" hidden="1">#REF!</definedName>
    <definedName name="Import.Nível" hidden="1">OFFSET(#REF!,1,0):OFFSET(#REF!,-1,0)</definedName>
    <definedName name="Import.OpcaoBDI" hidden="1">OFFSET(#REF!,1,0):OFFSET(#REF!,-1,0)</definedName>
    <definedName name="Import.ORÇAMENTO.DivRecurso" hidden="1">OFFSET(#REF!,1,0):OFFSET(#REF!,-1,0)</definedName>
    <definedName name="Import.PLE" hidden="1">OFFSET(#REF!,1,1):OFFSET(#REF!,-1,-1)</definedName>
    <definedName name="Import.PLQ" hidden="1">OFFSET(#REF!,1,1):OFFSET(#REF!,-1,-1)</definedName>
    <definedName name="Import.PLQ.MemCalc" hidden="1">OFFSET(#REF!,1,0):OFFSET(#REF!,-1,0)</definedName>
    <definedName name="IMport.Prefeito" hidden="1">#REF!</definedName>
    <definedName name="Import.Proponente" hidden="1">#REF!</definedName>
    <definedName name="Import.QCI.Divisao" hidden="1">OFFSET(#REF!,1,0):OFFSET(#REF!,-1,0)</definedName>
    <definedName name="Import.QCI.ItemInv" hidden="1">OFFSET(#REF!,1,0):OFFSET(#REF!,-1,0)</definedName>
    <definedName name="Import.QCI.Qtde" hidden="1">OFFSET(#REF!,1,0):OFFSET(#REF!,-1,0)</definedName>
    <definedName name="Import.QCI.Situacao" hidden="1">OFFSET(#REF!,1,0):OFFSET(#REF!,-1,0)</definedName>
    <definedName name="Import.QCI.SubItemInv" hidden="1">OFFSET(#REF!,1,0):OFFSET(#REF!,-1,0)</definedName>
    <definedName name="Import.QCICP" hidden="1">OFFSET(#REF!,1,0):OFFSET(#REF!,-1,0)</definedName>
    <definedName name="Import.QCIDesc" hidden="1">OFFSET(#REF!,1,0):OFFSET(#REF!,-1,0)</definedName>
    <definedName name="Import.QCIInv" hidden="1">OFFSET(#REF!,1,0):OFFSET(#REF!,-1,0)</definedName>
    <definedName name="Import.QCILote" hidden="1">OFFSET(#REF!,1,0):OFFSET(#REF!,-1,0)</definedName>
    <definedName name="Import.QCIOutros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hidden="1">#REF!</definedName>
    <definedName name="Import.RespFiscalização" hidden="1">#REF!</definedName>
    <definedName name="Import.RespOrçamento" hidden="1">#REF!</definedName>
    <definedName name="Import.SICONV" hidden="1">#REF!</definedName>
    <definedName name="Import.Unidade" hidden="1">OFFSET(#REF!,1,0):OFFSET(#REF!,-1,0)</definedName>
    <definedName name="Import.UnitarioLicitado" hidden="1">OFFSET(#REF!,1,0):OFFSET(#REF!,-1,0)</definedName>
    <definedName name="MENU.CRONO" hidden="1">OFFSET(#REF!,1,0)</definedName>
    <definedName name="Objeto" hidden="1">#REF!</definedName>
    <definedName name="ORÇAMENTO.BancoRef" hidden="1">#REF!</definedName>
    <definedName name="ORÇAMENTO.CodBarra" hidden="1">IF(ORÇAMENTO.Fonte="Sinapi",SUBSTITUTE(SUBSTITUTE(ORÇAMENTO.Codigo,"/00","/"),"/0","/"),ORÇAMENTO.Codigo)</definedName>
    <definedName name="ORÇAMENTO.Codigo" hidden="1">#REF!</definedName>
    <definedName name="ORÇAMENTO.CustoUnitario" hidden="1">ROUND(#REF!,15-13*#REF!)</definedName>
    <definedName name="ORÇAMENTO.Descricao" hidden="1">#REF!</definedName>
    <definedName name="ORÇAMENTO.Fonte" hidden="1">#REF!</definedName>
    <definedName name="ORÇAMENTO.ListaCrono" hidden="1">OFFSET(#REF!,1,0):OFFSET(#REF!,-1,0)</definedName>
    <definedName name="ORÇAMENTO.MáximoListaCrono" hidden="1">MAX(ORÇAMENTO.ListaCrono)</definedName>
    <definedName name="ORÇAMENTO.Nivel" hidden="1">#REF!</definedName>
    <definedName name="ORÇAMENTO.OpcaoBDI" hidden="1">#REF!</definedName>
    <definedName name="ORÇAMENTO.PasteFormat1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RangeQuant" hidden="1">OFFSET(#REF!,1,0):OFFSET(#REF!,-1,0)</definedName>
    <definedName name="ORÇAMENTO.SumCPMANUAL" hidden="1">SUMIF(#REF!,"CP",#REF!)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hidden="1">ORÇAMENTO.SumINVMANUAL-ORÇAMENTO.SumCPMANUAL-ORÇAMENTO.SumOUTROSMANUAL</definedName>
    <definedName name="ORÇAMENTO.Unidade" hidden="1">#REF!</definedName>
    <definedName name="PLE.firstrow" hidden="1">#REF!</definedName>
    <definedName name="PLE.lastrow" hidden="1">#REF!</definedName>
    <definedName name="PLE.Medicao" hidden="1">#REF!</definedName>
    <definedName name="PLE.ValorDoEvento" hidden="1">SUMIF(#REF!,#REF!,OFFSET(#REF!,0,#REF!))</definedName>
    <definedName name="PO.ValoresBDI" hidden="1">OFFSET(#REF!,1,0):OFFSET(#REF!,-1,0)</definedName>
    <definedName name="QCI.CPManual" hidden="1">ROUND(#REF!,2)</definedName>
    <definedName name="QCI.DescManual" hidden="1">#REF!</definedName>
    <definedName name="QCI.Divisao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oteManual" hidden="1">#REF!</definedName>
    <definedName name="QCI.MaxCPManual" hidden="1">#REF!-#REF!</definedName>
    <definedName name="QCI.MaxOUManual" hidden="1">#REF!-#REF!</definedName>
    <definedName name="QCI.OutrosManual" hidden="1">ROUND(#REF!,2)</definedName>
    <definedName name="QCI.SubItemInvestimento" hidden="1">OFFSET(#REF!,1,MATCH(#REF!,#REF!,0)-1,INDEX(#REF!,MATCH(#REF!,#REF!,0)+1))</definedName>
    <definedName name="QCI.SumCPMANUAL" hidden="1">SUMIF(#REF!,"Manual",#REF!)</definedName>
    <definedName name="QCI.SumINVMANUAL" hidden="1">SUMIF(#REF!,"Manual",#REF!)</definedName>
    <definedName name="QCI.SumOUTROSMANUAL" hidden="1">SUMIF(#REF!,"Manual",#REF!)</definedName>
    <definedName name="QCI.SumREPASSEMANUAL" hidden="1">QCI.SumINVMANUAL-QCI.CPManual-QCI.OutrosManual</definedName>
    <definedName name="REFERENCIA.Descricao" hidden="1">IF(ISNUMBER(#REF!),OFFSET(INDIRECT(ORÇAMENTO.BancoRef),#REF!-1,3,1),#REF!)</definedName>
    <definedName name="REFERENCIA.Desonerado" hidden="1">IF(ISNUMBER(#REF!),VALUE(OFFSET(INDIRECT(ORÇAMENTO.BancoRef),#REF!-1,5,1)),0)</definedName>
    <definedName name="REFERENCIA.NaoDesonerado" hidden="1">IF(ISNUMBER(#REF!),VALUE(OFFSET(INDIRECT(ORÇAMENTO.BancoRef),#REF!-1,6,1)),0)</definedName>
    <definedName name="REFERENCIA.Unidade" hidden="1">IF(ISNUMBER(#REF!),OFFSET(INDIRECT(ORÇAMENTO.BancoRef),#REF!-1,4,1),"-")</definedName>
    <definedName name="RegimeExecucao" hidden="1">IF(OR(Import.RegimeExecução="",Import.RegimeExecução="Empreitada por Preço Global",Import.RegimeExecução="Empreitada Integral"),"Global","Unitário")</definedName>
    <definedName name="RRE.MaxCPAcum" hidden="1">#REF!</definedName>
    <definedName name="RRE.MaxCPAnt" hidden="1">#REF!</definedName>
    <definedName name="RRE.MaxOUAcum" hidden="1">#REF!</definedName>
    <definedName name="RRE.MaxOUAnt" hidden="1">#REF!</definedName>
    <definedName name="RRE.Numero" hidden="1">OFFSET(#REF!,0,1)</definedName>
    <definedName name="RRE.VIMeta" hidden="1">#REF!</definedName>
    <definedName name="SENHAGT" hidden="1">"PM3CAIXA"</definedName>
    <definedName name="SomaAgrup" hidden="1">SUMIF(OFFSET(#REF!,1,0,#REF!),"S",OFFSET(#REF!,1,0,#REF!))</definedName>
    <definedName name="SomaAgrupBM" hidden="1">SUMIF(OFFSET(#REF!,1,0,#REF!),"S",OFFSET(#REF!,1,0,#REF!))</definedName>
    <definedName name="TIPOORCAMENTO" hidden="1">IF(VALUE(#REF!)=2,"Licitado","Proposto")</definedName>
    <definedName name="Versao" hidden="1">#REF!</definedName>
    <definedName name="VTOTAL1" hidden="1">ROUND(#REF!*#REF!,15-13*#REF!)</definedName>
    <definedName name="VTOTALBM" hidden="1">IF(#REF!=0,0,CHOOSE(MATCH(RegimeExecucao,{"Global","Unitário"},0),ROUND(ROUND(#REF!,15-13*#REF!)/100*#REF!,15-13*#REF!),ROUND(ROUND(#REF!,15-13*#REF!)*ROUND(#REF!,15-13*#REF!),15-13*#REF!)))</definedName>
  </definedNames>
  <calcPr calcId="181029"/>
</workbook>
</file>

<file path=xl/calcChain.xml><?xml version="1.0" encoding="utf-8"?>
<calcChain xmlns="http://schemas.openxmlformats.org/spreadsheetml/2006/main">
  <c r="I99" i="10" l="1"/>
  <c r="H76" i="10"/>
  <c r="H74" i="10"/>
  <c r="H15" i="10"/>
  <c r="F94" i="10"/>
  <c r="G161" i="10"/>
  <c r="G140" i="10"/>
  <c r="G139" i="10"/>
  <c r="G137" i="10"/>
  <c r="G130" i="10"/>
  <c r="G129" i="10"/>
  <c r="G128" i="10"/>
  <c r="G127" i="10"/>
  <c r="G123" i="10"/>
  <c r="G124" i="10" s="1"/>
  <c r="G119" i="10"/>
  <c r="G141" i="10" s="1"/>
  <c r="R51" i="11"/>
  <c r="R49" i="11"/>
  <c r="F33" i="9"/>
  <c r="F30" i="9"/>
  <c r="G131" i="10" l="1"/>
  <c r="G134" i="10"/>
  <c r="G138" i="10"/>
  <c r="G142" i="10" s="1"/>
  <c r="G144" i="10" l="1"/>
  <c r="F15" i="10" l="1"/>
  <c r="F23" i="10"/>
  <c r="I7" i="10" l="1"/>
  <c r="G13" i="10" s="1"/>
  <c r="H88" i="9" l="1"/>
  <c r="H89" i="9"/>
  <c r="H79" i="9"/>
  <c r="H78" i="9"/>
  <c r="H82" i="9"/>
  <c r="H81" i="9"/>
  <c r="H76" i="9"/>
  <c r="H77" i="9"/>
  <c r="H75" i="9"/>
  <c r="H74" i="9"/>
  <c r="H73" i="9"/>
  <c r="H72" i="9"/>
  <c r="H71" i="9"/>
  <c r="H70" i="9"/>
  <c r="H69" i="9"/>
  <c r="H68" i="9"/>
  <c r="G147" i="9"/>
  <c r="G146" i="9"/>
  <c r="G144" i="9"/>
  <c r="G145" i="9" s="1"/>
  <c r="G137" i="9"/>
  <c r="G136" i="9"/>
  <c r="G135" i="9"/>
  <c r="G134" i="9"/>
  <c r="G130" i="9"/>
  <c r="G131" i="9" s="1"/>
  <c r="H90" i="9" l="1"/>
  <c r="G91" i="9" s="1"/>
  <c r="H91" i="9" s="1"/>
  <c r="I92" i="9" s="1"/>
  <c r="G138" i="9"/>
  <c r="I7" i="9" l="1"/>
  <c r="H83" i="10" l="1"/>
  <c r="G82" i="10"/>
  <c r="H82" i="10" s="1"/>
  <c r="G79" i="10"/>
  <c r="H79" i="10" s="1"/>
  <c r="G80" i="10" s="1"/>
  <c r="G77" i="10"/>
  <c r="F77" i="10"/>
  <c r="F80" i="10" s="1"/>
  <c r="H75" i="10"/>
  <c r="G68" i="10"/>
  <c r="G70" i="10" s="1"/>
  <c r="H70" i="10" s="1"/>
  <c r="I71" i="10" s="1"/>
  <c r="F56" i="10"/>
  <c r="H45" i="10"/>
  <c r="H44" i="10"/>
  <c r="H43" i="10"/>
  <c r="H42" i="10"/>
  <c r="H41" i="10"/>
  <c r="H40" i="10"/>
  <c r="H39" i="10"/>
  <c r="G32" i="10"/>
  <c r="H32" i="10" s="1"/>
  <c r="F31" i="10"/>
  <c r="H31" i="10" s="1"/>
  <c r="F28" i="10"/>
  <c r="H28" i="10" s="1"/>
  <c r="F21" i="10"/>
  <c r="G20" i="10"/>
  <c r="H20" i="10" s="1"/>
  <c r="H22" i="10" s="1"/>
  <c r="G12" i="10"/>
  <c r="H12" i="10" s="1"/>
  <c r="G168" i="9"/>
  <c r="F101" i="9" s="1"/>
  <c r="G126" i="9"/>
  <c r="H80" i="9"/>
  <c r="H67" i="9"/>
  <c r="H66" i="9"/>
  <c r="H65" i="9"/>
  <c r="F58" i="9"/>
  <c r="H47" i="9"/>
  <c r="H46" i="9"/>
  <c r="H45" i="9"/>
  <c r="H44" i="9"/>
  <c r="H43" i="9"/>
  <c r="H42" i="9"/>
  <c r="H41" i="9"/>
  <c r="G34" i="9"/>
  <c r="H34" i="9" s="1"/>
  <c r="H33" i="9"/>
  <c r="H30" i="9"/>
  <c r="F23" i="9"/>
  <c r="H21" i="9"/>
  <c r="H12" i="9"/>
  <c r="H49" i="9" l="1"/>
  <c r="G49" i="9"/>
  <c r="I33" i="10"/>
  <c r="H83" i="9"/>
  <c r="G84" i="9" s="1"/>
  <c r="H84" i="9" s="1"/>
  <c r="I85" i="9" s="1"/>
  <c r="I95" i="9" s="1"/>
  <c r="G22" i="9"/>
  <c r="H22" i="9" s="1"/>
  <c r="H24" i="9" s="1"/>
  <c r="G25" i="9" s="1"/>
  <c r="G141" i="9"/>
  <c r="G148" i="9"/>
  <c r="G149" i="9" s="1"/>
  <c r="H13" i="9"/>
  <c r="I35" i="9"/>
  <c r="G23" i="10"/>
  <c r="H80" i="10"/>
  <c r="H13" i="10"/>
  <c r="H14" i="10" s="1"/>
  <c r="G29" i="10"/>
  <c r="H29" i="10" s="1"/>
  <c r="I30" i="10" s="1"/>
  <c r="H46" i="10"/>
  <c r="G47" i="10" s="1"/>
  <c r="H47" i="10" s="1"/>
  <c r="I47" i="10" s="1"/>
  <c r="I49" i="10" s="1"/>
  <c r="G53" i="10" s="1"/>
  <c r="H53" i="10" s="1"/>
  <c r="G64" i="10"/>
  <c r="H64" i="10" s="1"/>
  <c r="G65" i="10" s="1"/>
  <c r="H65" i="10" s="1"/>
  <c r="I66" i="10" s="1"/>
  <c r="H77" i="10"/>
  <c r="G31" i="9"/>
  <c r="H31" i="9" s="1"/>
  <c r="I32" i="9" s="1"/>
  <c r="I49" i="9" l="1"/>
  <c r="I51" i="9" s="1"/>
  <c r="G55" i="9" s="1"/>
  <c r="H55" i="9" s="1"/>
  <c r="I84" i="10"/>
  <c r="I88" i="10" s="1"/>
  <c r="G151" i="9"/>
  <c r="F16" i="9" s="1"/>
  <c r="G14" i="9"/>
  <c r="H14" i="9" s="1"/>
  <c r="H15" i="9" s="1"/>
  <c r="G16" i="9" s="1"/>
  <c r="G15" i="10"/>
  <c r="H23" i="10"/>
  <c r="H24" i="10" s="1"/>
  <c r="G25" i="10" s="1"/>
  <c r="H25" i="10" s="1"/>
  <c r="I25" i="10" s="1"/>
  <c r="H16" i="9" l="1"/>
  <c r="H17" i="9" s="1"/>
  <c r="G18" i="9" s="1"/>
  <c r="H18" i="9" s="1"/>
  <c r="I18" i="9" s="1"/>
  <c r="F25" i="9"/>
  <c r="H25" i="9" s="1"/>
  <c r="H16" i="10"/>
  <c r="G17" i="10" s="1"/>
  <c r="H17" i="10" s="1"/>
  <c r="I17" i="10" s="1"/>
  <c r="I35" i="10" s="1"/>
  <c r="G52" i="10" s="1"/>
  <c r="H52" i="10" s="1"/>
  <c r="H54" i="10" s="1"/>
  <c r="G55" i="10" s="1"/>
  <c r="H26" i="9" l="1"/>
  <c r="G27" i="9" s="1"/>
  <c r="H27" i="9" s="1"/>
  <c r="I27" i="9" s="1"/>
  <c r="I37" i="9" s="1"/>
  <c r="G54" i="9" s="1"/>
  <c r="H54" i="9" s="1"/>
  <c r="H56" i="9" s="1"/>
  <c r="G57" i="9" s="1"/>
  <c r="H55" i="10"/>
  <c r="G56" i="10"/>
  <c r="H56" i="10" s="1"/>
  <c r="I56" i="10" s="1"/>
  <c r="I59" i="10" s="1"/>
  <c r="I90" i="10" s="1"/>
  <c r="G58" i="9" l="1"/>
  <c r="H58" i="9" s="1"/>
  <c r="I58" i="9" s="1"/>
  <c r="I61" i="9" s="1"/>
  <c r="I97" i="9" s="1"/>
  <c r="G101" i="9" s="1"/>
  <c r="H101" i="9" s="1"/>
  <c r="I102" i="9" s="1"/>
  <c r="I104" i="9" s="1"/>
  <c r="I106" i="9" s="1"/>
  <c r="H57" i="9"/>
  <c r="G94" i="10"/>
  <c r="H94" i="10" s="1"/>
  <c r="I95" i="10" s="1"/>
  <c r="I97" i="10" s="1"/>
  <c r="S31" i="11" l="1"/>
  <c r="W31" i="11" s="1"/>
  <c r="AA31" i="11" s="1"/>
  <c r="S30" i="11"/>
  <c r="W30" i="11" l="1"/>
  <c r="W32" i="11" s="1"/>
  <c r="AA32" i="11" s="1"/>
  <c r="S32" i="11"/>
  <c r="AA30" i="11" l="1"/>
</calcChain>
</file>

<file path=xl/sharedStrings.xml><?xml version="1.0" encoding="utf-8"?>
<sst xmlns="http://schemas.openxmlformats.org/spreadsheetml/2006/main" count="526" uniqueCount="231">
  <si>
    <t>%</t>
  </si>
  <si>
    <t>Soma</t>
  </si>
  <si>
    <t>Encargos Sociais</t>
  </si>
  <si>
    <t>Total do Efetivo</t>
  </si>
  <si>
    <t>IPVA</t>
  </si>
  <si>
    <t>Impostos e seguros mensais</t>
  </si>
  <si>
    <t>Custo mensal com óleo do motor</t>
  </si>
  <si>
    <t>Calça</t>
  </si>
  <si>
    <t>Boné</t>
  </si>
  <si>
    <t>Benefícios e despesas indiretas</t>
  </si>
  <si>
    <t>CUSTO TOTAL MENSAL COM DESPESAS OPERACIONAIS (R$/mês) ........................................................................................................</t>
  </si>
  <si>
    <t>Quantidade</t>
  </si>
  <si>
    <t>Sub-total</t>
  </si>
  <si>
    <t>2. Uniformes e Equipamentos de Proteção Individual</t>
  </si>
  <si>
    <t>par</t>
  </si>
  <si>
    <t>Seguro obrigatório</t>
  </si>
  <si>
    <t>Custo mensal com pneus</t>
  </si>
  <si>
    <t>Discriminação</t>
  </si>
  <si>
    <t>Unidade</t>
  </si>
  <si>
    <t>Subtotal</t>
  </si>
  <si>
    <t>Preço unitário</t>
  </si>
  <si>
    <t>Composição do BDI - Benefícios e Despesas Indiretas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</si>
  <si>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</si>
  <si>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</si>
  <si>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</si>
  <si>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</si>
  <si>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</si>
  <si>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</si>
  <si>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</si>
  <si>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</si>
  <si>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</si>
  <si>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</si>
  <si>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Fórmula para o cálculo do BDI:</t>
  </si>
  <si>
    <t>{[(1+AC+SRG) x (1+L) x (1+DF)] / (1-T)} -1</t>
  </si>
  <si>
    <t>Resultado do cálculo do BDI:</t>
  </si>
  <si>
    <t>INSS (art. 22, inc. I, Lei nº 8.212/91)</t>
  </si>
  <si>
    <t>FGTS (art. 15, Lei nº 8.036/90)</t>
  </si>
  <si>
    <t>Seguro Acidente do Trabalho 1%, 2% e 3% (art. 22, inc. II, alíneas "b" e "c", da Lei nº 8.212/91)</t>
  </si>
  <si>
    <t>Salário Educação (art. , inc. I, Decreto nº 87.043/82)</t>
  </si>
  <si>
    <t>SEBRAE (§ 3º, art. 8º, Lei nº 8.029/90)</t>
  </si>
  <si>
    <t>SESI ou SESC (art. 30, Lei nº 8.036/90)</t>
  </si>
  <si>
    <t>SENAI ou SENAC (Decreto-Lei nº 2.318/86)</t>
  </si>
  <si>
    <t>INCRA (art. 15I, Lei Complementar nº 011/71)</t>
  </si>
  <si>
    <t>13º Salário</t>
  </si>
  <si>
    <t>Aviso Prévio Trabalhado</t>
  </si>
  <si>
    <t>Aviso Prévio Indenizado</t>
  </si>
  <si>
    <t>Salário Normativo CCT</t>
  </si>
  <si>
    <t>220 Horas</t>
  </si>
  <si>
    <t>01 Hora</t>
  </si>
  <si>
    <t>Desconto Legal s/Auxílio Alimentação.</t>
  </si>
  <si>
    <t>Total (R$)</t>
  </si>
  <si>
    <t>Salário Efetivo (220 hs Escala 12x36)</t>
  </si>
  <si>
    <t>Mês</t>
  </si>
  <si>
    <t>Adicional Noturno (20%) ((Vlr. Hora x 20%) x (Qt. Hs)</t>
  </si>
  <si>
    <t>Hora</t>
  </si>
  <si>
    <t>Total por Ronda</t>
  </si>
  <si>
    <t>Total Efetivo</t>
  </si>
  <si>
    <t>Pessoa</t>
  </si>
  <si>
    <t>Outros</t>
  </si>
  <si>
    <t>Vale</t>
  </si>
  <si>
    <t>Desconto Legal s/Vale Transporte</t>
  </si>
  <si>
    <t>Demais custos relativos à Norma Coletiva</t>
  </si>
  <si>
    <t>Custo Mensal com Mão-de-obra (R$/mês) ...........................................................................................................................</t>
  </si>
  <si>
    <t>1 - Mão de Obra</t>
  </si>
  <si>
    <t>1.1</t>
  </si>
  <si>
    <t>1.2</t>
  </si>
  <si>
    <t>1.3</t>
  </si>
  <si>
    <t>2.1</t>
  </si>
  <si>
    <t>Camisa</t>
  </si>
  <si>
    <t>Coturno</t>
  </si>
  <si>
    <t>Cinto Nylon</t>
  </si>
  <si>
    <t>Japona/gandola</t>
  </si>
  <si>
    <t>Meia</t>
  </si>
  <si>
    <t>Uniformes e EPI's para Rondas</t>
  </si>
  <si>
    <t>Custo Mensal com Uniformes e EPI's (R$/mês) ...................................................................................................................</t>
  </si>
  <si>
    <t>Custo de Aquisição</t>
  </si>
  <si>
    <t>Depreciação do Veículo (60 meses)</t>
  </si>
  <si>
    <t>Depreciação mensal do Veículo</t>
  </si>
  <si>
    <t>Impostos e Seguros</t>
  </si>
  <si>
    <t>Custo de Gasolina / km rodado</t>
  </si>
  <si>
    <t>Km/l</t>
  </si>
  <si>
    <t>Custo de óleo do motor /5.000 km rodados</t>
  </si>
  <si>
    <t>l/5000 km</t>
  </si>
  <si>
    <t>Km</t>
  </si>
  <si>
    <t>Consumos e Manutenção</t>
  </si>
  <si>
    <t>Custo do jogo de pneus Diant/Tras</t>
  </si>
  <si>
    <t>Custo jg. compl. / km rodado</t>
  </si>
  <si>
    <t>Km/jogo</t>
  </si>
  <si>
    <t>Custo Mensal com Veículos e Equipamentos (R$/mês) .....................................................................................................</t>
  </si>
  <si>
    <t>Custo Mensal com BDI (R$/mês) .............................................................................................................................................</t>
  </si>
  <si>
    <t>CUSTOS MENSAL TOTAL (R$/mês) ..............................................................................................................................................</t>
  </si>
  <si>
    <t>4.1</t>
  </si>
  <si>
    <t>Custo Mensal com Mão-de-obra (R$/mês)</t>
  </si>
  <si>
    <t>Custo Mensal com Uniformes e EPI's (R$/mês)</t>
  </si>
  <si>
    <t>horas</t>
  </si>
  <si>
    <t>Rateio da Mão-de-Obra Utilizada</t>
  </si>
  <si>
    <r>
      <t>Quantidade de horas trabalhadas/mês</t>
    </r>
    <r>
      <rPr>
        <vertAlign val="superscript"/>
        <sz val="10"/>
        <color indexed="8"/>
        <rFont val="Calibri"/>
        <family val="2"/>
      </rPr>
      <t>(1)</t>
    </r>
  </si>
  <si>
    <t>Total de horas efetivamente utilizadas nas Rondas</t>
  </si>
  <si>
    <t>Custo Efetivo Mensal com Mão-de-obra nas Rondas (R$/mês) ........................................................................................</t>
  </si>
  <si>
    <r>
      <t>Custo mensal com Gasolina</t>
    </r>
    <r>
      <rPr>
        <vertAlign val="superscript"/>
        <sz val="10"/>
        <rFont val="Calibri"/>
        <family val="2"/>
      </rPr>
      <t>(2)</t>
    </r>
  </si>
  <si>
    <r>
      <t>Custo de Peças, manutenção e reparos</t>
    </r>
    <r>
      <rPr>
        <vertAlign val="superscript"/>
        <sz val="10"/>
        <color indexed="8"/>
        <rFont val="Calibri"/>
        <family val="2"/>
      </rPr>
      <t>(3)</t>
    </r>
  </si>
  <si>
    <t>(3) Estimativa de gasto anual com troca de pequenas peças, lavagens e pequenos reparos.</t>
  </si>
  <si>
    <t>Tributos - PIS</t>
  </si>
  <si>
    <t>Tributos - COFINS</t>
  </si>
  <si>
    <t>Tributos - SIMPLES NACIONAL</t>
  </si>
  <si>
    <t>Prestação de Serviços de Ronda</t>
  </si>
  <si>
    <t>Planilha de Composição de Custos e Formação de Preços</t>
  </si>
  <si>
    <t>Capacete</t>
  </si>
  <si>
    <t>Custo mensal com Capacete</t>
  </si>
  <si>
    <t>3.</t>
  </si>
  <si>
    <t>4. Veículos e Equipamentos</t>
  </si>
  <si>
    <t>4.2</t>
  </si>
  <si>
    <t>4.3</t>
  </si>
  <si>
    <t>5. Benefícios e Despesas Indiretas - BDI</t>
  </si>
  <si>
    <t>5.1</t>
  </si>
  <si>
    <t>4. Equipamentos, Materiais e Custos de Operação</t>
  </si>
  <si>
    <t>Sirene 120 dB</t>
  </si>
  <si>
    <t>Bateria Selada 12v 7A</t>
  </si>
  <si>
    <t>Depreciação mensal dos Equipamentos</t>
  </si>
  <si>
    <t>Nobreak</t>
  </si>
  <si>
    <t>Total horas efetivamente utilizadas no Monitoramento</t>
  </si>
  <si>
    <t>Parafusos e Buchas</t>
  </si>
  <si>
    <t>Custo Efetivo Mensal com Mão-de-obra no Monitoramento (R$/mês) ........................................................................................</t>
  </si>
  <si>
    <t>Equipamentos utilizados na empresa</t>
  </si>
  <si>
    <t>Equipamentos utilizados nos locais de monitoramento</t>
  </si>
  <si>
    <t>Central Receptora de Alarme</t>
  </si>
  <si>
    <t>Observações:</t>
  </si>
  <si>
    <t>(1) A planilha de composição de custos e formação de preços é meramente estimativa, cabendo ao licitante preenchê-las e apresentá-las, em conformidade com a sua realidade e com o previsto neste edital.</t>
  </si>
  <si>
    <t>(2) Os tributos (ISS, COFINS e PIS) foram definidos utilizando o regime de tributação de Lucro Real, o licitante deve elaborar sua proposta e, por conseguinte, sua planilha de composição de custos e formação de preços com base no regime de tributação ao qual estará submetido durante a execução do contrato.</t>
  </si>
  <si>
    <t>SindVig-RS</t>
  </si>
  <si>
    <t>Ad. Not. %</t>
  </si>
  <si>
    <t>Adicional de Férias (1/3)</t>
  </si>
  <si>
    <t>Substituição durante férias</t>
  </si>
  <si>
    <t>Substituição durante ausência por doença</t>
  </si>
  <si>
    <t>Substituição durante ausências legais</t>
  </si>
  <si>
    <t>Substituição durante ausência por acidente de trabalho</t>
  </si>
  <si>
    <t>Incidência do FGTS sobre o Aviso Prévio Indenizado</t>
  </si>
  <si>
    <t>Multa do FGTS sobre o Aviso Prévio Indenizado</t>
  </si>
  <si>
    <t>Incidência do Grupo A sobre o Aviso Prévio trabalhado</t>
  </si>
  <si>
    <t>Periculosidade (Sal.Efet. + Ad.Not.) x (30%)</t>
  </si>
  <si>
    <t>Periculosidade (Sal.Efet.) x (30%)</t>
  </si>
  <si>
    <t>Central de Alarme AMT 2118 EG monitorada com 18 zonas (18 com fio + 24 sem fio) Via (linha telefônica/ethernet/GSM-GPRS)</t>
  </si>
  <si>
    <t>Sensor Infravermelho Passivo Sem Fio IVP 2000 SF</t>
  </si>
  <si>
    <t>Botoeira Manual (botão de Pânico)</t>
  </si>
  <si>
    <t>Bastão de Ronda p.controle de vigias</t>
  </si>
  <si>
    <t>Ibutton Bastão Controle Ronda Vigia</t>
  </si>
  <si>
    <t>Câmera de Monit. Infravermelho Full HD 1080p 2.0</t>
  </si>
  <si>
    <t>DVR gravador INTELBRAS 16 canais Full hd 1016c+ hd 3tb</t>
  </si>
  <si>
    <t>Balun Passivo VB 501P Intelbras</t>
  </si>
  <si>
    <t>Fonte CFTV EF1 1205+ ACDC 12V 5A Intelbras</t>
  </si>
  <si>
    <t>Cabo Coaxial Bipolar 4Mm Flexivel 80% De Malha 100M</t>
  </si>
  <si>
    <t>Nobreak UPS Mini, 600VA, Bivolt e Saída de 115V, com 6 Tomadas de Saída e 20 Minutos de Autonomia</t>
  </si>
  <si>
    <t>Caixa VBOX de Passagem Plástica Câmeras</t>
  </si>
  <si>
    <t>Mini rack montado 5u 370mm mrm 537 - Intelbras</t>
  </si>
  <si>
    <t>Switch 8 Portas TP-link 10/100/1000 Gigabit TL-SG108</t>
  </si>
  <si>
    <t>AGENTE DE MONITORAMENTO - 
CBO Nº 5174-20</t>
  </si>
  <si>
    <t>Veículo Motocicleta On-Off Road 160cc</t>
  </si>
  <si>
    <t>Operador Monitoramento - Noturno</t>
  </si>
  <si>
    <t>Operador Monitoramento  - Diurno</t>
  </si>
  <si>
    <t>Ronda - Noturno</t>
  </si>
  <si>
    <t>Ronda - Diurno</t>
  </si>
  <si>
    <t>AUXILIARES DE SERVIÇOS PATRIMONIAIS - CBO Nº 5174</t>
  </si>
  <si>
    <t>Salário Efetivo (220 hs)</t>
  </si>
  <si>
    <t>Total por Operador</t>
  </si>
  <si>
    <t>Vale-Transporte - Cláusula 35ª CCT SindVig-RS</t>
  </si>
  <si>
    <t>CARTA DE APRESENTAÇÃO DA PROPOSTA</t>
  </si>
  <si>
    <t>Ao MUNICÍPIO DE SANTIAGO</t>
  </si>
  <si>
    <t>Processo Administrativo:</t>
  </si>
  <si>
    <t>EDITAL Nº:</t>
  </si>
  <si>
    <t>Licitação:</t>
  </si>
  <si>
    <t>Razão Social:</t>
  </si>
  <si>
    <t>CNPJ/CPF:</t>
  </si>
  <si>
    <t>Regime Tributário:</t>
  </si>
  <si>
    <r>
      <rPr>
        <sz val="10"/>
        <color theme="1"/>
        <rFont val="Calibri"/>
        <family val="2"/>
      </rPr>
      <t xml:space="preserve">→ </t>
    </r>
    <r>
      <rPr>
        <sz val="10"/>
        <color theme="1"/>
        <rFont val="Arial"/>
        <family val="2"/>
      </rPr>
      <t>Conferir se o regime tributário está correto</t>
    </r>
  </si>
  <si>
    <t>Endereço:</t>
  </si>
  <si>
    <t>Nº:</t>
  </si>
  <si>
    <t>Cidade:</t>
  </si>
  <si>
    <t>Telefone:</t>
  </si>
  <si>
    <t>email:</t>
  </si>
  <si>
    <t>Responsável:</t>
  </si>
  <si>
    <t>CPF:</t>
  </si>
  <si>
    <t>Valor (R$)</t>
  </si>
  <si>
    <t>Unitário</t>
  </si>
  <si>
    <t>Mensal</t>
  </si>
  <si>
    <t>Total (12 meses)</t>
  </si>
  <si>
    <t xml:space="preserve">      Declaramos que em nossos preços estão incluídos todos os custos diretos e indiretos para a perfeita execução do serviços.</t>
  </si>
  <si>
    <t xml:space="preserve">     Na execução dos serviços observaremos rigorosamente as especificações contidas do termo de referência, assumindo, desde já, a integral responsabilidade pela perfeita realização dos trabalhos.</t>
  </si>
  <si>
    <t xml:space="preserve">     Declaramos, outrossim, que temos pleno conhecimento de todos os aspectos relativos a presente licitação e nossa plena concordância com as condições estabelecidas no Edital e seus anexos.</t>
  </si>
  <si>
    <t xml:space="preserve"> </t>
  </si>
  <si>
    <t>____________________________________________________</t>
  </si>
  <si>
    <t>Representante Legal</t>
  </si>
  <si>
    <t>PREGÃO ELETRÔNICO</t>
  </si>
  <si>
    <t>MUNICÍPIO DE SANTIAGO</t>
  </si>
  <si>
    <t>87.897.740/0001-50</t>
  </si>
  <si>
    <t>Rua Tito Beccon</t>
  </si>
  <si>
    <t>Lucro Real</t>
  </si>
  <si>
    <t>Santiago/RS</t>
  </si>
  <si>
    <t>(55) 3251-2000</t>
  </si>
  <si>
    <t>licitacaostg@gmail.com</t>
  </si>
  <si>
    <t>xxxxxxxxxxxxx</t>
  </si>
  <si>
    <t>Tipo de Serviço</t>
  </si>
  <si>
    <t>Prestação de Serviços de serviços de vídeo monitoramento eletrônico e sistema de alarme</t>
  </si>
  <si>
    <t>Pontos</t>
  </si>
  <si>
    <t>Serviços de ronda</t>
  </si>
  <si>
    <t>VALOR GLOBAL DOS SERVIÇOS</t>
  </si>
  <si>
    <t>Serviços de vídeo monitoramento eletrônico e sistema de alarmes monitorados</t>
  </si>
  <si>
    <t>A - Módulo 1 - Encargos Previdenciários, FGTS e outras contribuições</t>
  </si>
  <si>
    <t>B - Módulo 2 - 13º Salário e Adicional de Férias</t>
  </si>
  <si>
    <t>C - Módulo 3 - Custo de reposição do profissional ausente</t>
  </si>
  <si>
    <t>D - Módulo 4 - Incidência Cumulativa</t>
  </si>
  <si>
    <t>Módulo 1 sobre Módulo 2 e Módulo 3 ((A x (B + C))</t>
  </si>
  <si>
    <t>E - Módulo 5 - Provião para rescisão</t>
  </si>
  <si>
    <t>Total para Encargos Sociais (A + B + C+ D + E)</t>
  </si>
  <si>
    <t>VALIDADE DA PROPOSTA: 60 DIAS</t>
  </si>
  <si>
    <r>
      <t xml:space="preserve">Detalhamento dos Serviços: Custo relativo a um empregado da categoria </t>
    </r>
    <r>
      <rPr>
        <b/>
        <sz val="8"/>
        <color indexed="8"/>
        <rFont val="Calibri"/>
        <family val="2"/>
      </rPr>
      <t>AGENTE DE MONITORAMENTO</t>
    </r>
    <r>
      <rPr>
        <sz val="8"/>
        <color indexed="8"/>
        <rFont val="Calibri"/>
        <family val="2"/>
      </rPr>
      <t xml:space="preserve">, com jornada de 12 horas, </t>
    </r>
    <r>
      <rPr>
        <b/>
        <sz val="8"/>
        <color indexed="8"/>
        <rFont val="Calibri"/>
        <family val="2"/>
      </rPr>
      <t>escala 12 x 36 horas</t>
    </r>
    <r>
      <rPr>
        <sz val="8"/>
        <color indexed="8"/>
        <rFont val="Calibri"/>
        <family val="2"/>
      </rPr>
      <t xml:space="preserve"> </t>
    </r>
    <r>
      <rPr>
        <b/>
        <sz val="8"/>
        <color indexed="8"/>
        <rFont val="Calibri"/>
        <family val="2"/>
      </rPr>
      <t>(220 horas)</t>
    </r>
    <r>
      <rPr>
        <sz val="8"/>
        <color indexed="8"/>
        <rFont val="Calibri"/>
        <family val="2"/>
      </rPr>
      <t xml:space="preserve"> e jornada de 12 horas, escala 12 x 36 horas </t>
    </r>
    <r>
      <rPr>
        <b/>
        <sz val="8"/>
        <color indexed="8"/>
        <rFont val="Calibri"/>
        <family val="2"/>
      </rPr>
      <t>(220 horas)</t>
    </r>
    <r>
      <rPr>
        <sz val="8"/>
        <color indexed="8"/>
        <rFont val="Calibri"/>
        <family val="2"/>
      </rPr>
      <t>. Convenção Coletiva do SindVig-RS (RS000303/2024, registrada no MTE em 15/02/2024, vigência até 31/01/2025).</t>
    </r>
  </si>
  <si>
    <t>Vr. Hora Not</t>
  </si>
  <si>
    <t>Auxílio Alimentação  - Cláusula 11ª CCT SindVig-RS</t>
  </si>
  <si>
    <r>
      <t xml:space="preserve">Auxílio Alimentação  - </t>
    </r>
    <r>
      <rPr>
        <sz val="10"/>
        <color indexed="8"/>
        <rFont val="Calibri"/>
        <family val="2"/>
      </rPr>
      <t>Cláusula 11ª CCT SindVig-RS</t>
    </r>
  </si>
  <si>
    <t>OBJETO: Contratação da prestação de serviços continuados de Vídeo Monitoramento Eletrônico com sistemas de alarmes monitorados e Serviços de ronda nas unidades vinculadas à Secretaria Municipal de Educação e Cultura, com jornadas de trabalho e execução especificadas no termo de referência.</t>
  </si>
  <si>
    <t>XXX/2024</t>
  </si>
  <si>
    <t>XXXXXXXXXXXXX</t>
  </si>
  <si>
    <t xml:space="preserve">      O valor Global mensal da proposta é de R$ XXXX (VALOR POR EXTENSO), conforme discriminado abaixo:</t>
  </si>
  <si>
    <t>(1) Estimativa de 01 trabalhadores a 220 horas/mês</t>
  </si>
  <si>
    <t>(1) Estimativa de 01 trabalhador a 220 horas/mês</t>
  </si>
  <si>
    <r>
      <t xml:space="preserve">CUSTOS UNITÁRIO [ CUSTO MENSAL TOTAL </t>
    </r>
    <r>
      <rPr>
        <b/>
        <sz val="9"/>
        <color indexed="8"/>
        <rFont val="Calibri"/>
        <family val="2"/>
      </rPr>
      <t>÷ 2 postos de Ronda ] ..........................................................................................</t>
    </r>
  </si>
  <si>
    <r>
      <t xml:space="preserve">CUSTOS UNITÁRIO [ CUSTO MENSAL TOTAL </t>
    </r>
    <r>
      <rPr>
        <b/>
        <sz val="9"/>
        <color indexed="8"/>
        <rFont val="Calibri"/>
        <family val="2"/>
      </rPr>
      <t>÷ 02 postos de Monitoramento Eletrônico] .........................................................</t>
    </r>
  </si>
  <si>
    <r>
      <t xml:space="preserve">Detalhamento dos Serviços: Custo relativo a um empregado da categoria </t>
    </r>
    <r>
      <rPr>
        <b/>
        <sz val="8"/>
        <color theme="1"/>
        <rFont val="Calibri"/>
        <family val="2"/>
      </rPr>
      <t>AUXILIARES DE SERVIÇOS PATRIMONIAIS</t>
    </r>
    <r>
      <rPr>
        <sz val="8"/>
        <color indexed="8"/>
        <rFont val="Calibri"/>
        <family val="2"/>
      </rPr>
      <t xml:space="preserve">, com jornada de 12 horas, </t>
    </r>
    <r>
      <rPr>
        <b/>
        <sz val="8"/>
        <color indexed="8"/>
        <rFont val="Calibri"/>
        <family val="2"/>
      </rPr>
      <t>escala 12 x 36 horas</t>
    </r>
    <r>
      <rPr>
        <sz val="8"/>
        <color indexed="8"/>
        <rFont val="Calibri"/>
        <family val="2"/>
      </rPr>
      <t xml:space="preserve"> </t>
    </r>
    <r>
      <rPr>
        <b/>
        <sz val="8"/>
        <color indexed="8"/>
        <rFont val="Calibri"/>
        <family val="2"/>
      </rPr>
      <t>(220 horas)</t>
    </r>
    <r>
      <rPr>
        <sz val="8"/>
        <color indexed="8"/>
        <rFont val="Calibri"/>
        <family val="2"/>
      </rPr>
      <t xml:space="preserve"> e jornada de 12 horas, escala 12 x 36 horas </t>
    </r>
    <r>
      <rPr>
        <b/>
        <sz val="8"/>
        <color indexed="8"/>
        <rFont val="Calibri"/>
        <family val="2"/>
      </rPr>
      <t>(220 horas)</t>
    </r>
    <r>
      <rPr>
        <sz val="8"/>
        <color indexed="8"/>
        <rFont val="Calibri"/>
        <family val="2"/>
      </rPr>
      <t>. Convenção Coletiva do SindVig-RS (RS000837/2025, registrada no MTE em 27/03/2025, vigência até 31/01/2027).</t>
    </r>
  </si>
  <si>
    <t>Fios e cabos CAT5 - CFTV (100mts)</t>
  </si>
  <si>
    <t>Santiago/RS, 04 de junho de 2024.</t>
  </si>
  <si>
    <t>Custo Mensal com Equipamentos e Materiais (R$/mês) ...............................................................</t>
  </si>
  <si>
    <t>(2) Estimativa km média percorrida pela frota = 720 km/mês para 3 Rondas de seg a sex e 4 rondas em sábados, domingos e feriados.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</si>
</sst>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3" formatCode="_-* #,##0.00_-;\-* #,##0.00_-;_-* &quot;-&quot;??_-;_-@_-"/>
    <numFmt numFmtId="164" formatCode="_(* #,##0.00_);_(* \(#,##0.00\);_(* &quot;-&quot;??_);_(@_)"/>
    <numFmt numFmtId="165" formatCode="_(&quot;R$&quot;* #,##0.00_);_(&quot;R$&quot;* \(#,##0.00\);_(&quot;R$&quot;* &quot;-&quot;??_);_(@_)"/>
    <numFmt numFmtId="166" formatCode="#,##0.000"/>
    <numFmt numFmtId="167" formatCode="0.000"/>
    <numFmt numFmtId="168" formatCode="_(* #,##0.000000_);_(* \(#,##0.000000\);_(* &quot;-&quot;??_);_(@_)"/>
    <numFmt numFmtId="169" formatCode="0.0%"/>
    <numFmt numFmtId="170" formatCode="0.000%"/>
    <numFmt numFmtId="171" formatCode="0.0000%"/>
    <numFmt numFmtId="172" formatCode="0.00000%"/>
    <numFmt numFmtId="173" formatCode="#,##0.00_ ;\(#,##0.00\)"/>
    <numFmt numFmtId="174" formatCode="#,##0.00;\(\-#,##0.00\)"/>
    <numFmt numFmtId="175" formatCode="00&quot;.&quot;000&quot;.&quot;000&quot;/&quot;0000&quot;-&quot;00"/>
    <numFmt numFmtId="176" formatCode="000&quot;/&quot;0000000"/>
    <numFmt numFmtId="177" formatCode="[&lt;=9999999]###\-####;\(##\)\ ####\-####"/>
    <numFmt numFmtId="178" formatCode="000&quot;.&quot;000&quot;.&quot;000\-00"/>
  </numFmts>
  <fonts count="3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sz val="8"/>
      <color indexed="8"/>
      <name val="Calibri"/>
      <family val="2"/>
    </font>
    <font>
      <b/>
      <sz val="8"/>
      <color indexed="8"/>
      <name val="Calibri"/>
      <family val="2"/>
    </font>
    <font>
      <sz val="10"/>
      <color indexed="8"/>
      <name val="Calibri"/>
      <family val="2"/>
    </font>
    <font>
      <b/>
      <sz val="9"/>
      <color indexed="8"/>
      <name val="Calibri"/>
      <family val="2"/>
    </font>
    <font>
      <b/>
      <sz val="12"/>
      <name val="Calibri"/>
      <family val="2"/>
    </font>
    <font>
      <vertAlign val="superscript"/>
      <sz val="10"/>
      <color indexed="8"/>
      <name val="Calibri"/>
      <family val="2"/>
    </font>
    <font>
      <vertAlign val="superscript"/>
      <sz val="10"/>
      <name val="Calibri"/>
      <family val="2"/>
    </font>
    <font>
      <sz val="10"/>
      <color theme="1"/>
      <name val="Calibri"/>
      <family val="2"/>
    </font>
    <font>
      <b/>
      <u/>
      <sz val="10"/>
      <color theme="1"/>
      <name val="Calibri"/>
      <family val="2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8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0"/>
      <color theme="1"/>
      <name val="Calibri"/>
      <family val="2"/>
    </font>
    <font>
      <b/>
      <sz val="8"/>
      <color theme="1"/>
      <name val="Calibri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u/>
      <sz val="10"/>
      <color theme="10"/>
      <name val="Arial"/>
      <family val="2"/>
    </font>
    <font>
      <b/>
      <sz val="10"/>
      <color theme="1"/>
      <name val="Arial"/>
      <family val="2"/>
    </font>
    <font>
      <b/>
      <i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theme="0" tint="-0.24994659260841701"/>
      </right>
      <top/>
      <bottom style="thin">
        <color rgb="FF002060"/>
      </bottom>
      <diagonal/>
    </border>
    <border>
      <left style="thin">
        <color theme="0" tint="-0.24994659260841701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theme="0" tint="-0.24994659260841701"/>
      </right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/>
      <top style="thin">
        <color rgb="FF002060"/>
      </top>
      <bottom/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rgb="FF002060"/>
      </bottom>
      <diagonal/>
    </border>
  </borders>
  <cellStyleXfs count="9">
    <xf numFmtId="0" fontId="0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365">
    <xf numFmtId="0" fontId="0" fillId="0" borderId="0" xfId="0"/>
    <xf numFmtId="0" fontId="0" fillId="0" borderId="0" xfId="0" applyAlignment="1">
      <alignment vertical="center"/>
    </xf>
    <xf numFmtId="0" fontId="13" fillId="0" borderId="0" xfId="0" applyFont="1"/>
    <xf numFmtId="0" fontId="14" fillId="0" borderId="0" xfId="0" applyFont="1" applyAlignment="1">
      <alignment horizontal="center"/>
    </xf>
    <xf numFmtId="0" fontId="15" fillId="3" borderId="2" xfId="0" applyFont="1" applyFill="1" applyBorder="1" applyAlignment="1">
      <alignment horizontal="center" vertical="center" wrapText="1"/>
    </xf>
    <xf numFmtId="164" fontId="15" fillId="3" borderId="2" xfId="3" applyFont="1" applyFill="1" applyBorder="1" applyAlignment="1">
      <alignment horizontal="center" vertical="center" wrapText="1"/>
    </xf>
    <xf numFmtId="0" fontId="16" fillId="0" borderId="0" xfId="0" applyFont="1"/>
    <xf numFmtId="0" fontId="17" fillId="3" borderId="3" xfId="0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 wrapText="1"/>
    </xf>
    <xf numFmtId="9" fontId="17" fillId="3" borderId="2" xfId="0" applyNumberFormat="1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18" fillId="4" borderId="14" xfId="0" applyFont="1" applyFill="1" applyBorder="1" applyAlignment="1">
      <alignment vertical="center"/>
    </xf>
    <xf numFmtId="0" fontId="18" fillId="4" borderId="10" xfId="0" applyFont="1" applyFill="1" applyBorder="1" applyAlignment="1">
      <alignment vertical="center"/>
    </xf>
    <xf numFmtId="0" fontId="18" fillId="4" borderId="2" xfId="0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14" xfId="0" applyFont="1" applyBorder="1" applyAlignment="1">
      <alignment vertical="center"/>
    </xf>
    <xf numFmtId="0" fontId="19" fillId="0" borderId="10" xfId="0" applyFont="1" applyBorder="1" applyAlignment="1">
      <alignment vertical="center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 wrapText="1"/>
    </xf>
    <xf numFmtId="166" fontId="19" fillId="0" borderId="2" xfId="0" applyNumberFormat="1" applyFont="1" applyBorder="1" applyAlignment="1">
      <alignment horizontal="center" vertical="center"/>
    </xf>
    <xf numFmtId="164" fontId="19" fillId="0" borderId="1" xfId="3" applyFont="1" applyBorder="1" applyAlignment="1">
      <alignment horizontal="right" vertical="center" wrapText="1"/>
    </xf>
    <xf numFmtId="0" fontId="15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164" fontId="19" fillId="0" borderId="2" xfId="3" applyFont="1" applyBorder="1" applyAlignment="1">
      <alignment horizontal="center" vertical="center" wrapText="1"/>
    </xf>
    <xf numFmtId="171" fontId="15" fillId="0" borderId="0" xfId="0" applyNumberFormat="1" applyFont="1" applyAlignment="1">
      <alignment horizontal="center" vertical="center" wrapText="1"/>
    </xf>
    <xf numFmtId="0" fontId="19" fillId="0" borderId="15" xfId="0" applyFont="1" applyBorder="1" applyAlignment="1">
      <alignment horizontal="right" vertical="center" wrapText="1"/>
    </xf>
    <xf numFmtId="169" fontId="17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10" fontId="19" fillId="0" borderId="2" xfId="3" applyNumberFormat="1" applyFont="1" applyBorder="1" applyAlignment="1">
      <alignment vertical="center" wrapText="1"/>
    </xf>
    <xf numFmtId="2" fontId="19" fillId="0" borderId="0" xfId="0" applyNumberFormat="1" applyFont="1" applyAlignment="1">
      <alignment horizontal="center" vertical="center" wrapText="1"/>
    </xf>
    <xf numFmtId="9" fontId="19" fillId="0" borderId="0" xfId="0" applyNumberFormat="1" applyFont="1" applyAlignment="1">
      <alignment horizontal="center" vertical="center" wrapText="1"/>
    </xf>
    <xf numFmtId="4" fontId="19" fillId="0" borderId="0" xfId="0" applyNumberFormat="1" applyFont="1" applyAlignment="1">
      <alignment horizontal="center" vertical="center" wrapText="1"/>
    </xf>
    <xf numFmtId="171" fontId="17" fillId="0" borderId="0" xfId="0" applyNumberFormat="1" applyFont="1" applyAlignment="1">
      <alignment horizontal="center" vertical="center" wrapText="1"/>
    </xf>
    <xf numFmtId="164" fontId="20" fillId="5" borderId="2" xfId="3" applyFont="1" applyFill="1" applyBorder="1" applyAlignment="1">
      <alignment horizontal="center" vertical="center" wrapText="1"/>
    </xf>
    <xf numFmtId="2" fontId="17" fillId="0" borderId="0" xfId="0" applyNumberFormat="1" applyFont="1" applyAlignment="1">
      <alignment horizontal="center" vertical="center" wrapText="1"/>
    </xf>
    <xf numFmtId="171" fontId="19" fillId="0" borderId="0" xfId="0" applyNumberFormat="1" applyFont="1" applyAlignment="1">
      <alignment horizontal="center" vertical="center" wrapText="1"/>
    </xf>
    <xf numFmtId="171" fontId="18" fillId="5" borderId="13" xfId="0" applyNumberFormat="1" applyFont="1" applyFill="1" applyBorder="1" applyAlignment="1">
      <alignment horizontal="center" vertical="center" wrapText="1"/>
    </xf>
    <xf numFmtId="164" fontId="19" fillId="0" borderId="2" xfId="0" applyNumberFormat="1" applyFont="1" applyBorder="1" applyAlignment="1">
      <alignment vertical="center"/>
    </xf>
    <xf numFmtId="43" fontId="19" fillId="0" borderId="2" xfId="0" applyNumberFormat="1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 wrapText="1"/>
    </xf>
    <xf numFmtId="43" fontId="19" fillId="0" borderId="13" xfId="0" applyNumberFormat="1" applyFont="1" applyBorder="1" applyAlignment="1">
      <alignment horizontal="center" vertical="center"/>
    </xf>
    <xf numFmtId="164" fontId="19" fillId="0" borderId="3" xfId="3" applyFont="1" applyBorder="1" applyAlignment="1">
      <alignment horizontal="right" vertical="center" wrapText="1"/>
    </xf>
    <xf numFmtId="164" fontId="19" fillId="0" borderId="28" xfId="3" applyFont="1" applyBorder="1" applyAlignment="1">
      <alignment horizontal="right" vertical="center" wrapText="1"/>
    </xf>
    <xf numFmtId="43" fontId="19" fillId="0" borderId="2" xfId="0" applyNumberFormat="1" applyFont="1" applyBorder="1" applyAlignment="1">
      <alignment horizontal="center" vertical="center" wrapText="1"/>
    </xf>
    <xf numFmtId="0" fontId="19" fillId="0" borderId="10" xfId="0" applyFont="1" applyBorder="1" applyAlignment="1">
      <alignment vertical="center" wrapText="1"/>
    </xf>
    <xf numFmtId="164" fontId="20" fillId="0" borderId="28" xfId="3" applyFont="1" applyBorder="1" applyAlignment="1">
      <alignment horizontal="right" vertical="center" wrapText="1"/>
    </xf>
    <xf numFmtId="164" fontId="20" fillId="3" borderId="1" xfId="3" applyFont="1" applyFill="1" applyBorder="1" applyAlignment="1">
      <alignment horizontal="right" vertical="center" wrapText="1"/>
    </xf>
    <xf numFmtId="0" fontId="13" fillId="0" borderId="2" xfId="3" applyNumberFormat="1" applyFont="1" applyBorder="1" applyAlignment="1">
      <alignment horizontal="center" vertical="center"/>
    </xf>
    <xf numFmtId="43" fontId="13" fillId="0" borderId="2" xfId="0" applyNumberFormat="1" applyFont="1" applyBorder="1" applyAlignment="1">
      <alignment vertical="center"/>
    </xf>
    <xf numFmtId="43" fontId="19" fillId="0" borderId="2" xfId="0" applyNumberFormat="1" applyFont="1" applyBorder="1" applyAlignment="1">
      <alignment vertical="center"/>
    </xf>
    <xf numFmtId="173" fontId="19" fillId="0" borderId="1" xfId="3" applyNumberFormat="1" applyFont="1" applyBorder="1" applyAlignment="1">
      <alignment horizontal="right" vertical="center" wrapText="1"/>
    </xf>
    <xf numFmtId="174" fontId="19" fillId="0" borderId="1" xfId="3" applyNumberFormat="1" applyFont="1" applyBorder="1" applyAlignment="1">
      <alignment horizontal="right" vertical="center" wrapText="1"/>
    </xf>
    <xf numFmtId="43" fontId="20" fillId="5" borderId="2" xfId="3" applyNumberFormat="1" applyFont="1" applyFill="1" applyBorder="1" applyAlignment="1">
      <alignment horizontal="center" vertical="center" wrapText="1"/>
    </xf>
    <xf numFmtId="0" fontId="20" fillId="4" borderId="2" xfId="0" applyFont="1" applyFill="1" applyBorder="1" applyAlignment="1">
      <alignment horizontal="center" vertical="center"/>
    </xf>
    <xf numFmtId="0" fontId="19" fillId="0" borderId="29" xfId="0" applyFont="1" applyBorder="1"/>
    <xf numFmtId="0" fontId="19" fillId="0" borderId="14" xfId="0" applyFont="1" applyBorder="1"/>
    <xf numFmtId="13" fontId="19" fillId="0" borderId="2" xfId="0" applyNumberFormat="1" applyFont="1" applyBorder="1" applyAlignment="1">
      <alignment horizontal="center"/>
    </xf>
    <xf numFmtId="43" fontId="19" fillId="0" borderId="2" xfId="1" applyNumberFormat="1" applyFont="1" applyBorder="1" applyAlignment="1">
      <alignment horizontal="center"/>
    </xf>
    <xf numFmtId="43" fontId="13" fillId="0" borderId="13" xfId="0" applyNumberFormat="1" applyFont="1" applyBorder="1" applyAlignment="1">
      <alignment vertical="center"/>
    </xf>
    <xf numFmtId="0" fontId="20" fillId="4" borderId="14" xfId="0" applyFont="1" applyFill="1" applyBorder="1" applyAlignment="1">
      <alignment vertical="center"/>
    </xf>
    <xf numFmtId="0" fontId="20" fillId="4" borderId="10" xfId="0" applyFont="1" applyFill="1" applyBorder="1" applyAlignment="1">
      <alignment vertical="center"/>
    </xf>
    <xf numFmtId="0" fontId="19" fillId="0" borderId="2" xfId="0" applyFont="1" applyBorder="1" applyAlignment="1">
      <alignment horizontal="center"/>
    </xf>
    <xf numFmtId="164" fontId="20" fillId="3" borderId="2" xfId="3" applyFont="1" applyFill="1" applyBorder="1" applyAlignment="1">
      <alignment horizontal="right" vertical="center" wrapText="1"/>
    </xf>
    <xf numFmtId="2" fontId="19" fillId="0" borderId="2" xfId="0" applyNumberFormat="1" applyFont="1" applyBorder="1" applyAlignment="1">
      <alignment horizontal="center"/>
    </xf>
    <xf numFmtId="0" fontId="17" fillId="0" borderId="0" xfId="0" applyFont="1" applyAlignment="1">
      <alignment vertical="center"/>
    </xf>
    <xf numFmtId="3" fontId="19" fillId="0" borderId="2" xfId="0" applyNumberFormat="1" applyFont="1" applyBorder="1" applyAlignment="1">
      <alignment horizontal="center"/>
    </xf>
    <xf numFmtId="0" fontId="18" fillId="5" borderId="14" xfId="0" applyFont="1" applyFill="1" applyBorder="1" applyAlignment="1">
      <alignment vertical="center"/>
    </xf>
    <xf numFmtId="0" fontId="18" fillId="5" borderId="10" xfId="0" applyFont="1" applyFill="1" applyBorder="1" applyAlignment="1">
      <alignment vertical="center"/>
    </xf>
    <xf numFmtId="0" fontId="20" fillId="5" borderId="14" xfId="0" applyFont="1" applyFill="1" applyBorder="1" applyAlignment="1">
      <alignment vertical="center"/>
    </xf>
    <xf numFmtId="0" fontId="20" fillId="5" borderId="10" xfId="0" applyFont="1" applyFill="1" applyBorder="1" applyAlignment="1">
      <alignment vertical="center"/>
    </xf>
    <xf numFmtId="0" fontId="20" fillId="5" borderId="13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164" fontId="5" fillId="0" borderId="1" xfId="3" applyFont="1" applyBorder="1" applyAlignment="1">
      <alignment horizontal="center" vertical="center"/>
    </xf>
    <xf numFmtId="164" fontId="21" fillId="0" borderId="0" xfId="3" applyFont="1" applyAlignment="1">
      <alignment vertical="center"/>
    </xf>
    <xf numFmtId="164" fontId="22" fillId="0" borderId="0" xfId="3" applyFont="1" applyAlignment="1">
      <alignment vertical="center"/>
    </xf>
    <xf numFmtId="0" fontId="22" fillId="0" borderId="0" xfId="0" applyFont="1" applyAlignment="1">
      <alignment vertical="center"/>
    </xf>
    <xf numFmtId="164" fontId="23" fillId="0" borderId="0" xfId="3" applyFont="1" applyBorder="1" applyAlignment="1">
      <alignment vertical="center"/>
    </xf>
    <xf numFmtId="10" fontId="23" fillId="0" borderId="0" xfId="2" applyNumberFormat="1" applyFont="1" applyBorder="1" applyAlignment="1">
      <alignment vertical="center"/>
    </xf>
    <xf numFmtId="164" fontId="22" fillId="0" borderId="0" xfId="3" applyFont="1" applyBorder="1" applyAlignment="1">
      <alignment vertical="center"/>
    </xf>
    <xf numFmtId="164" fontId="23" fillId="0" borderId="0" xfId="3" applyFont="1" applyAlignment="1">
      <alignment vertical="center"/>
    </xf>
    <xf numFmtId="0" fontId="23" fillId="0" borderId="0" xfId="0" applyFont="1" applyAlignment="1">
      <alignment vertical="center"/>
    </xf>
    <xf numFmtId="168" fontId="22" fillId="0" borderId="0" xfId="0" applyNumberFormat="1" applyFont="1" applyAlignment="1">
      <alignment vertical="center"/>
    </xf>
    <xf numFmtId="164" fontId="24" fillId="0" borderId="0" xfId="3" applyFont="1" applyAlignment="1">
      <alignment vertical="center"/>
    </xf>
    <xf numFmtId="0" fontId="24" fillId="0" borderId="0" xfId="0" applyFont="1" applyAlignment="1">
      <alignment vertical="center"/>
    </xf>
    <xf numFmtId="164" fontId="22" fillId="0" borderId="0" xfId="0" applyNumberFormat="1" applyFont="1" applyAlignment="1">
      <alignment vertical="center"/>
    </xf>
    <xf numFmtId="164" fontId="24" fillId="0" borderId="0" xfId="0" applyNumberFormat="1" applyFont="1" applyAlignment="1">
      <alignment vertical="center"/>
    </xf>
    <xf numFmtId="0" fontId="23" fillId="0" borderId="0" xfId="0" applyFont="1" applyAlignment="1">
      <alignment horizontal="left" vertical="center"/>
    </xf>
    <xf numFmtId="0" fontId="22" fillId="0" borderId="23" xfId="0" applyFont="1" applyBorder="1" applyAlignment="1">
      <alignment horizontal="center" vertical="center"/>
    </xf>
    <xf numFmtId="10" fontId="22" fillId="0" borderId="9" xfId="0" applyNumberFormat="1" applyFont="1" applyBorder="1" applyAlignment="1">
      <alignment horizontal="center" vertical="center"/>
    </xf>
    <xf numFmtId="10" fontId="22" fillId="0" borderId="0" xfId="0" applyNumberFormat="1" applyFont="1" applyAlignment="1">
      <alignment vertical="center"/>
    </xf>
    <xf numFmtId="172" fontId="22" fillId="0" borderId="0" xfId="2" applyNumberFormat="1" applyFont="1" applyAlignment="1">
      <alignment horizontal="left" vertical="center"/>
    </xf>
    <xf numFmtId="10" fontId="22" fillId="0" borderId="16" xfId="0" applyNumberFormat="1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71" fontId="22" fillId="0" borderId="0" xfId="2" applyNumberFormat="1" applyFont="1" applyAlignment="1">
      <alignment vertical="center"/>
    </xf>
    <xf numFmtId="10" fontId="22" fillId="0" borderId="19" xfId="0" applyNumberFormat="1" applyFont="1" applyBorder="1" applyAlignment="1">
      <alignment horizontal="center" vertical="center"/>
    </xf>
    <xf numFmtId="172" fontId="22" fillId="0" borderId="0" xfId="2" applyNumberFormat="1" applyFont="1" applyAlignment="1">
      <alignment vertical="center"/>
    </xf>
    <xf numFmtId="0" fontId="22" fillId="0" borderId="24" xfId="0" applyFont="1" applyBorder="1" applyAlignment="1">
      <alignment vertical="center"/>
    </xf>
    <xf numFmtId="0" fontId="22" fillId="0" borderId="25" xfId="0" applyFont="1" applyBorder="1" applyAlignment="1">
      <alignment vertical="center"/>
    </xf>
    <xf numFmtId="10" fontId="22" fillId="0" borderId="26" xfId="0" applyNumberFormat="1" applyFont="1" applyBorder="1" applyAlignment="1">
      <alignment vertical="center"/>
    </xf>
    <xf numFmtId="0" fontId="22" fillId="0" borderId="21" xfId="0" applyFont="1" applyBorder="1" applyAlignment="1">
      <alignment horizontal="left" vertical="center"/>
    </xf>
    <xf numFmtId="0" fontId="22" fillId="0" borderId="22" xfId="0" applyFont="1" applyBorder="1" applyAlignment="1">
      <alignment horizontal="left" vertical="center"/>
    </xf>
    <xf numFmtId="0" fontId="22" fillId="0" borderId="27" xfId="0" applyFont="1" applyBorder="1" applyAlignment="1">
      <alignment vertical="center"/>
    </xf>
    <xf numFmtId="0" fontId="22" fillId="0" borderId="5" xfId="0" applyFont="1" applyBorder="1" applyAlignment="1">
      <alignment vertical="center"/>
    </xf>
    <xf numFmtId="10" fontId="23" fillId="0" borderId="6" xfId="0" applyNumberFormat="1" applyFont="1" applyBorder="1" applyAlignment="1">
      <alignment horizontal="center" vertical="center" wrapText="1"/>
    </xf>
    <xf numFmtId="0" fontId="19" fillId="0" borderId="0" xfId="0" applyFont="1"/>
    <xf numFmtId="43" fontId="22" fillId="0" borderId="0" xfId="0" applyNumberFormat="1" applyFont="1" applyAlignment="1">
      <alignment vertical="center"/>
    </xf>
    <xf numFmtId="0" fontId="23" fillId="0" borderId="4" xfId="0" applyFont="1" applyBorder="1" applyAlignment="1">
      <alignment vertical="center"/>
    </xf>
    <xf numFmtId="167" fontId="19" fillId="0" borderId="2" xfId="2" applyNumberFormat="1" applyFont="1" applyBorder="1" applyAlignment="1">
      <alignment horizontal="center" vertical="center" wrapText="1"/>
    </xf>
    <xf numFmtId="164" fontId="20" fillId="0" borderId="28" xfId="3" applyFont="1" applyFill="1" applyBorder="1" applyAlignment="1">
      <alignment horizontal="right" vertical="center" wrapText="1"/>
    </xf>
    <xf numFmtId="0" fontId="26" fillId="0" borderId="1" xfId="0" applyFont="1" applyBorder="1" applyAlignment="1">
      <alignment horizontal="center" vertical="center"/>
    </xf>
    <xf numFmtId="43" fontId="20" fillId="0" borderId="2" xfId="0" applyNumberFormat="1" applyFont="1" applyBorder="1" applyAlignment="1">
      <alignment vertical="center" wrapText="1"/>
    </xf>
    <xf numFmtId="164" fontId="20" fillId="0" borderId="3" xfId="3" applyFont="1" applyFill="1" applyBorder="1" applyAlignment="1">
      <alignment horizontal="right" vertical="center" wrapText="1"/>
    </xf>
    <xf numFmtId="170" fontId="5" fillId="0" borderId="2" xfId="2" applyNumberFormat="1" applyFont="1" applyBorder="1" applyAlignment="1">
      <alignment vertical="center"/>
    </xf>
    <xf numFmtId="170" fontId="4" fillId="0" borderId="2" xfId="2" applyNumberFormat="1" applyFont="1" applyBorder="1" applyAlignment="1">
      <alignment vertical="center"/>
    </xf>
    <xf numFmtId="10" fontId="4" fillId="0" borderId="0" xfId="2" applyNumberFormat="1" applyFont="1" applyBorder="1" applyAlignment="1">
      <alignment vertical="center"/>
    </xf>
    <xf numFmtId="170" fontId="5" fillId="0" borderId="1" xfId="2" applyNumberFormat="1" applyFont="1" applyBorder="1" applyAlignment="1">
      <alignment vertical="center"/>
    </xf>
    <xf numFmtId="164" fontId="27" fillId="0" borderId="0" xfId="3" applyFont="1" applyAlignment="1">
      <alignment vertical="center"/>
    </xf>
    <xf numFmtId="0" fontId="22" fillId="0" borderId="22" xfId="0" applyFont="1" applyBorder="1" applyAlignment="1">
      <alignment vertical="center"/>
    </xf>
    <xf numFmtId="10" fontId="22" fillId="0" borderId="20" xfId="0" applyNumberFormat="1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/>
      <protection hidden="1"/>
    </xf>
    <xf numFmtId="0" fontId="19" fillId="0" borderId="10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43" fontId="29" fillId="0" borderId="2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4" fontId="3" fillId="2" borderId="0" xfId="0" applyNumberFormat="1" applyFont="1" applyFill="1" applyAlignment="1">
      <alignment vertical="center"/>
    </xf>
    <xf numFmtId="164" fontId="3" fillId="2" borderId="0" xfId="3" applyFont="1" applyFill="1" applyAlignment="1">
      <alignment vertical="center"/>
    </xf>
    <xf numFmtId="0" fontId="3" fillId="0" borderId="0" xfId="0" applyFont="1" applyAlignment="1">
      <alignment vertical="center"/>
    </xf>
    <xf numFmtId="0" fontId="0" fillId="0" borderId="10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164" fontId="22" fillId="0" borderId="14" xfId="3" applyFont="1" applyBorder="1" applyAlignment="1">
      <alignment horizontal="left" vertical="center"/>
    </xf>
    <xf numFmtId="167" fontId="17" fillId="3" borderId="3" xfId="0" applyNumberFormat="1" applyFont="1" applyFill="1" applyBorder="1" applyAlignment="1">
      <alignment horizontal="center" vertical="center" wrapText="1"/>
    </xf>
    <xf numFmtId="164" fontId="28" fillId="0" borderId="14" xfId="3" applyFont="1" applyBorder="1" applyAlignment="1">
      <alignment vertical="center"/>
    </xf>
    <xf numFmtId="164" fontId="28" fillId="0" borderId="10" xfId="3" applyFont="1" applyBorder="1" applyAlignment="1">
      <alignment vertical="center"/>
    </xf>
    <xf numFmtId="164" fontId="28" fillId="0" borderId="13" xfId="3" applyFont="1" applyBorder="1" applyAlignment="1">
      <alignment vertical="center"/>
    </xf>
    <xf numFmtId="9" fontId="19" fillId="0" borderId="2" xfId="2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left" wrapText="1"/>
    </xf>
    <xf numFmtId="0" fontId="22" fillId="0" borderId="13" xfId="0" applyFont="1" applyBorder="1" applyAlignment="1">
      <alignment horizontal="left" wrapText="1"/>
    </xf>
    <xf numFmtId="43" fontId="22" fillId="0" borderId="2" xfId="1" applyNumberFormat="1" applyFont="1" applyBorder="1" applyAlignment="1">
      <alignment horizontal="center" vertical="center"/>
    </xf>
    <xf numFmtId="43" fontId="5" fillId="0" borderId="13" xfId="0" applyNumberFormat="1" applyFont="1" applyBorder="1" applyAlignment="1">
      <alignment vertical="center"/>
    </xf>
    <xf numFmtId="43" fontId="22" fillId="0" borderId="2" xfId="1" applyNumberFormat="1" applyFont="1" applyBorder="1" applyAlignment="1">
      <alignment horizontal="right" vertical="center"/>
    </xf>
    <xf numFmtId="0" fontId="22" fillId="0" borderId="14" xfId="0" applyFont="1" applyBorder="1" applyAlignment="1">
      <alignment horizontal="left"/>
    </xf>
    <xf numFmtId="0" fontId="22" fillId="0" borderId="10" xfId="0" applyFont="1" applyBorder="1" applyAlignment="1">
      <alignment horizontal="left"/>
    </xf>
    <xf numFmtId="0" fontId="22" fillId="0" borderId="13" xfId="0" applyFont="1" applyBorder="1" applyAlignment="1">
      <alignment horizontal="left"/>
    </xf>
    <xf numFmtId="0" fontId="22" fillId="0" borderId="2" xfId="0" applyFont="1" applyBorder="1" applyAlignment="1">
      <alignment horizontal="center"/>
    </xf>
    <xf numFmtId="43" fontId="22" fillId="0" borderId="2" xfId="1" applyNumberFormat="1" applyFont="1" applyBorder="1" applyAlignment="1">
      <alignment horizontal="center"/>
    </xf>
    <xf numFmtId="43" fontId="17" fillId="0" borderId="0" xfId="0" applyNumberFormat="1" applyFont="1" applyAlignment="1">
      <alignment horizontal="center" vertical="center" wrapText="1"/>
    </xf>
    <xf numFmtId="0" fontId="2" fillId="7" borderId="0" xfId="4" applyFill="1"/>
    <xf numFmtId="0" fontId="31" fillId="7" borderId="38" xfId="4" applyFont="1" applyFill="1" applyBorder="1"/>
    <xf numFmtId="0" fontId="31" fillId="7" borderId="39" xfId="4" applyFont="1" applyFill="1" applyBorder="1"/>
    <xf numFmtId="0" fontId="31" fillId="7" borderId="39" xfId="4" applyFont="1" applyFill="1" applyBorder="1" applyAlignment="1">
      <alignment horizontal="right"/>
    </xf>
    <xf numFmtId="0" fontId="31" fillId="7" borderId="39" xfId="4" applyFont="1" applyFill="1" applyBorder="1" applyAlignment="1">
      <alignment horizontal="left"/>
    </xf>
    <xf numFmtId="0" fontId="31" fillId="7" borderId="39" xfId="4" applyFont="1" applyFill="1" applyBorder="1" applyAlignment="1">
      <alignment horizontal="center"/>
    </xf>
    <xf numFmtId="0" fontId="31" fillId="7" borderId="40" xfId="4" applyFont="1" applyFill="1" applyBorder="1"/>
    <xf numFmtId="0" fontId="31" fillId="7" borderId="0" xfId="4" applyFont="1" applyFill="1"/>
    <xf numFmtId="0" fontId="33" fillId="7" borderId="41" xfId="4" applyFont="1" applyFill="1" applyBorder="1"/>
    <xf numFmtId="0" fontId="33" fillId="7" borderId="0" xfId="4" applyFont="1" applyFill="1"/>
    <xf numFmtId="0" fontId="33" fillId="7" borderId="42" xfId="4" applyFont="1" applyFill="1" applyBorder="1"/>
    <xf numFmtId="0" fontId="33" fillId="7" borderId="0" xfId="4" applyFont="1" applyFill="1" applyAlignment="1">
      <alignment horizontal="right"/>
    </xf>
    <xf numFmtId="0" fontId="31" fillId="7" borderId="41" xfId="4" applyFont="1" applyFill="1" applyBorder="1"/>
    <xf numFmtId="0" fontId="31" fillId="7" borderId="0" xfId="4" applyFont="1" applyFill="1" applyAlignment="1">
      <alignment horizontal="right"/>
    </xf>
    <xf numFmtId="0" fontId="31" fillId="7" borderId="0" xfId="4" applyFont="1" applyFill="1" applyAlignment="1">
      <alignment horizontal="left"/>
    </xf>
    <xf numFmtId="0" fontId="31" fillId="7" borderId="0" xfId="4" applyFont="1" applyFill="1" applyAlignment="1">
      <alignment horizontal="center"/>
    </xf>
    <xf numFmtId="0" fontId="31" fillId="7" borderId="42" xfId="4" applyFont="1" applyFill="1" applyBorder="1"/>
    <xf numFmtId="0" fontId="31" fillId="7" borderId="41" xfId="4" applyFont="1" applyFill="1" applyBorder="1" applyAlignment="1">
      <alignment horizontal="right"/>
    </xf>
    <xf numFmtId="0" fontId="31" fillId="7" borderId="0" xfId="4" applyFont="1" applyFill="1" applyAlignment="1">
      <alignment vertical="center"/>
    </xf>
    <xf numFmtId="0" fontId="33" fillId="7" borderId="0" xfId="4" applyFont="1" applyFill="1" applyAlignment="1">
      <alignment horizontal="right" vertical="center"/>
    </xf>
    <xf numFmtId="49" fontId="31" fillId="7" borderId="42" xfId="4" applyNumberFormat="1" applyFont="1" applyFill="1" applyBorder="1" applyAlignment="1">
      <alignment vertical="center"/>
    </xf>
    <xf numFmtId="0" fontId="31" fillId="7" borderId="0" xfId="4" applyFont="1" applyFill="1" applyAlignment="1">
      <alignment horizontal="right" vertical="center"/>
    </xf>
    <xf numFmtId="176" fontId="31" fillId="7" borderId="0" xfId="4" applyNumberFormat="1" applyFont="1" applyFill="1" applyAlignment="1">
      <alignment vertical="center"/>
    </xf>
    <xf numFmtId="49" fontId="31" fillId="7" borderId="0" xfId="4" applyNumberFormat="1" applyFont="1" applyFill="1" applyAlignment="1">
      <alignment vertical="center"/>
    </xf>
    <xf numFmtId="0" fontId="31" fillId="7" borderId="0" xfId="4" applyFont="1" applyFill="1" applyAlignment="1">
      <alignment horizontal="left" vertical="center"/>
    </xf>
    <xf numFmtId="49" fontId="33" fillId="7" borderId="0" xfId="4" applyNumberFormat="1" applyFont="1" applyFill="1" applyAlignment="1">
      <alignment horizontal="right" vertical="center"/>
    </xf>
    <xf numFmtId="0" fontId="34" fillId="7" borderId="42" xfId="4" applyFont="1" applyFill="1" applyBorder="1" applyAlignment="1">
      <alignment vertical="center"/>
    </xf>
    <xf numFmtId="0" fontId="13" fillId="7" borderId="0" xfId="4" applyFont="1" applyFill="1" applyAlignment="1">
      <alignment horizontal="right"/>
    </xf>
    <xf numFmtId="0" fontId="34" fillId="7" borderId="0" xfId="4" applyFont="1" applyFill="1" applyAlignment="1">
      <alignment vertical="center"/>
    </xf>
    <xf numFmtId="0" fontId="34" fillId="7" borderId="0" xfId="4" applyFont="1" applyFill="1" applyAlignment="1">
      <alignment horizontal="right" vertical="center"/>
    </xf>
    <xf numFmtId="49" fontId="34" fillId="7" borderId="34" xfId="4" applyNumberFormat="1" applyFont="1" applyFill="1" applyBorder="1" applyAlignment="1">
      <alignment vertical="center"/>
    </xf>
    <xf numFmtId="49" fontId="34" fillId="7" borderId="0" xfId="4" applyNumberFormat="1" applyFont="1" applyFill="1" applyAlignment="1">
      <alignment vertical="center"/>
    </xf>
    <xf numFmtId="49" fontId="34" fillId="7" borderId="42" xfId="4" applyNumberFormat="1" applyFont="1" applyFill="1" applyBorder="1" applyAlignment="1">
      <alignment vertical="center"/>
    </xf>
    <xf numFmtId="0" fontId="31" fillId="7" borderId="49" xfId="4" applyFont="1" applyFill="1" applyBorder="1"/>
    <xf numFmtId="0" fontId="31" fillId="7" borderId="50" xfId="4" applyFont="1" applyFill="1" applyBorder="1"/>
    <xf numFmtId="0" fontId="31" fillId="7" borderId="50" xfId="4" applyFont="1" applyFill="1" applyBorder="1" applyAlignment="1">
      <alignment horizontal="right"/>
    </xf>
    <xf numFmtId="0" fontId="31" fillId="7" borderId="50" xfId="4" applyFont="1" applyFill="1" applyBorder="1" applyAlignment="1">
      <alignment horizontal="left"/>
    </xf>
    <xf numFmtId="0" fontId="31" fillId="7" borderId="50" xfId="4" applyFont="1" applyFill="1" applyBorder="1" applyAlignment="1">
      <alignment horizontal="center"/>
    </xf>
    <xf numFmtId="0" fontId="31" fillId="7" borderId="51" xfId="4" applyFont="1" applyFill="1" applyBorder="1"/>
    <xf numFmtId="0" fontId="31" fillId="7" borderId="52" xfId="4" applyFont="1" applyFill="1" applyBorder="1"/>
    <xf numFmtId="0" fontId="31" fillId="7" borderId="53" xfId="4" applyFont="1" applyFill="1" applyBorder="1"/>
    <xf numFmtId="0" fontId="31" fillId="7" borderId="53" xfId="4" applyFont="1" applyFill="1" applyBorder="1" applyAlignment="1">
      <alignment horizontal="right"/>
    </xf>
    <xf numFmtId="0" fontId="31" fillId="7" borderId="53" xfId="4" applyFont="1" applyFill="1" applyBorder="1" applyAlignment="1">
      <alignment horizontal="left"/>
    </xf>
    <xf numFmtId="0" fontId="31" fillId="7" borderId="53" xfId="4" applyFont="1" applyFill="1" applyBorder="1" applyAlignment="1">
      <alignment horizontal="center"/>
    </xf>
    <xf numFmtId="0" fontId="31" fillId="7" borderId="54" xfId="4" applyFont="1" applyFill="1" applyBorder="1"/>
    <xf numFmtId="4" fontId="34" fillId="7" borderId="0" xfId="4" applyNumberFormat="1" applyFont="1" applyFill="1" applyAlignment="1">
      <alignment horizontal="justify" vertical="center" wrapText="1"/>
    </xf>
    <xf numFmtId="4" fontId="34" fillId="7" borderId="53" xfId="4" applyNumberFormat="1" applyFont="1" applyFill="1" applyBorder="1" applyAlignment="1">
      <alignment horizontal="justify" vertical="center" wrapText="1"/>
    </xf>
    <xf numFmtId="0" fontId="34" fillId="7" borderId="41" xfId="4" applyFont="1" applyFill="1" applyBorder="1" applyAlignment="1">
      <alignment vertical="center"/>
    </xf>
    <xf numFmtId="0" fontId="33" fillId="7" borderId="0" xfId="4" applyFont="1" applyFill="1" applyAlignment="1">
      <alignment vertical="center"/>
    </xf>
    <xf numFmtId="0" fontId="33" fillId="7" borderId="41" xfId="4" applyFont="1" applyFill="1" applyBorder="1" applyAlignment="1">
      <alignment vertical="center"/>
    </xf>
    <xf numFmtId="0" fontId="33" fillId="7" borderId="42" xfId="4" applyFont="1" applyFill="1" applyBorder="1" applyAlignment="1">
      <alignment vertical="center"/>
    </xf>
    <xf numFmtId="0" fontId="33" fillId="7" borderId="41" xfId="4" applyFont="1" applyFill="1" applyBorder="1" applyAlignment="1">
      <alignment horizontal="center"/>
    </xf>
    <xf numFmtId="0" fontId="33" fillId="7" borderId="0" xfId="4" applyFont="1" applyFill="1" applyAlignment="1">
      <alignment horizontal="center"/>
    </xf>
    <xf numFmtId="0" fontId="33" fillId="7" borderId="42" xfId="4" applyFont="1" applyFill="1" applyBorder="1" applyAlignment="1">
      <alignment horizontal="center"/>
    </xf>
    <xf numFmtId="0" fontId="2" fillId="7" borderId="41" xfId="4" applyFill="1" applyBorder="1"/>
    <xf numFmtId="0" fontId="2" fillId="7" borderId="42" xfId="4" applyFill="1" applyBorder="1"/>
    <xf numFmtId="0" fontId="2" fillId="7" borderId="49" xfId="4" applyFill="1" applyBorder="1"/>
    <xf numFmtId="0" fontId="2" fillId="7" borderId="50" xfId="4" applyFill="1" applyBorder="1"/>
    <xf numFmtId="0" fontId="2" fillId="7" borderId="51" xfId="4" applyFill="1" applyBorder="1"/>
    <xf numFmtId="0" fontId="36" fillId="7" borderId="0" xfId="6" applyFill="1"/>
    <xf numFmtId="164" fontId="38" fillId="0" borderId="14" xfId="3" applyFont="1" applyBorder="1" applyAlignment="1">
      <alignment vertical="center"/>
    </xf>
    <xf numFmtId="164" fontId="5" fillId="0" borderId="0" xfId="3" applyFont="1" applyAlignment="1">
      <alignment vertical="center"/>
    </xf>
    <xf numFmtId="164" fontId="19" fillId="0" borderId="28" xfId="3" applyFont="1" applyBorder="1" applyAlignment="1">
      <alignment horizontal="right" vertical="center"/>
    </xf>
    <xf numFmtId="171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43" fontId="19" fillId="0" borderId="2" xfId="1" applyNumberFormat="1" applyFont="1" applyFill="1" applyBorder="1" applyAlignment="1">
      <alignment horizontal="center"/>
    </xf>
    <xf numFmtId="0" fontId="35" fillId="6" borderId="59" xfId="4" applyFont="1" applyFill="1" applyBorder="1" applyAlignment="1">
      <alignment horizontal="center" vertical="center" wrapText="1"/>
    </xf>
    <xf numFmtId="0" fontId="35" fillId="6" borderId="57" xfId="4" applyFont="1" applyFill="1" applyBorder="1" applyAlignment="1">
      <alignment horizontal="center" vertical="center" wrapText="1"/>
    </xf>
    <xf numFmtId="0" fontId="35" fillId="6" borderId="58" xfId="4" applyFont="1" applyFill="1" applyBorder="1" applyAlignment="1">
      <alignment horizontal="center" vertical="center" wrapText="1"/>
    </xf>
    <xf numFmtId="0" fontId="35" fillId="6" borderId="61" xfId="4" applyFont="1" applyFill="1" applyBorder="1" applyAlignment="1">
      <alignment horizontal="center" vertical="center" wrapText="1"/>
    </xf>
    <xf numFmtId="0" fontId="35" fillId="6" borderId="53" xfId="4" applyFont="1" applyFill="1" applyBorder="1" applyAlignment="1">
      <alignment horizontal="center" vertical="center" wrapText="1"/>
    </xf>
    <xf numFmtId="0" fontId="35" fillId="6" borderId="60" xfId="4" applyFont="1" applyFill="1" applyBorder="1" applyAlignment="1">
      <alignment horizontal="center" vertical="center" wrapText="1"/>
    </xf>
    <xf numFmtId="4" fontId="34" fillId="7" borderId="0" xfId="4" applyNumberFormat="1" applyFont="1" applyFill="1" applyAlignment="1">
      <alignment horizontal="justify" vertical="center" wrapText="1"/>
    </xf>
    <xf numFmtId="0" fontId="32" fillId="7" borderId="41" xfId="4" applyFont="1" applyFill="1" applyBorder="1" applyAlignment="1">
      <alignment horizontal="center" vertical="center"/>
    </xf>
    <xf numFmtId="0" fontId="32" fillId="7" borderId="0" xfId="4" applyFont="1" applyFill="1" applyAlignment="1">
      <alignment horizontal="center" vertical="center"/>
    </xf>
    <xf numFmtId="0" fontId="32" fillId="7" borderId="42" xfId="4" applyFont="1" applyFill="1" applyBorder="1" applyAlignment="1">
      <alignment horizontal="center" vertical="center"/>
    </xf>
    <xf numFmtId="49" fontId="34" fillId="7" borderId="43" xfId="4" applyNumberFormat="1" applyFont="1" applyFill="1" applyBorder="1" applyAlignment="1">
      <alignment horizontal="left" vertical="center"/>
    </xf>
    <xf numFmtId="49" fontId="34" fillId="7" borderId="44" xfId="4" applyNumberFormat="1" applyFont="1" applyFill="1" applyBorder="1" applyAlignment="1">
      <alignment horizontal="left" vertical="center"/>
    </xf>
    <xf numFmtId="49" fontId="34" fillId="7" borderId="45" xfId="4" applyNumberFormat="1" applyFont="1" applyFill="1" applyBorder="1" applyAlignment="1">
      <alignment horizontal="left" vertical="center"/>
    </xf>
    <xf numFmtId="175" fontId="34" fillId="7" borderId="43" xfId="4" applyNumberFormat="1" applyFont="1" applyFill="1" applyBorder="1" applyAlignment="1">
      <alignment horizontal="left" vertical="center"/>
    </xf>
    <xf numFmtId="175" fontId="34" fillId="7" borderId="44" xfId="4" applyNumberFormat="1" applyFont="1" applyFill="1" applyBorder="1" applyAlignment="1">
      <alignment horizontal="left" vertical="center"/>
    </xf>
    <xf numFmtId="175" fontId="34" fillId="7" borderId="45" xfId="4" applyNumberFormat="1" applyFont="1" applyFill="1" applyBorder="1" applyAlignment="1">
      <alignment horizontal="left" vertical="center"/>
    </xf>
    <xf numFmtId="176" fontId="34" fillId="7" borderId="43" xfId="4" applyNumberFormat="1" applyFont="1" applyFill="1" applyBorder="1" applyAlignment="1">
      <alignment horizontal="center" vertical="center"/>
    </xf>
    <xf numFmtId="176" fontId="34" fillId="7" borderId="44" xfId="4" applyNumberFormat="1" applyFont="1" applyFill="1" applyBorder="1" applyAlignment="1">
      <alignment horizontal="center" vertical="center"/>
    </xf>
    <xf numFmtId="176" fontId="34" fillId="7" borderId="45" xfId="4" applyNumberFormat="1" applyFont="1" applyFill="1" applyBorder="1" applyAlignment="1">
      <alignment horizontal="center" vertical="center"/>
    </xf>
    <xf numFmtId="0" fontId="34" fillId="7" borderId="44" xfId="4" applyFont="1" applyFill="1" applyBorder="1" applyAlignment="1">
      <alignment horizontal="left" vertical="center"/>
    </xf>
    <xf numFmtId="0" fontId="34" fillId="7" borderId="45" xfId="4" applyFont="1" applyFill="1" applyBorder="1" applyAlignment="1">
      <alignment horizontal="left" vertical="center"/>
    </xf>
    <xf numFmtId="0" fontId="34" fillId="7" borderId="43" xfId="4" applyFont="1" applyFill="1" applyBorder="1" applyAlignment="1">
      <alignment horizontal="center" vertical="center"/>
    </xf>
    <xf numFmtId="0" fontId="34" fillId="7" borderId="45" xfId="4" applyFont="1" applyFill="1" applyBorder="1" applyAlignment="1">
      <alignment horizontal="center" vertical="center"/>
    </xf>
    <xf numFmtId="49" fontId="31" fillId="7" borderId="43" xfId="4" applyNumberFormat="1" applyFont="1" applyFill="1" applyBorder="1" applyAlignment="1">
      <alignment horizontal="left" vertical="center"/>
    </xf>
    <xf numFmtId="0" fontId="31" fillId="7" borderId="44" xfId="4" applyFont="1" applyFill="1" applyBorder="1" applyAlignment="1">
      <alignment horizontal="left" vertical="center"/>
    </xf>
    <xf numFmtId="0" fontId="31" fillId="7" borderId="45" xfId="4" applyFont="1" applyFill="1" applyBorder="1" applyAlignment="1">
      <alignment horizontal="left" vertical="center"/>
    </xf>
    <xf numFmtId="177" fontId="34" fillId="7" borderId="43" xfId="4" applyNumberFormat="1" applyFont="1" applyFill="1" applyBorder="1" applyAlignment="1">
      <alignment horizontal="left" vertical="center"/>
    </xf>
    <xf numFmtId="177" fontId="34" fillId="7" borderId="44" xfId="4" applyNumberFormat="1" applyFont="1" applyFill="1" applyBorder="1" applyAlignment="1">
      <alignment horizontal="left" vertical="center"/>
    </xf>
    <xf numFmtId="177" fontId="34" fillId="7" borderId="45" xfId="4" applyNumberFormat="1" applyFont="1" applyFill="1" applyBorder="1" applyAlignment="1">
      <alignment horizontal="left" vertical="center"/>
    </xf>
    <xf numFmtId="0" fontId="36" fillId="7" borderId="46" xfId="6" applyFill="1" applyBorder="1" applyAlignment="1">
      <alignment horizontal="left" vertical="center"/>
    </xf>
    <xf numFmtId="0" fontId="31" fillId="7" borderId="47" xfId="4" applyFont="1" applyFill="1" applyBorder="1" applyAlignment="1">
      <alignment horizontal="left" vertical="center"/>
    </xf>
    <xf numFmtId="0" fontId="31" fillId="7" borderId="48" xfId="4" applyFont="1" applyFill="1" applyBorder="1" applyAlignment="1">
      <alignment horizontal="left" vertical="center"/>
    </xf>
    <xf numFmtId="178" fontId="34" fillId="7" borderId="14" xfId="4" applyNumberFormat="1" applyFont="1" applyFill="1" applyBorder="1" applyAlignment="1">
      <alignment horizontal="center" vertical="center"/>
    </xf>
    <xf numFmtId="178" fontId="34" fillId="7" borderId="10" xfId="4" applyNumberFormat="1" applyFont="1" applyFill="1" applyBorder="1" applyAlignment="1">
      <alignment horizontal="center" vertical="center"/>
    </xf>
    <xf numFmtId="178" fontId="34" fillId="7" borderId="13" xfId="4" applyNumberFormat="1" applyFont="1" applyFill="1" applyBorder="1" applyAlignment="1">
      <alignment horizontal="center" vertical="center"/>
    </xf>
    <xf numFmtId="0" fontId="34" fillId="7" borderId="55" xfId="4" applyFont="1" applyFill="1" applyBorder="1" applyAlignment="1">
      <alignment horizontal="justify" vertical="center"/>
    </xf>
    <xf numFmtId="0" fontId="34" fillId="7" borderId="47" xfId="4" applyFont="1" applyFill="1" applyBorder="1" applyAlignment="1">
      <alignment horizontal="justify" vertical="center"/>
    </xf>
    <xf numFmtId="0" fontId="34" fillId="7" borderId="56" xfId="4" applyFont="1" applyFill="1" applyBorder="1" applyAlignment="1">
      <alignment horizontal="justify" vertical="center"/>
    </xf>
    <xf numFmtId="0" fontId="35" fillId="6" borderId="46" xfId="4" applyFont="1" applyFill="1" applyBorder="1" applyAlignment="1">
      <alignment horizontal="center" vertical="center"/>
    </xf>
    <xf numFmtId="0" fontId="35" fillId="6" borderId="47" xfId="4" applyFont="1" applyFill="1" applyBorder="1" applyAlignment="1">
      <alignment horizontal="center" vertical="center"/>
    </xf>
    <xf numFmtId="0" fontId="35" fillId="6" borderId="56" xfId="4" applyFont="1" applyFill="1" applyBorder="1" applyAlignment="1">
      <alignment horizontal="center" vertical="center"/>
    </xf>
    <xf numFmtId="0" fontId="35" fillId="6" borderId="46" xfId="4" applyFont="1" applyFill="1" applyBorder="1" applyAlignment="1">
      <alignment horizontal="center" vertical="center" wrapText="1"/>
    </xf>
    <xf numFmtId="0" fontId="35" fillId="6" borderId="47" xfId="4" applyFont="1" applyFill="1" applyBorder="1" applyAlignment="1">
      <alignment horizontal="center" vertical="center" wrapText="1"/>
    </xf>
    <xf numFmtId="0" fontId="35" fillId="6" borderId="48" xfId="4" applyFont="1" applyFill="1" applyBorder="1" applyAlignment="1">
      <alignment horizontal="center" vertical="center" wrapText="1"/>
    </xf>
    <xf numFmtId="0" fontId="35" fillId="6" borderId="48" xfId="4" applyFont="1" applyFill="1" applyBorder="1" applyAlignment="1">
      <alignment horizontal="center" vertical="center"/>
    </xf>
    <xf numFmtId="0" fontId="31" fillId="7" borderId="47" xfId="4" applyFont="1" applyFill="1" applyBorder="1" applyAlignment="1">
      <alignment horizontal="center" vertical="center"/>
    </xf>
    <xf numFmtId="43" fontId="31" fillId="7" borderId="47" xfId="4" applyNumberFormat="1" applyFont="1" applyFill="1" applyBorder="1" applyAlignment="1">
      <alignment horizontal="center" vertical="center"/>
    </xf>
    <xf numFmtId="0" fontId="31" fillId="7" borderId="56" xfId="4" applyFont="1" applyFill="1" applyBorder="1" applyAlignment="1">
      <alignment horizontal="center" vertical="center"/>
    </xf>
    <xf numFmtId="0" fontId="33" fillId="7" borderId="0" xfId="4" applyFont="1" applyFill="1" applyAlignment="1">
      <alignment horizontal="center"/>
    </xf>
    <xf numFmtId="0" fontId="33" fillId="7" borderId="42" xfId="4" applyFont="1" applyFill="1" applyBorder="1" applyAlignment="1">
      <alignment horizontal="center"/>
    </xf>
    <xf numFmtId="0" fontId="34" fillId="7" borderId="0" xfId="4" applyFont="1" applyFill="1" applyAlignment="1">
      <alignment horizontal="justify" vertical="center" wrapText="1"/>
    </xf>
    <xf numFmtId="0" fontId="33" fillId="7" borderId="41" xfId="4" applyFont="1" applyFill="1" applyBorder="1" applyAlignment="1">
      <alignment horizontal="center"/>
    </xf>
    <xf numFmtId="49" fontId="33" fillId="7" borderId="0" xfId="4" applyNumberFormat="1" applyFont="1" applyFill="1" applyAlignment="1">
      <alignment horizontal="center"/>
    </xf>
    <xf numFmtId="0" fontId="31" fillId="7" borderId="55" xfId="4" applyFont="1" applyFill="1" applyBorder="1" applyAlignment="1">
      <alignment horizontal="justify" vertical="center" wrapText="1"/>
    </xf>
    <xf numFmtId="0" fontId="31" fillId="7" borderId="47" xfId="4" applyFont="1" applyFill="1" applyBorder="1" applyAlignment="1">
      <alignment horizontal="justify" vertical="center" wrapText="1"/>
    </xf>
    <xf numFmtId="0" fontId="37" fillId="7" borderId="55" xfId="4" applyFont="1" applyFill="1" applyBorder="1" applyAlignment="1">
      <alignment horizontal="justify" vertical="center" wrapText="1"/>
    </xf>
    <xf numFmtId="0" fontId="37" fillId="7" borderId="47" xfId="4" applyFont="1" applyFill="1" applyBorder="1" applyAlignment="1">
      <alignment horizontal="justify" vertical="center" wrapText="1"/>
    </xf>
    <xf numFmtId="0" fontId="37" fillId="7" borderId="47" xfId="4" applyFont="1" applyFill="1" applyBorder="1" applyAlignment="1">
      <alignment horizontal="center" vertical="center"/>
    </xf>
    <xf numFmtId="43" fontId="37" fillId="7" borderId="47" xfId="4" applyNumberFormat="1" applyFont="1" applyFill="1" applyBorder="1" applyAlignment="1">
      <alignment horizontal="center" vertical="center"/>
    </xf>
    <xf numFmtId="0" fontId="37" fillId="7" borderId="56" xfId="4" applyFont="1" applyFill="1" applyBorder="1" applyAlignment="1">
      <alignment horizontal="center" vertical="center"/>
    </xf>
    <xf numFmtId="0" fontId="31" fillId="7" borderId="55" xfId="4" applyFont="1" applyFill="1" applyBorder="1" applyAlignment="1">
      <alignment horizontal="left" vertical="center" wrapText="1"/>
    </xf>
    <xf numFmtId="0" fontId="31" fillId="7" borderId="47" xfId="4" applyFont="1" applyFill="1" applyBorder="1" applyAlignment="1">
      <alignment horizontal="left" vertical="center" wrapText="1"/>
    </xf>
    <xf numFmtId="164" fontId="22" fillId="0" borderId="14" xfId="3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164" fontId="23" fillId="0" borderId="14" xfId="3" applyFont="1" applyBorder="1" applyAlignment="1">
      <alignment horizontal="left" vertical="center"/>
    </xf>
    <xf numFmtId="0" fontId="22" fillId="0" borderId="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11" xfId="0" applyFont="1" applyBorder="1" applyAlignment="1">
      <alignment horizontal="left" vertical="center"/>
    </xf>
    <xf numFmtId="0" fontId="22" fillId="0" borderId="17" xfId="0" applyFont="1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164" fontId="23" fillId="0" borderId="2" xfId="3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0" xfId="0" applyFont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22" fillId="0" borderId="7" xfId="0" applyFont="1" applyBorder="1" applyAlignment="1">
      <alignment horizontal="left" vertical="center"/>
    </xf>
    <xf numFmtId="0" fontId="22" fillId="0" borderId="8" xfId="0" applyFont="1" applyBorder="1" applyAlignment="1">
      <alignment horizontal="left" vertical="center"/>
    </xf>
    <xf numFmtId="0" fontId="22" fillId="0" borderId="10" xfId="0" applyFont="1" applyBorder="1" applyAlignment="1">
      <alignment horizontal="left" vertical="center"/>
    </xf>
    <xf numFmtId="0" fontId="22" fillId="0" borderId="13" xfId="0" applyFont="1" applyBorder="1" applyAlignment="1">
      <alignment horizontal="left" vertical="center"/>
    </xf>
    <xf numFmtId="0" fontId="13" fillId="0" borderId="0" xfId="0" applyFont="1" applyAlignment="1">
      <alignment horizontal="justify" wrapText="1"/>
    </xf>
    <xf numFmtId="164" fontId="22" fillId="0" borderId="10" xfId="3" applyFont="1" applyBorder="1" applyAlignment="1">
      <alignment horizontal="left" vertical="center"/>
    </xf>
    <xf numFmtId="164" fontId="22" fillId="0" borderId="13" xfId="3" applyFont="1" applyBorder="1" applyAlignment="1">
      <alignment horizontal="left" vertical="center"/>
    </xf>
    <xf numFmtId="164" fontId="22" fillId="0" borderId="14" xfId="3" applyFont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20" fillId="6" borderId="14" xfId="0" applyFont="1" applyFill="1" applyBorder="1" applyAlignment="1">
      <alignment vertical="center" wrapText="1"/>
    </xf>
    <xf numFmtId="0" fontId="20" fillId="6" borderId="10" xfId="0" applyFont="1" applyFill="1" applyBorder="1" applyAlignment="1">
      <alignment vertical="center" wrapText="1"/>
    </xf>
    <xf numFmtId="0" fontId="20" fillId="6" borderId="13" xfId="0" applyFont="1" applyFill="1" applyBorder="1" applyAlignment="1">
      <alignment vertical="center" wrapText="1"/>
    </xf>
    <xf numFmtId="0" fontId="20" fillId="0" borderId="14" xfId="0" applyFont="1" applyBorder="1" applyAlignment="1">
      <alignment horizontal="left" vertical="center"/>
    </xf>
    <xf numFmtId="0" fontId="20" fillId="0" borderId="10" xfId="0" applyFont="1" applyBorder="1" applyAlignment="1">
      <alignment horizontal="left" vertical="center"/>
    </xf>
    <xf numFmtId="0" fontId="20" fillId="0" borderId="13" xfId="0" applyFont="1" applyBorder="1" applyAlignment="1">
      <alignment horizontal="left" vertical="center"/>
    </xf>
    <xf numFmtId="0" fontId="18" fillId="5" borderId="14" xfId="0" applyFont="1" applyFill="1" applyBorder="1" applyAlignment="1">
      <alignment vertical="center"/>
    </xf>
    <xf numFmtId="0" fontId="18" fillId="5" borderId="10" xfId="0" applyFont="1" applyFill="1" applyBorder="1" applyAlignment="1">
      <alignment vertical="center"/>
    </xf>
    <xf numFmtId="0" fontId="18" fillId="5" borderId="13" xfId="0" applyFont="1" applyFill="1" applyBorder="1" applyAlignment="1">
      <alignment vertical="center"/>
    </xf>
    <xf numFmtId="0" fontId="22" fillId="0" borderId="14" xfId="0" applyFont="1" applyBorder="1" applyAlignment="1">
      <alignment horizontal="left" wrapText="1"/>
    </xf>
    <xf numFmtId="0" fontId="22" fillId="0" borderId="10" xfId="0" applyFont="1" applyBorder="1" applyAlignment="1">
      <alignment horizontal="left" wrapText="1"/>
    </xf>
    <xf numFmtId="0" fontId="22" fillId="0" borderId="13" xfId="0" applyFont="1" applyBorder="1" applyAlignment="1">
      <alignment horizontal="left" wrapText="1"/>
    </xf>
    <xf numFmtId="0" fontId="22" fillId="0" borderId="14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left" vertical="center" wrapText="1"/>
    </xf>
    <xf numFmtId="0" fontId="22" fillId="0" borderId="13" xfId="0" applyFont="1" applyBorder="1" applyAlignment="1">
      <alignment horizontal="left" vertical="center" wrapText="1"/>
    </xf>
    <xf numFmtId="0" fontId="22" fillId="0" borderId="14" xfId="0" applyFont="1" applyBorder="1" applyAlignment="1">
      <alignment horizontal="left"/>
    </xf>
    <xf numFmtId="0" fontId="22" fillId="0" borderId="10" xfId="0" applyFont="1" applyBorder="1" applyAlignment="1">
      <alignment horizontal="left"/>
    </xf>
    <xf numFmtId="0" fontId="22" fillId="0" borderId="13" xfId="0" applyFont="1" applyBorder="1" applyAlignment="1">
      <alignment horizontal="left"/>
    </xf>
    <xf numFmtId="0" fontId="19" fillId="0" borderId="14" xfId="0" applyFont="1" applyBorder="1" applyAlignment="1">
      <alignment horizontal="left" vertical="center"/>
    </xf>
    <xf numFmtId="0" fontId="19" fillId="0" borderId="10" xfId="0" applyFont="1" applyBorder="1" applyAlignment="1">
      <alignment horizontal="left" vertical="center"/>
    </xf>
    <xf numFmtId="0" fontId="19" fillId="0" borderId="13" xfId="0" applyFont="1" applyBorder="1" applyAlignment="1">
      <alignment horizontal="left" vertical="center"/>
    </xf>
    <xf numFmtId="0" fontId="20" fillId="0" borderId="14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3" xfId="0" applyBorder="1" applyAlignment="1">
      <alignment horizontal="left"/>
    </xf>
    <xf numFmtId="0" fontId="20" fillId="0" borderId="13" xfId="0" applyFont="1" applyBorder="1" applyAlignment="1">
      <alignment horizontal="center" vertical="center" wrapText="1"/>
    </xf>
    <xf numFmtId="0" fontId="10" fillId="0" borderId="0" xfId="0" applyFont="1" applyAlignment="1" applyProtection="1">
      <alignment horizontal="center" vertical="center"/>
      <protection hidden="1"/>
    </xf>
    <xf numFmtId="0" fontId="25" fillId="0" borderId="14" xfId="0" applyFont="1" applyBorder="1" applyAlignment="1">
      <alignment horizontal="justify" wrapText="1"/>
    </xf>
    <xf numFmtId="0" fontId="25" fillId="0" borderId="10" xfId="0" applyFont="1" applyBorder="1" applyAlignment="1">
      <alignment horizontal="justify" wrapText="1"/>
    </xf>
    <xf numFmtId="0" fontId="25" fillId="0" borderId="13" xfId="0" applyFont="1" applyBorder="1" applyAlignment="1">
      <alignment horizontal="justify" wrapText="1"/>
    </xf>
    <xf numFmtId="0" fontId="15" fillId="3" borderId="14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5" fillId="3" borderId="13" xfId="0" applyFont="1" applyFill="1" applyBorder="1" applyAlignment="1">
      <alignment horizontal="center" vertical="center" wrapText="1"/>
    </xf>
    <xf numFmtId="0" fontId="20" fillId="5" borderId="14" xfId="0" applyFont="1" applyFill="1" applyBorder="1" applyAlignment="1">
      <alignment vertical="center"/>
    </xf>
    <xf numFmtId="0" fontId="20" fillId="5" borderId="10" xfId="0" applyFont="1" applyFill="1" applyBorder="1" applyAlignment="1">
      <alignment vertical="center"/>
    </xf>
    <xf numFmtId="0" fontId="20" fillId="5" borderId="13" xfId="0" applyFont="1" applyFill="1" applyBorder="1" applyAlignment="1">
      <alignment vertical="center"/>
    </xf>
    <xf numFmtId="0" fontId="18" fillId="6" borderId="14" xfId="0" applyFont="1" applyFill="1" applyBorder="1" applyAlignment="1">
      <alignment vertical="center" wrapText="1"/>
    </xf>
    <xf numFmtId="0" fontId="18" fillId="6" borderId="10" xfId="0" applyFont="1" applyFill="1" applyBorder="1" applyAlignment="1">
      <alignment vertical="center" wrapText="1"/>
    </xf>
    <xf numFmtId="0" fontId="18" fillId="6" borderId="13" xfId="0" applyFont="1" applyFill="1" applyBorder="1" applyAlignment="1">
      <alignment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left"/>
    </xf>
    <xf numFmtId="0" fontId="19" fillId="0" borderId="13" xfId="0" applyFont="1" applyBorder="1" applyAlignment="1">
      <alignment horizontal="left"/>
    </xf>
    <xf numFmtId="0" fontId="16" fillId="0" borderId="32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22" fillId="0" borderId="14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20" fillId="4" borderId="14" xfId="0" applyFont="1" applyFill="1" applyBorder="1" applyAlignment="1">
      <alignment horizontal="left" vertical="center"/>
    </xf>
    <xf numFmtId="0" fontId="20" fillId="4" borderId="10" xfId="0" applyFont="1" applyFill="1" applyBorder="1" applyAlignment="1">
      <alignment horizontal="left" vertical="center"/>
    </xf>
    <xf numFmtId="0" fontId="20" fillId="4" borderId="13" xfId="0" applyFont="1" applyFill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</cellXfs>
  <cellStyles count="9">
    <cellStyle name="Hiperlink" xfId="6" builtinId="8"/>
    <cellStyle name="Moeda" xfId="1" builtinId="4"/>
    <cellStyle name="Normal" xfId="0" builtinId="0"/>
    <cellStyle name="Normal 2" xfId="4" xr:uid="{17BD7F74-2421-4957-A0A3-2BF3E9C38530}"/>
    <cellStyle name="Normal 3" xfId="7" xr:uid="{0FA233B3-15AC-4B74-AEC2-EDE93F01EE32}"/>
    <cellStyle name="Porcentagem" xfId="2" builtinId="5"/>
    <cellStyle name="Porcentagem 2" xfId="5" xr:uid="{F8C50FC0-1EEB-42A0-82C2-E8F565136E68}"/>
    <cellStyle name="Vírgula" xfId="3" builtinId="3"/>
    <cellStyle name="Vírgula 2" xfId="8" xr:uid="{1F94ADF9-9537-4B66-853F-2E8A24D071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icitacaostg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E83A8-62CA-4639-85FB-A43B0396AFB7}">
  <dimension ref="A1:AF622"/>
  <sheetViews>
    <sheetView tabSelected="1" zoomScale="120" zoomScaleNormal="120" workbookViewId="0">
      <pane ySplit="1" topLeftCell="A2" activePane="bottomLeft" state="frozen"/>
      <selection pane="bottomLeft" activeCell="G41" sqref="G41"/>
    </sheetView>
  </sheetViews>
  <sheetFormatPr defaultColWidth="12.5703125" defaultRowHeight="15" x14ac:dyDescent="0.25"/>
  <cols>
    <col min="1" max="15" width="3.42578125" style="147" customWidth="1"/>
    <col min="16" max="17" width="3.28515625" style="147" customWidth="1"/>
    <col min="18" max="30" width="3.42578125" style="147" customWidth="1"/>
    <col min="31" max="31" width="2.7109375" style="147" bestFit="1" customWidth="1"/>
    <col min="32" max="16384" width="12.5703125" style="147"/>
  </cols>
  <sheetData>
    <row r="1" spans="2:31" ht="12.75" customHeight="1" x14ac:dyDescent="0.25"/>
    <row r="2" spans="2:31" s="154" customFormat="1" ht="5.0999999999999996" customHeight="1" x14ac:dyDescent="0.2">
      <c r="B2" s="148"/>
      <c r="C2" s="149"/>
      <c r="D2" s="150"/>
      <c r="E2" s="151"/>
      <c r="F2" s="151"/>
      <c r="G2" s="151"/>
      <c r="H2" s="151"/>
      <c r="I2" s="151"/>
      <c r="J2" s="151"/>
      <c r="K2" s="149"/>
      <c r="L2" s="149"/>
      <c r="M2" s="150"/>
      <c r="N2" s="149"/>
      <c r="O2" s="150"/>
      <c r="P2" s="150"/>
      <c r="Q2" s="152"/>
      <c r="R2" s="152"/>
      <c r="S2" s="149"/>
      <c r="T2" s="149"/>
      <c r="U2" s="149"/>
      <c r="V2" s="149"/>
      <c r="W2" s="149"/>
      <c r="X2" s="149"/>
      <c r="Y2" s="149"/>
      <c r="Z2" s="149"/>
      <c r="AA2" s="149"/>
      <c r="AB2" s="149"/>
      <c r="AC2" s="149"/>
      <c r="AD2" s="153"/>
    </row>
    <row r="3" spans="2:31" s="154" customFormat="1" ht="18" customHeight="1" x14ac:dyDescent="0.2">
      <c r="B3" s="220" t="s">
        <v>165</v>
      </c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221"/>
      <c r="W3" s="221"/>
      <c r="X3" s="221"/>
      <c r="Y3" s="221"/>
      <c r="Z3" s="221"/>
      <c r="AA3" s="221"/>
      <c r="AB3" s="221"/>
      <c r="AC3" s="221"/>
      <c r="AD3" s="222"/>
    </row>
    <row r="4" spans="2:31" s="156" customFormat="1" ht="12.95" customHeight="1" x14ac:dyDescent="0.2">
      <c r="B4" s="155"/>
      <c r="AD4" s="157"/>
    </row>
    <row r="5" spans="2:31" s="156" customFormat="1" ht="12.95" customHeight="1" x14ac:dyDescent="0.2">
      <c r="B5" s="155"/>
      <c r="C5" s="156" t="s">
        <v>166</v>
      </c>
      <c r="AD5" s="157"/>
    </row>
    <row r="6" spans="2:31" s="156" customFormat="1" ht="12.95" customHeight="1" x14ac:dyDescent="0.2">
      <c r="B6" s="155"/>
      <c r="AD6" s="157"/>
    </row>
    <row r="7" spans="2:31" s="156" customFormat="1" ht="12.95" customHeight="1" x14ac:dyDescent="0.2">
      <c r="B7" s="155"/>
      <c r="C7" s="158"/>
      <c r="E7" s="158"/>
      <c r="F7" s="158"/>
      <c r="G7" s="158" t="s">
        <v>167</v>
      </c>
      <c r="H7" s="156" t="s">
        <v>219</v>
      </c>
      <c r="AD7" s="157"/>
    </row>
    <row r="8" spans="2:31" s="156" customFormat="1" ht="12.95" customHeight="1" x14ac:dyDescent="0.2">
      <c r="B8" s="155"/>
      <c r="G8" s="158" t="s">
        <v>168</v>
      </c>
      <c r="H8" s="156" t="s">
        <v>219</v>
      </c>
      <c r="AD8" s="157"/>
    </row>
    <row r="9" spans="2:31" s="156" customFormat="1" ht="12.95" customHeight="1" x14ac:dyDescent="0.2">
      <c r="B9" s="155"/>
      <c r="G9" s="158" t="s">
        <v>169</v>
      </c>
      <c r="H9" s="156" t="s">
        <v>191</v>
      </c>
      <c r="AD9" s="157"/>
    </row>
    <row r="10" spans="2:31" s="154" customFormat="1" ht="5.0999999999999996" customHeight="1" x14ac:dyDescent="0.2">
      <c r="B10" s="159"/>
      <c r="D10" s="160"/>
      <c r="E10" s="161"/>
      <c r="F10" s="161"/>
      <c r="G10" s="161"/>
      <c r="H10" s="161"/>
      <c r="I10" s="161"/>
      <c r="J10" s="161"/>
      <c r="M10" s="160"/>
      <c r="O10" s="160"/>
      <c r="P10" s="160"/>
      <c r="Q10" s="162"/>
      <c r="R10" s="162"/>
      <c r="AD10" s="163"/>
    </row>
    <row r="11" spans="2:31" s="154" customFormat="1" ht="5.0999999999999996" customHeight="1" x14ac:dyDescent="0.2">
      <c r="B11" s="159"/>
      <c r="D11" s="160"/>
      <c r="E11" s="161"/>
      <c r="F11" s="161"/>
      <c r="G11" s="161"/>
      <c r="H11" s="161"/>
      <c r="I11" s="161"/>
      <c r="J11" s="161"/>
      <c r="M11" s="160"/>
      <c r="O11" s="160"/>
      <c r="P11" s="160"/>
      <c r="Q11" s="162"/>
      <c r="R11" s="162"/>
      <c r="AD11" s="163"/>
    </row>
    <row r="12" spans="2:31" s="154" customFormat="1" ht="17.100000000000001" customHeight="1" x14ac:dyDescent="0.2">
      <c r="B12" s="164"/>
      <c r="C12" s="165"/>
      <c r="D12" s="166" t="s">
        <v>170</v>
      </c>
      <c r="E12" s="223" t="s">
        <v>192</v>
      </c>
      <c r="F12" s="224"/>
      <c r="G12" s="224"/>
      <c r="H12" s="224"/>
      <c r="I12" s="224"/>
      <c r="J12" s="224"/>
      <c r="K12" s="224"/>
      <c r="L12" s="224"/>
      <c r="M12" s="224"/>
      <c r="N12" s="224"/>
      <c r="O12" s="224"/>
      <c r="P12" s="224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5"/>
      <c r="AD12" s="167"/>
    </row>
    <row r="13" spans="2:31" s="154" customFormat="1" ht="5.0999999999999996" customHeight="1" x14ac:dyDescent="0.2">
      <c r="B13" s="159"/>
      <c r="D13" s="160"/>
      <c r="E13" s="161"/>
      <c r="F13" s="161"/>
      <c r="G13" s="161"/>
      <c r="H13" s="161"/>
      <c r="I13" s="161"/>
      <c r="J13" s="161"/>
      <c r="M13" s="160"/>
      <c r="O13" s="160"/>
      <c r="P13" s="160"/>
      <c r="Q13" s="162"/>
      <c r="R13" s="162"/>
      <c r="AD13" s="163"/>
    </row>
    <row r="14" spans="2:31" s="154" customFormat="1" ht="17.100000000000001" customHeight="1" x14ac:dyDescent="0.2">
      <c r="B14" s="159"/>
      <c r="D14" s="166" t="s">
        <v>171</v>
      </c>
      <c r="E14" s="226" t="s">
        <v>193</v>
      </c>
      <c r="F14" s="227"/>
      <c r="G14" s="227"/>
      <c r="H14" s="227"/>
      <c r="I14" s="227"/>
      <c r="J14" s="228"/>
      <c r="M14" s="160"/>
      <c r="O14" s="160"/>
      <c r="P14" s="168"/>
      <c r="Q14" s="169"/>
      <c r="R14" s="169"/>
      <c r="S14" s="166" t="s">
        <v>172</v>
      </c>
      <c r="T14" s="229" t="s">
        <v>195</v>
      </c>
      <c r="U14" s="230"/>
      <c r="V14" s="230"/>
      <c r="W14" s="230"/>
      <c r="X14" s="231"/>
      <c r="Y14" s="170"/>
      <c r="Z14" s="170"/>
      <c r="AA14" s="170"/>
      <c r="AB14" s="170"/>
      <c r="AC14" s="170"/>
      <c r="AD14" s="167"/>
      <c r="AE14" s="171" t="s">
        <v>173</v>
      </c>
    </row>
    <row r="15" spans="2:31" s="154" customFormat="1" ht="5.0999999999999996" customHeight="1" x14ac:dyDescent="0.2">
      <c r="B15" s="159"/>
      <c r="D15" s="160"/>
      <c r="E15" s="161"/>
      <c r="F15" s="161"/>
      <c r="G15" s="161"/>
      <c r="H15" s="161"/>
      <c r="I15" s="161"/>
      <c r="J15" s="161"/>
      <c r="M15" s="160"/>
      <c r="O15" s="160"/>
      <c r="P15" s="160"/>
      <c r="Q15" s="162"/>
      <c r="R15" s="162"/>
      <c r="AD15" s="163"/>
    </row>
    <row r="16" spans="2:31" s="154" customFormat="1" ht="17.100000000000001" customHeight="1" x14ac:dyDescent="0.2">
      <c r="B16" s="159"/>
      <c r="D16" s="166" t="s">
        <v>174</v>
      </c>
      <c r="E16" s="223" t="s">
        <v>194</v>
      </c>
      <c r="F16" s="232"/>
      <c r="G16" s="232"/>
      <c r="H16" s="232"/>
      <c r="I16" s="232"/>
      <c r="J16" s="232"/>
      <c r="K16" s="232"/>
      <c r="L16" s="232"/>
      <c r="M16" s="232"/>
      <c r="N16" s="233"/>
      <c r="P16" s="166" t="s">
        <v>175</v>
      </c>
      <c r="Q16" s="234">
        <v>1754</v>
      </c>
      <c r="R16" s="235"/>
      <c r="S16" s="170"/>
      <c r="T16" s="172" t="s">
        <v>176</v>
      </c>
      <c r="U16" s="236" t="s">
        <v>196</v>
      </c>
      <c r="V16" s="237"/>
      <c r="W16" s="237"/>
      <c r="X16" s="237"/>
      <c r="Y16" s="237"/>
      <c r="Z16" s="237"/>
      <c r="AA16" s="237"/>
      <c r="AB16" s="237"/>
      <c r="AC16" s="238"/>
      <c r="AD16" s="173"/>
      <c r="AE16" s="174"/>
    </row>
    <row r="17" spans="2:32" s="154" customFormat="1" ht="5.0999999999999996" customHeight="1" x14ac:dyDescent="0.2">
      <c r="B17" s="159"/>
      <c r="D17" s="160"/>
      <c r="E17" s="161"/>
      <c r="F17" s="161"/>
      <c r="G17" s="161"/>
      <c r="H17" s="161"/>
      <c r="I17" s="161"/>
      <c r="J17" s="161"/>
      <c r="M17" s="160"/>
      <c r="O17" s="160"/>
      <c r="P17" s="160"/>
      <c r="Q17" s="162"/>
      <c r="R17" s="162"/>
      <c r="AD17" s="163"/>
    </row>
    <row r="18" spans="2:32" s="154" customFormat="1" ht="17.100000000000001" customHeight="1" x14ac:dyDescent="0.2">
      <c r="B18" s="159"/>
      <c r="D18" s="166" t="s">
        <v>177</v>
      </c>
      <c r="E18" s="239" t="s">
        <v>197</v>
      </c>
      <c r="F18" s="240"/>
      <c r="G18" s="240"/>
      <c r="H18" s="240"/>
      <c r="I18" s="240"/>
      <c r="J18" s="240"/>
      <c r="K18" s="240"/>
      <c r="L18" s="240"/>
      <c r="M18" s="240"/>
      <c r="N18" s="241"/>
      <c r="P18" s="166"/>
      <c r="Q18" s="175"/>
      <c r="R18" s="176" t="s">
        <v>178</v>
      </c>
      <c r="S18" s="242" t="s">
        <v>198</v>
      </c>
      <c r="T18" s="243"/>
      <c r="U18" s="243"/>
      <c r="V18" s="243"/>
      <c r="W18" s="243"/>
      <c r="X18" s="243"/>
      <c r="Y18" s="243"/>
      <c r="Z18" s="243"/>
      <c r="AA18" s="243"/>
      <c r="AB18" s="243"/>
      <c r="AC18" s="244"/>
      <c r="AD18" s="173"/>
      <c r="AE18" s="174"/>
      <c r="AF18" s="206"/>
    </row>
    <row r="19" spans="2:32" s="154" customFormat="1" ht="5.0999999999999996" customHeight="1" x14ac:dyDescent="0.2">
      <c r="B19" s="159"/>
      <c r="D19" s="160"/>
      <c r="E19" s="161"/>
      <c r="F19" s="161"/>
      <c r="G19" s="161"/>
      <c r="H19" s="161"/>
      <c r="I19" s="161"/>
      <c r="J19" s="161"/>
      <c r="M19" s="160"/>
      <c r="O19" s="160"/>
      <c r="P19" s="160"/>
      <c r="Q19" s="162"/>
      <c r="R19" s="162"/>
      <c r="AD19" s="163"/>
    </row>
    <row r="20" spans="2:32" s="154" customFormat="1" ht="17.100000000000001" customHeight="1" x14ac:dyDescent="0.25">
      <c r="B20" s="164"/>
      <c r="C20" s="165"/>
      <c r="D20" s="166" t="s">
        <v>179</v>
      </c>
      <c r="E20" s="223" t="s">
        <v>220</v>
      </c>
      <c r="F20" s="224"/>
      <c r="G20" s="224"/>
      <c r="H20" s="224"/>
      <c r="I20" s="224"/>
      <c r="J20" s="224"/>
      <c r="K20" s="224"/>
      <c r="L20" s="224"/>
      <c r="M20" s="224"/>
      <c r="N20" s="224"/>
      <c r="O20" s="224"/>
      <c r="P20" s="224"/>
      <c r="Q20" s="224"/>
      <c r="R20" s="225"/>
      <c r="S20" s="147"/>
      <c r="T20" s="166" t="s">
        <v>180</v>
      </c>
      <c r="U20" s="245" t="s">
        <v>199</v>
      </c>
      <c r="V20" s="246"/>
      <c r="W20" s="246"/>
      <c r="X20" s="246"/>
      <c r="Y20" s="246"/>
      <c r="Z20" s="247"/>
      <c r="AA20" s="177"/>
      <c r="AB20" s="178"/>
      <c r="AC20" s="178"/>
      <c r="AD20" s="179"/>
    </row>
    <row r="21" spans="2:32" s="154" customFormat="1" ht="5.0999999999999996" customHeight="1" x14ac:dyDescent="0.2">
      <c r="B21" s="180"/>
      <c r="C21" s="181"/>
      <c r="D21" s="182"/>
      <c r="E21" s="183"/>
      <c r="F21" s="183"/>
      <c r="G21" s="183"/>
      <c r="H21" s="183"/>
      <c r="I21" s="183"/>
      <c r="J21" s="183"/>
      <c r="K21" s="181"/>
      <c r="L21" s="181"/>
      <c r="M21" s="182"/>
      <c r="N21" s="181"/>
      <c r="O21" s="182"/>
      <c r="P21" s="182"/>
      <c r="Q21" s="184"/>
      <c r="R21" s="184"/>
      <c r="S21" s="181"/>
      <c r="T21" s="181"/>
      <c r="U21" s="181"/>
      <c r="V21" s="181"/>
      <c r="W21" s="181"/>
      <c r="X21" s="181"/>
      <c r="Y21" s="181"/>
      <c r="Z21" s="181"/>
      <c r="AA21" s="181"/>
      <c r="AB21" s="181"/>
      <c r="AC21" s="181"/>
      <c r="AD21" s="185"/>
    </row>
    <row r="22" spans="2:32" s="154" customFormat="1" ht="15" customHeight="1" x14ac:dyDescent="0.2">
      <c r="B22" s="186"/>
      <c r="C22" s="187"/>
      <c r="D22" s="188"/>
      <c r="E22" s="189"/>
      <c r="F22" s="189"/>
      <c r="G22" s="189"/>
      <c r="H22" s="189"/>
      <c r="I22" s="189"/>
      <c r="J22" s="189"/>
      <c r="K22" s="187"/>
      <c r="L22" s="187"/>
      <c r="M22" s="188"/>
      <c r="N22" s="187"/>
      <c r="O22" s="188"/>
      <c r="P22" s="188"/>
      <c r="Q22" s="190"/>
      <c r="R22" s="190"/>
      <c r="S22" s="187"/>
      <c r="T22" s="187"/>
      <c r="U22" s="187"/>
      <c r="V22" s="187"/>
      <c r="W22" s="187"/>
      <c r="X22" s="187"/>
      <c r="Y22" s="187"/>
      <c r="Z22" s="187"/>
      <c r="AA22" s="187"/>
      <c r="AB22" s="187"/>
      <c r="AC22" s="187"/>
      <c r="AD22" s="191"/>
    </row>
    <row r="23" spans="2:32" s="154" customFormat="1" ht="53.25" customHeight="1" x14ac:dyDescent="0.2">
      <c r="B23" s="248" t="s">
        <v>218</v>
      </c>
      <c r="C23" s="249"/>
      <c r="D23" s="249"/>
      <c r="E23" s="249"/>
      <c r="F23" s="249"/>
      <c r="G23" s="249"/>
      <c r="H23" s="249"/>
      <c r="I23" s="249"/>
      <c r="J23" s="249"/>
      <c r="K23" s="249"/>
      <c r="L23" s="249"/>
      <c r="M23" s="249"/>
      <c r="N23" s="249"/>
      <c r="O23" s="249"/>
      <c r="P23" s="249"/>
      <c r="Q23" s="249"/>
      <c r="R23" s="249"/>
      <c r="S23" s="249"/>
      <c r="T23" s="249"/>
      <c r="U23" s="249"/>
      <c r="V23" s="249"/>
      <c r="W23" s="249"/>
      <c r="X23" s="249"/>
      <c r="Y23" s="249"/>
      <c r="Z23" s="249"/>
      <c r="AA23" s="249"/>
      <c r="AB23" s="249"/>
      <c r="AC23" s="249"/>
      <c r="AD23" s="250"/>
    </row>
    <row r="24" spans="2:32" s="154" customFormat="1" ht="9.9499999999999993" customHeight="1" x14ac:dyDescent="0.2">
      <c r="B24" s="159"/>
      <c r="D24" s="160"/>
      <c r="E24" s="161"/>
      <c r="F24" s="161"/>
      <c r="G24" s="161"/>
      <c r="H24" s="161"/>
      <c r="I24" s="161"/>
      <c r="J24" s="161"/>
      <c r="M24" s="160"/>
      <c r="O24" s="160"/>
      <c r="P24" s="160"/>
      <c r="Q24" s="162"/>
      <c r="R24" s="162"/>
      <c r="AD24" s="163"/>
    </row>
    <row r="25" spans="2:32" s="154" customFormat="1" ht="15" customHeight="1" x14ac:dyDescent="0.2">
      <c r="B25" s="159"/>
      <c r="C25" s="219" t="s">
        <v>221</v>
      </c>
      <c r="D25" s="219"/>
      <c r="E25" s="219"/>
      <c r="F25" s="219"/>
      <c r="G25" s="219"/>
      <c r="H25" s="219"/>
      <c r="I25" s="219"/>
      <c r="J25" s="219"/>
      <c r="K25" s="219"/>
      <c r="L25" s="219"/>
      <c r="M25" s="219"/>
      <c r="N25" s="219"/>
      <c r="O25" s="219"/>
      <c r="P25" s="219"/>
      <c r="Q25" s="219"/>
      <c r="R25" s="219"/>
      <c r="S25" s="219"/>
      <c r="T25" s="219"/>
      <c r="U25" s="219"/>
      <c r="V25" s="219"/>
      <c r="W25" s="219"/>
      <c r="X25" s="219"/>
      <c r="Y25" s="219"/>
      <c r="Z25" s="219"/>
      <c r="AA25" s="219"/>
      <c r="AB25" s="219"/>
      <c r="AC25" s="219"/>
      <c r="AD25" s="163"/>
    </row>
    <row r="26" spans="2:32" s="154" customFormat="1" ht="15" customHeight="1" x14ac:dyDescent="0.2">
      <c r="B26" s="159"/>
      <c r="C26" s="219"/>
      <c r="D26" s="219"/>
      <c r="E26" s="219"/>
      <c r="F26" s="219"/>
      <c r="G26" s="219"/>
      <c r="H26" s="219"/>
      <c r="I26" s="219"/>
      <c r="J26" s="219"/>
      <c r="K26" s="219"/>
      <c r="L26" s="219"/>
      <c r="M26" s="219"/>
      <c r="N26" s="219"/>
      <c r="O26" s="219"/>
      <c r="P26" s="219"/>
      <c r="Q26" s="219"/>
      <c r="R26" s="219"/>
      <c r="S26" s="219"/>
      <c r="T26" s="219"/>
      <c r="U26" s="219"/>
      <c r="V26" s="219"/>
      <c r="W26" s="219"/>
      <c r="X26" s="219"/>
      <c r="Y26" s="219"/>
      <c r="Z26" s="219"/>
      <c r="AA26" s="219"/>
      <c r="AB26" s="219"/>
      <c r="AC26" s="219"/>
      <c r="AD26" s="163"/>
    </row>
    <row r="27" spans="2:32" s="154" customFormat="1" ht="9.9499999999999993" customHeight="1" x14ac:dyDescent="0.2">
      <c r="B27" s="159"/>
      <c r="C27" s="192"/>
      <c r="D27" s="192"/>
      <c r="E27" s="192"/>
      <c r="F27" s="192"/>
      <c r="G27" s="192"/>
      <c r="H27" s="192"/>
      <c r="I27" s="192"/>
      <c r="J27" s="192"/>
      <c r="K27" s="192"/>
      <c r="L27" s="193"/>
      <c r="M27" s="193"/>
      <c r="N27" s="193"/>
      <c r="O27" s="193"/>
      <c r="P27" s="193"/>
      <c r="Q27" s="193"/>
      <c r="R27" s="193"/>
      <c r="S27" s="193"/>
      <c r="T27" s="193"/>
      <c r="U27" s="193"/>
      <c r="V27" s="193"/>
      <c r="W27" s="193"/>
      <c r="X27" s="193"/>
      <c r="Y27" s="193"/>
      <c r="Z27" s="193"/>
      <c r="AA27" s="193"/>
      <c r="AB27" s="193"/>
      <c r="AC27" s="193"/>
      <c r="AD27" s="163"/>
    </row>
    <row r="28" spans="2:32" s="154" customFormat="1" ht="15" customHeight="1" x14ac:dyDescent="0.2">
      <c r="B28" s="213" t="s">
        <v>200</v>
      </c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5"/>
      <c r="O28" s="254" t="s">
        <v>11</v>
      </c>
      <c r="P28" s="255"/>
      <c r="Q28" s="255"/>
      <c r="R28" s="256"/>
      <c r="S28" s="251" t="s">
        <v>181</v>
      </c>
      <c r="T28" s="252"/>
      <c r="U28" s="252"/>
      <c r="V28" s="252"/>
      <c r="W28" s="252"/>
      <c r="X28" s="252"/>
      <c r="Y28" s="252"/>
      <c r="Z28" s="252"/>
      <c r="AA28" s="252"/>
      <c r="AB28" s="252"/>
      <c r="AC28" s="252"/>
      <c r="AD28" s="253"/>
    </row>
    <row r="29" spans="2:32" s="154" customFormat="1" ht="22.5" customHeight="1" x14ac:dyDescent="0.2">
      <c r="B29" s="216"/>
      <c r="C29" s="217"/>
      <c r="D29" s="217"/>
      <c r="E29" s="217"/>
      <c r="F29" s="217"/>
      <c r="G29" s="217"/>
      <c r="H29" s="217"/>
      <c r="I29" s="217"/>
      <c r="J29" s="217"/>
      <c r="K29" s="217"/>
      <c r="L29" s="217"/>
      <c r="M29" s="217"/>
      <c r="N29" s="218"/>
      <c r="O29" s="254" t="s">
        <v>202</v>
      </c>
      <c r="P29" s="255"/>
      <c r="Q29" s="255"/>
      <c r="R29" s="256"/>
      <c r="S29" s="251" t="s">
        <v>182</v>
      </c>
      <c r="T29" s="252"/>
      <c r="U29" s="252"/>
      <c r="V29" s="257"/>
      <c r="W29" s="251" t="s">
        <v>183</v>
      </c>
      <c r="X29" s="252"/>
      <c r="Y29" s="252"/>
      <c r="Z29" s="257"/>
      <c r="AA29" s="251" t="s">
        <v>184</v>
      </c>
      <c r="AB29" s="252"/>
      <c r="AC29" s="252"/>
      <c r="AD29" s="253"/>
    </row>
    <row r="30" spans="2:32" s="154" customFormat="1" ht="25.5" customHeight="1" x14ac:dyDescent="0.2">
      <c r="B30" s="266" t="s">
        <v>205</v>
      </c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58">
        <v>2</v>
      </c>
      <c r="P30" s="258"/>
      <c r="Q30" s="258"/>
      <c r="R30" s="258"/>
      <c r="S30" s="259">
        <f>Monitoramento!I106</f>
        <v>3747.1695856437154</v>
      </c>
      <c r="T30" s="259"/>
      <c r="U30" s="259"/>
      <c r="V30" s="259"/>
      <c r="W30" s="259">
        <f>O30*S30</f>
        <v>7494.3391712874309</v>
      </c>
      <c r="X30" s="259"/>
      <c r="Y30" s="259"/>
      <c r="Z30" s="259"/>
      <c r="AA30" s="259">
        <f>W30*12</f>
        <v>89932.070055449178</v>
      </c>
      <c r="AB30" s="258"/>
      <c r="AC30" s="258"/>
      <c r="AD30" s="260"/>
    </row>
    <row r="31" spans="2:32" s="154" customFormat="1" ht="15" customHeight="1" x14ac:dyDescent="0.2">
      <c r="B31" s="273" t="s">
        <v>203</v>
      </c>
      <c r="C31" s="274"/>
      <c r="D31" s="274"/>
      <c r="E31" s="274"/>
      <c r="F31" s="274"/>
      <c r="G31" s="274"/>
      <c r="H31" s="274"/>
      <c r="I31" s="274"/>
      <c r="J31" s="274"/>
      <c r="K31" s="274"/>
      <c r="L31" s="274"/>
      <c r="M31" s="274"/>
      <c r="N31" s="274"/>
      <c r="O31" s="258">
        <v>2</v>
      </c>
      <c r="P31" s="258"/>
      <c r="Q31" s="258"/>
      <c r="R31" s="258"/>
      <c r="S31" s="259">
        <f>Ronda!I99</f>
        <v>5211.6631297438535</v>
      </c>
      <c r="T31" s="259"/>
      <c r="U31" s="259"/>
      <c r="V31" s="259"/>
      <c r="W31" s="259">
        <f>O31*S31</f>
        <v>10423.326259487707</v>
      </c>
      <c r="X31" s="259"/>
      <c r="Y31" s="259"/>
      <c r="Z31" s="259"/>
      <c r="AA31" s="259">
        <f>W31*12</f>
        <v>125079.91511385248</v>
      </c>
      <c r="AB31" s="258"/>
      <c r="AC31" s="258"/>
      <c r="AD31" s="260"/>
    </row>
    <row r="32" spans="2:32" s="154" customFormat="1" ht="15" customHeight="1" x14ac:dyDescent="0.2">
      <c r="B32" s="268" t="s">
        <v>204</v>
      </c>
      <c r="C32" s="269"/>
      <c r="D32" s="269"/>
      <c r="E32" s="269"/>
      <c r="F32" s="269"/>
      <c r="G32" s="269"/>
      <c r="H32" s="269"/>
      <c r="I32" s="269"/>
      <c r="J32" s="269"/>
      <c r="K32" s="269"/>
      <c r="L32" s="270"/>
      <c r="M32" s="270"/>
      <c r="N32" s="270"/>
      <c r="O32" s="270"/>
      <c r="P32" s="270"/>
      <c r="Q32" s="270"/>
      <c r="R32" s="270"/>
      <c r="S32" s="271">
        <f>SUM(S30:V31)</f>
        <v>8958.8327153875689</v>
      </c>
      <c r="T32" s="271"/>
      <c r="U32" s="271"/>
      <c r="V32" s="271"/>
      <c r="W32" s="271">
        <f>SUM(W30:Z31)</f>
        <v>17917.665430775138</v>
      </c>
      <c r="X32" s="271"/>
      <c r="Y32" s="271"/>
      <c r="Z32" s="271"/>
      <c r="AA32" s="271">
        <f>W32*12</f>
        <v>215011.98516930165</v>
      </c>
      <c r="AB32" s="270"/>
      <c r="AC32" s="270"/>
      <c r="AD32" s="272"/>
    </row>
    <row r="33" spans="1:30" s="154" customFormat="1" ht="5.0999999999999996" customHeight="1" x14ac:dyDescent="0.2">
      <c r="B33" s="159"/>
      <c r="D33" s="160"/>
      <c r="E33" s="161"/>
      <c r="F33" s="161"/>
      <c r="G33" s="161"/>
      <c r="H33" s="161"/>
      <c r="I33" s="161"/>
      <c r="J33" s="161"/>
      <c r="M33" s="160"/>
      <c r="O33" s="160"/>
      <c r="P33" s="160"/>
      <c r="Q33" s="162"/>
      <c r="R33" s="162"/>
      <c r="AD33" s="163"/>
    </row>
    <row r="34" spans="1:30" s="175" customFormat="1" ht="12.95" customHeight="1" x14ac:dyDescent="0.2">
      <c r="B34" s="194"/>
      <c r="AD34" s="173"/>
    </row>
    <row r="35" spans="1:30" s="175" customFormat="1" ht="12.95" customHeight="1" x14ac:dyDescent="0.2">
      <c r="B35" s="194"/>
      <c r="C35" s="175" t="s">
        <v>185</v>
      </c>
      <c r="AD35" s="173"/>
    </row>
    <row r="36" spans="1:30" s="175" customFormat="1" ht="5.0999999999999996" customHeight="1" x14ac:dyDescent="0.2">
      <c r="B36" s="194"/>
      <c r="AD36" s="173"/>
    </row>
    <row r="37" spans="1:30" s="175" customFormat="1" ht="24.95" customHeight="1" x14ac:dyDescent="0.2">
      <c r="B37" s="194"/>
      <c r="C37" s="263" t="s">
        <v>186</v>
      </c>
      <c r="D37" s="263"/>
      <c r="E37" s="263"/>
      <c r="F37" s="263"/>
      <c r="G37" s="263"/>
      <c r="H37" s="263"/>
      <c r="I37" s="263"/>
      <c r="J37" s="263"/>
      <c r="K37" s="263"/>
      <c r="L37" s="263"/>
      <c r="M37" s="263"/>
      <c r="N37" s="263"/>
      <c r="O37" s="263"/>
      <c r="P37" s="263"/>
      <c r="Q37" s="263"/>
      <c r="R37" s="263"/>
      <c r="S37" s="263"/>
      <c r="T37" s="263"/>
      <c r="U37" s="263"/>
      <c r="V37" s="263"/>
      <c r="W37" s="263"/>
      <c r="X37" s="263"/>
      <c r="Y37" s="263"/>
      <c r="Z37" s="263"/>
      <c r="AA37" s="263"/>
      <c r="AB37" s="263"/>
      <c r="AC37" s="263"/>
      <c r="AD37" s="173"/>
    </row>
    <row r="38" spans="1:30" s="175" customFormat="1" ht="5.0999999999999996" customHeight="1" x14ac:dyDescent="0.2">
      <c r="B38" s="194"/>
      <c r="AD38" s="173"/>
    </row>
    <row r="39" spans="1:30" s="175" customFormat="1" ht="24.95" customHeight="1" x14ac:dyDescent="0.2">
      <c r="B39" s="194"/>
      <c r="C39" s="263" t="s">
        <v>187</v>
      </c>
      <c r="D39" s="263"/>
      <c r="E39" s="263"/>
      <c r="F39" s="263"/>
      <c r="G39" s="263"/>
      <c r="H39" s="263"/>
      <c r="I39" s="263"/>
      <c r="J39" s="263"/>
      <c r="K39" s="263"/>
      <c r="L39" s="263"/>
      <c r="M39" s="263"/>
      <c r="N39" s="263"/>
      <c r="O39" s="263"/>
      <c r="P39" s="263"/>
      <c r="Q39" s="263"/>
      <c r="R39" s="263"/>
      <c r="S39" s="263"/>
      <c r="T39" s="263"/>
      <c r="U39" s="263"/>
      <c r="V39" s="263"/>
      <c r="W39" s="263"/>
      <c r="X39" s="263"/>
      <c r="Y39" s="263"/>
      <c r="Z39" s="263"/>
      <c r="AA39" s="263"/>
      <c r="AB39" s="263"/>
      <c r="AC39" s="263"/>
      <c r="AD39" s="173"/>
    </row>
    <row r="40" spans="1:30" s="175" customFormat="1" ht="12.95" customHeight="1" x14ac:dyDescent="0.2">
      <c r="B40" s="194"/>
      <c r="AD40" s="173"/>
    </row>
    <row r="41" spans="1:30" s="195" customFormat="1" ht="12.95" customHeight="1" x14ac:dyDescent="0.2">
      <c r="B41" s="196"/>
      <c r="C41" s="195" t="s">
        <v>213</v>
      </c>
      <c r="AD41" s="197"/>
    </row>
    <row r="42" spans="1:30" s="156" customFormat="1" ht="12.95" customHeight="1" x14ac:dyDescent="0.2">
      <c r="B42" s="155"/>
      <c r="AD42" s="157"/>
    </row>
    <row r="43" spans="1:30" s="156" customFormat="1" ht="12.95" customHeight="1" x14ac:dyDescent="0.2">
      <c r="A43" s="156" t="s">
        <v>188</v>
      </c>
      <c r="B43" s="264" t="s">
        <v>228</v>
      </c>
      <c r="C43" s="261"/>
      <c r="D43" s="261"/>
      <c r="E43" s="261"/>
      <c r="F43" s="261"/>
      <c r="G43" s="261"/>
      <c r="H43" s="261"/>
      <c r="I43" s="261"/>
      <c r="J43" s="261"/>
      <c r="K43" s="261"/>
      <c r="L43" s="261"/>
      <c r="M43" s="261"/>
      <c r="N43" s="261"/>
      <c r="O43" s="261"/>
      <c r="P43" s="261"/>
      <c r="Q43" s="261"/>
      <c r="R43" s="261"/>
      <c r="S43" s="261"/>
      <c r="T43" s="261"/>
      <c r="U43" s="261"/>
      <c r="V43" s="261"/>
      <c r="W43" s="261"/>
      <c r="X43" s="261"/>
      <c r="Y43" s="261"/>
      <c r="Z43" s="261"/>
      <c r="AA43" s="261"/>
      <c r="AB43" s="261"/>
      <c r="AC43" s="261"/>
      <c r="AD43" s="262"/>
    </row>
    <row r="44" spans="1:30" s="156" customFormat="1" ht="12.95" customHeight="1" x14ac:dyDescent="0.2">
      <c r="B44" s="198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30" s="156" customFormat="1" ht="12.95" customHeight="1" x14ac:dyDescent="0.2">
      <c r="B45" s="198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30" s="156" customFormat="1" ht="12.95" customHeight="1" x14ac:dyDescent="0.2">
      <c r="B46" s="198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30" s="156" customFormat="1" ht="12.95" customHeight="1" x14ac:dyDescent="0.2">
      <c r="B47" s="155"/>
      <c r="AD47" s="157"/>
    </row>
    <row r="48" spans="1:30" s="156" customFormat="1" ht="12.95" customHeight="1" x14ac:dyDescent="0.2">
      <c r="B48" s="155"/>
      <c r="R48" s="261" t="s">
        <v>189</v>
      </c>
      <c r="S48" s="261"/>
      <c r="T48" s="261"/>
      <c r="U48" s="261"/>
      <c r="V48" s="261"/>
      <c r="W48" s="261"/>
      <c r="X48" s="261"/>
      <c r="Y48" s="261"/>
      <c r="Z48" s="261"/>
      <c r="AA48" s="261"/>
      <c r="AB48" s="261"/>
      <c r="AC48" s="261"/>
      <c r="AD48" s="262"/>
    </row>
    <row r="49" spans="2:30" s="156" customFormat="1" ht="12.95" customHeight="1" x14ac:dyDescent="0.2">
      <c r="B49" s="155"/>
      <c r="R49" s="265" t="str">
        <f>E20</f>
        <v>XXXXXXXXXXXXX</v>
      </c>
      <c r="S49" s="261"/>
      <c r="T49" s="261"/>
      <c r="U49" s="261"/>
      <c r="V49" s="261"/>
      <c r="W49" s="261"/>
      <c r="X49" s="261"/>
      <c r="Y49" s="261"/>
      <c r="Z49" s="261"/>
      <c r="AA49" s="261"/>
      <c r="AB49" s="261"/>
      <c r="AC49" s="261"/>
      <c r="AD49" s="262"/>
    </row>
    <row r="50" spans="2:30" s="156" customFormat="1" ht="12.95" customHeight="1" x14ac:dyDescent="0.2">
      <c r="B50" s="155"/>
      <c r="R50" s="261" t="s">
        <v>190</v>
      </c>
      <c r="S50" s="261"/>
      <c r="T50" s="261"/>
      <c r="U50" s="261"/>
      <c r="V50" s="261"/>
      <c r="W50" s="261"/>
      <c r="X50" s="261"/>
      <c r="Y50" s="261"/>
      <c r="Z50" s="261"/>
      <c r="AA50" s="261"/>
      <c r="AB50" s="261"/>
      <c r="AC50" s="261"/>
      <c r="AD50" s="262"/>
    </row>
    <row r="51" spans="2:30" s="156" customFormat="1" ht="12.95" customHeight="1" x14ac:dyDescent="0.2">
      <c r="B51" s="155"/>
      <c r="R51" s="261" t="str">
        <f>"CPF: "&amp;U20&amp;""</f>
        <v>CPF: xxxxxxxxxxxxx</v>
      </c>
      <c r="S51" s="261"/>
      <c r="T51" s="261"/>
      <c r="U51" s="261"/>
      <c r="V51" s="261"/>
      <c r="W51" s="261"/>
      <c r="X51" s="261"/>
      <c r="Y51" s="261"/>
      <c r="Z51" s="261"/>
      <c r="AA51" s="261"/>
      <c r="AB51" s="261"/>
      <c r="AC51" s="261"/>
      <c r="AD51" s="262"/>
    </row>
    <row r="52" spans="2:30" s="156" customFormat="1" ht="5.0999999999999996" customHeight="1" x14ac:dyDescent="0.2">
      <c r="B52" s="155"/>
      <c r="AD52" s="157"/>
    </row>
    <row r="53" spans="2:30" ht="12.75" customHeight="1" x14ac:dyDescent="0.25">
      <c r="B53" s="201"/>
      <c r="AD53" s="202"/>
    </row>
    <row r="54" spans="2:30" s="156" customFormat="1" ht="5.0999999999999996" customHeight="1" x14ac:dyDescent="0.2">
      <c r="B54" s="155"/>
      <c r="AD54" s="157"/>
    </row>
    <row r="55" spans="2:30" ht="12.75" customHeight="1" x14ac:dyDescent="0.25">
      <c r="B55" s="203"/>
      <c r="C55" s="204"/>
      <c r="D55" s="204"/>
      <c r="E55" s="204"/>
      <c r="F55" s="204"/>
      <c r="G55" s="204"/>
      <c r="H55" s="204"/>
      <c r="I55" s="204"/>
      <c r="J55" s="204"/>
      <c r="K55" s="204"/>
      <c r="L55" s="204"/>
      <c r="M55" s="204"/>
      <c r="N55" s="204"/>
      <c r="O55" s="204"/>
      <c r="P55" s="204"/>
      <c r="Q55" s="204"/>
      <c r="R55" s="204"/>
      <c r="S55" s="204"/>
      <c r="T55" s="204"/>
      <c r="U55" s="204"/>
      <c r="V55" s="204"/>
      <c r="W55" s="204"/>
      <c r="X55" s="204"/>
      <c r="Y55" s="204"/>
      <c r="Z55" s="204"/>
      <c r="AA55" s="204"/>
      <c r="AB55" s="204"/>
      <c r="AC55" s="204"/>
      <c r="AD55" s="205"/>
    </row>
    <row r="56" spans="2:30" ht="12.75" customHeight="1" x14ac:dyDescent="0.25"/>
    <row r="57" spans="2:30" ht="12.75" customHeight="1" x14ac:dyDescent="0.25"/>
    <row r="58" spans="2:30" ht="12.75" customHeight="1" x14ac:dyDescent="0.25"/>
    <row r="59" spans="2:30" ht="12.75" customHeight="1" x14ac:dyDescent="0.25"/>
    <row r="60" spans="2:30" ht="12.75" customHeight="1" x14ac:dyDescent="0.25"/>
    <row r="61" spans="2:30" ht="12.75" customHeight="1" x14ac:dyDescent="0.25"/>
    <row r="62" spans="2:30" ht="12.75" customHeight="1" x14ac:dyDescent="0.25"/>
    <row r="63" spans="2:30" ht="12.75" customHeight="1" x14ac:dyDescent="0.25"/>
    <row r="64" spans="2:30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</sheetData>
  <dataConsolidate/>
  <mergeCells count="43">
    <mergeCell ref="B30:N30"/>
    <mergeCell ref="AA31:AD31"/>
    <mergeCell ref="B32:K32"/>
    <mergeCell ref="L32:N32"/>
    <mergeCell ref="O32:R32"/>
    <mergeCell ref="S32:V32"/>
    <mergeCell ref="W32:Z32"/>
    <mergeCell ref="AA32:AD32"/>
    <mergeCell ref="B31:N31"/>
    <mergeCell ref="O31:R31"/>
    <mergeCell ref="S31:V31"/>
    <mergeCell ref="W31:Z31"/>
    <mergeCell ref="R51:AD51"/>
    <mergeCell ref="C37:AC37"/>
    <mergeCell ref="C39:AC39"/>
    <mergeCell ref="B43:AD43"/>
    <mergeCell ref="R48:AD48"/>
    <mergeCell ref="R49:AD49"/>
    <mergeCell ref="R50:AD50"/>
    <mergeCell ref="S29:V29"/>
    <mergeCell ref="W29:Z29"/>
    <mergeCell ref="AA29:AD29"/>
    <mergeCell ref="O28:R28"/>
    <mergeCell ref="O30:R30"/>
    <mergeCell ref="S30:V30"/>
    <mergeCell ref="W30:Z30"/>
    <mergeCell ref="AA30:AD30"/>
    <mergeCell ref="B28:N29"/>
    <mergeCell ref="C25:AC26"/>
    <mergeCell ref="B3:AD3"/>
    <mergeCell ref="E12:AC12"/>
    <mergeCell ref="E14:J14"/>
    <mergeCell ref="T14:X14"/>
    <mergeCell ref="E16:N16"/>
    <mergeCell ref="Q16:R16"/>
    <mergeCell ref="U16:AC16"/>
    <mergeCell ref="E18:N18"/>
    <mergeCell ref="S18:AC18"/>
    <mergeCell ref="E20:R20"/>
    <mergeCell ref="U20:Z20"/>
    <mergeCell ref="B23:AD23"/>
    <mergeCell ref="S28:AD28"/>
    <mergeCell ref="O29:R29"/>
  </mergeCells>
  <hyperlinks>
    <hyperlink ref="S18" r:id="rId1" xr:uid="{392120D9-546D-4C88-BC2F-B078F015AF8E}"/>
  </hyperlinks>
  <printOptions horizontalCentered="1"/>
  <pageMargins left="0.39370078740157483" right="0.39370078740157483" top="0.62992125984251968" bottom="0.62992125984251968" header="0.31496062992125984" footer="0.31496062992125984"/>
  <pageSetup paperSize="9" scale="9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212"/>
  <sheetViews>
    <sheetView topLeftCell="A91" zoomScale="150" zoomScaleNormal="150" workbookViewId="0">
      <selection activeCell="I95" sqref="I95"/>
    </sheetView>
  </sheetViews>
  <sheetFormatPr defaultRowHeight="12.75" x14ac:dyDescent="0.2"/>
  <cols>
    <col min="1" max="1" width="2.85546875" style="2" customWidth="1"/>
    <col min="2" max="3" width="14.28515625" style="2" customWidth="1"/>
    <col min="4" max="4" width="17" style="2" customWidth="1"/>
    <col min="5" max="5" width="8.42578125" style="2" customWidth="1"/>
    <col min="6" max="9" width="10.7109375" style="2" customWidth="1"/>
    <col min="10" max="10" width="9.140625" style="2"/>
    <col min="11" max="11" width="18.140625" style="2" bestFit="1" customWidth="1"/>
    <col min="12" max="12" width="11" style="2" bestFit="1" customWidth="1"/>
    <col min="13" max="16384" width="9.140625" style="2"/>
  </cols>
  <sheetData>
    <row r="1" spans="1:9" ht="15.75" x14ac:dyDescent="0.2">
      <c r="A1" s="327" t="s">
        <v>201</v>
      </c>
      <c r="B1" s="327"/>
      <c r="C1" s="327"/>
      <c r="D1" s="327"/>
      <c r="E1" s="327"/>
      <c r="F1" s="327"/>
      <c r="G1" s="327"/>
      <c r="H1" s="327"/>
      <c r="I1" s="327"/>
    </row>
    <row r="2" spans="1:9" ht="15.75" x14ac:dyDescent="0.2">
      <c r="A2" s="327" t="s">
        <v>106</v>
      </c>
      <c r="B2" s="327"/>
      <c r="C2" s="327"/>
      <c r="D2" s="327"/>
      <c r="E2" s="327"/>
      <c r="F2" s="327"/>
      <c r="G2" s="327"/>
      <c r="H2" s="327"/>
      <c r="I2" s="327"/>
    </row>
    <row r="3" spans="1:9" ht="12.75" customHeight="1" x14ac:dyDescent="0.2">
      <c r="A3" s="119"/>
      <c r="B3" s="119"/>
      <c r="C3" s="119"/>
      <c r="D3" s="119"/>
      <c r="E3" s="119"/>
      <c r="F3" s="119"/>
      <c r="G3" s="119"/>
      <c r="H3" s="119"/>
      <c r="I3" s="119"/>
    </row>
    <row r="4" spans="1:9" ht="48" customHeight="1" x14ac:dyDescent="0.2">
      <c r="A4" s="328" t="s">
        <v>214</v>
      </c>
      <c r="B4" s="329"/>
      <c r="C4" s="329"/>
      <c r="D4" s="329"/>
      <c r="E4" s="329"/>
      <c r="F4" s="330"/>
      <c r="G4" s="331" t="s">
        <v>155</v>
      </c>
      <c r="H4" s="332"/>
      <c r="I4" s="333"/>
    </row>
    <row r="5" spans="1:9" s="6" customFormat="1" ht="15" customHeight="1" x14ac:dyDescent="0.2">
      <c r="A5" s="347" t="s">
        <v>46</v>
      </c>
      <c r="B5" s="348"/>
      <c r="C5" s="348"/>
      <c r="D5" s="348"/>
      <c r="E5" s="348"/>
      <c r="F5" s="349"/>
      <c r="G5" s="4" t="s">
        <v>129</v>
      </c>
      <c r="H5" s="4" t="s">
        <v>47</v>
      </c>
      <c r="I5" s="5">
        <v>1845.8</v>
      </c>
    </row>
    <row r="6" spans="1:9" s="6" customFormat="1" ht="15" customHeight="1" x14ac:dyDescent="0.2">
      <c r="A6" s="350"/>
      <c r="B6" s="351"/>
      <c r="C6" s="351"/>
      <c r="D6" s="351"/>
      <c r="E6" s="351"/>
      <c r="F6" s="352"/>
      <c r="G6" s="4" t="s">
        <v>129</v>
      </c>
      <c r="H6" s="4" t="s">
        <v>48</v>
      </c>
      <c r="I6" s="5">
        <v>8.39</v>
      </c>
    </row>
    <row r="7" spans="1:9" ht="12.75" customHeight="1" x14ac:dyDescent="0.2">
      <c r="A7" s="350"/>
      <c r="B7" s="351"/>
      <c r="C7" s="351"/>
      <c r="D7" s="351"/>
      <c r="E7" s="351"/>
      <c r="F7" s="352"/>
      <c r="G7" s="4" t="s">
        <v>129</v>
      </c>
      <c r="H7" s="7" t="s">
        <v>215</v>
      </c>
      <c r="I7" s="130">
        <f>ROUND(((I5/220)*0.2),3)</f>
        <v>1.6779999999999999</v>
      </c>
    </row>
    <row r="8" spans="1:9" ht="12.75" customHeight="1" x14ac:dyDescent="0.2">
      <c r="A8" s="353"/>
      <c r="B8" s="354"/>
      <c r="C8" s="354"/>
      <c r="D8" s="354"/>
      <c r="E8" s="354"/>
      <c r="F8" s="355"/>
      <c r="G8" s="4" t="s">
        <v>129</v>
      </c>
      <c r="H8" s="8" t="s">
        <v>130</v>
      </c>
      <c r="I8" s="9">
        <v>0.2</v>
      </c>
    </row>
    <row r="9" spans="1:9" ht="6" customHeight="1" x14ac:dyDescent="0.2">
      <c r="B9" s="3"/>
      <c r="C9" s="3"/>
      <c r="D9" s="3"/>
      <c r="E9" s="3"/>
      <c r="F9" s="3"/>
    </row>
    <row r="10" spans="1:9" s="6" customFormat="1" ht="12.75" customHeight="1" x14ac:dyDescent="0.2">
      <c r="A10" s="337" t="s">
        <v>63</v>
      </c>
      <c r="B10" s="338"/>
      <c r="C10" s="338"/>
      <c r="D10" s="338"/>
      <c r="E10" s="338"/>
      <c r="F10" s="338"/>
      <c r="G10" s="338"/>
      <c r="H10" s="338"/>
      <c r="I10" s="339"/>
    </row>
    <row r="11" spans="1:9" s="6" customFormat="1" ht="15" customHeight="1" x14ac:dyDescent="0.2">
      <c r="A11" s="10" t="s">
        <v>64</v>
      </c>
      <c r="B11" s="11" t="s">
        <v>157</v>
      </c>
      <c r="C11" s="12"/>
      <c r="D11" s="12"/>
      <c r="E11" s="13" t="s">
        <v>18</v>
      </c>
      <c r="F11" s="13" t="s">
        <v>11</v>
      </c>
      <c r="G11" s="13" t="s">
        <v>20</v>
      </c>
      <c r="H11" s="13" t="s">
        <v>19</v>
      </c>
      <c r="I11" s="10" t="s">
        <v>50</v>
      </c>
    </row>
    <row r="12" spans="1:9" s="6" customFormat="1" ht="12.75" customHeight="1" x14ac:dyDescent="0.2">
      <c r="A12" s="14">
        <v>1</v>
      </c>
      <c r="B12" s="15" t="s">
        <v>162</v>
      </c>
      <c r="C12" s="16"/>
      <c r="D12" s="16"/>
      <c r="E12" s="17" t="s">
        <v>52</v>
      </c>
      <c r="F12" s="17">
        <v>1</v>
      </c>
      <c r="G12" s="37">
        <v>1845.8</v>
      </c>
      <c r="H12" s="38">
        <f>F12*G12</f>
        <v>1845.8</v>
      </c>
      <c r="I12" s="41"/>
    </row>
    <row r="13" spans="1:9" s="6" customFormat="1" ht="12.75" customHeight="1" x14ac:dyDescent="0.2">
      <c r="A13" s="18">
        <v>2</v>
      </c>
      <c r="B13" s="15" t="s">
        <v>53</v>
      </c>
      <c r="C13" s="16"/>
      <c r="D13" s="16"/>
      <c r="E13" s="17" t="s">
        <v>54</v>
      </c>
      <c r="F13" s="17">
        <v>220</v>
      </c>
      <c r="G13" s="37">
        <v>1.67</v>
      </c>
      <c r="H13" s="38">
        <f>F13*G13</f>
        <v>367.4</v>
      </c>
      <c r="I13" s="42"/>
    </row>
    <row r="14" spans="1:9" s="6" customFormat="1" ht="12.75" customHeight="1" x14ac:dyDescent="0.2">
      <c r="A14" s="18">
        <v>3</v>
      </c>
      <c r="B14" s="15" t="s">
        <v>139</v>
      </c>
      <c r="C14" s="16"/>
      <c r="D14" s="16"/>
      <c r="E14" s="17" t="s">
        <v>0</v>
      </c>
      <c r="F14" s="134">
        <v>0.3</v>
      </c>
      <c r="G14" s="37">
        <f>SUM(H12:H13)</f>
        <v>2213.1999999999998</v>
      </c>
      <c r="H14" s="38">
        <f>F14*G14</f>
        <v>663.95999999999992</v>
      </c>
      <c r="I14" s="42"/>
    </row>
    <row r="15" spans="1:9" s="6" customFormat="1" ht="12.75" customHeight="1" x14ac:dyDescent="0.2">
      <c r="A15" s="340" t="s">
        <v>1</v>
      </c>
      <c r="B15" s="341"/>
      <c r="C15" s="341"/>
      <c r="D15" s="341"/>
      <c r="E15" s="341"/>
      <c r="F15" s="341"/>
      <c r="G15" s="342"/>
      <c r="H15" s="38">
        <f>SUM(H12:H14)</f>
        <v>2877.16</v>
      </c>
      <c r="I15" s="45"/>
    </row>
    <row r="16" spans="1:9" s="6" customFormat="1" ht="12.75" customHeight="1" x14ac:dyDescent="0.2">
      <c r="A16" s="39">
        <v>4</v>
      </c>
      <c r="B16" s="15" t="s">
        <v>2</v>
      </c>
      <c r="C16" s="120"/>
      <c r="D16" s="121"/>
      <c r="E16" s="14" t="s">
        <v>0</v>
      </c>
      <c r="F16" s="107">
        <f>G151*100</f>
        <v>69.684066666666695</v>
      </c>
      <c r="G16" s="43">
        <f>H15</f>
        <v>2877.16</v>
      </c>
      <c r="H16" s="38">
        <f>G16*(F16/100)</f>
        <v>2004.9220925066675</v>
      </c>
      <c r="I16" s="42"/>
    </row>
    <row r="17" spans="1:10" s="6" customFormat="1" ht="12.75" customHeight="1" x14ac:dyDescent="0.2">
      <c r="A17" s="321" t="s">
        <v>163</v>
      </c>
      <c r="B17" s="322"/>
      <c r="C17" s="322"/>
      <c r="D17" s="322"/>
      <c r="E17" s="322"/>
      <c r="F17" s="322"/>
      <c r="G17" s="322"/>
      <c r="H17" s="38">
        <f>SUM(H15:H16)</f>
        <v>4882.0820925066673</v>
      </c>
      <c r="I17" s="20"/>
    </row>
    <row r="18" spans="1:10" s="6" customFormat="1" ht="12.75" customHeight="1" x14ac:dyDescent="0.2">
      <c r="A18" s="14">
        <v>5</v>
      </c>
      <c r="B18" s="44" t="s">
        <v>56</v>
      </c>
      <c r="C18" s="120"/>
      <c r="D18" s="120"/>
      <c r="E18" s="14" t="s">
        <v>57</v>
      </c>
      <c r="F18" s="14">
        <v>1</v>
      </c>
      <c r="G18" s="43">
        <f>H17</f>
        <v>4882.0820925066673</v>
      </c>
      <c r="H18" s="40">
        <f>F18*G18</f>
        <v>4882.0820925066673</v>
      </c>
      <c r="I18" s="46">
        <f>H18</f>
        <v>4882.0820925066673</v>
      </c>
    </row>
    <row r="19" spans="1:10" ht="6" customHeight="1" x14ac:dyDescent="0.2">
      <c r="B19" s="3"/>
      <c r="C19" s="3"/>
      <c r="D19" s="3"/>
      <c r="E19" s="3"/>
      <c r="F19" s="3"/>
    </row>
    <row r="20" spans="1:10" s="6" customFormat="1" ht="15" customHeight="1" x14ac:dyDescent="0.2">
      <c r="A20" s="10" t="s">
        <v>65</v>
      </c>
      <c r="B20" s="11" t="s">
        <v>158</v>
      </c>
      <c r="C20" s="12"/>
      <c r="D20" s="12"/>
      <c r="E20" s="13" t="s">
        <v>18</v>
      </c>
      <c r="F20" s="13" t="s">
        <v>11</v>
      </c>
      <c r="G20" s="13" t="s">
        <v>20</v>
      </c>
      <c r="H20" s="13" t="s">
        <v>19</v>
      </c>
      <c r="I20" s="10" t="s">
        <v>50</v>
      </c>
    </row>
    <row r="21" spans="1:10" s="6" customFormat="1" ht="12.75" customHeight="1" x14ac:dyDescent="0.2">
      <c r="A21" s="14">
        <v>1</v>
      </c>
      <c r="B21" s="15" t="s">
        <v>162</v>
      </c>
      <c r="C21" s="16"/>
      <c r="D21" s="16"/>
      <c r="E21" s="17" t="s">
        <v>52</v>
      </c>
      <c r="F21" s="17">
        <v>1</v>
      </c>
      <c r="G21" s="37">
        <v>1845.8</v>
      </c>
      <c r="H21" s="38">
        <f>F21*G21</f>
        <v>1845.8</v>
      </c>
      <c r="I21" s="41"/>
    </row>
    <row r="22" spans="1:10" s="6" customFormat="1" ht="12.75" customHeight="1" x14ac:dyDescent="0.2">
      <c r="A22" s="18">
        <v>2</v>
      </c>
      <c r="B22" s="15" t="s">
        <v>140</v>
      </c>
      <c r="C22" s="16"/>
      <c r="D22" s="16"/>
      <c r="E22" s="17" t="s">
        <v>0</v>
      </c>
      <c r="F22" s="134">
        <v>0.3</v>
      </c>
      <c r="G22" s="37">
        <f>SUM(H21)</f>
        <v>1845.8</v>
      </c>
      <c r="H22" s="38">
        <f>F22*G22</f>
        <v>553.74</v>
      </c>
      <c r="I22" s="42"/>
    </row>
    <row r="23" spans="1:10" s="6" customFormat="1" ht="12.75" customHeight="1" x14ac:dyDescent="0.2">
      <c r="A23" s="18">
        <v>3</v>
      </c>
      <c r="B23" s="15" t="s">
        <v>58</v>
      </c>
      <c r="C23" s="16"/>
      <c r="D23" s="16"/>
      <c r="E23" s="17" t="s">
        <v>54</v>
      </c>
      <c r="F23" s="19">
        <f>I13</f>
        <v>0</v>
      </c>
      <c r="G23" s="37">
        <v>0</v>
      </c>
      <c r="H23" s="38">
        <v>0</v>
      </c>
      <c r="I23" s="42"/>
    </row>
    <row r="24" spans="1:10" s="6" customFormat="1" ht="12.75" customHeight="1" x14ac:dyDescent="0.2">
      <c r="A24" s="340" t="s">
        <v>1</v>
      </c>
      <c r="B24" s="341"/>
      <c r="C24" s="341"/>
      <c r="D24" s="341"/>
      <c r="E24" s="341"/>
      <c r="F24" s="341"/>
      <c r="G24" s="342"/>
      <c r="H24" s="38">
        <f>SUM(H21:H23)</f>
        <v>2399.54</v>
      </c>
      <c r="I24" s="45"/>
    </row>
    <row r="25" spans="1:10" s="6" customFormat="1" ht="12.75" customHeight="1" x14ac:dyDescent="0.2">
      <c r="A25" s="39">
        <v>4</v>
      </c>
      <c r="B25" s="15" t="s">
        <v>2</v>
      </c>
      <c r="C25" s="120"/>
      <c r="D25" s="121"/>
      <c r="E25" s="14" t="s">
        <v>0</v>
      </c>
      <c r="F25" s="107">
        <f>G151*100</f>
        <v>69.684066666666695</v>
      </c>
      <c r="G25" s="43">
        <f>H24</f>
        <v>2399.54</v>
      </c>
      <c r="H25" s="38">
        <f>G25*(F25/100)</f>
        <v>1672.0970532933341</v>
      </c>
      <c r="I25" s="42"/>
    </row>
    <row r="26" spans="1:10" s="6" customFormat="1" ht="12.75" customHeight="1" x14ac:dyDescent="0.2">
      <c r="A26" s="321" t="s">
        <v>163</v>
      </c>
      <c r="B26" s="322"/>
      <c r="C26" s="322"/>
      <c r="D26" s="322"/>
      <c r="E26" s="322"/>
      <c r="F26" s="322"/>
      <c r="G26" s="322"/>
      <c r="H26" s="38">
        <f>SUM(H24:H25)</f>
        <v>4071.6370532933342</v>
      </c>
      <c r="I26" s="20"/>
    </row>
    <row r="27" spans="1:10" s="6" customFormat="1" ht="12.75" customHeight="1" x14ac:dyDescent="0.2">
      <c r="A27" s="14">
        <v>5</v>
      </c>
      <c r="B27" s="44" t="s">
        <v>56</v>
      </c>
      <c r="C27" s="120"/>
      <c r="D27" s="120"/>
      <c r="E27" s="14" t="s">
        <v>57</v>
      </c>
      <c r="F27" s="14">
        <v>1</v>
      </c>
      <c r="G27" s="43">
        <f>H26</f>
        <v>4071.6370532933342</v>
      </c>
      <c r="H27" s="40">
        <f>F27*G27</f>
        <v>4071.6370532933342</v>
      </c>
      <c r="I27" s="46">
        <f>H27</f>
        <v>4071.6370532933342</v>
      </c>
    </row>
    <row r="28" spans="1:10" s="27" customFormat="1" ht="6" customHeight="1" x14ac:dyDescent="0.2">
      <c r="A28" s="22"/>
      <c r="B28" s="22"/>
      <c r="C28" s="22"/>
      <c r="D28" s="25"/>
      <c r="E28" s="22"/>
      <c r="F28" s="22"/>
      <c r="G28" s="22"/>
      <c r="H28" s="22"/>
      <c r="I28" s="22"/>
      <c r="J28" s="26"/>
    </row>
    <row r="29" spans="1:10" s="21" customFormat="1" ht="15" customHeight="1" x14ac:dyDescent="0.2">
      <c r="A29" s="10" t="s">
        <v>66</v>
      </c>
      <c r="B29" s="11" t="s">
        <v>61</v>
      </c>
      <c r="C29" s="12"/>
      <c r="D29" s="12"/>
      <c r="E29" s="13" t="s">
        <v>18</v>
      </c>
      <c r="F29" s="13" t="s">
        <v>11</v>
      </c>
      <c r="G29" s="13" t="s">
        <v>20</v>
      </c>
      <c r="H29" s="13" t="s">
        <v>19</v>
      </c>
      <c r="I29" s="10" t="s">
        <v>50</v>
      </c>
      <c r="J29" s="24"/>
    </row>
    <row r="30" spans="1:10" s="21" customFormat="1" ht="12.75" customHeight="1" x14ac:dyDescent="0.2">
      <c r="A30" s="343">
        <v>1</v>
      </c>
      <c r="B30" s="15" t="s">
        <v>217</v>
      </c>
      <c r="C30" s="16"/>
      <c r="D30" s="16"/>
      <c r="E30" s="17" t="s">
        <v>59</v>
      </c>
      <c r="F30" s="47">
        <f>((SUM(F18,F27))*21)</f>
        <v>42</v>
      </c>
      <c r="G30" s="48">
        <v>27</v>
      </c>
      <c r="H30" s="48">
        <f>F30*G30</f>
        <v>1134</v>
      </c>
      <c r="I30" s="41"/>
      <c r="J30" s="24"/>
    </row>
    <row r="31" spans="1:10" s="21" customFormat="1" ht="12.75" customHeight="1" x14ac:dyDescent="0.2">
      <c r="A31" s="344"/>
      <c r="B31" s="15" t="s">
        <v>49</v>
      </c>
      <c r="C31" s="16"/>
      <c r="D31" s="16"/>
      <c r="E31" s="17" t="s">
        <v>0</v>
      </c>
      <c r="F31" s="28">
        <v>-0.2</v>
      </c>
      <c r="G31" s="37">
        <f>H30</f>
        <v>1134</v>
      </c>
      <c r="H31" s="49">
        <f>F31*G31</f>
        <v>-226.8</v>
      </c>
      <c r="I31" s="50"/>
      <c r="J31" s="24"/>
    </row>
    <row r="32" spans="1:10" s="21" customFormat="1" ht="12.75" customHeight="1" x14ac:dyDescent="0.2">
      <c r="A32" s="321" t="s">
        <v>1</v>
      </c>
      <c r="B32" s="322"/>
      <c r="C32" s="322"/>
      <c r="D32" s="322"/>
      <c r="E32" s="322"/>
      <c r="F32" s="322"/>
      <c r="G32" s="322"/>
      <c r="H32" s="326"/>
      <c r="I32" s="46">
        <f>SUM(H30:H31)</f>
        <v>907.2</v>
      </c>
      <c r="J32" s="24"/>
    </row>
    <row r="33" spans="1:10" s="21" customFormat="1" ht="12.75" customHeight="1" x14ac:dyDescent="0.2">
      <c r="A33" s="343">
        <v>2</v>
      </c>
      <c r="B33" s="15" t="s">
        <v>164</v>
      </c>
      <c r="C33" s="16"/>
      <c r="D33" s="16"/>
      <c r="E33" s="17" t="s">
        <v>59</v>
      </c>
      <c r="F33" s="47">
        <f>((SUM(F18,F27))*21)*4</f>
        <v>168</v>
      </c>
      <c r="G33" s="48">
        <v>4</v>
      </c>
      <c r="H33" s="48">
        <f>F33*G33</f>
        <v>672</v>
      </c>
      <c r="I33" s="41"/>
      <c r="J33" s="24"/>
    </row>
    <row r="34" spans="1:10" s="21" customFormat="1" ht="12.75" customHeight="1" x14ac:dyDescent="0.2">
      <c r="A34" s="344"/>
      <c r="B34" s="15" t="s">
        <v>60</v>
      </c>
      <c r="C34" s="16"/>
      <c r="D34" s="16"/>
      <c r="E34" s="17" t="s">
        <v>0</v>
      </c>
      <c r="F34" s="28">
        <v>-0.06</v>
      </c>
      <c r="G34" s="37">
        <f>I5*(F27+F18)</f>
        <v>3691.6</v>
      </c>
      <c r="H34" s="49">
        <f>F34*G34</f>
        <v>-221.49599999999998</v>
      </c>
      <c r="I34" s="51"/>
      <c r="J34" s="24"/>
    </row>
    <row r="35" spans="1:10" s="21" customFormat="1" ht="12.75" customHeight="1" x14ac:dyDescent="0.2">
      <c r="A35" s="321" t="s">
        <v>1</v>
      </c>
      <c r="B35" s="322"/>
      <c r="C35" s="322"/>
      <c r="D35" s="322"/>
      <c r="E35" s="322"/>
      <c r="F35" s="322"/>
      <c r="G35" s="322"/>
      <c r="H35" s="326"/>
      <c r="I35" s="46">
        <f>SUM(H33:H34)</f>
        <v>450.50400000000002</v>
      </c>
      <c r="J35" s="24"/>
    </row>
    <row r="36" spans="1:10" s="27" customFormat="1" ht="6" customHeight="1" x14ac:dyDescent="0.2">
      <c r="A36" s="22"/>
      <c r="B36" s="22"/>
      <c r="C36" s="22"/>
      <c r="D36" s="22"/>
      <c r="E36" s="29"/>
      <c r="F36" s="29"/>
      <c r="G36" s="30"/>
      <c r="H36" s="29"/>
      <c r="I36" s="31"/>
      <c r="J36" s="32"/>
    </row>
    <row r="37" spans="1:10" s="27" customFormat="1" ht="15" customHeight="1" x14ac:dyDescent="0.2">
      <c r="A37" s="334" t="s">
        <v>62</v>
      </c>
      <c r="B37" s="335"/>
      <c r="C37" s="335"/>
      <c r="D37" s="335"/>
      <c r="E37" s="335"/>
      <c r="F37" s="335"/>
      <c r="G37" s="335"/>
      <c r="H37" s="336"/>
      <c r="I37" s="52">
        <f>SUM(I18,I27,I32,I35)</f>
        <v>10311.423145800003</v>
      </c>
      <c r="J37" s="34"/>
    </row>
    <row r="38" spans="1:10" ht="6" customHeight="1" x14ac:dyDescent="0.2">
      <c r="B38" s="3"/>
      <c r="C38" s="3"/>
      <c r="D38" s="3"/>
      <c r="E38" s="3"/>
      <c r="F38" s="3"/>
    </row>
    <row r="39" spans="1:10" s="22" customFormat="1" x14ac:dyDescent="0.2">
      <c r="A39" s="300" t="s">
        <v>13</v>
      </c>
      <c r="B39" s="301"/>
      <c r="C39" s="301"/>
      <c r="D39" s="301"/>
      <c r="E39" s="301"/>
      <c r="F39" s="301"/>
      <c r="G39" s="301"/>
      <c r="H39" s="301"/>
      <c r="I39" s="302"/>
      <c r="J39" s="35"/>
    </row>
    <row r="40" spans="1:10" s="22" customFormat="1" ht="15" customHeight="1" x14ac:dyDescent="0.2">
      <c r="A40" s="53" t="s">
        <v>67</v>
      </c>
      <c r="B40" s="59" t="s">
        <v>73</v>
      </c>
      <c r="C40" s="60"/>
      <c r="D40" s="60"/>
      <c r="E40" s="13" t="s">
        <v>18</v>
      </c>
      <c r="F40" s="13" t="s">
        <v>11</v>
      </c>
      <c r="G40" s="13" t="s">
        <v>20</v>
      </c>
      <c r="H40" s="13" t="s">
        <v>19</v>
      </c>
      <c r="I40" s="10" t="s">
        <v>50</v>
      </c>
      <c r="J40" s="35"/>
    </row>
    <row r="41" spans="1:10" s="22" customFormat="1" ht="12.75" customHeight="1" x14ac:dyDescent="0.2">
      <c r="A41" s="14">
        <v>1</v>
      </c>
      <c r="B41" s="55" t="s">
        <v>7</v>
      </c>
      <c r="C41" s="16"/>
      <c r="D41" s="16"/>
      <c r="E41" s="17" t="s">
        <v>18</v>
      </c>
      <c r="F41" s="56">
        <v>0.16666666666666666</v>
      </c>
      <c r="G41" s="57">
        <v>184.36</v>
      </c>
      <c r="H41" s="58">
        <f>F41*G41</f>
        <v>30.726666666666667</v>
      </c>
      <c r="I41" s="41"/>
      <c r="J41" s="35"/>
    </row>
    <row r="42" spans="1:10" s="22" customFormat="1" ht="12.75" customHeight="1" x14ac:dyDescent="0.2">
      <c r="A42" s="14">
        <v>2</v>
      </c>
      <c r="B42" s="54" t="s">
        <v>68</v>
      </c>
      <c r="C42" s="16"/>
      <c r="D42" s="16"/>
      <c r="E42" s="17" t="s">
        <v>18</v>
      </c>
      <c r="F42" s="56">
        <v>0.16666666666666666</v>
      </c>
      <c r="G42" s="57">
        <v>89.9</v>
      </c>
      <c r="H42" s="58">
        <f t="shared" ref="H42:H47" si="0">F42*G42</f>
        <v>14.983333333333334</v>
      </c>
      <c r="I42" s="42"/>
      <c r="J42" s="35"/>
    </row>
    <row r="43" spans="1:10" s="22" customFormat="1" ht="12.75" customHeight="1" x14ac:dyDescent="0.2">
      <c r="A43" s="14">
        <v>3</v>
      </c>
      <c r="B43" s="54" t="s">
        <v>69</v>
      </c>
      <c r="C43" s="16"/>
      <c r="D43" s="16"/>
      <c r="E43" s="17" t="s">
        <v>14</v>
      </c>
      <c r="F43" s="56">
        <v>8.3333333333333329E-2</v>
      </c>
      <c r="G43" s="57">
        <v>337.02</v>
      </c>
      <c r="H43" s="58">
        <f t="shared" si="0"/>
        <v>28.084999999999997</v>
      </c>
      <c r="I43" s="42"/>
      <c r="J43" s="35"/>
    </row>
    <row r="44" spans="1:10" s="22" customFormat="1" ht="12.75" customHeight="1" x14ac:dyDescent="0.2">
      <c r="A44" s="14">
        <v>4</v>
      </c>
      <c r="B44" s="54" t="s">
        <v>70</v>
      </c>
      <c r="C44" s="16"/>
      <c r="D44" s="16"/>
      <c r="E44" s="17" t="s">
        <v>18</v>
      </c>
      <c r="F44" s="56">
        <v>8.3333333333333329E-2</v>
      </c>
      <c r="G44" s="57">
        <v>46.18</v>
      </c>
      <c r="H44" s="58">
        <f t="shared" si="0"/>
        <v>3.8483333333333332</v>
      </c>
      <c r="I44" s="42"/>
      <c r="J44" s="35"/>
    </row>
    <row r="45" spans="1:10" s="22" customFormat="1" ht="12.75" customHeight="1" x14ac:dyDescent="0.2">
      <c r="A45" s="14">
        <v>5</v>
      </c>
      <c r="B45" s="54" t="s">
        <v>71</v>
      </c>
      <c r="C45" s="16"/>
      <c r="D45" s="16"/>
      <c r="E45" s="17" t="s">
        <v>18</v>
      </c>
      <c r="F45" s="56">
        <v>8.3333333333333329E-2</v>
      </c>
      <c r="G45" s="57">
        <v>229.9</v>
      </c>
      <c r="H45" s="58">
        <f t="shared" si="0"/>
        <v>19.158333333333331</v>
      </c>
      <c r="I45" s="42"/>
      <c r="J45" s="35"/>
    </row>
    <row r="46" spans="1:10" s="22" customFormat="1" ht="12.75" customHeight="1" x14ac:dyDescent="0.2">
      <c r="A46" s="14">
        <v>6</v>
      </c>
      <c r="B46" s="54" t="s">
        <v>72</v>
      </c>
      <c r="C46" s="16"/>
      <c r="D46" s="16"/>
      <c r="E46" s="17" t="s">
        <v>14</v>
      </c>
      <c r="F46" s="56">
        <v>0.16666666666666666</v>
      </c>
      <c r="G46" s="57">
        <v>25.2</v>
      </c>
      <c r="H46" s="58">
        <f t="shared" si="0"/>
        <v>4.1999999999999993</v>
      </c>
      <c r="I46" s="42"/>
      <c r="J46" s="35"/>
    </row>
    <row r="47" spans="1:10" s="22" customFormat="1" ht="12.75" customHeight="1" x14ac:dyDescent="0.2">
      <c r="A47" s="14">
        <v>7</v>
      </c>
      <c r="B47" s="54" t="s">
        <v>8</v>
      </c>
      <c r="C47" s="16"/>
      <c r="D47" s="16"/>
      <c r="E47" s="17" t="s">
        <v>18</v>
      </c>
      <c r="F47" s="56">
        <v>8.3333333333333329E-2</v>
      </c>
      <c r="G47" s="57">
        <v>18.899999999999999</v>
      </c>
      <c r="H47" s="58">
        <f t="shared" si="0"/>
        <v>1.5749999999999997</v>
      </c>
      <c r="I47" s="42"/>
      <c r="J47" s="35"/>
    </row>
    <row r="48" spans="1:10" s="22" customFormat="1" ht="12.75" customHeight="1" x14ac:dyDescent="0.2">
      <c r="A48" s="321" t="s">
        <v>1</v>
      </c>
      <c r="B48" s="322"/>
      <c r="C48" s="322"/>
      <c r="D48" s="322"/>
      <c r="E48" s="322"/>
      <c r="F48" s="322"/>
      <c r="G48" s="322"/>
      <c r="H48" s="110"/>
      <c r="I48" s="20"/>
      <c r="J48" s="35"/>
    </row>
    <row r="49" spans="1:10" s="22" customFormat="1" ht="12.75" customHeight="1" x14ac:dyDescent="0.2">
      <c r="A49" s="14">
        <v>8</v>
      </c>
      <c r="B49" s="44" t="s">
        <v>3</v>
      </c>
      <c r="C49" s="120"/>
      <c r="D49" s="120"/>
      <c r="E49" s="14" t="s">
        <v>57</v>
      </c>
      <c r="F49" s="14">
        <v>1</v>
      </c>
      <c r="G49" s="43">
        <f>H48</f>
        <v>0</v>
      </c>
      <c r="H49" s="40">
        <f>SUM(H41:H47)</f>
        <v>102.57666666666667</v>
      </c>
      <c r="I49" s="46">
        <f>H49</f>
        <v>102.57666666666667</v>
      </c>
      <c r="J49" s="29"/>
    </row>
    <row r="50" spans="1:10" s="27" customFormat="1" ht="5.0999999999999996" customHeight="1" x14ac:dyDescent="0.2">
      <c r="J50" s="32"/>
    </row>
    <row r="51" spans="1:10" s="27" customFormat="1" ht="15" customHeight="1" x14ac:dyDescent="0.2">
      <c r="A51" s="334" t="s">
        <v>74</v>
      </c>
      <c r="B51" s="335"/>
      <c r="C51" s="335"/>
      <c r="D51" s="335"/>
      <c r="E51" s="335"/>
      <c r="F51" s="335"/>
      <c r="G51" s="335"/>
      <c r="H51" s="336"/>
      <c r="I51" s="52">
        <f>SUM(I49)</f>
        <v>102.57666666666667</v>
      </c>
      <c r="J51" s="34"/>
    </row>
    <row r="52" spans="1:10" ht="6" customHeight="1" x14ac:dyDescent="0.2">
      <c r="B52" s="3"/>
      <c r="C52" s="3"/>
      <c r="D52" s="3"/>
      <c r="E52" s="3"/>
      <c r="F52" s="3"/>
    </row>
    <row r="53" spans="1:10" s="6" customFormat="1" ht="15" customHeight="1" x14ac:dyDescent="0.2">
      <c r="A53" s="10" t="s">
        <v>109</v>
      </c>
      <c r="B53" s="11" t="s">
        <v>95</v>
      </c>
      <c r="C53" s="12"/>
      <c r="D53" s="12"/>
      <c r="E53" s="13" t="s">
        <v>18</v>
      </c>
      <c r="F53" s="13" t="s">
        <v>11</v>
      </c>
      <c r="G53" s="13" t="s">
        <v>20</v>
      </c>
      <c r="H53" s="13" t="s">
        <v>19</v>
      </c>
      <c r="I53" s="10" t="s">
        <v>50</v>
      </c>
    </row>
    <row r="54" spans="1:10" s="21" customFormat="1" ht="12.75" customHeight="1" x14ac:dyDescent="0.2">
      <c r="A54" s="14">
        <v>1</v>
      </c>
      <c r="B54" s="55" t="s">
        <v>92</v>
      </c>
      <c r="C54" s="16"/>
      <c r="D54" s="16"/>
      <c r="E54" s="17" t="s">
        <v>18</v>
      </c>
      <c r="F54" s="61">
        <v>1</v>
      </c>
      <c r="G54" s="57">
        <f>I37</f>
        <v>10311.423145800003</v>
      </c>
      <c r="H54" s="58">
        <f>F54*G54</f>
        <v>10311.423145800003</v>
      </c>
      <c r="I54" s="111"/>
      <c r="J54" s="24"/>
    </row>
    <row r="55" spans="1:10" s="21" customFormat="1" ht="12.75" customHeight="1" x14ac:dyDescent="0.2">
      <c r="A55" s="14">
        <v>2</v>
      </c>
      <c r="B55" s="54" t="s">
        <v>93</v>
      </c>
      <c r="C55" s="16"/>
      <c r="D55" s="16"/>
      <c r="E55" s="17" t="s">
        <v>18</v>
      </c>
      <c r="F55" s="61">
        <v>1</v>
      </c>
      <c r="G55" s="57">
        <f>I51</f>
        <v>102.57666666666667</v>
      </c>
      <c r="H55" s="58">
        <f>F55*G55</f>
        <v>102.57666666666667</v>
      </c>
      <c r="I55" s="108"/>
      <c r="J55" s="24"/>
    </row>
    <row r="56" spans="1:10" s="21" customFormat="1" ht="12.75" customHeight="1" x14ac:dyDescent="0.2">
      <c r="A56" s="321" t="s">
        <v>1</v>
      </c>
      <c r="B56" s="322"/>
      <c r="C56" s="322"/>
      <c r="D56" s="322"/>
      <c r="E56" s="322"/>
      <c r="F56" s="322"/>
      <c r="G56" s="322"/>
      <c r="H56" s="110">
        <f>SUM(H54:H55)</f>
        <v>10413.999812466669</v>
      </c>
      <c r="I56" s="108"/>
      <c r="J56" s="24"/>
    </row>
    <row r="57" spans="1:10" s="21" customFormat="1" ht="12.75" customHeight="1" x14ac:dyDescent="0.2">
      <c r="A57" s="14">
        <v>3</v>
      </c>
      <c r="B57" s="55" t="s">
        <v>96</v>
      </c>
      <c r="C57" s="16"/>
      <c r="D57" s="16"/>
      <c r="E57" s="17" t="s">
        <v>94</v>
      </c>
      <c r="F57" s="61">
        <v>440</v>
      </c>
      <c r="G57" s="57">
        <f>H56/F57</f>
        <v>23.668181391969703</v>
      </c>
      <c r="H57" s="58">
        <f>F57*G57</f>
        <v>10413.999812466669</v>
      </c>
      <c r="I57" s="109"/>
      <c r="J57" s="24"/>
    </row>
    <row r="58" spans="1:10" s="21" customFormat="1" ht="12.75" customHeight="1" x14ac:dyDescent="0.2">
      <c r="A58" s="14">
        <v>4</v>
      </c>
      <c r="B58" s="55" t="s">
        <v>120</v>
      </c>
      <c r="C58" s="16"/>
      <c r="D58" s="16"/>
      <c r="E58" s="17" t="s">
        <v>94</v>
      </c>
      <c r="F58" s="61">
        <f>F57*0.5</f>
        <v>220</v>
      </c>
      <c r="G58" s="57">
        <f>G57</f>
        <v>23.668181391969703</v>
      </c>
      <c r="H58" s="58">
        <f>F58*G58</f>
        <v>5206.9999062333345</v>
      </c>
      <c r="I58" s="62">
        <f>H58</f>
        <v>5206.9999062333345</v>
      </c>
      <c r="J58" s="24"/>
    </row>
    <row r="59" spans="1:10" s="21" customFormat="1" ht="12.75" customHeight="1" x14ac:dyDescent="0.2">
      <c r="A59" s="64" t="s">
        <v>223</v>
      </c>
      <c r="B59" s="27"/>
      <c r="C59" s="27"/>
      <c r="D59" s="27"/>
      <c r="E59" s="27"/>
      <c r="F59" s="27"/>
      <c r="G59" s="27"/>
      <c r="H59" s="27"/>
      <c r="I59" s="27"/>
      <c r="J59" s="24"/>
    </row>
    <row r="60" spans="1:10" s="27" customFormat="1" ht="6" customHeight="1" x14ac:dyDescent="0.2">
      <c r="A60" s="22"/>
      <c r="B60" s="22"/>
      <c r="C60" s="22"/>
      <c r="D60" s="22"/>
      <c r="E60" s="29"/>
      <c r="F60" s="29"/>
      <c r="G60" s="30"/>
      <c r="H60" s="29"/>
      <c r="I60" s="31"/>
      <c r="J60" s="32"/>
    </row>
    <row r="61" spans="1:10" s="27" customFormat="1" ht="15" customHeight="1" x14ac:dyDescent="0.2">
      <c r="A61" s="334" t="s">
        <v>122</v>
      </c>
      <c r="B61" s="335"/>
      <c r="C61" s="335"/>
      <c r="D61" s="335"/>
      <c r="E61" s="335"/>
      <c r="F61" s="335"/>
      <c r="G61" s="335"/>
      <c r="H61" s="336"/>
      <c r="I61" s="52">
        <f>I58</f>
        <v>5206.9999062333345</v>
      </c>
      <c r="J61" s="34"/>
    </row>
    <row r="62" spans="1:10" s="27" customFormat="1" ht="5.0999999999999996" customHeight="1" x14ac:dyDescent="0.2">
      <c r="J62" s="32"/>
    </row>
    <row r="63" spans="1:10" s="22" customFormat="1" x14ac:dyDescent="0.2">
      <c r="A63" s="300" t="s">
        <v>115</v>
      </c>
      <c r="B63" s="301"/>
      <c r="C63" s="301"/>
      <c r="D63" s="301"/>
      <c r="E63" s="301"/>
      <c r="F63" s="301"/>
      <c r="G63" s="301"/>
      <c r="H63" s="301"/>
      <c r="I63" s="302"/>
      <c r="J63" s="35"/>
    </row>
    <row r="64" spans="1:10" s="22" customFormat="1" ht="15" customHeight="1" x14ac:dyDescent="0.2">
      <c r="A64" s="53" t="s">
        <v>91</v>
      </c>
      <c r="B64" s="359" t="s">
        <v>124</v>
      </c>
      <c r="C64" s="360"/>
      <c r="D64" s="361"/>
      <c r="E64" s="13" t="s">
        <v>18</v>
      </c>
      <c r="F64" s="13" t="s">
        <v>11</v>
      </c>
      <c r="G64" s="13" t="s">
        <v>20</v>
      </c>
      <c r="H64" s="13" t="s">
        <v>19</v>
      </c>
      <c r="I64" s="10" t="s">
        <v>50</v>
      </c>
      <c r="J64" s="35"/>
    </row>
    <row r="65" spans="1:10" s="22" customFormat="1" ht="24.75" customHeight="1" x14ac:dyDescent="0.2">
      <c r="A65" s="135">
        <v>1</v>
      </c>
      <c r="B65" s="309" t="s">
        <v>141</v>
      </c>
      <c r="C65" s="310"/>
      <c r="D65" s="311"/>
      <c r="E65" s="92" t="s">
        <v>18</v>
      </c>
      <c r="F65" s="92">
        <v>2</v>
      </c>
      <c r="G65" s="138">
        <v>932.46</v>
      </c>
      <c r="H65" s="139">
        <f t="shared" ref="H65:H80" si="1">F65*G65</f>
        <v>1864.92</v>
      </c>
      <c r="I65" s="41"/>
      <c r="J65" s="35"/>
    </row>
    <row r="66" spans="1:10" s="22" customFormat="1" ht="23.25" customHeight="1" x14ac:dyDescent="0.2">
      <c r="A66" s="135">
        <v>2</v>
      </c>
      <c r="B66" s="312" t="s">
        <v>117</v>
      </c>
      <c r="C66" s="313"/>
      <c r="D66" s="314"/>
      <c r="E66" s="92" t="s">
        <v>18</v>
      </c>
      <c r="F66" s="92">
        <v>2</v>
      </c>
      <c r="G66" s="140">
        <v>111.99</v>
      </c>
      <c r="H66" s="139">
        <f t="shared" si="1"/>
        <v>223.98</v>
      </c>
      <c r="I66" s="42"/>
      <c r="J66" s="35"/>
    </row>
    <row r="67" spans="1:10" s="22" customFormat="1" ht="12.75" customHeight="1" x14ac:dyDescent="0.2">
      <c r="A67" s="135">
        <v>3</v>
      </c>
      <c r="B67" s="315" t="s">
        <v>142</v>
      </c>
      <c r="C67" s="316"/>
      <c r="D67" s="317"/>
      <c r="E67" s="92" t="s">
        <v>18</v>
      </c>
      <c r="F67" s="144">
        <v>25</v>
      </c>
      <c r="G67" s="145">
        <v>57.8</v>
      </c>
      <c r="H67" s="139">
        <f t="shared" si="1"/>
        <v>1445</v>
      </c>
      <c r="I67" s="42"/>
      <c r="J67" s="35"/>
    </row>
    <row r="68" spans="1:10" s="22" customFormat="1" ht="12.75" customHeight="1" x14ac:dyDescent="0.2">
      <c r="A68" s="135">
        <v>5</v>
      </c>
      <c r="B68" s="315" t="s">
        <v>116</v>
      </c>
      <c r="C68" s="316"/>
      <c r="D68" s="317"/>
      <c r="E68" s="92" t="s">
        <v>18</v>
      </c>
      <c r="F68" s="144">
        <v>6</v>
      </c>
      <c r="G68" s="145">
        <v>39.07</v>
      </c>
      <c r="H68" s="139">
        <f t="shared" ref="H68:H79" si="2">F68*G68</f>
        <v>234.42000000000002</v>
      </c>
      <c r="I68" s="42"/>
      <c r="J68" s="35"/>
    </row>
    <row r="69" spans="1:10" s="22" customFormat="1" ht="12.75" customHeight="1" x14ac:dyDescent="0.2">
      <c r="A69" s="135">
        <v>6</v>
      </c>
      <c r="B69" s="315" t="s">
        <v>143</v>
      </c>
      <c r="C69" s="316"/>
      <c r="D69" s="317"/>
      <c r="E69" s="92" t="s">
        <v>18</v>
      </c>
      <c r="F69" s="144">
        <v>2</v>
      </c>
      <c r="G69" s="145">
        <v>17.899999999999999</v>
      </c>
      <c r="H69" s="139">
        <f t="shared" si="2"/>
        <v>35.799999999999997</v>
      </c>
      <c r="I69" s="42"/>
      <c r="J69" s="35"/>
    </row>
    <row r="70" spans="1:10" s="22" customFormat="1" ht="12.75" customHeight="1" x14ac:dyDescent="0.2">
      <c r="A70" s="135">
        <v>7</v>
      </c>
      <c r="B70" s="141" t="s">
        <v>144</v>
      </c>
      <c r="C70" s="142"/>
      <c r="D70" s="143"/>
      <c r="E70" s="92" t="s">
        <v>18</v>
      </c>
      <c r="F70" s="144">
        <v>1</v>
      </c>
      <c r="G70" s="145">
        <v>597</v>
      </c>
      <c r="H70" s="139">
        <f t="shared" si="2"/>
        <v>597</v>
      </c>
      <c r="I70" s="42"/>
      <c r="J70" s="35"/>
    </row>
    <row r="71" spans="1:10" s="22" customFormat="1" ht="12.75" customHeight="1" x14ac:dyDescent="0.2">
      <c r="A71" s="135">
        <v>8</v>
      </c>
      <c r="B71" s="141" t="s">
        <v>145</v>
      </c>
      <c r="C71" s="142"/>
      <c r="D71" s="143"/>
      <c r="E71" s="92" t="s">
        <v>18</v>
      </c>
      <c r="F71" s="144">
        <v>1</v>
      </c>
      <c r="G71" s="145">
        <v>20.54</v>
      </c>
      <c r="H71" s="139">
        <f t="shared" si="2"/>
        <v>20.54</v>
      </c>
      <c r="I71" s="42"/>
      <c r="J71" s="35"/>
    </row>
    <row r="72" spans="1:10" s="22" customFormat="1" ht="12.75" customHeight="1" x14ac:dyDescent="0.2">
      <c r="A72" s="135">
        <v>9</v>
      </c>
      <c r="B72" s="141" t="s">
        <v>146</v>
      </c>
      <c r="C72" s="142"/>
      <c r="D72" s="143"/>
      <c r="E72" s="92" t="s">
        <v>18</v>
      </c>
      <c r="F72" s="144">
        <v>20</v>
      </c>
      <c r="G72" s="145">
        <v>130</v>
      </c>
      <c r="H72" s="139">
        <f t="shared" si="2"/>
        <v>2600</v>
      </c>
      <c r="I72" s="42"/>
      <c r="J72" s="35"/>
    </row>
    <row r="73" spans="1:10" s="211" customFormat="1" ht="12.75" customHeight="1" x14ac:dyDescent="0.2">
      <c r="A73" s="92">
        <v>12</v>
      </c>
      <c r="B73" s="141" t="s">
        <v>147</v>
      </c>
      <c r="C73" s="142"/>
      <c r="D73" s="143"/>
      <c r="E73" s="92" t="s">
        <v>18</v>
      </c>
      <c r="F73" s="144">
        <v>2</v>
      </c>
      <c r="G73" s="145">
        <v>1850</v>
      </c>
      <c r="H73" s="139">
        <f t="shared" si="2"/>
        <v>3700</v>
      </c>
      <c r="I73" s="209"/>
      <c r="J73" s="210"/>
    </row>
    <row r="74" spans="1:10" s="22" customFormat="1" ht="12.75" customHeight="1" x14ac:dyDescent="0.2">
      <c r="A74" s="135">
        <v>13</v>
      </c>
      <c r="B74" s="141" t="s">
        <v>148</v>
      </c>
      <c r="C74" s="142"/>
      <c r="D74" s="143"/>
      <c r="E74" s="92" t="s">
        <v>18</v>
      </c>
      <c r="F74" s="144">
        <v>20</v>
      </c>
      <c r="G74" s="145">
        <v>38.75</v>
      </c>
      <c r="H74" s="139">
        <f t="shared" si="2"/>
        <v>775</v>
      </c>
      <c r="I74" s="42"/>
      <c r="J74" s="35"/>
    </row>
    <row r="75" spans="1:10" s="22" customFormat="1" ht="12.75" customHeight="1" x14ac:dyDescent="0.2">
      <c r="A75" s="135">
        <v>14</v>
      </c>
      <c r="B75" s="141" t="s">
        <v>149</v>
      </c>
      <c r="C75" s="142"/>
      <c r="D75" s="143"/>
      <c r="E75" s="92" t="s">
        <v>18</v>
      </c>
      <c r="F75" s="144">
        <v>8</v>
      </c>
      <c r="G75" s="145">
        <v>146.26</v>
      </c>
      <c r="H75" s="139">
        <f t="shared" si="2"/>
        <v>1170.08</v>
      </c>
      <c r="I75" s="42"/>
      <c r="J75" s="35"/>
    </row>
    <row r="76" spans="1:10" s="22" customFormat="1" ht="12.75" customHeight="1" x14ac:dyDescent="0.2">
      <c r="A76" s="135">
        <v>15</v>
      </c>
      <c r="B76" s="141" t="s">
        <v>150</v>
      </c>
      <c r="C76" s="142"/>
      <c r="D76" s="143"/>
      <c r="E76" s="92" t="s">
        <v>18</v>
      </c>
      <c r="F76" s="144">
        <v>20</v>
      </c>
      <c r="G76" s="145">
        <v>100.74</v>
      </c>
      <c r="H76" s="139">
        <f>F76*G76</f>
        <v>2014.8</v>
      </c>
      <c r="I76" s="42"/>
      <c r="J76" s="35"/>
    </row>
    <row r="77" spans="1:10" s="22" customFormat="1" ht="25.5" customHeight="1" x14ac:dyDescent="0.2">
      <c r="A77" s="135">
        <v>16</v>
      </c>
      <c r="B77" s="309" t="s">
        <v>151</v>
      </c>
      <c r="C77" s="310"/>
      <c r="D77" s="311"/>
      <c r="E77" s="92" t="s">
        <v>18</v>
      </c>
      <c r="F77" s="92">
        <v>2</v>
      </c>
      <c r="G77" s="138">
        <v>599.9</v>
      </c>
      <c r="H77" s="139">
        <f t="shared" si="2"/>
        <v>1199.8</v>
      </c>
      <c r="I77" s="42"/>
      <c r="J77" s="35"/>
    </row>
    <row r="78" spans="1:10" s="22" customFormat="1" ht="12.75" customHeight="1" x14ac:dyDescent="0.2">
      <c r="A78" s="135">
        <v>17</v>
      </c>
      <c r="B78" s="141" t="s">
        <v>153</v>
      </c>
      <c r="C78" s="136"/>
      <c r="D78" s="137"/>
      <c r="E78" s="92" t="s">
        <v>18</v>
      </c>
      <c r="F78" s="92">
        <v>2</v>
      </c>
      <c r="G78" s="138">
        <v>584</v>
      </c>
      <c r="H78" s="139">
        <f t="shared" si="2"/>
        <v>1168</v>
      </c>
      <c r="I78" s="42"/>
      <c r="J78" s="35"/>
    </row>
    <row r="79" spans="1:10" s="22" customFormat="1" ht="12.75" customHeight="1" x14ac:dyDescent="0.2">
      <c r="A79" s="135">
        <v>18</v>
      </c>
      <c r="B79" s="141" t="s">
        <v>154</v>
      </c>
      <c r="C79" s="136"/>
      <c r="D79" s="137"/>
      <c r="E79" s="92" t="s">
        <v>18</v>
      </c>
      <c r="F79" s="92">
        <v>1</v>
      </c>
      <c r="G79" s="138">
        <v>226.31</v>
      </c>
      <c r="H79" s="139">
        <f t="shared" si="2"/>
        <v>226.31</v>
      </c>
      <c r="I79" s="42"/>
      <c r="J79" s="35"/>
    </row>
    <row r="80" spans="1:10" s="22" customFormat="1" ht="12.75" customHeight="1" x14ac:dyDescent="0.2">
      <c r="A80" s="135">
        <v>19</v>
      </c>
      <c r="B80" s="315" t="s">
        <v>152</v>
      </c>
      <c r="C80" s="316"/>
      <c r="D80" s="317"/>
      <c r="E80" s="92" t="s">
        <v>18</v>
      </c>
      <c r="F80" s="144">
        <v>20</v>
      </c>
      <c r="G80" s="145">
        <v>23.3</v>
      </c>
      <c r="H80" s="139">
        <f t="shared" si="1"/>
        <v>466</v>
      </c>
      <c r="I80" s="42"/>
      <c r="J80" s="35"/>
    </row>
    <row r="81" spans="1:10" s="22" customFormat="1" ht="12.75" customHeight="1" x14ac:dyDescent="0.2">
      <c r="A81" s="135">
        <v>20</v>
      </c>
      <c r="B81" s="315" t="s">
        <v>227</v>
      </c>
      <c r="C81" s="316"/>
      <c r="D81" s="317"/>
      <c r="E81" s="92" t="s">
        <v>18</v>
      </c>
      <c r="F81" s="144">
        <v>4</v>
      </c>
      <c r="G81" s="145">
        <v>120</v>
      </c>
      <c r="H81" s="139">
        <f>F81*G81</f>
        <v>480</v>
      </c>
      <c r="I81" s="42"/>
      <c r="J81" s="35"/>
    </row>
    <row r="82" spans="1:10" s="22" customFormat="1" ht="12.75" customHeight="1" x14ac:dyDescent="0.2">
      <c r="A82" s="135">
        <v>21</v>
      </c>
      <c r="B82" s="356" t="s">
        <v>121</v>
      </c>
      <c r="C82" s="357"/>
      <c r="D82" s="358"/>
      <c r="E82" s="92" t="s">
        <v>18</v>
      </c>
      <c r="F82" s="144">
        <v>240</v>
      </c>
      <c r="G82" s="145">
        <v>1.1000000000000001</v>
      </c>
      <c r="H82" s="139">
        <f>F82*G82</f>
        <v>264</v>
      </c>
      <c r="I82" s="42"/>
      <c r="J82" s="35"/>
    </row>
    <row r="83" spans="1:10" s="22" customFormat="1" ht="12.75" customHeight="1" x14ac:dyDescent="0.2">
      <c r="A83" s="321" t="s">
        <v>1</v>
      </c>
      <c r="B83" s="322"/>
      <c r="C83" s="322"/>
      <c r="D83" s="322"/>
      <c r="E83" s="322"/>
      <c r="F83" s="322"/>
      <c r="G83" s="322"/>
      <c r="H83" s="122">
        <f>SUM(H65:H82)</f>
        <v>18485.649999999998</v>
      </c>
      <c r="I83" s="42"/>
      <c r="J83" s="35"/>
    </row>
    <row r="84" spans="1:10" s="22" customFormat="1" ht="12.75" customHeight="1" x14ac:dyDescent="0.2">
      <c r="A84" s="14">
        <v>22</v>
      </c>
      <c r="B84" s="323" t="s">
        <v>118</v>
      </c>
      <c r="C84" s="324"/>
      <c r="D84" s="325"/>
      <c r="E84" s="17" t="s">
        <v>52</v>
      </c>
      <c r="F84" s="61">
        <v>60</v>
      </c>
      <c r="G84" s="57">
        <f>H83</f>
        <v>18485.649999999998</v>
      </c>
      <c r="H84" s="58">
        <f>G84/F84</f>
        <v>308.09416666666664</v>
      </c>
      <c r="I84" s="42"/>
      <c r="J84" s="35"/>
    </row>
    <row r="85" spans="1:10" s="21" customFormat="1" ht="12.75" customHeight="1" x14ac:dyDescent="0.2">
      <c r="A85" s="321" t="s">
        <v>1</v>
      </c>
      <c r="B85" s="322"/>
      <c r="C85" s="322"/>
      <c r="D85" s="322"/>
      <c r="E85" s="322"/>
      <c r="F85" s="322"/>
      <c r="G85" s="322"/>
      <c r="H85" s="326"/>
      <c r="I85" s="62">
        <f>H84</f>
        <v>308.09416666666664</v>
      </c>
      <c r="J85" s="24"/>
    </row>
    <row r="86" spans="1:10" s="27" customFormat="1" ht="5.0999999999999996" customHeight="1" x14ac:dyDescent="0.2">
      <c r="J86" s="32"/>
    </row>
    <row r="87" spans="1:10" s="22" customFormat="1" ht="15" customHeight="1" x14ac:dyDescent="0.2">
      <c r="A87" s="53" t="s">
        <v>111</v>
      </c>
      <c r="B87" s="59" t="s">
        <v>123</v>
      </c>
      <c r="C87" s="60"/>
      <c r="D87" s="60"/>
      <c r="E87" s="13" t="s">
        <v>18</v>
      </c>
      <c r="F87" s="13" t="s">
        <v>11</v>
      </c>
      <c r="G87" s="13" t="s">
        <v>20</v>
      </c>
      <c r="H87" s="13" t="s">
        <v>19</v>
      </c>
      <c r="I87" s="10" t="s">
        <v>50</v>
      </c>
      <c r="J87" s="35"/>
    </row>
    <row r="88" spans="1:10" s="22" customFormat="1" ht="12.75" customHeight="1" x14ac:dyDescent="0.2">
      <c r="A88" s="14">
        <v>2</v>
      </c>
      <c r="B88" s="318" t="s">
        <v>119</v>
      </c>
      <c r="C88" s="319"/>
      <c r="D88" s="320"/>
      <c r="E88" s="17" t="s">
        <v>18</v>
      </c>
      <c r="F88" s="61">
        <v>1</v>
      </c>
      <c r="G88" s="57">
        <v>599.9</v>
      </c>
      <c r="H88" s="58">
        <f t="shared" ref="H88:H89" si="3">F88*G88</f>
        <v>599.9</v>
      </c>
      <c r="I88" s="42"/>
      <c r="J88" s="35"/>
    </row>
    <row r="89" spans="1:10" s="22" customFormat="1" ht="12.75" customHeight="1" x14ac:dyDescent="0.2">
      <c r="A89" s="14">
        <v>2</v>
      </c>
      <c r="B89" s="318" t="s">
        <v>125</v>
      </c>
      <c r="C89" s="319"/>
      <c r="D89" s="320"/>
      <c r="E89" s="17" t="s">
        <v>18</v>
      </c>
      <c r="F89" s="61">
        <v>1</v>
      </c>
      <c r="G89" s="57">
        <v>10000</v>
      </c>
      <c r="H89" s="58">
        <f t="shared" si="3"/>
        <v>10000</v>
      </c>
      <c r="I89" s="42"/>
      <c r="J89" s="35"/>
    </row>
    <row r="90" spans="1:10" s="22" customFormat="1" ht="12.75" customHeight="1" x14ac:dyDescent="0.2">
      <c r="A90" s="321" t="s">
        <v>1</v>
      </c>
      <c r="B90" s="322"/>
      <c r="C90" s="322"/>
      <c r="D90" s="322"/>
      <c r="E90" s="322"/>
      <c r="F90" s="322"/>
      <c r="G90" s="326"/>
      <c r="H90" s="122">
        <f>SUM(H88:H89)</f>
        <v>10599.9</v>
      </c>
      <c r="I90" s="42"/>
      <c r="J90" s="35"/>
    </row>
    <row r="91" spans="1:10" s="22" customFormat="1" ht="12.75" customHeight="1" x14ac:dyDescent="0.2">
      <c r="A91" s="14">
        <v>6</v>
      </c>
      <c r="B91" s="323" t="s">
        <v>118</v>
      </c>
      <c r="C91" s="345"/>
      <c r="D91" s="346"/>
      <c r="E91" s="17" t="s">
        <v>52</v>
      </c>
      <c r="F91" s="61">
        <v>60</v>
      </c>
      <c r="G91" s="57">
        <f>H90</f>
        <v>10599.9</v>
      </c>
      <c r="H91" s="58">
        <f>G91/F91</f>
        <v>176.66499999999999</v>
      </c>
      <c r="I91" s="42"/>
      <c r="J91" s="35"/>
    </row>
    <row r="92" spans="1:10" s="21" customFormat="1" ht="12.75" customHeight="1" x14ac:dyDescent="0.2">
      <c r="A92" s="321" t="s">
        <v>1</v>
      </c>
      <c r="B92" s="322"/>
      <c r="C92" s="322"/>
      <c r="D92" s="322"/>
      <c r="E92" s="322"/>
      <c r="F92" s="322"/>
      <c r="G92" s="322"/>
      <c r="H92" s="326"/>
      <c r="I92" s="62">
        <f>H91</f>
        <v>176.66499999999999</v>
      </c>
      <c r="J92" s="24"/>
    </row>
    <row r="93" spans="1:10" s="27" customFormat="1" ht="15" customHeight="1" x14ac:dyDescent="0.2">
      <c r="J93" s="32"/>
    </row>
    <row r="94" spans="1:10" s="27" customFormat="1" ht="12.75" customHeight="1" x14ac:dyDescent="0.2">
      <c r="J94" s="32"/>
    </row>
    <row r="95" spans="1:10" s="27" customFormat="1" ht="15" customHeight="1" x14ac:dyDescent="0.2">
      <c r="A95" s="68" t="s">
        <v>229</v>
      </c>
      <c r="B95" s="69"/>
      <c r="C95" s="69"/>
      <c r="D95" s="69"/>
      <c r="E95" s="69"/>
      <c r="F95" s="69"/>
      <c r="G95" s="69"/>
      <c r="H95" s="70"/>
      <c r="I95" s="52">
        <f>SUM(I85,I92)</f>
        <v>484.7591666666666</v>
      </c>
      <c r="J95" s="34"/>
    </row>
    <row r="96" spans="1:10" s="27" customFormat="1" ht="12" customHeight="1" x14ac:dyDescent="0.2">
      <c r="J96" s="32"/>
    </row>
    <row r="97" spans="1:10" s="27" customFormat="1" ht="15" customHeight="1" x14ac:dyDescent="0.2">
      <c r="A97" s="66" t="s">
        <v>10</v>
      </c>
      <c r="B97" s="67"/>
      <c r="C97" s="67"/>
      <c r="D97" s="67"/>
      <c r="E97" s="67"/>
      <c r="F97" s="67"/>
      <c r="G97" s="67"/>
      <c r="H97" s="36"/>
      <c r="I97" s="33">
        <f>SUM(I61,I95)</f>
        <v>5691.7590729000012</v>
      </c>
      <c r="J97" s="32"/>
    </row>
    <row r="98" spans="1:10" s="27" customFormat="1" ht="17.25" customHeight="1" x14ac:dyDescent="0.2">
      <c r="J98" s="32"/>
    </row>
    <row r="99" spans="1:10" s="22" customFormat="1" x14ac:dyDescent="0.2">
      <c r="A99" s="300" t="s">
        <v>113</v>
      </c>
      <c r="B99" s="301"/>
      <c r="C99" s="301"/>
      <c r="D99" s="301"/>
      <c r="E99" s="301"/>
      <c r="F99" s="301"/>
      <c r="G99" s="301"/>
      <c r="H99" s="301"/>
      <c r="I99" s="302"/>
      <c r="J99" s="35"/>
    </row>
    <row r="100" spans="1:10" s="22" customFormat="1" ht="15" customHeight="1" x14ac:dyDescent="0.2">
      <c r="A100" s="53" t="s">
        <v>114</v>
      </c>
      <c r="B100" s="59" t="s">
        <v>17</v>
      </c>
      <c r="C100" s="60"/>
      <c r="D100" s="60"/>
      <c r="E100" s="13" t="s">
        <v>18</v>
      </c>
      <c r="F100" s="13" t="s">
        <v>11</v>
      </c>
      <c r="G100" s="13" t="s">
        <v>20</v>
      </c>
      <c r="H100" s="13" t="s">
        <v>19</v>
      </c>
      <c r="I100" s="10" t="s">
        <v>50</v>
      </c>
      <c r="J100" s="35"/>
    </row>
    <row r="101" spans="1:10" s="22" customFormat="1" ht="12.75" customHeight="1" x14ac:dyDescent="0.2">
      <c r="A101" s="14">
        <v>1</v>
      </c>
      <c r="B101" s="15" t="s">
        <v>9</v>
      </c>
      <c r="C101" s="16"/>
      <c r="D101" s="16"/>
      <c r="E101" s="71" t="s">
        <v>0</v>
      </c>
      <c r="F101" s="71">
        <f>G168*100</f>
        <v>31.669999999999998</v>
      </c>
      <c r="G101" s="72">
        <f>I97</f>
        <v>5691.7590729000012</v>
      </c>
      <c r="H101" s="72">
        <f>F101*G101/100</f>
        <v>1802.5800983874301</v>
      </c>
      <c r="I101" s="23"/>
      <c r="J101" s="35"/>
    </row>
    <row r="102" spans="1:10" s="22" customFormat="1" ht="15" customHeight="1" x14ac:dyDescent="0.2">
      <c r="A102" s="303" t="s">
        <v>89</v>
      </c>
      <c r="B102" s="304"/>
      <c r="C102" s="304"/>
      <c r="D102" s="304"/>
      <c r="E102" s="304"/>
      <c r="F102" s="304"/>
      <c r="G102" s="304"/>
      <c r="H102" s="305"/>
      <c r="I102" s="62">
        <f>SUM(H101)</f>
        <v>1802.5800983874301</v>
      </c>
      <c r="J102" s="35"/>
    </row>
    <row r="103" spans="1:10" s="22" customFormat="1" ht="5.0999999999999996" customHeight="1" x14ac:dyDescent="0.2">
      <c r="J103" s="35"/>
    </row>
    <row r="104" spans="1:10" s="27" customFormat="1" ht="15" customHeight="1" x14ac:dyDescent="0.2">
      <c r="A104" s="306" t="s">
        <v>90</v>
      </c>
      <c r="B104" s="307"/>
      <c r="C104" s="307"/>
      <c r="D104" s="307"/>
      <c r="E104" s="307"/>
      <c r="F104" s="307"/>
      <c r="G104" s="307"/>
      <c r="H104" s="308"/>
      <c r="I104" s="33">
        <f>SUM(I97,I102)</f>
        <v>7494.3391712874309</v>
      </c>
      <c r="J104" s="32"/>
    </row>
    <row r="105" spans="1:10" s="22" customFormat="1" ht="5.0999999999999996" customHeight="1" x14ac:dyDescent="0.2">
      <c r="J105" s="35"/>
    </row>
    <row r="106" spans="1:10" s="27" customFormat="1" ht="15" customHeight="1" x14ac:dyDescent="0.2">
      <c r="A106" s="306" t="s">
        <v>225</v>
      </c>
      <c r="B106" s="307"/>
      <c r="C106" s="307"/>
      <c r="D106" s="307"/>
      <c r="E106" s="307"/>
      <c r="F106" s="307"/>
      <c r="G106" s="307"/>
      <c r="H106" s="308"/>
      <c r="I106" s="33">
        <f>I104/2</f>
        <v>3747.1695856437154</v>
      </c>
      <c r="J106" s="32"/>
    </row>
    <row r="108" spans="1:10" x14ac:dyDescent="0.2">
      <c r="B108" s="2" t="s">
        <v>126</v>
      </c>
    </row>
    <row r="109" spans="1:10" ht="24.75" customHeight="1" x14ac:dyDescent="0.2">
      <c r="B109" s="294" t="s">
        <v>127</v>
      </c>
      <c r="C109" s="294"/>
      <c r="D109" s="294"/>
      <c r="E109" s="294"/>
      <c r="F109" s="294"/>
      <c r="G109" s="294"/>
      <c r="H109" s="294"/>
      <c r="I109" s="294"/>
    </row>
    <row r="110" spans="1:10" ht="6" customHeight="1" x14ac:dyDescent="0.2"/>
    <row r="111" spans="1:10" ht="37.5" customHeight="1" x14ac:dyDescent="0.2">
      <c r="B111" s="294" t="s">
        <v>128</v>
      </c>
      <c r="C111" s="294"/>
      <c r="D111" s="294"/>
      <c r="E111" s="294"/>
      <c r="F111" s="294"/>
      <c r="G111" s="294"/>
      <c r="H111" s="294"/>
      <c r="I111" s="294"/>
    </row>
    <row r="112" spans="1:10" ht="12.75" customHeight="1" x14ac:dyDescent="0.2"/>
    <row r="114" spans="1:10" s="1" customFormat="1" ht="7.5" customHeight="1" x14ac:dyDescent="0.2">
      <c r="A114" s="123"/>
      <c r="B114" s="124"/>
      <c r="C114" s="124"/>
      <c r="D114" s="125"/>
      <c r="E114" s="125"/>
      <c r="F114" s="125"/>
      <c r="G114" s="125"/>
      <c r="H114" s="125"/>
      <c r="I114" s="125"/>
      <c r="J114" s="126"/>
    </row>
    <row r="115" spans="1:10" s="75" customFormat="1" ht="17.25" customHeight="1" x14ac:dyDescent="0.2">
      <c r="A115" s="116"/>
      <c r="B115" s="74"/>
      <c r="C115" s="116" t="s">
        <v>2</v>
      </c>
      <c r="D115" s="74"/>
      <c r="E115" s="74"/>
      <c r="F115" s="74"/>
      <c r="I115" s="105"/>
    </row>
    <row r="116" spans="1:10" s="75" customFormat="1" ht="15" customHeight="1" x14ac:dyDescent="0.2">
      <c r="A116" s="116"/>
      <c r="B116" s="74"/>
      <c r="C116" s="74"/>
      <c r="D116" s="74"/>
      <c r="E116" s="74"/>
      <c r="F116" s="74"/>
      <c r="I116" s="105"/>
    </row>
    <row r="117" spans="1:10" s="80" customFormat="1" ht="15" customHeight="1" x14ac:dyDescent="0.2">
      <c r="A117" s="76"/>
      <c r="B117" s="77"/>
      <c r="C117" s="207" t="s">
        <v>206</v>
      </c>
      <c r="D117" s="132"/>
      <c r="E117" s="132"/>
      <c r="F117" s="132"/>
      <c r="G117" s="133"/>
      <c r="H117" s="75"/>
      <c r="I117" s="81"/>
      <c r="J117" s="75"/>
    </row>
    <row r="118" spans="1:10" s="83" customFormat="1" ht="15" customHeight="1" x14ac:dyDescent="0.2">
      <c r="C118" s="275" t="s">
        <v>35</v>
      </c>
      <c r="D118" s="295"/>
      <c r="E118" s="295"/>
      <c r="F118" s="296"/>
      <c r="G118" s="112">
        <v>0.2</v>
      </c>
    </row>
    <row r="119" spans="1:10" s="75" customFormat="1" ht="15" customHeight="1" x14ac:dyDescent="0.2">
      <c r="C119" s="275" t="s">
        <v>36</v>
      </c>
      <c r="D119" s="276"/>
      <c r="E119" s="276"/>
      <c r="F119" s="277"/>
      <c r="G119" s="112">
        <v>0.08</v>
      </c>
      <c r="H119" s="74"/>
    </row>
    <row r="120" spans="1:10" s="75" customFormat="1" ht="26.25" customHeight="1" x14ac:dyDescent="0.2">
      <c r="C120" s="297" t="s">
        <v>37</v>
      </c>
      <c r="D120" s="298"/>
      <c r="E120" s="298"/>
      <c r="F120" s="299"/>
      <c r="G120" s="112">
        <v>0.03</v>
      </c>
      <c r="H120" s="74"/>
    </row>
    <row r="121" spans="1:10" s="75" customFormat="1" ht="15" customHeight="1" x14ac:dyDescent="0.2">
      <c r="C121" s="275" t="s">
        <v>38</v>
      </c>
      <c r="D121" s="295"/>
      <c r="E121" s="295"/>
      <c r="F121" s="296"/>
      <c r="G121" s="112">
        <v>2.5000000000000001E-2</v>
      </c>
      <c r="H121" s="74"/>
    </row>
    <row r="122" spans="1:10" s="75" customFormat="1" ht="15" customHeight="1" x14ac:dyDescent="0.2">
      <c r="C122" s="275" t="s">
        <v>39</v>
      </c>
      <c r="D122" s="276"/>
      <c r="E122" s="276"/>
      <c r="F122" s="277"/>
      <c r="G122" s="112">
        <v>6.0000000000000001E-3</v>
      </c>
      <c r="H122" s="74"/>
    </row>
    <row r="123" spans="1:10" s="75" customFormat="1" ht="15" customHeight="1" x14ac:dyDescent="0.2">
      <c r="C123" s="275" t="s">
        <v>40</v>
      </c>
      <c r="D123" s="276"/>
      <c r="E123" s="276"/>
      <c r="F123" s="277"/>
      <c r="G123" s="112">
        <v>1.4999999999999999E-2</v>
      </c>
      <c r="H123" s="74"/>
    </row>
    <row r="124" spans="1:10" s="75" customFormat="1" ht="15" customHeight="1" x14ac:dyDescent="0.2">
      <c r="C124" s="275" t="s">
        <v>41</v>
      </c>
      <c r="D124" s="276"/>
      <c r="E124" s="276"/>
      <c r="F124" s="277"/>
      <c r="G124" s="112">
        <v>0.01</v>
      </c>
      <c r="H124" s="74"/>
    </row>
    <row r="125" spans="1:10" s="75" customFormat="1" ht="15" customHeight="1" x14ac:dyDescent="0.2">
      <c r="C125" s="275" t="s">
        <v>42</v>
      </c>
      <c r="D125" s="276"/>
      <c r="E125" s="276"/>
      <c r="F125" s="277"/>
      <c r="G125" s="112">
        <v>2E-3</v>
      </c>
      <c r="H125" s="74"/>
    </row>
    <row r="126" spans="1:10" s="75" customFormat="1" ht="15" customHeight="1" x14ac:dyDescent="0.2">
      <c r="C126" s="278" t="s">
        <v>12</v>
      </c>
      <c r="D126" s="276"/>
      <c r="E126" s="276"/>
      <c r="F126" s="277"/>
      <c r="G126" s="113">
        <f>SUM(G118:G125)</f>
        <v>0.3680000000000001</v>
      </c>
      <c r="H126" s="74"/>
      <c r="I126" s="78"/>
      <c r="J126" s="84"/>
    </row>
    <row r="127" spans="1:10" s="80" customFormat="1" ht="9.9499999999999993" customHeight="1" x14ac:dyDescent="0.2">
      <c r="C127" s="76"/>
      <c r="F127" s="114"/>
      <c r="G127" s="78"/>
      <c r="H127" s="79"/>
    </row>
    <row r="128" spans="1:10" s="80" customFormat="1" ht="15" customHeight="1" x14ac:dyDescent="0.2">
      <c r="C128" s="131" t="s">
        <v>207</v>
      </c>
      <c r="D128" s="132"/>
      <c r="E128" s="132"/>
      <c r="F128" s="132"/>
      <c r="G128" s="133"/>
      <c r="H128" s="79"/>
      <c r="I128" s="79"/>
      <c r="J128" s="84"/>
    </row>
    <row r="129" spans="3:10" s="83" customFormat="1" ht="15" customHeight="1" x14ac:dyDescent="0.2">
      <c r="C129" s="275" t="s">
        <v>43</v>
      </c>
      <c r="D129" s="276"/>
      <c r="E129" s="276"/>
      <c r="F129" s="277"/>
      <c r="G129" s="115">
        <v>8.3333000000000004E-2</v>
      </c>
      <c r="H129" s="82"/>
      <c r="I129" s="82"/>
      <c r="J129" s="85"/>
    </row>
    <row r="130" spans="3:10" s="75" customFormat="1" ht="15" customHeight="1" x14ac:dyDescent="0.2">
      <c r="C130" s="275" t="s">
        <v>131</v>
      </c>
      <c r="D130" s="276"/>
      <c r="E130" s="276"/>
      <c r="F130" s="277"/>
      <c r="G130" s="112">
        <f>G129*(1/3)</f>
        <v>2.7777666666666666E-2</v>
      </c>
      <c r="H130" s="74"/>
      <c r="I130" s="82"/>
      <c r="J130" s="84"/>
    </row>
    <row r="131" spans="3:10" s="80" customFormat="1" ht="15" customHeight="1" x14ac:dyDescent="0.2">
      <c r="C131" s="278" t="s">
        <v>12</v>
      </c>
      <c r="D131" s="276"/>
      <c r="E131" s="276"/>
      <c r="F131" s="277"/>
      <c r="G131" s="113">
        <f>SUM(G129:G130)</f>
        <v>0.11111066666666666</v>
      </c>
      <c r="H131" s="79"/>
      <c r="I131" s="79"/>
    </row>
    <row r="132" spans="3:10" s="80" customFormat="1" ht="9.9499999999999993" customHeight="1" x14ac:dyDescent="0.2">
      <c r="C132" s="76"/>
      <c r="F132" s="114"/>
      <c r="G132" s="78"/>
      <c r="H132" s="79"/>
    </row>
    <row r="133" spans="3:10" s="80" customFormat="1" ht="15" customHeight="1" x14ac:dyDescent="0.2">
      <c r="C133" s="131" t="s">
        <v>208</v>
      </c>
      <c r="D133" s="132"/>
      <c r="E133" s="132"/>
      <c r="F133" s="132"/>
      <c r="G133" s="133"/>
      <c r="H133" s="79"/>
      <c r="I133" s="79"/>
      <c r="J133" s="84"/>
    </row>
    <row r="134" spans="3:10" s="75" customFormat="1" ht="15" customHeight="1" x14ac:dyDescent="0.2">
      <c r="C134" s="129" t="s">
        <v>132</v>
      </c>
      <c r="D134" s="127"/>
      <c r="E134" s="127"/>
      <c r="F134" s="128"/>
      <c r="G134" s="112">
        <f>ROUND(1/12,5)</f>
        <v>8.3330000000000001E-2</v>
      </c>
      <c r="H134" s="74"/>
      <c r="I134" s="82"/>
      <c r="J134" s="84"/>
    </row>
    <row r="135" spans="3:10" s="75" customFormat="1" ht="15" customHeight="1" x14ac:dyDescent="0.2">
      <c r="C135" s="275" t="s">
        <v>133</v>
      </c>
      <c r="D135" s="276"/>
      <c r="E135" s="276"/>
      <c r="F135" s="277"/>
      <c r="G135" s="112">
        <f>ROUND(5/30/12,5)</f>
        <v>1.389E-2</v>
      </c>
      <c r="H135" s="74"/>
      <c r="I135" s="82"/>
      <c r="J135" s="84"/>
    </row>
    <row r="136" spans="3:10" s="75" customFormat="1" ht="15" customHeight="1" x14ac:dyDescent="0.2">
      <c r="C136" s="129" t="s">
        <v>134</v>
      </c>
      <c r="D136" s="127"/>
      <c r="E136" s="127"/>
      <c r="F136" s="128"/>
      <c r="G136" s="112">
        <f>ROUND(1/30/12,5)</f>
        <v>2.7799999999999999E-3</v>
      </c>
      <c r="H136" s="74"/>
      <c r="I136" s="82"/>
      <c r="J136" s="84"/>
    </row>
    <row r="137" spans="3:10" s="75" customFormat="1" ht="15" customHeight="1" x14ac:dyDescent="0.2">
      <c r="C137" s="275" t="s">
        <v>135</v>
      </c>
      <c r="D137" s="276"/>
      <c r="E137" s="276"/>
      <c r="F137" s="277"/>
      <c r="G137" s="112">
        <f>ROUND(1/12*0.0078,5)</f>
        <v>6.4999999999999997E-4</v>
      </c>
      <c r="H137" s="74"/>
      <c r="I137" s="74"/>
      <c r="J137" s="84"/>
    </row>
    <row r="138" spans="3:10" s="80" customFormat="1" ht="15" customHeight="1" x14ac:dyDescent="0.2">
      <c r="C138" s="278" t="s">
        <v>12</v>
      </c>
      <c r="D138" s="276"/>
      <c r="E138" s="276"/>
      <c r="F138" s="277"/>
      <c r="G138" s="113">
        <f>SUM(G134:G137)</f>
        <v>0.10065</v>
      </c>
      <c r="H138" s="79"/>
      <c r="I138" s="79"/>
    </row>
    <row r="139" spans="3:10" s="80" customFormat="1" ht="9.9499999999999993" customHeight="1" x14ac:dyDescent="0.2">
      <c r="C139" s="76"/>
      <c r="D139" s="83"/>
      <c r="E139" s="83"/>
      <c r="F139" s="83"/>
      <c r="G139" s="114"/>
      <c r="H139" s="79"/>
      <c r="I139" s="79"/>
      <c r="J139" s="84"/>
    </row>
    <row r="140" spans="3:10" s="83" customFormat="1" ht="15" customHeight="1" x14ac:dyDescent="0.2">
      <c r="C140" s="131" t="s">
        <v>209</v>
      </c>
      <c r="D140" s="132"/>
      <c r="E140" s="132"/>
      <c r="F140" s="132"/>
      <c r="G140" s="133"/>
      <c r="H140" s="82"/>
    </row>
    <row r="141" spans="3:10" s="75" customFormat="1" ht="15" customHeight="1" x14ac:dyDescent="0.2">
      <c r="C141" s="275" t="s">
        <v>210</v>
      </c>
      <c r="D141" s="276"/>
      <c r="E141" s="276"/>
      <c r="F141" s="277"/>
      <c r="G141" s="112">
        <f>ROUND(G126*(G131+G138),5)</f>
        <v>7.7929999999999999E-2</v>
      </c>
      <c r="H141" s="74"/>
    </row>
    <row r="142" spans="3:10" s="80" customFormat="1" ht="9.9499999999999993" customHeight="1" x14ac:dyDescent="0.2">
      <c r="C142" s="76"/>
      <c r="D142" s="83"/>
      <c r="E142" s="83"/>
      <c r="F142" s="83"/>
      <c r="G142" s="114"/>
      <c r="H142" s="79"/>
      <c r="I142" s="79"/>
      <c r="J142" s="84"/>
    </row>
    <row r="143" spans="3:10" s="83" customFormat="1" ht="15" customHeight="1" x14ac:dyDescent="0.2">
      <c r="C143" s="131" t="s">
        <v>211</v>
      </c>
      <c r="D143" s="132"/>
      <c r="E143" s="132"/>
      <c r="F143" s="132"/>
      <c r="G143" s="133"/>
      <c r="H143" s="82"/>
    </row>
    <row r="144" spans="3:10" s="75" customFormat="1" ht="15" customHeight="1" x14ac:dyDescent="0.2">
      <c r="C144" s="275" t="s">
        <v>45</v>
      </c>
      <c r="D144" s="276"/>
      <c r="E144" s="276"/>
      <c r="F144" s="277"/>
      <c r="G144" s="112">
        <f>ROUND(0.05*1/12,5)</f>
        <v>4.1700000000000001E-3</v>
      </c>
      <c r="H144" s="74"/>
    </row>
    <row r="145" spans="1:10" s="75" customFormat="1" ht="15" customHeight="1" x14ac:dyDescent="0.2">
      <c r="C145" s="275" t="s">
        <v>136</v>
      </c>
      <c r="D145" s="276"/>
      <c r="E145" s="276"/>
      <c r="F145" s="277"/>
      <c r="G145" s="112">
        <f>ROUND(G119*G144,5)</f>
        <v>3.3E-4</v>
      </c>
      <c r="H145" s="74"/>
    </row>
    <row r="146" spans="1:10" s="75" customFormat="1" ht="15" customHeight="1" x14ac:dyDescent="0.2">
      <c r="C146" s="275" t="s">
        <v>137</v>
      </c>
      <c r="D146" s="276"/>
      <c r="E146" s="276"/>
      <c r="F146" s="277"/>
      <c r="G146" s="112">
        <f>ROUND(0.08*0.4*0.9*(1+1/12+(1/3*1/12)),5)</f>
        <v>3.2000000000000001E-2</v>
      </c>
      <c r="H146" s="74"/>
    </row>
    <row r="147" spans="1:10" s="75" customFormat="1" ht="15" customHeight="1" x14ac:dyDescent="0.2">
      <c r="C147" s="275" t="s">
        <v>44</v>
      </c>
      <c r="D147" s="276"/>
      <c r="E147" s="276"/>
      <c r="F147" s="277"/>
      <c r="G147" s="112">
        <f>ROUND((((7/30)*0.1)/12),5)</f>
        <v>1.9400000000000001E-3</v>
      </c>
      <c r="H147" s="74"/>
    </row>
    <row r="148" spans="1:10" s="75" customFormat="1" ht="15" customHeight="1" x14ac:dyDescent="0.2">
      <c r="C148" s="275" t="s">
        <v>138</v>
      </c>
      <c r="D148" s="276"/>
      <c r="E148" s="276"/>
      <c r="F148" s="277"/>
      <c r="G148" s="112">
        <f>ROUND(G126*G147,5)</f>
        <v>7.1000000000000002E-4</v>
      </c>
      <c r="H148" s="74"/>
    </row>
    <row r="149" spans="1:10" s="80" customFormat="1" ht="15" customHeight="1" x14ac:dyDescent="0.2">
      <c r="C149" s="278" t="s">
        <v>12</v>
      </c>
      <c r="D149" s="276"/>
      <c r="E149" s="276"/>
      <c r="F149" s="277"/>
      <c r="G149" s="113">
        <f>SUM(G144:G148)</f>
        <v>3.9150000000000004E-2</v>
      </c>
      <c r="H149" s="79"/>
      <c r="I149" s="79"/>
    </row>
    <row r="150" spans="1:10" s="75" customFormat="1" ht="9.9499999999999993" customHeight="1" x14ac:dyDescent="0.2">
      <c r="C150" s="76"/>
      <c r="D150" s="80"/>
      <c r="E150" s="80"/>
      <c r="F150" s="80"/>
      <c r="G150" s="114"/>
      <c r="H150" s="74"/>
    </row>
    <row r="151" spans="1:10" s="80" customFormat="1" ht="15" customHeight="1" x14ac:dyDescent="0.2">
      <c r="C151" s="286" t="s">
        <v>212</v>
      </c>
      <c r="D151" s="287"/>
      <c r="E151" s="287"/>
      <c r="F151" s="287"/>
      <c r="G151" s="113">
        <f>+G126+G131+G138+G141+G149</f>
        <v>0.69684066666666689</v>
      </c>
      <c r="H151" s="79"/>
      <c r="I151" s="79"/>
      <c r="J151" s="84"/>
    </row>
    <row r="152" spans="1:10" s="80" customFormat="1" ht="15" customHeight="1" x14ac:dyDescent="0.2">
      <c r="F152" s="74"/>
      <c r="G152" s="79"/>
      <c r="H152" s="79"/>
    </row>
    <row r="153" spans="1:10" s="75" customFormat="1" ht="15" customHeight="1" x14ac:dyDescent="0.2">
      <c r="A153" s="73"/>
      <c r="D153" s="74"/>
      <c r="E153" s="74"/>
      <c r="F153" s="74"/>
      <c r="G153" s="74"/>
      <c r="H153" s="74"/>
    </row>
    <row r="154" spans="1:10" s="1" customFormat="1" ht="7.5" customHeight="1" x14ac:dyDescent="0.2">
      <c r="A154" s="123"/>
      <c r="B154" s="124"/>
      <c r="C154" s="124"/>
      <c r="D154" s="125"/>
      <c r="E154" s="125"/>
      <c r="F154" s="125"/>
      <c r="G154" s="125"/>
      <c r="H154" s="125"/>
      <c r="I154" s="125"/>
      <c r="J154" s="126"/>
    </row>
    <row r="155" spans="1:10" s="75" customFormat="1" ht="15" customHeight="1" x14ac:dyDescent="0.2">
      <c r="A155" s="73"/>
      <c r="D155" s="74"/>
      <c r="E155" s="74"/>
      <c r="F155" s="74"/>
      <c r="G155" s="74"/>
      <c r="H155" s="74"/>
    </row>
    <row r="156" spans="1:10" s="75" customFormat="1" ht="15" customHeight="1" x14ac:dyDescent="0.2">
      <c r="C156" s="288" t="s">
        <v>21</v>
      </c>
      <c r="D156" s="288"/>
      <c r="E156" s="288"/>
      <c r="F156" s="288"/>
      <c r="G156" s="288"/>
      <c r="H156" s="74"/>
    </row>
    <row r="157" spans="1:10" s="75" customFormat="1" ht="15" customHeight="1" thickBot="1" x14ac:dyDescent="0.25">
      <c r="A157" s="86"/>
      <c r="F157" s="74"/>
      <c r="G157" s="74"/>
      <c r="H157" s="74"/>
    </row>
    <row r="158" spans="1:10" s="75" customFormat="1" ht="15" customHeight="1" x14ac:dyDescent="0.2">
      <c r="C158" s="289" t="s">
        <v>22</v>
      </c>
      <c r="D158" s="290"/>
      <c r="E158" s="291"/>
      <c r="F158" s="87" t="s">
        <v>23</v>
      </c>
      <c r="G158" s="88">
        <v>0.03</v>
      </c>
      <c r="H158" s="74"/>
      <c r="I158" s="89"/>
      <c r="J158" s="90"/>
    </row>
    <row r="159" spans="1:10" s="75" customFormat="1" ht="15" customHeight="1" x14ac:dyDescent="0.2">
      <c r="C159" s="282" t="s">
        <v>24</v>
      </c>
      <c r="D159" s="292"/>
      <c r="E159" s="293"/>
      <c r="F159" s="92" t="s">
        <v>25</v>
      </c>
      <c r="G159" s="91">
        <v>0.01</v>
      </c>
      <c r="H159" s="74"/>
      <c r="I159" s="74"/>
      <c r="J159" s="74"/>
    </row>
    <row r="160" spans="1:10" s="75" customFormat="1" ht="15" customHeight="1" x14ac:dyDescent="0.2">
      <c r="C160" s="282" t="s">
        <v>26</v>
      </c>
      <c r="D160" s="276"/>
      <c r="E160" s="277"/>
      <c r="F160" s="92" t="s">
        <v>27</v>
      </c>
      <c r="G160" s="91">
        <v>0.1</v>
      </c>
      <c r="H160" s="74"/>
      <c r="I160" s="74"/>
      <c r="J160" s="74"/>
    </row>
    <row r="161" spans="3:12" s="75" customFormat="1" ht="15" customHeight="1" x14ac:dyDescent="0.2">
      <c r="C161" s="282" t="s">
        <v>28</v>
      </c>
      <c r="D161" s="276"/>
      <c r="E161" s="277"/>
      <c r="F161" s="92" t="s">
        <v>29</v>
      </c>
      <c r="G161" s="91">
        <v>0.01</v>
      </c>
      <c r="H161" s="74"/>
      <c r="I161" s="74"/>
      <c r="J161" s="74"/>
    </row>
    <row r="162" spans="3:12" s="75" customFormat="1" ht="15" customHeight="1" x14ac:dyDescent="0.2">
      <c r="C162" s="282" t="s">
        <v>30</v>
      </c>
      <c r="D162" s="276"/>
      <c r="E162" s="277"/>
      <c r="F162" s="279" t="s">
        <v>31</v>
      </c>
      <c r="G162" s="91">
        <v>0.03</v>
      </c>
      <c r="H162" s="74"/>
      <c r="I162" s="93"/>
      <c r="J162" s="74"/>
    </row>
    <row r="163" spans="3:12" s="75" customFormat="1" ht="15" customHeight="1" x14ac:dyDescent="0.2">
      <c r="C163" s="282" t="s">
        <v>102</v>
      </c>
      <c r="D163" s="276"/>
      <c r="E163" s="277"/>
      <c r="F163" s="280"/>
      <c r="G163" s="118">
        <v>1.6500000000000001E-2</v>
      </c>
      <c r="H163" s="74"/>
      <c r="I163" s="93"/>
      <c r="J163" s="74"/>
    </row>
    <row r="164" spans="3:12" s="75" customFormat="1" ht="15" customHeight="1" x14ac:dyDescent="0.2">
      <c r="C164" s="282" t="s">
        <v>103</v>
      </c>
      <c r="D164" s="276"/>
      <c r="E164" s="277"/>
      <c r="F164" s="280"/>
      <c r="G164" s="118">
        <v>7.5999999999999998E-2</v>
      </c>
      <c r="H164" s="74"/>
      <c r="I164" s="93"/>
      <c r="J164" s="74"/>
    </row>
    <row r="165" spans="3:12" s="75" customFormat="1" ht="15" customHeight="1" thickBot="1" x14ac:dyDescent="0.25">
      <c r="C165" s="283" t="s">
        <v>104</v>
      </c>
      <c r="D165" s="284"/>
      <c r="E165" s="285"/>
      <c r="F165" s="281"/>
      <c r="G165" s="94">
        <v>0</v>
      </c>
      <c r="H165" s="74"/>
      <c r="I165" s="95"/>
      <c r="J165" s="208"/>
      <c r="L165" s="74"/>
    </row>
    <row r="166" spans="3:12" s="75" customFormat="1" ht="15" customHeight="1" x14ac:dyDescent="0.2">
      <c r="C166" s="96" t="s">
        <v>32</v>
      </c>
      <c r="D166" s="97"/>
      <c r="E166" s="97"/>
      <c r="F166" s="97"/>
      <c r="G166" s="98"/>
      <c r="H166" s="74"/>
    </row>
    <row r="167" spans="3:12" s="75" customFormat="1" ht="15" customHeight="1" thickBot="1" x14ac:dyDescent="0.25">
      <c r="C167" s="99" t="s">
        <v>33</v>
      </c>
      <c r="D167" s="117"/>
      <c r="E167" s="117"/>
      <c r="F167" s="100"/>
      <c r="G167" s="101"/>
      <c r="H167" s="74"/>
      <c r="I167" s="84"/>
    </row>
    <row r="168" spans="3:12" s="75" customFormat="1" ht="15" customHeight="1" thickBot="1" x14ac:dyDescent="0.25">
      <c r="C168" s="106" t="s">
        <v>34</v>
      </c>
      <c r="D168" s="102"/>
      <c r="E168" s="102"/>
      <c r="F168" s="102"/>
      <c r="G168" s="103">
        <f>ROUND((((1+G158+G159)*(1+G160)*(1+G161))/(1-(G162+G163+G164+G165))-1),4)</f>
        <v>0.31669999999999998</v>
      </c>
      <c r="H168" s="74"/>
    </row>
    <row r="169" spans="3:12" s="104" customFormat="1" ht="15" customHeight="1" x14ac:dyDescent="0.2"/>
    <row r="170" spans="3:12" s="104" customFormat="1" ht="15" customHeight="1" x14ac:dyDescent="0.2"/>
    <row r="171" spans="3:12" s="104" customFormat="1" ht="15" customHeight="1" x14ac:dyDescent="0.2"/>
    <row r="172" spans="3:12" s="104" customFormat="1" ht="15" customHeight="1" x14ac:dyDescent="0.2"/>
    <row r="173" spans="3:12" s="104" customFormat="1" ht="15" customHeight="1" x14ac:dyDescent="0.2"/>
    <row r="174" spans="3:12" s="104" customFormat="1" ht="15" customHeight="1" x14ac:dyDescent="0.2"/>
    <row r="175" spans="3:12" s="104" customFormat="1" ht="15" customHeight="1" x14ac:dyDescent="0.2"/>
    <row r="176" spans="3:12" s="104" customFormat="1" ht="15" customHeight="1" x14ac:dyDescent="0.2"/>
    <row r="177" s="104" customFormat="1" ht="15" customHeight="1" x14ac:dyDescent="0.2"/>
    <row r="178" s="104" customFormat="1" ht="15" customHeight="1" x14ac:dyDescent="0.2"/>
    <row r="179" s="104" customFormat="1" ht="15" customHeight="1" x14ac:dyDescent="0.2"/>
    <row r="180" s="104" customFormat="1" ht="15" customHeight="1" x14ac:dyDescent="0.2"/>
    <row r="181" s="104" customFormat="1" ht="15" customHeight="1" x14ac:dyDescent="0.2"/>
    <row r="182" s="104" customFormat="1" ht="15" customHeight="1" x14ac:dyDescent="0.2"/>
    <row r="183" s="104" customFormat="1" ht="15" customHeight="1" x14ac:dyDescent="0.2"/>
    <row r="184" s="104" customFormat="1" ht="15" customHeight="1" x14ac:dyDescent="0.2"/>
    <row r="185" s="104" customFormat="1" ht="15" customHeight="1" x14ac:dyDescent="0.2"/>
    <row r="186" s="104" customFormat="1" ht="15" customHeight="1" x14ac:dyDescent="0.2"/>
    <row r="187" s="104" customFormat="1" ht="15" customHeight="1" x14ac:dyDescent="0.2"/>
    <row r="188" s="104" customFormat="1" ht="15" customHeight="1" x14ac:dyDescent="0.2"/>
    <row r="189" s="104" customFormat="1" ht="15" customHeight="1" x14ac:dyDescent="0.2"/>
    <row r="190" s="104" customFormat="1" ht="15" customHeight="1" x14ac:dyDescent="0.2"/>
    <row r="191" s="104" customFormat="1" ht="15" customHeight="1" x14ac:dyDescent="0.2"/>
    <row r="192" s="104" customFormat="1" ht="15" customHeight="1" x14ac:dyDescent="0.2"/>
    <row r="193" s="104" customFormat="1" ht="15" customHeight="1" x14ac:dyDescent="0.2"/>
    <row r="194" s="104" customFormat="1" ht="15" customHeight="1" x14ac:dyDescent="0.2"/>
    <row r="195" s="104" customFormat="1" ht="15" customHeight="1" x14ac:dyDescent="0.2"/>
    <row r="196" s="104" customFormat="1" ht="15" customHeight="1" x14ac:dyDescent="0.2"/>
    <row r="197" s="104" customFormat="1" ht="15" customHeight="1" x14ac:dyDescent="0.2"/>
    <row r="198" s="104" customFormat="1" x14ac:dyDescent="0.2"/>
    <row r="199" s="104" customFormat="1" x14ac:dyDescent="0.2"/>
    <row r="200" s="104" customFormat="1" x14ac:dyDescent="0.2"/>
    <row r="201" s="104" customFormat="1" x14ac:dyDescent="0.2"/>
    <row r="202" s="104" customFormat="1" x14ac:dyDescent="0.2"/>
    <row r="203" s="104" customFormat="1" x14ac:dyDescent="0.2"/>
    <row r="204" s="104" customFormat="1" x14ac:dyDescent="0.2"/>
    <row r="205" s="104" customFormat="1" x14ac:dyDescent="0.2"/>
    <row r="206" s="104" customFormat="1" x14ac:dyDescent="0.2"/>
    <row r="207" s="104" customFormat="1" x14ac:dyDescent="0.2"/>
    <row r="208" s="104" customFormat="1" x14ac:dyDescent="0.2"/>
    <row r="209" s="104" customFormat="1" x14ac:dyDescent="0.2"/>
    <row r="210" s="104" customFormat="1" x14ac:dyDescent="0.2"/>
    <row r="211" s="104" customFormat="1" x14ac:dyDescent="0.2"/>
    <row r="212" s="104" customFormat="1" x14ac:dyDescent="0.2"/>
  </sheetData>
  <mergeCells count="78">
    <mergeCell ref="B91:D91"/>
    <mergeCell ref="A90:G90"/>
    <mergeCell ref="A5:F8"/>
    <mergeCell ref="A92:H92"/>
    <mergeCell ref="B68:D68"/>
    <mergeCell ref="B69:D69"/>
    <mergeCell ref="B77:D77"/>
    <mergeCell ref="B81:D81"/>
    <mergeCell ref="B82:D82"/>
    <mergeCell ref="A39:I39"/>
    <mergeCell ref="A48:G48"/>
    <mergeCell ref="A51:H51"/>
    <mergeCell ref="A56:G56"/>
    <mergeCell ref="A61:H61"/>
    <mergeCell ref="A63:I63"/>
    <mergeCell ref="B64:D64"/>
    <mergeCell ref="A1:I1"/>
    <mergeCell ref="A2:I2"/>
    <mergeCell ref="A4:F4"/>
    <mergeCell ref="G4:I4"/>
    <mergeCell ref="A37:H37"/>
    <mergeCell ref="A10:I10"/>
    <mergeCell ref="A15:G15"/>
    <mergeCell ref="A17:G17"/>
    <mergeCell ref="A24:G24"/>
    <mergeCell ref="A26:G26"/>
    <mergeCell ref="A30:A31"/>
    <mergeCell ref="A32:H32"/>
    <mergeCell ref="A33:A34"/>
    <mergeCell ref="A35:H35"/>
    <mergeCell ref="B65:D65"/>
    <mergeCell ref="B66:D66"/>
    <mergeCell ref="B67:D67"/>
    <mergeCell ref="B89:D89"/>
    <mergeCell ref="B80:D80"/>
    <mergeCell ref="A83:G83"/>
    <mergeCell ref="B84:D84"/>
    <mergeCell ref="A85:H85"/>
    <mergeCell ref="B88:D88"/>
    <mergeCell ref="B109:I109"/>
    <mergeCell ref="A99:I99"/>
    <mergeCell ref="A102:H102"/>
    <mergeCell ref="A104:H104"/>
    <mergeCell ref="A106:H106"/>
    <mergeCell ref="C122:F122"/>
    <mergeCell ref="B111:I111"/>
    <mergeCell ref="C118:F118"/>
    <mergeCell ref="C119:F119"/>
    <mergeCell ref="C120:F120"/>
    <mergeCell ref="C121:F121"/>
    <mergeCell ref="C141:F141"/>
    <mergeCell ref="C123:F123"/>
    <mergeCell ref="C124:F124"/>
    <mergeCell ref="C125:F125"/>
    <mergeCell ref="C126:F126"/>
    <mergeCell ref="C129:F129"/>
    <mergeCell ref="C130:F130"/>
    <mergeCell ref="C135:F135"/>
    <mergeCell ref="C137:F137"/>
    <mergeCell ref="C138:F138"/>
    <mergeCell ref="C131:F131"/>
    <mergeCell ref="F162:F165"/>
    <mergeCell ref="C163:E163"/>
    <mergeCell ref="C164:E164"/>
    <mergeCell ref="C165:E165"/>
    <mergeCell ref="C151:F151"/>
    <mergeCell ref="C156:G156"/>
    <mergeCell ref="C158:E158"/>
    <mergeCell ref="C159:E159"/>
    <mergeCell ref="C160:E160"/>
    <mergeCell ref="C161:E161"/>
    <mergeCell ref="C162:E162"/>
    <mergeCell ref="C144:F144"/>
    <mergeCell ref="C149:F149"/>
    <mergeCell ref="C145:F145"/>
    <mergeCell ref="C146:F146"/>
    <mergeCell ref="C147:F147"/>
    <mergeCell ref="C148:F148"/>
  </mergeCells>
  <dataValidations count="1">
    <dataValidation type="custom" allowBlank="1" showInputMessage="1" showErrorMessage="1" sqref="G165" xr:uid="{7E9CD971-DA2C-4F2F-8C93-D5EBE4F9E56A}">
      <formula1>#REF!</formula1>
    </dataValidation>
  </dataValidations>
  <printOptions horizontalCentered="1"/>
  <pageMargins left="0.39370078740157483" right="0.39370078740157483" top="0.59055118110236227" bottom="0.62992125984251968" header="0.31496062992125984" footer="0.31496062992125984"/>
  <pageSetup paperSize="9" scale="95" orientation="portrait" r:id="rId1"/>
  <rowBreaks count="1" manualBreakCount="1">
    <brk id="11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203"/>
  <sheetViews>
    <sheetView topLeftCell="A79" zoomScale="170" zoomScaleNormal="170" workbookViewId="0">
      <selection activeCell="I100" sqref="I100"/>
    </sheetView>
  </sheetViews>
  <sheetFormatPr defaultRowHeight="12.75" x14ac:dyDescent="0.2"/>
  <cols>
    <col min="1" max="1" width="2.85546875" style="2" customWidth="1"/>
    <col min="2" max="4" width="14.28515625" style="2" customWidth="1"/>
    <col min="5" max="5" width="8.42578125" style="2" customWidth="1"/>
    <col min="6" max="9" width="10.7109375" style="2" customWidth="1"/>
    <col min="10" max="16384" width="9.140625" style="2"/>
  </cols>
  <sheetData>
    <row r="1" spans="1:9" ht="15.75" x14ac:dyDescent="0.2">
      <c r="A1" s="327" t="s">
        <v>105</v>
      </c>
      <c r="B1" s="327"/>
      <c r="C1" s="327"/>
      <c r="D1" s="327"/>
      <c r="E1" s="327"/>
      <c r="F1" s="327"/>
      <c r="G1" s="327"/>
      <c r="H1" s="327"/>
      <c r="I1" s="327"/>
    </row>
    <row r="2" spans="1:9" ht="15.75" x14ac:dyDescent="0.2">
      <c r="A2" s="327" t="s">
        <v>106</v>
      </c>
      <c r="B2" s="327"/>
      <c r="C2" s="327"/>
      <c r="D2" s="327"/>
      <c r="E2" s="327"/>
      <c r="F2" s="327"/>
      <c r="G2" s="327"/>
      <c r="H2" s="327"/>
      <c r="I2" s="327"/>
    </row>
    <row r="3" spans="1:9" ht="12.75" customHeight="1" x14ac:dyDescent="0.2">
      <c r="A3" s="119"/>
      <c r="B3" s="119"/>
      <c r="C3" s="119"/>
      <c r="D3" s="119"/>
      <c r="E3" s="119"/>
      <c r="F3" s="119"/>
      <c r="G3" s="119"/>
      <c r="H3" s="119"/>
      <c r="I3" s="119"/>
    </row>
    <row r="4" spans="1:9" ht="48" customHeight="1" x14ac:dyDescent="0.2">
      <c r="A4" s="328" t="s">
        <v>226</v>
      </c>
      <c r="B4" s="329"/>
      <c r="C4" s="329"/>
      <c r="D4" s="329"/>
      <c r="E4" s="329"/>
      <c r="F4" s="330"/>
      <c r="G4" s="331" t="s">
        <v>161</v>
      </c>
      <c r="H4" s="332"/>
      <c r="I4" s="333"/>
    </row>
    <row r="5" spans="1:9" s="6" customFormat="1" ht="15" customHeight="1" x14ac:dyDescent="0.2">
      <c r="A5" s="347" t="s">
        <v>46</v>
      </c>
      <c r="B5" s="348"/>
      <c r="C5" s="348"/>
      <c r="D5" s="348"/>
      <c r="E5" s="348"/>
      <c r="F5" s="349"/>
      <c r="G5" s="4" t="s">
        <v>129</v>
      </c>
      <c r="H5" s="4" t="s">
        <v>47</v>
      </c>
      <c r="I5" s="5">
        <v>1845.8</v>
      </c>
    </row>
    <row r="6" spans="1:9" s="6" customFormat="1" ht="15" customHeight="1" x14ac:dyDescent="0.2">
      <c r="A6" s="350"/>
      <c r="B6" s="351"/>
      <c r="C6" s="351"/>
      <c r="D6" s="351"/>
      <c r="E6" s="351"/>
      <c r="F6" s="352"/>
      <c r="G6" s="4" t="s">
        <v>129</v>
      </c>
      <c r="H6" s="4" t="s">
        <v>48</v>
      </c>
      <c r="I6" s="5">
        <v>8.39</v>
      </c>
    </row>
    <row r="7" spans="1:9" ht="12.75" customHeight="1" x14ac:dyDescent="0.2">
      <c r="A7" s="350"/>
      <c r="B7" s="351"/>
      <c r="C7" s="351"/>
      <c r="D7" s="351"/>
      <c r="E7" s="351"/>
      <c r="F7" s="352"/>
      <c r="G7" s="4" t="s">
        <v>129</v>
      </c>
      <c r="H7" s="7" t="s">
        <v>215</v>
      </c>
      <c r="I7" s="130">
        <f>ROUND(((I5/220)*0.2),3)</f>
        <v>1.6779999999999999</v>
      </c>
    </row>
    <row r="8" spans="1:9" ht="12.75" customHeight="1" x14ac:dyDescent="0.2">
      <c r="A8" s="353"/>
      <c r="B8" s="354"/>
      <c r="C8" s="354"/>
      <c r="D8" s="354"/>
      <c r="E8" s="354"/>
      <c r="F8" s="355"/>
      <c r="G8" s="4" t="s">
        <v>129</v>
      </c>
      <c r="H8" s="8" t="s">
        <v>130</v>
      </c>
      <c r="I8" s="9">
        <v>0.2</v>
      </c>
    </row>
    <row r="9" spans="1:9" ht="6" customHeight="1" x14ac:dyDescent="0.2">
      <c r="B9" s="3"/>
      <c r="C9" s="3"/>
      <c r="D9" s="3"/>
      <c r="E9" s="3"/>
      <c r="F9" s="3"/>
    </row>
    <row r="10" spans="1:9" s="6" customFormat="1" ht="12.75" customHeight="1" x14ac:dyDescent="0.2">
      <c r="A10" s="337" t="s">
        <v>63</v>
      </c>
      <c r="B10" s="338"/>
      <c r="C10" s="338"/>
      <c r="D10" s="338"/>
      <c r="E10" s="338"/>
      <c r="F10" s="338"/>
      <c r="G10" s="338"/>
      <c r="H10" s="338"/>
      <c r="I10" s="339"/>
    </row>
    <row r="11" spans="1:9" s="6" customFormat="1" ht="15" customHeight="1" x14ac:dyDescent="0.2">
      <c r="A11" s="10" t="s">
        <v>64</v>
      </c>
      <c r="B11" s="11" t="s">
        <v>159</v>
      </c>
      <c r="C11" s="12"/>
      <c r="D11" s="12"/>
      <c r="E11" s="13" t="s">
        <v>18</v>
      </c>
      <c r="F11" s="13" t="s">
        <v>11</v>
      </c>
      <c r="G11" s="13" t="s">
        <v>20</v>
      </c>
      <c r="H11" s="13" t="s">
        <v>19</v>
      </c>
      <c r="I11" s="10" t="s">
        <v>50</v>
      </c>
    </row>
    <row r="12" spans="1:9" s="6" customFormat="1" ht="12.75" customHeight="1" x14ac:dyDescent="0.2">
      <c r="A12" s="14">
        <v>1</v>
      </c>
      <c r="B12" s="15" t="s">
        <v>51</v>
      </c>
      <c r="C12" s="16"/>
      <c r="D12" s="16"/>
      <c r="E12" s="17" t="s">
        <v>52</v>
      </c>
      <c r="F12" s="17">
        <v>1</v>
      </c>
      <c r="G12" s="37">
        <f>I5</f>
        <v>1845.8</v>
      </c>
      <c r="H12" s="38">
        <f>F12*G12</f>
        <v>1845.8</v>
      </c>
      <c r="I12" s="41"/>
    </row>
    <row r="13" spans="1:9" s="6" customFormat="1" ht="12.75" customHeight="1" x14ac:dyDescent="0.2">
      <c r="A13" s="18">
        <v>2</v>
      </c>
      <c r="B13" s="15" t="s">
        <v>53</v>
      </c>
      <c r="C13" s="16"/>
      <c r="D13" s="16"/>
      <c r="E13" s="17" t="s">
        <v>54</v>
      </c>
      <c r="F13" s="17">
        <v>220</v>
      </c>
      <c r="G13" s="37">
        <f>I7</f>
        <v>1.6779999999999999</v>
      </c>
      <c r="H13" s="38">
        <f>F13*G13</f>
        <v>369.15999999999997</v>
      </c>
      <c r="I13" s="42"/>
    </row>
    <row r="14" spans="1:9" s="6" customFormat="1" ht="12.75" customHeight="1" x14ac:dyDescent="0.2">
      <c r="A14" s="340" t="s">
        <v>1</v>
      </c>
      <c r="B14" s="341"/>
      <c r="C14" s="341"/>
      <c r="D14" s="341"/>
      <c r="E14" s="341"/>
      <c r="F14" s="341"/>
      <c r="G14" s="342"/>
      <c r="H14" s="38">
        <f>SUM(H12:H13)</f>
        <v>2214.96</v>
      </c>
      <c r="I14" s="45"/>
    </row>
    <row r="15" spans="1:9" s="6" customFormat="1" ht="12.75" customHeight="1" x14ac:dyDescent="0.2">
      <c r="A15" s="39">
        <v>3</v>
      </c>
      <c r="B15" s="318" t="s">
        <v>2</v>
      </c>
      <c r="C15" s="276"/>
      <c r="D15" s="277"/>
      <c r="E15" s="14" t="s">
        <v>0</v>
      </c>
      <c r="F15" s="107">
        <f>G144*100</f>
        <v>69.684066666666695</v>
      </c>
      <c r="G15" s="43">
        <f>H14</f>
        <v>2214.96</v>
      </c>
      <c r="H15" s="38">
        <f>G15*(F15/100)</f>
        <v>1543.4742030400007</v>
      </c>
      <c r="I15" s="42"/>
    </row>
    <row r="16" spans="1:9" s="6" customFormat="1" ht="12.75" customHeight="1" x14ac:dyDescent="0.2">
      <c r="A16" s="321" t="s">
        <v>55</v>
      </c>
      <c r="B16" s="322"/>
      <c r="C16" s="322"/>
      <c r="D16" s="322"/>
      <c r="E16" s="322"/>
      <c r="F16" s="322"/>
      <c r="G16" s="322"/>
      <c r="H16" s="38">
        <f>SUM(H14:H15)</f>
        <v>3758.4342030400007</v>
      </c>
      <c r="I16" s="20"/>
    </row>
    <row r="17" spans="1:10" s="6" customFormat="1" ht="12.75" customHeight="1" x14ac:dyDescent="0.2">
      <c r="A17" s="14">
        <v>4</v>
      </c>
      <c r="B17" s="318" t="s">
        <v>56</v>
      </c>
      <c r="C17" s="276"/>
      <c r="D17" s="277"/>
      <c r="E17" s="14" t="s">
        <v>57</v>
      </c>
      <c r="F17" s="14">
        <v>1</v>
      </c>
      <c r="G17" s="43">
        <f>H16</f>
        <v>3758.4342030400007</v>
      </c>
      <c r="H17" s="40">
        <f>F17*G17</f>
        <v>3758.4342030400007</v>
      </c>
      <c r="I17" s="46">
        <f>H17</f>
        <v>3758.4342030400007</v>
      </c>
    </row>
    <row r="18" spans="1:10" ht="6" customHeight="1" x14ac:dyDescent="0.2">
      <c r="B18" s="3"/>
      <c r="C18" s="3"/>
      <c r="D18" s="3"/>
      <c r="E18" s="3"/>
      <c r="F18" s="3"/>
    </row>
    <row r="19" spans="1:10" s="6" customFormat="1" ht="15" customHeight="1" x14ac:dyDescent="0.2">
      <c r="A19" s="10" t="s">
        <v>65</v>
      </c>
      <c r="B19" s="11" t="s">
        <v>160</v>
      </c>
      <c r="C19" s="12"/>
      <c r="D19" s="12"/>
      <c r="E19" s="13" t="s">
        <v>18</v>
      </c>
      <c r="F19" s="13" t="s">
        <v>11</v>
      </c>
      <c r="G19" s="13" t="s">
        <v>20</v>
      </c>
      <c r="H19" s="13" t="s">
        <v>19</v>
      </c>
      <c r="I19" s="10" t="s">
        <v>50</v>
      </c>
    </row>
    <row r="20" spans="1:10" s="6" customFormat="1" ht="12.75" customHeight="1" x14ac:dyDescent="0.2">
      <c r="A20" s="14">
        <v>1</v>
      </c>
      <c r="B20" s="318" t="s">
        <v>51</v>
      </c>
      <c r="C20" s="276"/>
      <c r="D20" s="277"/>
      <c r="E20" s="17" t="s">
        <v>52</v>
      </c>
      <c r="F20" s="17">
        <v>1</v>
      </c>
      <c r="G20" s="37">
        <f>I5</f>
        <v>1845.8</v>
      </c>
      <c r="H20" s="38">
        <f>F20*G20</f>
        <v>1845.8</v>
      </c>
      <c r="I20" s="41"/>
    </row>
    <row r="21" spans="1:10" s="6" customFormat="1" ht="12.75" customHeight="1" x14ac:dyDescent="0.2">
      <c r="A21" s="18">
        <v>2</v>
      </c>
      <c r="B21" s="318" t="s">
        <v>58</v>
      </c>
      <c r="C21" s="276"/>
      <c r="D21" s="277"/>
      <c r="E21" s="17" t="s">
        <v>54</v>
      </c>
      <c r="F21" s="19">
        <f>I13</f>
        <v>0</v>
      </c>
      <c r="G21" s="37">
        <v>0</v>
      </c>
      <c r="H21" s="38">
        <v>0</v>
      </c>
      <c r="I21" s="42"/>
    </row>
    <row r="22" spans="1:10" s="6" customFormat="1" ht="12.75" customHeight="1" x14ac:dyDescent="0.2">
      <c r="A22" s="340" t="s">
        <v>1</v>
      </c>
      <c r="B22" s="341"/>
      <c r="C22" s="341"/>
      <c r="D22" s="341"/>
      <c r="E22" s="341"/>
      <c r="F22" s="341"/>
      <c r="G22" s="342"/>
      <c r="H22" s="38">
        <f>SUM(H20:H21)</f>
        <v>1845.8</v>
      </c>
      <c r="I22" s="45"/>
    </row>
    <row r="23" spans="1:10" s="6" customFormat="1" ht="12.75" customHeight="1" x14ac:dyDescent="0.2">
      <c r="A23" s="39">
        <v>3</v>
      </c>
      <c r="B23" s="318" t="s">
        <v>2</v>
      </c>
      <c r="C23" s="276"/>
      <c r="D23" s="277"/>
      <c r="E23" s="14" t="s">
        <v>0</v>
      </c>
      <c r="F23" s="107">
        <f>G144*100</f>
        <v>69.684066666666695</v>
      </c>
      <c r="G23" s="43">
        <f>H22</f>
        <v>1845.8</v>
      </c>
      <c r="H23" s="38">
        <f>G23*(F23/100)</f>
        <v>1286.228502533334</v>
      </c>
      <c r="I23" s="42"/>
    </row>
    <row r="24" spans="1:10" s="6" customFormat="1" ht="12.75" customHeight="1" x14ac:dyDescent="0.2">
      <c r="A24" s="321" t="s">
        <v>55</v>
      </c>
      <c r="B24" s="322"/>
      <c r="C24" s="322"/>
      <c r="D24" s="322"/>
      <c r="E24" s="322"/>
      <c r="F24" s="322"/>
      <c r="G24" s="322"/>
      <c r="H24" s="38">
        <f>SUM(H22:H23)</f>
        <v>3132.0285025333342</v>
      </c>
      <c r="I24" s="20"/>
    </row>
    <row r="25" spans="1:10" s="6" customFormat="1" ht="12.75" customHeight="1" x14ac:dyDescent="0.2">
      <c r="A25" s="14">
        <v>4</v>
      </c>
      <c r="B25" s="318" t="s">
        <v>56</v>
      </c>
      <c r="C25" s="276"/>
      <c r="D25" s="277"/>
      <c r="E25" s="14" t="s">
        <v>57</v>
      </c>
      <c r="F25" s="14">
        <v>1</v>
      </c>
      <c r="G25" s="43">
        <f>H24</f>
        <v>3132.0285025333342</v>
      </c>
      <c r="H25" s="40">
        <f>F25*G25</f>
        <v>3132.0285025333342</v>
      </c>
      <c r="I25" s="46">
        <f>H25</f>
        <v>3132.0285025333342</v>
      </c>
    </row>
    <row r="26" spans="1:10" s="27" customFormat="1" ht="6" customHeight="1" x14ac:dyDescent="0.2">
      <c r="A26" s="22"/>
      <c r="B26" s="22"/>
      <c r="C26" s="22"/>
      <c r="D26" s="25"/>
      <c r="E26" s="22"/>
      <c r="F26" s="22"/>
      <c r="G26" s="22"/>
      <c r="H26" s="22"/>
      <c r="I26" s="22"/>
      <c r="J26" s="26"/>
    </row>
    <row r="27" spans="1:10" s="21" customFormat="1" ht="15" customHeight="1" x14ac:dyDescent="0.2">
      <c r="A27" s="10" t="s">
        <v>66</v>
      </c>
      <c r="B27" s="11" t="s">
        <v>61</v>
      </c>
      <c r="C27" s="12"/>
      <c r="D27" s="12"/>
      <c r="E27" s="13" t="s">
        <v>18</v>
      </c>
      <c r="F27" s="13" t="s">
        <v>11</v>
      </c>
      <c r="G27" s="13" t="s">
        <v>20</v>
      </c>
      <c r="H27" s="13" t="s">
        <v>19</v>
      </c>
      <c r="I27" s="10" t="s">
        <v>50</v>
      </c>
      <c r="J27" s="24"/>
    </row>
    <row r="28" spans="1:10" s="21" customFormat="1" ht="12.75" customHeight="1" x14ac:dyDescent="0.2">
      <c r="A28" s="343">
        <v>1</v>
      </c>
      <c r="B28" s="318" t="s">
        <v>216</v>
      </c>
      <c r="C28" s="319"/>
      <c r="D28" s="320"/>
      <c r="E28" s="17" t="s">
        <v>59</v>
      </c>
      <c r="F28" s="47">
        <f>(SUM(F17,F25))*30</f>
        <v>60</v>
      </c>
      <c r="G28" s="48">
        <v>27</v>
      </c>
      <c r="H28" s="48">
        <f>F28*G28</f>
        <v>1620</v>
      </c>
      <c r="I28" s="41"/>
      <c r="J28" s="24"/>
    </row>
    <row r="29" spans="1:10" s="21" customFormat="1" ht="12.75" customHeight="1" x14ac:dyDescent="0.2">
      <c r="A29" s="344"/>
      <c r="B29" s="318" t="s">
        <v>49</v>
      </c>
      <c r="C29" s="319"/>
      <c r="D29" s="320"/>
      <c r="E29" s="17" t="s">
        <v>0</v>
      </c>
      <c r="F29" s="28">
        <v>-0.2</v>
      </c>
      <c r="G29" s="37">
        <f>H28</f>
        <v>1620</v>
      </c>
      <c r="H29" s="49">
        <f>F29*G29</f>
        <v>-324</v>
      </c>
      <c r="I29" s="50"/>
      <c r="J29" s="24"/>
    </row>
    <row r="30" spans="1:10" s="21" customFormat="1" ht="12.75" customHeight="1" x14ac:dyDescent="0.2">
      <c r="A30" s="321" t="s">
        <v>1</v>
      </c>
      <c r="B30" s="322"/>
      <c r="C30" s="322"/>
      <c r="D30" s="322"/>
      <c r="E30" s="322"/>
      <c r="F30" s="322"/>
      <c r="G30" s="322"/>
      <c r="H30" s="326"/>
      <c r="I30" s="46">
        <f>SUM(H28:H29)</f>
        <v>1296</v>
      </c>
      <c r="J30" s="24"/>
    </row>
    <row r="31" spans="1:10" s="21" customFormat="1" ht="12.75" customHeight="1" x14ac:dyDescent="0.2">
      <c r="A31" s="343">
        <v>2</v>
      </c>
      <c r="B31" s="318" t="s">
        <v>164</v>
      </c>
      <c r="C31" s="276"/>
      <c r="D31" s="277"/>
      <c r="E31" s="17" t="s">
        <v>59</v>
      </c>
      <c r="F31" s="47">
        <f>(SUM(F17,F25))*30</f>
        <v>60</v>
      </c>
      <c r="G31" s="48">
        <v>4</v>
      </c>
      <c r="H31" s="48">
        <f>F31*G31</f>
        <v>240</v>
      </c>
      <c r="I31" s="41"/>
      <c r="J31" s="24"/>
    </row>
    <row r="32" spans="1:10" s="21" customFormat="1" ht="12.75" customHeight="1" x14ac:dyDescent="0.2">
      <c r="A32" s="344"/>
      <c r="B32" s="318" t="s">
        <v>60</v>
      </c>
      <c r="C32" s="276"/>
      <c r="D32" s="277"/>
      <c r="E32" s="17" t="s">
        <v>0</v>
      </c>
      <c r="F32" s="28">
        <v>-0.06</v>
      </c>
      <c r="G32" s="37">
        <f>I5*(F17+F25)</f>
        <v>3691.6</v>
      </c>
      <c r="H32" s="49">
        <f>F32*G32</f>
        <v>-221.49599999999998</v>
      </c>
      <c r="I32" s="51"/>
      <c r="J32" s="24"/>
    </row>
    <row r="33" spans="1:10" s="21" customFormat="1" ht="12.75" customHeight="1" x14ac:dyDescent="0.2">
      <c r="A33" s="321" t="s">
        <v>1</v>
      </c>
      <c r="B33" s="322"/>
      <c r="C33" s="322"/>
      <c r="D33" s="322"/>
      <c r="E33" s="322"/>
      <c r="F33" s="322"/>
      <c r="G33" s="322"/>
      <c r="H33" s="326"/>
      <c r="I33" s="46">
        <f>SUM(H31:H32)</f>
        <v>18.504000000000019</v>
      </c>
      <c r="J33" s="24"/>
    </row>
    <row r="34" spans="1:10" s="27" customFormat="1" ht="6" customHeight="1" x14ac:dyDescent="0.2">
      <c r="A34" s="22"/>
      <c r="B34" s="22"/>
      <c r="C34" s="22"/>
      <c r="D34" s="22"/>
      <c r="E34" s="29"/>
      <c r="F34" s="29"/>
      <c r="G34" s="30"/>
      <c r="H34" s="29"/>
      <c r="I34" s="31"/>
      <c r="J34" s="32"/>
    </row>
    <row r="35" spans="1:10" s="27" customFormat="1" ht="15" customHeight="1" x14ac:dyDescent="0.2">
      <c r="A35" s="334" t="s">
        <v>62</v>
      </c>
      <c r="B35" s="335"/>
      <c r="C35" s="335"/>
      <c r="D35" s="335"/>
      <c r="E35" s="335"/>
      <c r="F35" s="335"/>
      <c r="G35" s="335"/>
      <c r="H35" s="336"/>
      <c r="I35" s="52">
        <f>SUM(I17,I25,I30,I33)</f>
        <v>8204.9667055733353</v>
      </c>
      <c r="J35" s="34"/>
    </row>
    <row r="36" spans="1:10" ht="6" customHeight="1" x14ac:dyDescent="0.2">
      <c r="B36" s="3"/>
      <c r="C36" s="3"/>
      <c r="D36" s="3"/>
      <c r="E36" s="3"/>
      <c r="F36" s="3"/>
    </row>
    <row r="37" spans="1:10" s="22" customFormat="1" x14ac:dyDescent="0.2">
      <c r="A37" s="300" t="s">
        <v>13</v>
      </c>
      <c r="B37" s="301"/>
      <c r="C37" s="301"/>
      <c r="D37" s="301"/>
      <c r="E37" s="301"/>
      <c r="F37" s="301"/>
      <c r="G37" s="301"/>
      <c r="H37" s="301"/>
      <c r="I37" s="302"/>
      <c r="J37" s="35"/>
    </row>
    <row r="38" spans="1:10" s="22" customFormat="1" ht="15" customHeight="1" x14ac:dyDescent="0.2">
      <c r="A38" s="53" t="s">
        <v>67</v>
      </c>
      <c r="B38" s="59" t="s">
        <v>73</v>
      </c>
      <c r="C38" s="60"/>
      <c r="D38" s="60"/>
      <c r="E38" s="13" t="s">
        <v>18</v>
      </c>
      <c r="F38" s="13" t="s">
        <v>11</v>
      </c>
      <c r="G38" s="13" t="s">
        <v>20</v>
      </c>
      <c r="H38" s="13" t="s">
        <v>19</v>
      </c>
      <c r="I38" s="10" t="s">
        <v>50</v>
      </c>
      <c r="J38" s="35"/>
    </row>
    <row r="39" spans="1:10" s="22" customFormat="1" ht="12.75" customHeight="1" x14ac:dyDescent="0.2">
      <c r="A39" s="14">
        <v>1</v>
      </c>
      <c r="B39" s="318" t="s">
        <v>7</v>
      </c>
      <c r="C39" s="276"/>
      <c r="D39" s="277"/>
      <c r="E39" s="17" t="s">
        <v>18</v>
      </c>
      <c r="F39" s="56">
        <v>0.16666666666666666</v>
      </c>
      <c r="G39" s="57">
        <v>212.9</v>
      </c>
      <c r="H39" s="58">
        <f>F39*G39</f>
        <v>35.483333333333334</v>
      </c>
      <c r="I39" s="41"/>
      <c r="J39" s="35"/>
    </row>
    <row r="40" spans="1:10" s="22" customFormat="1" ht="12.75" customHeight="1" x14ac:dyDescent="0.2">
      <c r="A40" s="14">
        <v>2</v>
      </c>
      <c r="B40" s="318" t="s">
        <v>68</v>
      </c>
      <c r="C40" s="276"/>
      <c r="D40" s="277"/>
      <c r="E40" s="17" t="s">
        <v>18</v>
      </c>
      <c r="F40" s="56">
        <v>0.16666666666666666</v>
      </c>
      <c r="G40" s="57">
        <v>89.9</v>
      </c>
      <c r="H40" s="58">
        <f t="shared" ref="H40:H45" si="0">F40*G40</f>
        <v>14.983333333333334</v>
      </c>
      <c r="I40" s="42"/>
      <c r="J40" s="35"/>
    </row>
    <row r="41" spans="1:10" s="22" customFormat="1" ht="12.75" customHeight="1" x14ac:dyDescent="0.2">
      <c r="A41" s="14">
        <v>3</v>
      </c>
      <c r="B41" s="318" t="s">
        <v>69</v>
      </c>
      <c r="C41" s="276"/>
      <c r="D41" s="277"/>
      <c r="E41" s="17" t="s">
        <v>14</v>
      </c>
      <c r="F41" s="56">
        <v>8.3333333333333329E-2</v>
      </c>
      <c r="G41" s="57">
        <v>154.9</v>
      </c>
      <c r="H41" s="58">
        <f t="shared" si="0"/>
        <v>12.908333333333333</v>
      </c>
      <c r="I41" s="42"/>
      <c r="J41" s="35"/>
    </row>
    <row r="42" spans="1:10" s="22" customFormat="1" ht="12.75" customHeight="1" x14ac:dyDescent="0.2">
      <c r="A42" s="14">
        <v>4</v>
      </c>
      <c r="B42" s="318" t="s">
        <v>70</v>
      </c>
      <c r="C42" s="276"/>
      <c r="D42" s="277"/>
      <c r="E42" s="17" t="s">
        <v>18</v>
      </c>
      <c r="F42" s="56">
        <v>8.3333333333333329E-2</v>
      </c>
      <c r="G42" s="57">
        <v>13.9</v>
      </c>
      <c r="H42" s="58">
        <f t="shared" si="0"/>
        <v>1.1583333333333332</v>
      </c>
      <c r="I42" s="42"/>
      <c r="J42" s="35"/>
    </row>
    <row r="43" spans="1:10" s="22" customFormat="1" ht="12.75" customHeight="1" x14ac:dyDescent="0.2">
      <c r="A43" s="14">
        <v>5</v>
      </c>
      <c r="B43" s="318" t="s">
        <v>71</v>
      </c>
      <c r="C43" s="276"/>
      <c r="D43" s="277"/>
      <c r="E43" s="17" t="s">
        <v>18</v>
      </c>
      <c r="F43" s="56">
        <v>8.3333333333333329E-2</v>
      </c>
      <c r="G43" s="57">
        <v>229.9</v>
      </c>
      <c r="H43" s="58">
        <f t="shared" si="0"/>
        <v>19.158333333333331</v>
      </c>
      <c r="I43" s="42"/>
      <c r="J43" s="35"/>
    </row>
    <row r="44" spans="1:10" s="22" customFormat="1" ht="12.75" customHeight="1" x14ac:dyDescent="0.2">
      <c r="A44" s="14">
        <v>6</v>
      </c>
      <c r="B44" s="318" t="s">
        <v>72</v>
      </c>
      <c r="C44" s="276"/>
      <c r="D44" s="277"/>
      <c r="E44" s="17" t="s">
        <v>14</v>
      </c>
      <c r="F44" s="56">
        <v>0.16666666666666666</v>
      </c>
      <c r="G44" s="57">
        <v>25.2</v>
      </c>
      <c r="H44" s="58">
        <f t="shared" si="0"/>
        <v>4.1999999999999993</v>
      </c>
      <c r="I44" s="42"/>
      <c r="J44" s="35"/>
    </row>
    <row r="45" spans="1:10" s="22" customFormat="1" ht="12.75" customHeight="1" x14ac:dyDescent="0.2">
      <c r="A45" s="14">
        <v>7</v>
      </c>
      <c r="B45" s="318" t="s">
        <v>8</v>
      </c>
      <c r="C45" s="276"/>
      <c r="D45" s="277"/>
      <c r="E45" s="17" t="s">
        <v>18</v>
      </c>
      <c r="F45" s="56">
        <v>8.3333333333333329E-2</v>
      </c>
      <c r="G45" s="57">
        <v>18.899999999999999</v>
      </c>
      <c r="H45" s="58">
        <f t="shared" si="0"/>
        <v>1.5749999999999997</v>
      </c>
      <c r="I45" s="42"/>
      <c r="J45" s="35"/>
    </row>
    <row r="46" spans="1:10" s="22" customFormat="1" ht="12.75" customHeight="1" x14ac:dyDescent="0.2">
      <c r="A46" s="321" t="s">
        <v>1</v>
      </c>
      <c r="B46" s="322"/>
      <c r="C46" s="322"/>
      <c r="D46" s="322"/>
      <c r="E46" s="322"/>
      <c r="F46" s="322"/>
      <c r="G46" s="322"/>
      <c r="H46" s="110">
        <f>SUM(H39:H45)</f>
        <v>89.466666666666669</v>
      </c>
      <c r="I46" s="20"/>
      <c r="J46" s="35"/>
    </row>
    <row r="47" spans="1:10" s="22" customFormat="1" ht="12.75" customHeight="1" x14ac:dyDescent="0.2">
      <c r="A47" s="14">
        <v>8</v>
      </c>
      <c r="B47" s="318" t="s">
        <v>3</v>
      </c>
      <c r="C47" s="276"/>
      <c r="D47" s="277"/>
      <c r="E47" s="14" t="s">
        <v>57</v>
      </c>
      <c r="F47" s="14">
        <v>1</v>
      </c>
      <c r="G47" s="43">
        <f>H46</f>
        <v>89.466666666666669</v>
      </c>
      <c r="H47" s="40">
        <f>F47*G47</f>
        <v>89.466666666666669</v>
      </c>
      <c r="I47" s="46">
        <f>H47</f>
        <v>89.466666666666669</v>
      </c>
      <c r="J47" s="29"/>
    </row>
    <row r="48" spans="1:10" s="27" customFormat="1" ht="5.0999999999999996" customHeight="1" x14ac:dyDescent="0.2">
      <c r="J48" s="32"/>
    </row>
    <row r="49" spans="1:10" s="27" customFormat="1" ht="15" customHeight="1" x14ac:dyDescent="0.2">
      <c r="A49" s="334" t="s">
        <v>74</v>
      </c>
      <c r="B49" s="335"/>
      <c r="C49" s="335"/>
      <c r="D49" s="335"/>
      <c r="E49" s="335"/>
      <c r="F49" s="335"/>
      <c r="G49" s="335"/>
      <c r="H49" s="336"/>
      <c r="I49" s="52">
        <f>SUM(I47)</f>
        <v>89.466666666666669</v>
      </c>
      <c r="J49" s="34"/>
    </row>
    <row r="50" spans="1:10" ht="6" customHeight="1" x14ac:dyDescent="0.2">
      <c r="B50" s="3"/>
      <c r="C50" s="3"/>
      <c r="D50" s="3"/>
      <c r="E50" s="3"/>
      <c r="F50" s="3"/>
    </row>
    <row r="51" spans="1:10" s="6" customFormat="1" ht="15" customHeight="1" x14ac:dyDescent="0.2">
      <c r="A51" s="10" t="s">
        <v>109</v>
      </c>
      <c r="B51" s="11" t="s">
        <v>95</v>
      </c>
      <c r="C51" s="12"/>
      <c r="D51" s="12"/>
      <c r="E51" s="13" t="s">
        <v>18</v>
      </c>
      <c r="F51" s="13" t="s">
        <v>11</v>
      </c>
      <c r="G51" s="13" t="s">
        <v>20</v>
      </c>
      <c r="H51" s="13" t="s">
        <v>19</v>
      </c>
      <c r="I51" s="10" t="s">
        <v>50</v>
      </c>
    </row>
    <row r="52" spans="1:10" s="21" customFormat="1" ht="12.75" customHeight="1" x14ac:dyDescent="0.2">
      <c r="A52" s="14">
        <v>1</v>
      </c>
      <c r="B52" s="55" t="s">
        <v>92</v>
      </c>
      <c r="C52" s="16"/>
      <c r="D52" s="16"/>
      <c r="E52" s="17" t="s">
        <v>18</v>
      </c>
      <c r="F52" s="61">
        <v>1</v>
      </c>
      <c r="G52" s="57">
        <f>I35</f>
        <v>8204.9667055733353</v>
      </c>
      <c r="H52" s="58">
        <f>F52*G52</f>
        <v>8204.9667055733353</v>
      </c>
      <c r="I52" s="111"/>
      <c r="J52" s="24"/>
    </row>
    <row r="53" spans="1:10" s="21" customFormat="1" ht="12.75" customHeight="1" x14ac:dyDescent="0.2">
      <c r="A53" s="14">
        <v>2</v>
      </c>
      <c r="B53" s="54" t="s">
        <v>93</v>
      </c>
      <c r="C53" s="16"/>
      <c r="D53" s="16"/>
      <c r="E53" s="17" t="s">
        <v>18</v>
      </c>
      <c r="F53" s="61">
        <v>1</v>
      </c>
      <c r="G53" s="57">
        <f>I49</f>
        <v>89.466666666666669</v>
      </c>
      <c r="H53" s="58">
        <f>F53*G53</f>
        <v>89.466666666666669</v>
      </c>
      <c r="I53" s="108"/>
      <c r="J53" s="24"/>
    </row>
    <row r="54" spans="1:10" s="21" customFormat="1" ht="12.75" customHeight="1" x14ac:dyDescent="0.2">
      <c r="A54" s="321" t="s">
        <v>1</v>
      </c>
      <c r="B54" s="322"/>
      <c r="C54" s="322"/>
      <c r="D54" s="322"/>
      <c r="E54" s="322"/>
      <c r="F54" s="322"/>
      <c r="G54" s="322"/>
      <c r="H54" s="110">
        <f>SUM(H52:H53)</f>
        <v>8294.4333722400024</v>
      </c>
      <c r="I54" s="108"/>
      <c r="J54" s="24"/>
    </row>
    <row r="55" spans="1:10" s="21" customFormat="1" ht="12.75" customHeight="1" x14ac:dyDescent="0.2">
      <c r="A55" s="14">
        <v>3</v>
      </c>
      <c r="B55" s="55" t="s">
        <v>96</v>
      </c>
      <c r="C55" s="16"/>
      <c r="D55" s="16"/>
      <c r="E55" s="17" t="s">
        <v>94</v>
      </c>
      <c r="F55" s="61">
        <v>880</v>
      </c>
      <c r="G55" s="57">
        <f>H54/F55</f>
        <v>9.4254924684545482</v>
      </c>
      <c r="H55" s="58">
        <f>F55*G55</f>
        <v>8294.4333722400024</v>
      </c>
      <c r="I55" s="109"/>
      <c r="J55" s="24"/>
    </row>
    <row r="56" spans="1:10" s="21" customFormat="1" ht="12.75" customHeight="1" x14ac:dyDescent="0.2">
      <c r="A56" s="14">
        <v>4</v>
      </c>
      <c r="B56" s="55" t="s">
        <v>97</v>
      </c>
      <c r="C56" s="16"/>
      <c r="D56" s="16"/>
      <c r="E56" s="17" t="s">
        <v>94</v>
      </c>
      <c r="F56" s="61">
        <f>((2.5*4)*8)+((2.5*3)*22)</f>
        <v>245</v>
      </c>
      <c r="G56" s="57">
        <f>G55</f>
        <v>9.4254924684545482</v>
      </c>
      <c r="H56" s="58">
        <f>F56*G56</f>
        <v>2309.2456547713641</v>
      </c>
      <c r="I56" s="62">
        <f>H56</f>
        <v>2309.2456547713641</v>
      </c>
      <c r="J56" s="24"/>
    </row>
    <row r="57" spans="1:10" s="21" customFormat="1" ht="12.75" customHeight="1" x14ac:dyDescent="0.2">
      <c r="A57" s="64" t="s">
        <v>222</v>
      </c>
      <c r="B57" s="27"/>
      <c r="C57" s="27"/>
      <c r="D57" s="27"/>
      <c r="E57" s="27"/>
      <c r="F57" s="27"/>
      <c r="G57" s="27"/>
      <c r="H57" s="27"/>
      <c r="I57" s="27"/>
      <c r="J57" s="24"/>
    </row>
    <row r="58" spans="1:10" s="27" customFormat="1" ht="6" customHeight="1" x14ac:dyDescent="0.2">
      <c r="A58" s="22"/>
      <c r="B58" s="22"/>
      <c r="C58" s="22"/>
      <c r="D58" s="22"/>
      <c r="E58" s="29"/>
      <c r="F58" s="29"/>
      <c r="G58" s="30"/>
      <c r="H58" s="29"/>
      <c r="I58" s="31"/>
      <c r="J58" s="32"/>
    </row>
    <row r="59" spans="1:10" s="27" customFormat="1" ht="15" customHeight="1" x14ac:dyDescent="0.2">
      <c r="A59" s="334" t="s">
        <v>98</v>
      </c>
      <c r="B59" s="335"/>
      <c r="C59" s="335"/>
      <c r="D59" s="335"/>
      <c r="E59" s="335"/>
      <c r="F59" s="335"/>
      <c r="G59" s="335"/>
      <c r="H59" s="336"/>
      <c r="I59" s="52">
        <f>I56</f>
        <v>2309.2456547713641</v>
      </c>
      <c r="J59" s="34"/>
    </row>
    <row r="60" spans="1:10" s="27" customFormat="1" ht="5.0999999999999996" customHeight="1" x14ac:dyDescent="0.2">
      <c r="J60" s="32"/>
    </row>
    <row r="61" spans="1:10" s="22" customFormat="1" x14ac:dyDescent="0.2">
      <c r="A61" s="300" t="s">
        <v>110</v>
      </c>
      <c r="B61" s="301"/>
      <c r="C61" s="301"/>
      <c r="D61" s="301"/>
      <c r="E61" s="301"/>
      <c r="F61" s="301"/>
      <c r="G61" s="301"/>
      <c r="H61" s="301"/>
      <c r="I61" s="302"/>
      <c r="J61" s="35"/>
    </row>
    <row r="62" spans="1:10" s="22" customFormat="1" ht="15" customHeight="1" x14ac:dyDescent="0.2">
      <c r="A62" s="53" t="s">
        <v>91</v>
      </c>
      <c r="B62" s="59" t="s">
        <v>156</v>
      </c>
      <c r="C62" s="60"/>
      <c r="D62" s="60"/>
      <c r="E62" s="13" t="s">
        <v>18</v>
      </c>
      <c r="F62" s="13" t="s">
        <v>11</v>
      </c>
      <c r="G62" s="13" t="s">
        <v>20</v>
      </c>
      <c r="H62" s="13" t="s">
        <v>19</v>
      </c>
      <c r="I62" s="10" t="s">
        <v>50</v>
      </c>
      <c r="J62" s="35"/>
    </row>
    <row r="63" spans="1:10" s="22" customFormat="1" ht="12.75" customHeight="1" x14ac:dyDescent="0.2">
      <c r="A63" s="14">
        <v>1</v>
      </c>
      <c r="B63" s="318" t="s">
        <v>75</v>
      </c>
      <c r="C63" s="276"/>
      <c r="D63" s="277"/>
      <c r="E63" s="17" t="s">
        <v>18</v>
      </c>
      <c r="F63" s="61">
        <v>1</v>
      </c>
      <c r="G63" s="57">
        <v>19045</v>
      </c>
      <c r="H63" s="58"/>
      <c r="I63" s="41"/>
      <c r="J63" s="35"/>
    </row>
    <row r="64" spans="1:10" s="22" customFormat="1" ht="12.75" customHeight="1" x14ac:dyDescent="0.2">
      <c r="A64" s="14">
        <v>2</v>
      </c>
      <c r="B64" s="318" t="s">
        <v>76</v>
      </c>
      <c r="C64" s="276"/>
      <c r="D64" s="277"/>
      <c r="E64" s="17" t="s">
        <v>0</v>
      </c>
      <c r="F64" s="61">
        <v>80</v>
      </c>
      <c r="G64" s="57">
        <f>G63</f>
        <v>19045</v>
      </c>
      <c r="H64" s="58">
        <f>(F64*G64)/100</f>
        <v>15236</v>
      </c>
      <c r="I64" s="42"/>
      <c r="J64" s="35"/>
    </row>
    <row r="65" spans="1:10" s="22" customFormat="1" ht="12.75" customHeight="1" x14ac:dyDescent="0.2">
      <c r="A65" s="14">
        <v>3</v>
      </c>
      <c r="B65" s="318" t="s">
        <v>77</v>
      </c>
      <c r="C65" s="276"/>
      <c r="D65" s="277"/>
      <c r="E65" s="17" t="s">
        <v>52</v>
      </c>
      <c r="F65" s="61">
        <v>60</v>
      </c>
      <c r="G65" s="57">
        <f>H64</f>
        <v>15236</v>
      </c>
      <c r="H65" s="58">
        <f>G65/F65</f>
        <v>253.93333333333334</v>
      </c>
      <c r="I65" s="42"/>
      <c r="J65" s="35"/>
    </row>
    <row r="66" spans="1:10" s="21" customFormat="1" ht="12.75" customHeight="1" x14ac:dyDescent="0.2">
      <c r="A66" s="321" t="s">
        <v>1</v>
      </c>
      <c r="B66" s="322"/>
      <c r="C66" s="322"/>
      <c r="D66" s="322"/>
      <c r="E66" s="322"/>
      <c r="F66" s="322"/>
      <c r="G66" s="322"/>
      <c r="H66" s="326"/>
      <c r="I66" s="62">
        <f>H65</f>
        <v>253.93333333333334</v>
      </c>
      <c r="J66" s="24"/>
    </row>
    <row r="67" spans="1:10" s="22" customFormat="1" ht="15" customHeight="1" x14ac:dyDescent="0.2">
      <c r="A67" s="53" t="s">
        <v>111</v>
      </c>
      <c r="B67" s="59" t="s">
        <v>78</v>
      </c>
      <c r="C67" s="60"/>
      <c r="D67" s="60"/>
      <c r="E67" s="13" t="s">
        <v>18</v>
      </c>
      <c r="F67" s="13" t="s">
        <v>11</v>
      </c>
      <c r="G67" s="13" t="s">
        <v>20</v>
      </c>
      <c r="H67" s="13" t="s">
        <v>19</v>
      </c>
      <c r="I67" s="10" t="s">
        <v>50</v>
      </c>
      <c r="J67" s="35"/>
    </row>
    <row r="68" spans="1:10" s="22" customFormat="1" ht="12.75" customHeight="1" x14ac:dyDescent="0.2">
      <c r="A68" s="14">
        <v>1</v>
      </c>
      <c r="B68" s="318" t="s">
        <v>4</v>
      </c>
      <c r="C68" s="276"/>
      <c r="D68" s="277"/>
      <c r="E68" s="17" t="s">
        <v>18</v>
      </c>
      <c r="F68" s="61">
        <v>1</v>
      </c>
      <c r="G68" s="57">
        <f>G63*0.02</f>
        <v>380.90000000000003</v>
      </c>
      <c r="H68" s="58"/>
      <c r="I68" s="41"/>
      <c r="J68" s="35"/>
    </row>
    <row r="69" spans="1:10" s="22" customFormat="1" ht="12.75" customHeight="1" x14ac:dyDescent="0.2">
      <c r="A69" s="14">
        <v>2</v>
      </c>
      <c r="B69" s="318" t="s">
        <v>15</v>
      </c>
      <c r="C69" s="276"/>
      <c r="D69" s="277"/>
      <c r="E69" s="17" t="s">
        <v>18</v>
      </c>
      <c r="F69" s="61">
        <v>1</v>
      </c>
      <c r="G69" s="57">
        <v>0</v>
      </c>
      <c r="H69" s="58"/>
      <c r="I69" s="42"/>
      <c r="J69" s="35"/>
    </row>
    <row r="70" spans="1:10" s="22" customFormat="1" ht="12.75" customHeight="1" x14ac:dyDescent="0.2">
      <c r="A70" s="14">
        <v>3</v>
      </c>
      <c r="B70" s="318" t="s">
        <v>5</v>
      </c>
      <c r="C70" s="276"/>
      <c r="D70" s="277"/>
      <c r="E70" s="17" t="s">
        <v>52</v>
      </c>
      <c r="F70" s="61">
        <v>12</v>
      </c>
      <c r="G70" s="57">
        <f>SUM(G68:G69)</f>
        <v>380.90000000000003</v>
      </c>
      <c r="H70" s="58">
        <f>G70/F70</f>
        <v>31.741666666666671</v>
      </c>
      <c r="I70" s="42"/>
      <c r="J70" s="35"/>
    </row>
    <row r="71" spans="1:10" s="21" customFormat="1" ht="12.75" customHeight="1" x14ac:dyDescent="0.2">
      <c r="A71" s="321" t="s">
        <v>1</v>
      </c>
      <c r="B71" s="322"/>
      <c r="C71" s="322"/>
      <c r="D71" s="322"/>
      <c r="E71" s="322"/>
      <c r="F71" s="322"/>
      <c r="G71" s="322"/>
      <c r="H71" s="326"/>
      <c r="I71" s="62">
        <f>H70</f>
        <v>31.741666666666671</v>
      </c>
      <c r="J71" s="24"/>
    </row>
    <row r="72" spans="1:10" s="27" customFormat="1" ht="5.0999999999999996" customHeight="1" x14ac:dyDescent="0.2">
      <c r="J72" s="32"/>
    </row>
    <row r="73" spans="1:10" s="22" customFormat="1" ht="15" customHeight="1" x14ac:dyDescent="0.2">
      <c r="A73" s="53" t="s">
        <v>112</v>
      </c>
      <c r="B73" s="59" t="s">
        <v>84</v>
      </c>
      <c r="C73" s="60"/>
      <c r="D73" s="60"/>
      <c r="E73" s="13" t="s">
        <v>18</v>
      </c>
      <c r="F73" s="13" t="s">
        <v>11</v>
      </c>
      <c r="G73" s="13" t="s">
        <v>20</v>
      </c>
      <c r="H73" s="13" t="s">
        <v>19</v>
      </c>
      <c r="I73" s="10" t="s">
        <v>50</v>
      </c>
      <c r="J73" s="35"/>
    </row>
    <row r="74" spans="1:10" s="22" customFormat="1" ht="12.75" customHeight="1" x14ac:dyDescent="0.2">
      <c r="A74" s="14">
        <v>1</v>
      </c>
      <c r="B74" s="362" t="s">
        <v>79</v>
      </c>
      <c r="C74" s="363"/>
      <c r="D74" s="364"/>
      <c r="E74" s="17" t="s">
        <v>80</v>
      </c>
      <c r="F74" s="63">
        <v>24</v>
      </c>
      <c r="G74" s="212">
        <v>6.2</v>
      </c>
      <c r="H74" s="58">
        <f>F74*G74</f>
        <v>148.80000000000001</v>
      </c>
      <c r="I74" s="41"/>
      <c r="J74" s="35"/>
    </row>
    <row r="75" spans="1:10" s="22" customFormat="1" ht="12.75" customHeight="1" x14ac:dyDescent="0.2">
      <c r="A75" s="14">
        <v>2</v>
      </c>
      <c r="B75" s="362" t="s">
        <v>99</v>
      </c>
      <c r="C75" s="276"/>
      <c r="D75" s="277"/>
      <c r="E75" s="17" t="s">
        <v>18</v>
      </c>
      <c r="F75" s="65">
        <v>720</v>
      </c>
      <c r="G75" s="57">
        <v>6.2</v>
      </c>
      <c r="H75" s="58">
        <f>F75*G75</f>
        <v>4464</v>
      </c>
      <c r="I75" s="42"/>
      <c r="J75" s="35"/>
    </row>
    <row r="76" spans="1:10" s="22" customFormat="1" ht="12.75" customHeight="1" x14ac:dyDescent="0.2">
      <c r="A76" s="14">
        <v>3</v>
      </c>
      <c r="B76" s="362" t="s">
        <v>81</v>
      </c>
      <c r="C76" s="276"/>
      <c r="D76" s="277"/>
      <c r="E76" s="17" t="s">
        <v>82</v>
      </c>
      <c r="F76" s="61">
        <v>1</v>
      </c>
      <c r="G76" s="57">
        <v>62.99</v>
      </c>
      <c r="H76" s="58">
        <f>F76*G76</f>
        <v>62.99</v>
      </c>
      <c r="I76" s="42"/>
      <c r="J76" s="35"/>
    </row>
    <row r="77" spans="1:10" s="22" customFormat="1" ht="12.75" customHeight="1" x14ac:dyDescent="0.2">
      <c r="A77" s="14">
        <v>4</v>
      </c>
      <c r="B77" s="362" t="s">
        <v>6</v>
      </c>
      <c r="C77" s="276"/>
      <c r="D77" s="277"/>
      <c r="E77" s="17" t="s">
        <v>83</v>
      </c>
      <c r="F77" s="65">
        <f>F75</f>
        <v>720</v>
      </c>
      <c r="G77" s="57">
        <f>F76*G76</f>
        <v>62.99</v>
      </c>
      <c r="H77" s="58">
        <f>(F77*G77)/5000</f>
        <v>9.0705600000000004</v>
      </c>
      <c r="I77" s="42"/>
      <c r="J77" s="35"/>
    </row>
    <row r="78" spans="1:10" s="22" customFormat="1" ht="12.75" customHeight="1" x14ac:dyDescent="0.2">
      <c r="A78" s="14">
        <v>5</v>
      </c>
      <c r="B78" s="362" t="s">
        <v>85</v>
      </c>
      <c r="C78" s="276"/>
      <c r="D78" s="277"/>
      <c r="E78" s="17" t="s">
        <v>18</v>
      </c>
      <c r="F78" s="61">
        <v>1</v>
      </c>
      <c r="G78" s="57">
        <v>419.9</v>
      </c>
      <c r="H78" s="58">
        <v>419.9</v>
      </c>
      <c r="I78" s="42"/>
      <c r="J78" s="35"/>
    </row>
    <row r="79" spans="1:10" s="22" customFormat="1" ht="12.75" customHeight="1" x14ac:dyDescent="0.2">
      <c r="A79" s="14">
        <v>6</v>
      </c>
      <c r="B79" s="362" t="s">
        <v>86</v>
      </c>
      <c r="C79" s="276"/>
      <c r="D79" s="277"/>
      <c r="E79" s="17" t="s">
        <v>87</v>
      </c>
      <c r="F79" s="65">
        <v>40000</v>
      </c>
      <c r="G79" s="57">
        <f>G78</f>
        <v>419.9</v>
      </c>
      <c r="H79" s="58">
        <f>G79/F79</f>
        <v>1.04975E-2</v>
      </c>
      <c r="I79" s="42"/>
      <c r="J79" s="35"/>
    </row>
    <row r="80" spans="1:10" s="22" customFormat="1" ht="12.75" customHeight="1" x14ac:dyDescent="0.2">
      <c r="A80" s="14">
        <v>7</v>
      </c>
      <c r="B80" s="362" t="s">
        <v>16</v>
      </c>
      <c r="C80" s="276"/>
      <c r="D80" s="277"/>
      <c r="E80" s="17" t="s">
        <v>83</v>
      </c>
      <c r="F80" s="65">
        <f>F77</f>
        <v>720</v>
      </c>
      <c r="G80" s="57">
        <f>H79</f>
        <v>1.04975E-2</v>
      </c>
      <c r="H80" s="58">
        <f>F80*G80</f>
        <v>7.5582000000000003</v>
      </c>
      <c r="I80" s="42"/>
      <c r="J80" s="35"/>
    </row>
    <row r="81" spans="1:10" s="22" customFormat="1" ht="12.75" customHeight="1" x14ac:dyDescent="0.2">
      <c r="A81" s="14">
        <v>8</v>
      </c>
      <c r="B81" s="318" t="s">
        <v>107</v>
      </c>
      <c r="C81" s="276"/>
      <c r="D81" s="277"/>
      <c r="E81" s="17" t="s">
        <v>18</v>
      </c>
      <c r="F81" s="61">
        <v>1</v>
      </c>
      <c r="G81" s="57">
        <v>140</v>
      </c>
      <c r="H81" s="58">
        <v>140</v>
      </c>
      <c r="I81" s="42"/>
      <c r="J81" s="35"/>
    </row>
    <row r="82" spans="1:10" s="22" customFormat="1" ht="12.75" customHeight="1" x14ac:dyDescent="0.2">
      <c r="A82" s="14">
        <v>9</v>
      </c>
      <c r="B82" s="318" t="s">
        <v>108</v>
      </c>
      <c r="C82" s="276"/>
      <c r="D82" s="277"/>
      <c r="E82" s="17" t="s">
        <v>52</v>
      </c>
      <c r="F82" s="61">
        <v>60</v>
      </c>
      <c r="G82" s="57">
        <f>G81</f>
        <v>140</v>
      </c>
      <c r="H82" s="58">
        <f>G82/F82</f>
        <v>2.3333333333333335</v>
      </c>
      <c r="I82" s="42"/>
      <c r="J82" s="35"/>
    </row>
    <row r="83" spans="1:10" s="22" customFormat="1" ht="12.75" customHeight="1" x14ac:dyDescent="0.2">
      <c r="A83" s="14">
        <v>10</v>
      </c>
      <c r="B83" s="318" t="s">
        <v>100</v>
      </c>
      <c r="C83" s="276"/>
      <c r="D83" s="277"/>
      <c r="E83" s="17" t="s">
        <v>52</v>
      </c>
      <c r="F83" s="61">
        <v>12</v>
      </c>
      <c r="G83" s="57">
        <v>800</v>
      </c>
      <c r="H83" s="58">
        <f>G83/F83</f>
        <v>66.666666666666671</v>
      </c>
      <c r="I83" s="42"/>
      <c r="J83" s="35"/>
    </row>
    <row r="84" spans="1:10" s="21" customFormat="1" ht="12.75" customHeight="1" x14ac:dyDescent="0.2">
      <c r="A84" s="321" t="s">
        <v>1</v>
      </c>
      <c r="B84" s="322"/>
      <c r="C84" s="322"/>
      <c r="D84" s="322"/>
      <c r="E84" s="322"/>
      <c r="F84" s="322"/>
      <c r="G84" s="322"/>
      <c r="H84" s="326"/>
      <c r="I84" s="62">
        <f>SUM(H74:H83)</f>
        <v>5321.3292575000005</v>
      </c>
      <c r="J84" s="24"/>
    </row>
    <row r="85" spans="1:10" s="27" customFormat="1" ht="12.75" customHeight="1" x14ac:dyDescent="0.2">
      <c r="A85" s="64" t="s">
        <v>230</v>
      </c>
      <c r="J85" s="32"/>
    </row>
    <row r="86" spans="1:10" s="27" customFormat="1" ht="12.75" customHeight="1" x14ac:dyDescent="0.2">
      <c r="A86" s="64" t="s">
        <v>101</v>
      </c>
      <c r="J86" s="32"/>
    </row>
    <row r="87" spans="1:10" s="27" customFormat="1" ht="5.0999999999999996" customHeight="1" x14ac:dyDescent="0.2">
      <c r="J87" s="32"/>
    </row>
    <row r="88" spans="1:10" s="27" customFormat="1" ht="15" customHeight="1" x14ac:dyDescent="0.2">
      <c r="A88" s="68" t="s">
        <v>88</v>
      </c>
      <c r="B88" s="69"/>
      <c r="C88" s="69"/>
      <c r="D88" s="69"/>
      <c r="E88" s="69"/>
      <c r="F88" s="69"/>
      <c r="G88" s="69"/>
      <c r="H88" s="70"/>
      <c r="I88" s="52">
        <f>SUM(I66,I71,I84)</f>
        <v>5607.0042575000007</v>
      </c>
      <c r="J88" s="34"/>
    </row>
    <row r="89" spans="1:10" s="27" customFormat="1" ht="5.0999999999999996" customHeight="1" x14ac:dyDescent="0.2">
      <c r="J89" s="32"/>
    </row>
    <row r="90" spans="1:10" s="27" customFormat="1" ht="15" customHeight="1" x14ac:dyDescent="0.2">
      <c r="A90" s="66" t="s">
        <v>10</v>
      </c>
      <c r="B90" s="67"/>
      <c r="C90" s="67"/>
      <c r="D90" s="67"/>
      <c r="E90" s="67"/>
      <c r="F90" s="67"/>
      <c r="G90" s="67"/>
      <c r="H90" s="36"/>
      <c r="I90" s="33">
        <f>SUM(I59,I88)</f>
        <v>7916.2499122713652</v>
      </c>
      <c r="J90" s="32"/>
    </row>
    <row r="91" spans="1:10" s="27" customFormat="1" ht="5.0999999999999996" customHeight="1" x14ac:dyDescent="0.2">
      <c r="J91" s="32"/>
    </row>
    <row r="92" spans="1:10" s="22" customFormat="1" x14ac:dyDescent="0.2">
      <c r="A92" s="300" t="s">
        <v>113</v>
      </c>
      <c r="B92" s="301"/>
      <c r="C92" s="301"/>
      <c r="D92" s="301"/>
      <c r="E92" s="301"/>
      <c r="F92" s="301"/>
      <c r="G92" s="301"/>
      <c r="H92" s="301"/>
      <c r="I92" s="302"/>
      <c r="J92" s="35"/>
    </row>
    <row r="93" spans="1:10" s="22" customFormat="1" ht="15" customHeight="1" x14ac:dyDescent="0.2">
      <c r="A93" s="53" t="s">
        <v>114</v>
      </c>
      <c r="B93" s="59" t="s">
        <v>17</v>
      </c>
      <c r="C93" s="60"/>
      <c r="D93" s="60"/>
      <c r="E93" s="13" t="s">
        <v>18</v>
      </c>
      <c r="F93" s="13" t="s">
        <v>11</v>
      </c>
      <c r="G93" s="13" t="s">
        <v>20</v>
      </c>
      <c r="H93" s="13" t="s">
        <v>19</v>
      </c>
      <c r="I93" s="10" t="s">
        <v>50</v>
      </c>
      <c r="J93" s="35"/>
    </row>
    <row r="94" spans="1:10" s="22" customFormat="1" ht="12.75" customHeight="1" x14ac:dyDescent="0.2">
      <c r="A94" s="14">
        <v>1</v>
      </c>
      <c r="B94" s="318" t="s">
        <v>9</v>
      </c>
      <c r="C94" s="276"/>
      <c r="D94" s="277"/>
      <c r="E94" s="71" t="s">
        <v>0</v>
      </c>
      <c r="F94" s="71">
        <f>G161*100</f>
        <v>31.669999999999998</v>
      </c>
      <c r="G94" s="72">
        <f>I90</f>
        <v>7916.2499122713652</v>
      </c>
      <c r="H94" s="72">
        <f>F94*G94/100</f>
        <v>2507.0763472163412</v>
      </c>
      <c r="I94" s="23"/>
      <c r="J94" s="35"/>
    </row>
    <row r="95" spans="1:10" s="22" customFormat="1" ht="15" customHeight="1" x14ac:dyDescent="0.2">
      <c r="A95" s="303" t="s">
        <v>89</v>
      </c>
      <c r="B95" s="304"/>
      <c r="C95" s="304"/>
      <c r="D95" s="304"/>
      <c r="E95" s="304"/>
      <c r="F95" s="304"/>
      <c r="G95" s="304"/>
      <c r="H95" s="305"/>
      <c r="I95" s="62">
        <f>SUM(H94)</f>
        <v>2507.0763472163412</v>
      </c>
      <c r="J95" s="35"/>
    </row>
    <row r="96" spans="1:10" s="22" customFormat="1" ht="5.0999999999999996" customHeight="1" x14ac:dyDescent="0.2">
      <c r="J96" s="35"/>
    </row>
    <row r="97" spans="1:12" s="27" customFormat="1" ht="15" customHeight="1" x14ac:dyDescent="0.2">
      <c r="A97" s="306" t="s">
        <v>90</v>
      </c>
      <c r="B97" s="307"/>
      <c r="C97" s="307"/>
      <c r="D97" s="307"/>
      <c r="E97" s="307"/>
      <c r="F97" s="307"/>
      <c r="G97" s="307"/>
      <c r="H97" s="308"/>
      <c r="I97" s="33">
        <f>SUM(I90,I95)</f>
        <v>10423.326259487707</v>
      </c>
      <c r="J97" s="32"/>
    </row>
    <row r="98" spans="1:12" s="22" customFormat="1" ht="5.0999999999999996" customHeight="1" x14ac:dyDescent="0.2">
      <c r="J98" s="35"/>
    </row>
    <row r="99" spans="1:12" s="27" customFormat="1" ht="15" customHeight="1" x14ac:dyDescent="0.2">
      <c r="A99" s="306" t="s">
        <v>224</v>
      </c>
      <c r="B99" s="307"/>
      <c r="C99" s="307"/>
      <c r="D99" s="307"/>
      <c r="E99" s="307"/>
      <c r="F99" s="307"/>
      <c r="G99" s="307"/>
      <c r="H99" s="308"/>
      <c r="I99" s="33">
        <f>I97/2</f>
        <v>5211.6631297438535</v>
      </c>
      <c r="J99" s="32"/>
      <c r="L99" s="146"/>
    </row>
    <row r="101" spans="1:12" x14ac:dyDescent="0.2">
      <c r="B101" s="2" t="s">
        <v>126</v>
      </c>
    </row>
    <row r="102" spans="1:12" ht="24.75" customHeight="1" x14ac:dyDescent="0.2">
      <c r="B102" s="294" t="s">
        <v>127</v>
      </c>
      <c r="C102" s="294"/>
      <c r="D102" s="294"/>
      <c r="E102" s="294"/>
      <c r="F102" s="294"/>
      <c r="G102" s="294"/>
      <c r="H102" s="294"/>
      <c r="I102" s="294"/>
    </row>
    <row r="103" spans="1:12" ht="6" customHeight="1" x14ac:dyDescent="0.2"/>
    <row r="104" spans="1:12" ht="37.5" customHeight="1" x14ac:dyDescent="0.2">
      <c r="B104" s="294" t="s">
        <v>128</v>
      </c>
      <c r="C104" s="294"/>
      <c r="D104" s="294"/>
      <c r="E104" s="294"/>
      <c r="F104" s="294"/>
      <c r="G104" s="294"/>
      <c r="H104" s="294"/>
      <c r="I104" s="294"/>
    </row>
    <row r="105" spans="1:12" ht="12.75" customHeight="1" x14ac:dyDescent="0.2"/>
    <row r="107" spans="1:12" s="1" customFormat="1" ht="7.5" customHeight="1" x14ac:dyDescent="0.2">
      <c r="A107" s="123"/>
      <c r="B107" s="124"/>
      <c r="C107" s="124"/>
      <c r="D107" s="125"/>
      <c r="E107" s="125"/>
      <c r="F107" s="125"/>
      <c r="G107" s="125"/>
      <c r="H107" s="125"/>
      <c r="I107" s="125"/>
      <c r="J107" s="126"/>
    </row>
    <row r="108" spans="1:12" s="75" customFormat="1" ht="17.25" customHeight="1" x14ac:dyDescent="0.2">
      <c r="A108" s="116"/>
      <c r="B108" s="74"/>
      <c r="C108" s="116" t="s">
        <v>2</v>
      </c>
      <c r="D108" s="74"/>
      <c r="E108" s="74"/>
      <c r="F108" s="74"/>
      <c r="I108" s="105"/>
    </row>
    <row r="109" spans="1:12" s="75" customFormat="1" ht="15" customHeight="1" x14ac:dyDescent="0.2">
      <c r="A109" s="116"/>
      <c r="B109" s="74"/>
      <c r="C109" s="74"/>
      <c r="D109" s="74"/>
      <c r="E109" s="74"/>
      <c r="F109" s="74"/>
      <c r="I109" s="105"/>
    </row>
    <row r="110" spans="1:12" s="80" customFormat="1" ht="15" customHeight="1" x14ac:dyDescent="0.2">
      <c r="A110" s="76"/>
      <c r="B110" s="77"/>
      <c r="C110" s="207" t="s">
        <v>206</v>
      </c>
      <c r="D110" s="132"/>
      <c r="E110" s="132"/>
      <c r="F110" s="132"/>
      <c r="G110" s="133"/>
      <c r="H110" s="75"/>
      <c r="I110" s="81"/>
      <c r="J110" s="75"/>
    </row>
    <row r="111" spans="1:12" s="83" customFormat="1" ht="15" customHeight="1" x14ac:dyDescent="0.2">
      <c r="C111" s="275" t="s">
        <v>35</v>
      </c>
      <c r="D111" s="295"/>
      <c r="E111" s="295"/>
      <c r="F111" s="296"/>
      <c r="G111" s="112">
        <v>0.2</v>
      </c>
    </row>
    <row r="112" spans="1:12" s="75" customFormat="1" ht="15" customHeight="1" x14ac:dyDescent="0.2">
      <c r="C112" s="275" t="s">
        <v>36</v>
      </c>
      <c r="D112" s="276"/>
      <c r="E112" s="276"/>
      <c r="F112" s="277"/>
      <c r="G112" s="112">
        <v>0.08</v>
      </c>
      <c r="H112" s="74"/>
    </row>
    <row r="113" spans="3:10" s="75" customFormat="1" ht="26.25" customHeight="1" x14ac:dyDescent="0.2">
      <c r="C113" s="297" t="s">
        <v>37</v>
      </c>
      <c r="D113" s="298"/>
      <c r="E113" s="298"/>
      <c r="F113" s="299"/>
      <c r="G113" s="112">
        <v>0.03</v>
      </c>
      <c r="H113" s="74"/>
    </row>
    <row r="114" spans="3:10" s="75" customFormat="1" ht="15" customHeight="1" x14ac:dyDescent="0.2">
      <c r="C114" s="275" t="s">
        <v>38</v>
      </c>
      <c r="D114" s="295"/>
      <c r="E114" s="295"/>
      <c r="F114" s="296"/>
      <c r="G114" s="112">
        <v>2.5000000000000001E-2</v>
      </c>
      <c r="H114" s="74"/>
    </row>
    <row r="115" spans="3:10" s="75" customFormat="1" ht="15" customHeight="1" x14ac:dyDescent="0.2">
      <c r="C115" s="275" t="s">
        <v>39</v>
      </c>
      <c r="D115" s="276"/>
      <c r="E115" s="276"/>
      <c r="F115" s="277"/>
      <c r="G115" s="112">
        <v>6.0000000000000001E-3</v>
      </c>
      <c r="H115" s="74"/>
    </row>
    <row r="116" spans="3:10" s="75" customFormat="1" ht="15" customHeight="1" x14ac:dyDescent="0.2">
      <c r="C116" s="275" t="s">
        <v>40</v>
      </c>
      <c r="D116" s="276"/>
      <c r="E116" s="276"/>
      <c r="F116" s="277"/>
      <c r="G116" s="112">
        <v>1.4999999999999999E-2</v>
      </c>
      <c r="H116" s="74"/>
    </row>
    <row r="117" spans="3:10" s="75" customFormat="1" ht="15" customHeight="1" x14ac:dyDescent="0.2">
      <c r="C117" s="275" t="s">
        <v>41</v>
      </c>
      <c r="D117" s="276"/>
      <c r="E117" s="276"/>
      <c r="F117" s="277"/>
      <c r="G117" s="112">
        <v>0.01</v>
      </c>
      <c r="H117" s="74"/>
    </row>
    <row r="118" spans="3:10" s="75" customFormat="1" ht="15" customHeight="1" x14ac:dyDescent="0.2">
      <c r="C118" s="275" t="s">
        <v>42</v>
      </c>
      <c r="D118" s="276"/>
      <c r="E118" s="276"/>
      <c r="F118" s="277"/>
      <c r="G118" s="112">
        <v>2E-3</v>
      </c>
      <c r="H118" s="74"/>
    </row>
    <row r="119" spans="3:10" s="75" customFormat="1" ht="15" customHeight="1" x14ac:dyDescent="0.2">
      <c r="C119" s="278" t="s">
        <v>12</v>
      </c>
      <c r="D119" s="276"/>
      <c r="E119" s="276"/>
      <c r="F119" s="277"/>
      <c r="G119" s="113">
        <f>SUM(G111:G118)</f>
        <v>0.3680000000000001</v>
      </c>
      <c r="H119" s="74"/>
      <c r="I119" s="78"/>
      <c r="J119" s="84"/>
    </row>
    <row r="120" spans="3:10" s="80" customFormat="1" ht="9.9499999999999993" customHeight="1" x14ac:dyDescent="0.2">
      <c r="C120" s="76"/>
      <c r="F120" s="114"/>
      <c r="G120" s="78"/>
      <c r="H120" s="79"/>
    </row>
    <row r="121" spans="3:10" s="80" customFormat="1" ht="15" customHeight="1" x14ac:dyDescent="0.2">
      <c r="C121" s="131" t="s">
        <v>207</v>
      </c>
      <c r="D121" s="132"/>
      <c r="E121" s="132"/>
      <c r="F121" s="132"/>
      <c r="G121" s="133"/>
      <c r="H121" s="79"/>
      <c r="I121" s="79"/>
      <c r="J121" s="84"/>
    </row>
    <row r="122" spans="3:10" s="83" customFormat="1" ht="15" customHeight="1" x14ac:dyDescent="0.2">
      <c r="C122" s="275" t="s">
        <v>43</v>
      </c>
      <c r="D122" s="276"/>
      <c r="E122" s="276"/>
      <c r="F122" s="277"/>
      <c r="G122" s="115">
        <v>8.3333000000000004E-2</v>
      </c>
      <c r="H122" s="82"/>
      <c r="I122" s="82"/>
      <c r="J122" s="85"/>
    </row>
    <row r="123" spans="3:10" s="75" customFormat="1" ht="15" customHeight="1" x14ac:dyDescent="0.2">
      <c r="C123" s="275" t="s">
        <v>131</v>
      </c>
      <c r="D123" s="276"/>
      <c r="E123" s="276"/>
      <c r="F123" s="277"/>
      <c r="G123" s="112">
        <f>G122*(1/3)</f>
        <v>2.7777666666666666E-2</v>
      </c>
      <c r="H123" s="74"/>
      <c r="I123" s="82"/>
      <c r="J123" s="84"/>
    </row>
    <row r="124" spans="3:10" s="80" customFormat="1" ht="15" customHeight="1" x14ac:dyDescent="0.2">
      <c r="C124" s="278" t="s">
        <v>12</v>
      </c>
      <c r="D124" s="276"/>
      <c r="E124" s="276"/>
      <c r="F124" s="277"/>
      <c r="G124" s="113">
        <f>SUM(G122:G123)</f>
        <v>0.11111066666666666</v>
      </c>
      <c r="H124" s="79"/>
      <c r="I124" s="79"/>
    </row>
    <row r="125" spans="3:10" s="80" customFormat="1" ht="9.9499999999999993" customHeight="1" x14ac:dyDescent="0.2">
      <c r="C125" s="76"/>
      <c r="F125" s="114"/>
      <c r="G125" s="78"/>
      <c r="H125" s="79"/>
    </row>
    <row r="126" spans="3:10" s="80" customFormat="1" ht="15" customHeight="1" x14ac:dyDescent="0.2">
      <c r="C126" s="131" t="s">
        <v>208</v>
      </c>
      <c r="D126" s="132"/>
      <c r="E126" s="132"/>
      <c r="F126" s="132"/>
      <c r="G126" s="133"/>
      <c r="H126" s="79"/>
      <c r="I126" s="79"/>
      <c r="J126" s="84"/>
    </row>
    <row r="127" spans="3:10" s="75" customFormat="1" ht="15" customHeight="1" x14ac:dyDescent="0.2">
      <c r="C127" s="129" t="s">
        <v>132</v>
      </c>
      <c r="D127" s="127"/>
      <c r="E127" s="127"/>
      <c r="F127" s="128"/>
      <c r="G127" s="112">
        <f>ROUND(1/12,5)</f>
        <v>8.3330000000000001E-2</v>
      </c>
      <c r="H127" s="74"/>
      <c r="I127" s="82"/>
      <c r="J127" s="84"/>
    </row>
    <row r="128" spans="3:10" s="75" customFormat="1" ht="15" customHeight="1" x14ac:dyDescent="0.2">
      <c r="C128" s="275" t="s">
        <v>133</v>
      </c>
      <c r="D128" s="276"/>
      <c r="E128" s="276"/>
      <c r="F128" s="277"/>
      <c r="G128" s="112">
        <f>ROUND(5/30/12,5)</f>
        <v>1.389E-2</v>
      </c>
      <c r="H128" s="74"/>
      <c r="I128" s="82"/>
      <c r="J128" s="84"/>
    </row>
    <row r="129" spans="3:10" s="75" customFormat="1" ht="15" customHeight="1" x14ac:dyDescent="0.2">
      <c r="C129" s="129" t="s">
        <v>134</v>
      </c>
      <c r="D129" s="127"/>
      <c r="E129" s="127"/>
      <c r="F129" s="128"/>
      <c r="G129" s="112">
        <f>ROUND(1/30/12,5)</f>
        <v>2.7799999999999999E-3</v>
      </c>
      <c r="H129" s="74"/>
      <c r="I129" s="82"/>
      <c r="J129" s="84"/>
    </row>
    <row r="130" spans="3:10" s="75" customFormat="1" ht="15" customHeight="1" x14ac:dyDescent="0.2">
      <c r="C130" s="275" t="s">
        <v>135</v>
      </c>
      <c r="D130" s="276"/>
      <c r="E130" s="276"/>
      <c r="F130" s="277"/>
      <c r="G130" s="112">
        <f>ROUND(1/12*0.0078,5)</f>
        <v>6.4999999999999997E-4</v>
      </c>
      <c r="H130" s="74"/>
      <c r="I130" s="74"/>
      <c r="J130" s="84"/>
    </row>
    <row r="131" spans="3:10" s="80" customFormat="1" ht="15" customHeight="1" x14ac:dyDescent="0.2">
      <c r="C131" s="278" t="s">
        <v>12</v>
      </c>
      <c r="D131" s="276"/>
      <c r="E131" s="276"/>
      <c r="F131" s="277"/>
      <c r="G131" s="113">
        <f>SUM(G127:G130)</f>
        <v>0.10065</v>
      </c>
      <c r="H131" s="79"/>
      <c r="I131" s="79"/>
    </row>
    <row r="132" spans="3:10" s="80" customFormat="1" ht="9.9499999999999993" customHeight="1" x14ac:dyDescent="0.2">
      <c r="C132" s="76"/>
      <c r="D132" s="83"/>
      <c r="E132" s="83"/>
      <c r="F132" s="83"/>
      <c r="G132" s="114"/>
      <c r="H132" s="79"/>
      <c r="I132" s="79"/>
      <c r="J132" s="84"/>
    </row>
    <row r="133" spans="3:10" s="83" customFormat="1" ht="15" customHeight="1" x14ac:dyDescent="0.2">
      <c r="C133" s="131" t="s">
        <v>209</v>
      </c>
      <c r="D133" s="132"/>
      <c r="E133" s="132"/>
      <c r="F133" s="132"/>
      <c r="G133" s="133"/>
      <c r="H133" s="82"/>
    </row>
    <row r="134" spans="3:10" s="75" customFormat="1" ht="15" customHeight="1" x14ac:dyDescent="0.2">
      <c r="C134" s="275" t="s">
        <v>210</v>
      </c>
      <c r="D134" s="276"/>
      <c r="E134" s="276"/>
      <c r="F134" s="277"/>
      <c r="G134" s="112">
        <f>ROUND(G119*(G124+G131),5)</f>
        <v>7.7929999999999999E-2</v>
      </c>
      <c r="H134" s="74"/>
    </row>
    <row r="135" spans="3:10" s="80" customFormat="1" ht="9.9499999999999993" customHeight="1" x14ac:dyDescent="0.2">
      <c r="C135" s="76"/>
      <c r="D135" s="83"/>
      <c r="E135" s="83"/>
      <c r="F135" s="83"/>
      <c r="G135" s="114"/>
      <c r="H135" s="79"/>
      <c r="I135" s="79"/>
      <c r="J135" s="84"/>
    </row>
    <row r="136" spans="3:10" s="83" customFormat="1" ht="15" customHeight="1" x14ac:dyDescent="0.2">
      <c r="C136" s="131" t="s">
        <v>211</v>
      </c>
      <c r="D136" s="132"/>
      <c r="E136" s="132"/>
      <c r="F136" s="132"/>
      <c r="G136" s="133"/>
      <c r="H136" s="82"/>
    </row>
    <row r="137" spans="3:10" s="75" customFormat="1" ht="15" customHeight="1" x14ac:dyDescent="0.2">
      <c r="C137" s="275" t="s">
        <v>45</v>
      </c>
      <c r="D137" s="276"/>
      <c r="E137" s="276"/>
      <c r="F137" s="277"/>
      <c r="G137" s="112">
        <f>ROUND(0.05*1/12,5)</f>
        <v>4.1700000000000001E-3</v>
      </c>
      <c r="H137" s="74"/>
    </row>
    <row r="138" spans="3:10" s="75" customFormat="1" ht="15" customHeight="1" x14ac:dyDescent="0.2">
      <c r="C138" s="275" t="s">
        <v>136</v>
      </c>
      <c r="D138" s="276"/>
      <c r="E138" s="276"/>
      <c r="F138" s="277"/>
      <c r="G138" s="112">
        <f>ROUND(G112*G137,5)</f>
        <v>3.3E-4</v>
      </c>
      <c r="H138" s="74"/>
    </row>
    <row r="139" spans="3:10" s="75" customFormat="1" ht="15" customHeight="1" x14ac:dyDescent="0.2">
      <c r="C139" s="275" t="s">
        <v>137</v>
      </c>
      <c r="D139" s="276"/>
      <c r="E139" s="276"/>
      <c r="F139" s="277"/>
      <c r="G139" s="112">
        <f>ROUND(0.08*0.4*0.9*(1+1/12+(1/3*1/12)),5)</f>
        <v>3.2000000000000001E-2</v>
      </c>
      <c r="H139" s="74"/>
    </row>
    <row r="140" spans="3:10" s="75" customFormat="1" ht="15" customHeight="1" x14ac:dyDescent="0.2">
      <c r="C140" s="275" t="s">
        <v>44</v>
      </c>
      <c r="D140" s="276"/>
      <c r="E140" s="276"/>
      <c r="F140" s="277"/>
      <c r="G140" s="112">
        <f>ROUND((((7/30)*0.1)/12),5)</f>
        <v>1.9400000000000001E-3</v>
      </c>
      <c r="H140" s="74"/>
    </row>
    <row r="141" spans="3:10" s="75" customFormat="1" ht="15" customHeight="1" x14ac:dyDescent="0.2">
      <c r="C141" s="275" t="s">
        <v>138</v>
      </c>
      <c r="D141" s="276"/>
      <c r="E141" s="276"/>
      <c r="F141" s="277"/>
      <c r="G141" s="112">
        <f>ROUND(G119*G140,5)</f>
        <v>7.1000000000000002E-4</v>
      </c>
      <c r="H141" s="74"/>
    </row>
    <row r="142" spans="3:10" s="80" customFormat="1" ht="15" customHeight="1" x14ac:dyDescent="0.2">
      <c r="C142" s="278" t="s">
        <v>12</v>
      </c>
      <c r="D142" s="276"/>
      <c r="E142" s="276"/>
      <c r="F142" s="277"/>
      <c r="G142" s="113">
        <f>SUM(G137:G141)</f>
        <v>3.9150000000000004E-2</v>
      </c>
      <c r="H142" s="79"/>
      <c r="I142" s="79"/>
    </row>
    <row r="143" spans="3:10" s="75" customFormat="1" ht="9.9499999999999993" customHeight="1" x14ac:dyDescent="0.2">
      <c r="C143" s="76"/>
      <c r="D143" s="80"/>
      <c r="E143" s="80"/>
      <c r="F143" s="80"/>
      <c r="G143" s="114"/>
      <c r="H143" s="74"/>
    </row>
    <row r="144" spans="3:10" s="80" customFormat="1" ht="15" customHeight="1" x14ac:dyDescent="0.2">
      <c r="C144" s="286" t="s">
        <v>212</v>
      </c>
      <c r="D144" s="287"/>
      <c r="E144" s="287"/>
      <c r="F144" s="287"/>
      <c r="G144" s="113">
        <f>+G119+G124+G131+G134+G142</f>
        <v>0.69684066666666689</v>
      </c>
      <c r="H144" s="79"/>
      <c r="I144" s="79"/>
      <c r="J144" s="84"/>
    </row>
    <row r="145" spans="1:10" s="80" customFormat="1" ht="15" customHeight="1" x14ac:dyDescent="0.2">
      <c r="F145" s="74"/>
      <c r="G145" s="79"/>
      <c r="H145" s="79"/>
    </row>
    <row r="146" spans="1:10" s="75" customFormat="1" ht="15" customHeight="1" x14ac:dyDescent="0.2">
      <c r="A146" s="73"/>
      <c r="D146" s="74"/>
      <c r="E146" s="74"/>
      <c r="F146" s="74"/>
      <c r="G146" s="74"/>
      <c r="H146" s="74"/>
    </row>
    <row r="147" spans="1:10" s="1" customFormat="1" ht="7.5" customHeight="1" x14ac:dyDescent="0.2">
      <c r="A147" s="123"/>
      <c r="B147" s="124"/>
      <c r="C147" s="124"/>
      <c r="D147" s="125"/>
      <c r="E147" s="125"/>
      <c r="F147" s="125"/>
      <c r="G147" s="125"/>
      <c r="H147" s="125"/>
      <c r="I147" s="125"/>
      <c r="J147" s="126"/>
    </row>
    <row r="148" spans="1:10" s="75" customFormat="1" ht="15" customHeight="1" x14ac:dyDescent="0.2">
      <c r="A148" s="73"/>
      <c r="D148" s="74"/>
      <c r="E148" s="74"/>
      <c r="F148" s="74"/>
      <c r="G148" s="74"/>
      <c r="H148" s="74"/>
    </row>
    <row r="149" spans="1:10" s="75" customFormat="1" ht="15" customHeight="1" x14ac:dyDescent="0.2">
      <c r="C149" s="288" t="s">
        <v>21</v>
      </c>
      <c r="D149" s="288"/>
      <c r="E149" s="288"/>
      <c r="F149" s="288"/>
      <c r="G149" s="288"/>
      <c r="H149" s="74"/>
    </row>
    <row r="150" spans="1:10" s="75" customFormat="1" ht="15" customHeight="1" thickBot="1" x14ac:dyDescent="0.25">
      <c r="A150" s="86"/>
      <c r="F150" s="74"/>
      <c r="G150" s="74"/>
      <c r="H150" s="74"/>
    </row>
    <row r="151" spans="1:10" s="75" customFormat="1" ht="15" customHeight="1" x14ac:dyDescent="0.2">
      <c r="C151" s="289" t="s">
        <v>22</v>
      </c>
      <c r="D151" s="290"/>
      <c r="E151" s="291"/>
      <c r="F151" s="87" t="s">
        <v>23</v>
      </c>
      <c r="G151" s="88">
        <v>0.03</v>
      </c>
      <c r="H151" s="74"/>
      <c r="I151" s="89"/>
      <c r="J151" s="90"/>
    </row>
    <row r="152" spans="1:10" s="75" customFormat="1" ht="15" customHeight="1" x14ac:dyDescent="0.2">
      <c r="C152" s="282" t="s">
        <v>24</v>
      </c>
      <c r="D152" s="292"/>
      <c r="E152" s="293"/>
      <c r="F152" s="92" t="s">
        <v>25</v>
      </c>
      <c r="G152" s="91">
        <v>0.01</v>
      </c>
      <c r="H152" s="74"/>
      <c r="I152" s="74"/>
      <c r="J152" s="74"/>
    </row>
    <row r="153" spans="1:10" s="75" customFormat="1" ht="15" customHeight="1" x14ac:dyDescent="0.2">
      <c r="C153" s="282" t="s">
        <v>26</v>
      </c>
      <c r="D153" s="276"/>
      <c r="E153" s="277"/>
      <c r="F153" s="92" t="s">
        <v>27</v>
      </c>
      <c r="G153" s="91">
        <v>0.1</v>
      </c>
      <c r="H153" s="74"/>
      <c r="I153" s="74"/>
      <c r="J153" s="74"/>
    </row>
    <row r="154" spans="1:10" s="75" customFormat="1" ht="15" customHeight="1" x14ac:dyDescent="0.2">
      <c r="C154" s="282" t="s">
        <v>28</v>
      </c>
      <c r="D154" s="276"/>
      <c r="E154" s="277"/>
      <c r="F154" s="92" t="s">
        <v>29</v>
      </c>
      <c r="G154" s="91">
        <v>0.01</v>
      </c>
      <c r="H154" s="74"/>
      <c r="I154" s="74"/>
      <c r="J154" s="74"/>
    </row>
    <row r="155" spans="1:10" s="75" customFormat="1" ht="15" customHeight="1" x14ac:dyDescent="0.2">
      <c r="C155" s="282" t="s">
        <v>30</v>
      </c>
      <c r="D155" s="276"/>
      <c r="E155" s="277"/>
      <c r="F155" s="279" t="s">
        <v>31</v>
      </c>
      <c r="G155" s="91">
        <v>0.03</v>
      </c>
      <c r="H155" s="74"/>
      <c r="I155" s="93"/>
      <c r="J155" s="74"/>
    </row>
    <row r="156" spans="1:10" s="75" customFormat="1" ht="15" customHeight="1" x14ac:dyDescent="0.2">
      <c r="C156" s="282" t="s">
        <v>102</v>
      </c>
      <c r="D156" s="276"/>
      <c r="E156" s="277"/>
      <c r="F156" s="280"/>
      <c r="G156" s="118">
        <v>1.6500000000000001E-2</v>
      </c>
      <c r="H156" s="74"/>
      <c r="I156" s="93"/>
      <c r="J156" s="74"/>
    </row>
    <row r="157" spans="1:10" s="75" customFormat="1" ht="15" customHeight="1" x14ac:dyDescent="0.2">
      <c r="C157" s="282" t="s">
        <v>103</v>
      </c>
      <c r="D157" s="276"/>
      <c r="E157" s="277"/>
      <c r="F157" s="280"/>
      <c r="G157" s="118">
        <v>7.5999999999999998E-2</v>
      </c>
      <c r="H157" s="74"/>
      <c r="I157" s="93"/>
      <c r="J157" s="74"/>
    </row>
    <row r="158" spans="1:10" s="75" customFormat="1" ht="15" customHeight="1" thickBot="1" x14ac:dyDescent="0.25">
      <c r="C158" s="283" t="s">
        <v>104</v>
      </c>
      <c r="D158" s="284"/>
      <c r="E158" s="285"/>
      <c r="F158" s="281"/>
      <c r="G158" s="94">
        <v>0</v>
      </c>
      <c r="H158" s="74"/>
      <c r="I158" s="95"/>
      <c r="J158" s="74"/>
    </row>
    <row r="159" spans="1:10" s="75" customFormat="1" ht="15" customHeight="1" x14ac:dyDescent="0.2">
      <c r="C159" s="96" t="s">
        <v>32</v>
      </c>
      <c r="D159" s="97"/>
      <c r="E159" s="97"/>
      <c r="F159" s="97"/>
      <c r="G159" s="98"/>
      <c r="H159" s="74"/>
    </row>
    <row r="160" spans="1:10" s="75" customFormat="1" ht="15" customHeight="1" thickBot="1" x14ac:dyDescent="0.25">
      <c r="C160" s="99" t="s">
        <v>33</v>
      </c>
      <c r="D160" s="117"/>
      <c r="E160" s="117"/>
      <c r="F160" s="100"/>
      <c r="G160" s="101"/>
      <c r="H160" s="74"/>
      <c r="I160" s="84"/>
    </row>
    <row r="161" spans="3:8" s="75" customFormat="1" ht="15" customHeight="1" thickBot="1" x14ac:dyDescent="0.25">
      <c r="C161" s="106" t="s">
        <v>34</v>
      </c>
      <c r="D161" s="102"/>
      <c r="E161" s="102"/>
      <c r="F161" s="102"/>
      <c r="G161" s="103">
        <f>ROUND((((1+G151+G152)*(1+G153)*(1+G154))/(1-(G155+G156+G157+G158))-1),4)</f>
        <v>0.31669999999999998</v>
      </c>
      <c r="H161" s="74"/>
    </row>
    <row r="162" spans="3:8" s="104" customFormat="1" ht="15" customHeight="1" x14ac:dyDescent="0.2"/>
    <row r="163" spans="3:8" s="104" customFormat="1" ht="15" customHeight="1" x14ac:dyDescent="0.2"/>
    <row r="164" spans="3:8" s="104" customFormat="1" ht="15" customHeight="1" x14ac:dyDescent="0.2"/>
    <row r="165" spans="3:8" s="104" customFormat="1" ht="15" customHeight="1" x14ac:dyDescent="0.2"/>
    <row r="166" spans="3:8" s="104" customFormat="1" ht="15" customHeight="1" x14ac:dyDescent="0.2"/>
    <row r="167" spans="3:8" s="104" customFormat="1" ht="15" customHeight="1" x14ac:dyDescent="0.2"/>
    <row r="168" spans="3:8" s="104" customFormat="1" ht="15" customHeight="1" x14ac:dyDescent="0.2"/>
    <row r="169" spans="3:8" s="104" customFormat="1" ht="15" customHeight="1" x14ac:dyDescent="0.2"/>
    <row r="170" spans="3:8" s="104" customFormat="1" ht="15" customHeight="1" x14ac:dyDescent="0.2"/>
    <row r="171" spans="3:8" s="104" customFormat="1" ht="15" customHeight="1" x14ac:dyDescent="0.2"/>
    <row r="172" spans="3:8" s="104" customFormat="1" ht="15" customHeight="1" x14ac:dyDescent="0.2"/>
    <row r="173" spans="3:8" s="104" customFormat="1" ht="15" customHeight="1" x14ac:dyDescent="0.2"/>
    <row r="174" spans="3:8" s="104" customFormat="1" ht="15" customHeight="1" x14ac:dyDescent="0.2"/>
    <row r="175" spans="3:8" s="104" customFormat="1" ht="15" customHeight="1" x14ac:dyDescent="0.2"/>
    <row r="176" spans="3:8" s="104" customFormat="1" ht="15" customHeight="1" x14ac:dyDescent="0.2"/>
    <row r="177" s="104" customFormat="1" ht="15" customHeight="1" x14ac:dyDescent="0.2"/>
    <row r="178" s="104" customFormat="1" ht="15" customHeight="1" x14ac:dyDescent="0.2"/>
    <row r="179" s="104" customFormat="1" ht="15" customHeight="1" x14ac:dyDescent="0.2"/>
    <row r="180" s="104" customFormat="1" ht="15" customHeight="1" x14ac:dyDescent="0.2"/>
    <row r="181" s="104" customFormat="1" ht="15" customHeight="1" x14ac:dyDescent="0.2"/>
    <row r="182" s="104" customFormat="1" ht="15" customHeight="1" x14ac:dyDescent="0.2"/>
    <row r="183" s="104" customFormat="1" ht="15" customHeight="1" x14ac:dyDescent="0.2"/>
    <row r="184" s="104" customFormat="1" ht="15" customHeight="1" x14ac:dyDescent="0.2"/>
    <row r="185" s="104" customFormat="1" ht="15" customHeight="1" x14ac:dyDescent="0.2"/>
    <row r="186" s="104" customFormat="1" ht="15" customHeight="1" x14ac:dyDescent="0.2"/>
    <row r="187" s="104" customFormat="1" ht="15" customHeight="1" x14ac:dyDescent="0.2"/>
    <row r="188" s="104" customFormat="1" ht="15" customHeight="1" x14ac:dyDescent="0.2"/>
    <row r="189" s="104" customFormat="1" x14ac:dyDescent="0.2"/>
    <row r="190" s="104" customFormat="1" x14ac:dyDescent="0.2"/>
    <row r="191" s="104" customFormat="1" x14ac:dyDescent="0.2"/>
    <row r="192" s="104" customFormat="1" x14ac:dyDescent="0.2"/>
    <row r="193" s="104" customFormat="1" x14ac:dyDescent="0.2"/>
    <row r="194" s="104" customFormat="1" x14ac:dyDescent="0.2"/>
    <row r="195" s="104" customFormat="1" x14ac:dyDescent="0.2"/>
    <row r="196" s="104" customFormat="1" x14ac:dyDescent="0.2"/>
    <row r="197" s="104" customFormat="1" x14ac:dyDescent="0.2"/>
    <row r="198" s="104" customFormat="1" x14ac:dyDescent="0.2"/>
    <row r="199" s="104" customFormat="1" x14ac:dyDescent="0.2"/>
    <row r="200" s="104" customFormat="1" x14ac:dyDescent="0.2"/>
    <row r="201" s="104" customFormat="1" x14ac:dyDescent="0.2"/>
    <row r="202" s="104" customFormat="1" x14ac:dyDescent="0.2"/>
    <row r="203" s="104" customFormat="1" x14ac:dyDescent="0.2"/>
  </sheetData>
  <mergeCells count="98">
    <mergeCell ref="A5:F8"/>
    <mergeCell ref="A22:G22"/>
    <mergeCell ref="B23:D23"/>
    <mergeCell ref="A1:I1"/>
    <mergeCell ref="A2:I2"/>
    <mergeCell ref="A4:F4"/>
    <mergeCell ref="G4:I4"/>
    <mergeCell ref="B17:D17"/>
    <mergeCell ref="A24:G24"/>
    <mergeCell ref="A10:I10"/>
    <mergeCell ref="A14:G14"/>
    <mergeCell ref="B15:D15"/>
    <mergeCell ref="A16:G16"/>
    <mergeCell ref="B20:D20"/>
    <mergeCell ref="B21:D21"/>
    <mergeCell ref="B41:D41"/>
    <mergeCell ref="B25:D25"/>
    <mergeCell ref="A28:A29"/>
    <mergeCell ref="B28:D28"/>
    <mergeCell ref="B29:D29"/>
    <mergeCell ref="A30:H30"/>
    <mergeCell ref="A31:A32"/>
    <mergeCell ref="B31:D31"/>
    <mergeCell ref="B32:D32"/>
    <mergeCell ref="A33:H33"/>
    <mergeCell ref="A35:H35"/>
    <mergeCell ref="A37:I37"/>
    <mergeCell ref="B39:D39"/>
    <mergeCell ref="B40:D40"/>
    <mergeCell ref="B64:D64"/>
    <mergeCell ref="B42:D42"/>
    <mergeCell ref="B43:D43"/>
    <mergeCell ref="B44:D44"/>
    <mergeCell ref="B45:D45"/>
    <mergeCell ref="A46:G46"/>
    <mergeCell ref="B47:D47"/>
    <mergeCell ref="A49:H49"/>
    <mergeCell ref="A54:G54"/>
    <mergeCell ref="A59:H59"/>
    <mergeCell ref="A61:I61"/>
    <mergeCell ref="B63:D63"/>
    <mergeCell ref="B79:D79"/>
    <mergeCell ref="B65:D65"/>
    <mergeCell ref="A66:H66"/>
    <mergeCell ref="B68:D68"/>
    <mergeCell ref="B69:D69"/>
    <mergeCell ref="B70:D70"/>
    <mergeCell ref="A71:H71"/>
    <mergeCell ref="B74:D74"/>
    <mergeCell ref="B75:D75"/>
    <mergeCell ref="B76:D76"/>
    <mergeCell ref="B77:D77"/>
    <mergeCell ref="B78:D78"/>
    <mergeCell ref="B104:I104"/>
    <mergeCell ref="B80:D80"/>
    <mergeCell ref="B81:D81"/>
    <mergeCell ref="B82:D82"/>
    <mergeCell ref="B83:D83"/>
    <mergeCell ref="A84:H84"/>
    <mergeCell ref="A92:I92"/>
    <mergeCell ref="B94:D94"/>
    <mergeCell ref="A95:H95"/>
    <mergeCell ref="A97:H97"/>
    <mergeCell ref="A99:H99"/>
    <mergeCell ref="B102:I102"/>
    <mergeCell ref="C117:F117"/>
    <mergeCell ref="C118:F118"/>
    <mergeCell ref="C119:F119"/>
    <mergeCell ref="C122:F122"/>
    <mergeCell ref="C111:F111"/>
    <mergeCell ref="C112:F112"/>
    <mergeCell ref="C113:F113"/>
    <mergeCell ref="C114:F114"/>
    <mergeCell ref="C115:F115"/>
    <mergeCell ref="C116:F116"/>
    <mergeCell ref="C130:F130"/>
    <mergeCell ref="C131:F131"/>
    <mergeCell ref="C123:F123"/>
    <mergeCell ref="C124:F124"/>
    <mergeCell ref="C128:F128"/>
    <mergeCell ref="C134:F134"/>
    <mergeCell ref="C151:E151"/>
    <mergeCell ref="C152:E152"/>
    <mergeCell ref="C153:E153"/>
    <mergeCell ref="C154:E154"/>
    <mergeCell ref="C155:E155"/>
    <mergeCell ref="C156:E156"/>
    <mergeCell ref="C137:F137"/>
    <mergeCell ref="C140:F140"/>
    <mergeCell ref="C142:F142"/>
    <mergeCell ref="C138:F138"/>
    <mergeCell ref="C139:F139"/>
    <mergeCell ref="C141:F141"/>
    <mergeCell ref="C144:F144"/>
    <mergeCell ref="C149:G149"/>
    <mergeCell ref="F155:F158"/>
    <mergeCell ref="C157:E157"/>
    <mergeCell ref="C158:E158"/>
  </mergeCells>
  <printOptions horizontalCentered="1"/>
  <pageMargins left="0.39370078740157483" right="0.39370078740157483" top="0.59055118110236227" bottom="0.62992125984251968" header="0.31496062992125984" footer="0.31496062992125984"/>
  <pageSetup paperSize="9" orientation="portrait" r:id="rId1"/>
  <rowBreaks count="1" manualBreakCount="1">
    <brk id="112" max="16383" man="1"/>
  </rowBreaks>
  <ignoredErrors>
    <ignoredError sqref="H15 H23 H5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Proposta</vt:lpstr>
      <vt:lpstr>Monitoramento</vt:lpstr>
      <vt:lpstr>Ronda</vt:lpstr>
      <vt:lpstr>Proposta!Area_de_impressao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Marcelo Hoffmann</dc:creator>
  <cp:lastModifiedBy>Admin</cp:lastModifiedBy>
  <cp:lastPrinted>2025-06-04T16:55:33Z</cp:lastPrinted>
  <dcterms:created xsi:type="dcterms:W3CDTF">2000-12-13T10:02:50Z</dcterms:created>
  <dcterms:modified xsi:type="dcterms:W3CDTF">2025-06-04T16:55:36Z</dcterms:modified>
</cp:coreProperties>
</file>