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20"/>
  </bookViews>
  <sheets>
    <sheet name="Monitoramento" sheetId="9" r:id="rId1"/>
  </sheets>
  <externalReferences>
    <externalReference r:id="rId2"/>
  </externalReferences>
  <definedNames>
    <definedName name="ACOMPANHAMENTO" hidden="1">IF(VALUE(#REF!)=2,"BM","PLE")</definedName>
    <definedName name="_xlnm.Print_Area" localSheetId="0">Monitoramento!$A$1:$I$165</definedName>
    <definedName name="AUTOEVENTO" hidden="1">#REF!</definedName>
    <definedName name="BDI.Opcao" hidden="1">#REF!</definedName>
    <definedName name="BDI.TipoObra" hidden="1">#REF!</definedName>
    <definedName name="BM.AFAcumulado" hidden="1">#REF!</definedName>
    <definedName name="BM.AFAnterior" hidden="1">#REF!</definedName>
    <definedName name="BM.MaxMed" hidden="1">IF(RegimeExecucao="Global",1,#REF!)</definedName>
    <definedName name="BM.MEDAcumulado" hidden="1">IF(COUNTIF(#REF!,BM.medicao)&gt;0,SUM(OFFSET(#REF!,0,0,1,MATCH(BM.medicao,#REF!,0))),0)</definedName>
    <definedName name="BM.MEDAnterior" hidden="1">IF(COUNTIF(#REF!,BM.medicao-1)&gt;0,SUM(OFFSET(#REF!,0,0,1,MATCH(BM.medicao-1,#REF!,0))),0)</definedName>
    <definedName name="BM.medicao" hidden="1">OFFSET(#REF!,1,0)</definedName>
    <definedName name="BM.MinMed" hidden="1">IF(RegimeExecucao="Global",-1,-#REF!)</definedName>
    <definedName name="CAIXA.Modo" hidden="1">#REF!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hidden="1">IF(AUTOEVENTO="manual",SUMIF(#REF!,1,#REF!),0)</definedName>
    <definedName name="CRONO.LinhasNecessarias" hidden="1">COUNTIF(#REF!,"Manual")+COUNTIF(#REF!,"SemiAuto")+COUNT(ORÇAMENTO.ListaCrono)</definedName>
    <definedName name="CRONO.MaxParc" hidden="1">#REF!+#REF!</definedName>
    <definedName name="CRONO.NivelExibicao" hidden="1">#REF!</definedName>
    <definedName name="CRONOPLE.ValorDoEvento" hidden="1">SUMIF(#REF!,#REF!,OFFSET(#REF!,0,#REF!))</definedName>
    <definedName name="DESONERACAO" hidden="1">IF(OR(Import.Desoneracao="DESONERADO",Import.Desoneracao="SIM"),"SIM","NÃO")</definedName>
    <definedName name="EVENTOS.Lista" hidden="1">#REF!:OFFSET(#REF!,-1,0)</definedName>
    <definedName name="EVENTOS.ListaValidacao" hidden="1">#REF!:OFFSET(#REF!,-1,0)</definedName>
    <definedName name="Excel_BuiltIn_Database" hidden="1">TEXT(Import.DataBase,"mm-aaaa")</definedName>
    <definedName name="Import.Apelido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EmissaoLicit" hidden="1">#REF!</definedName>
    <definedName name="Import.DataInicioObra" hidden="1">#REF!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refeito" hidden="1">#REF!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Unidade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hidden="1">#REF!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Crono" hidden="1">OFFSET(#REF!,1,0):OFFSET(#REF!,-1,0)</definedName>
    <definedName name="ORÇAMENTO.MáximoListaCrono" hidden="1">MAX(ORÇAMENTO.ListaCrono)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ORÇAMENTO.SumINVMANUAL-ORÇAMENTO.SumCPMANUAL-ORÇAMENTO.SumOUTROSMANUAL</definedName>
    <definedName name="ORÇAMENTO.Unidade" hidden="1">#REF!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O.ValoresBDI" hidden="1">OFFSET(#REF!,1,0):OFFSET(#REF!,-1,0)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QCI.SumINVMANUAL-QCI.CPManual-QCI.OutrosManual</definedName>
    <definedName name="REFERENCIA.Descricao" hidden="1">IF(ISNUMBER(#REF!),OFFSET(INDIRECT(ORÇAMENTO.BancoRef),#REF!-1,3,1),#REF!)</definedName>
    <definedName name="REFERENCIA.Desonerado" hidden="1">IF(ISNUMBER(#REF!),VALUE(OFFSET(INDIRECT(ORÇAMENTO.BancoRef),#REF!-1,5,1)),0)</definedName>
    <definedName name="REFERENCIA.NaoDesonerado" hidden="1">IF(ISNUMBER(#REF!),VALUE(OFFSET(INDIRECT(ORÇAMENTO.BancoRef),#REF!-1,6,1)),0)</definedName>
    <definedName name="REFERENCIA.Unidade" hidden="1">IF(ISNUMBER(#REF!),OFFSET(INDIRECT(ORÇAMENTO.BancoRef),#REF!-1,4,1),"-")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hidden="1">SUMIF(OFFSET(#REF!,1,0,#REF!),"S",OFFSET(#REF!,1,0,#REF!))</definedName>
    <definedName name="TIPOORCAMENTO" hidden="1">IF(VALUE(#REF!)=2,"Licitado","Proposto")</definedName>
    <definedName name="Versao" hidden="1">#REF!</definedName>
    <definedName name="VTOTAL1" hidden="1">ROUND(#REF!*#REF!,15-13*#REF!)</definedName>
    <definedName name="VTOTALBM" hidden="1">IF(#REF!=0,0,CHOOSE(MATCH(RegimeExecucao,{"Global","Unitário"},0),ROUND(ROUND(#REF!,15-13*#REF!)/100*#REF!,15-13*#REF!),ROUND(ROUND(#REF!,15-13*#REF!)*ROUND(#REF!,15-13*#REF!),15-13*#REF!)))</definedName>
    <definedName name="Regime">'[1]Custo Total'!$O$2:$O$4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<sst xmlns="http://schemas.openxmlformats.org/spreadsheetml/2006/main" count="242" uniqueCount="146">
  <si>
    <t>Prestação de Serviços de serviços de vídeo monitoramento eletrônico e sistema de alarme</t>
  </si>
  <si>
    <t>Planilha de Composição de Custos e Formação de Preços</t>
  </si>
  <si>
    <r>
      <t xml:space="preserve">Detalhamento dos Serviços: Custo relativo a um empregado da categoria </t>
    </r>
    <r>
      <rPr>
        <b/>
        <sz val="12"/>
        <rFont val="Calibri"/>
        <charset val="134"/>
      </rPr>
      <t>AGENTE DE MONITORAMENTO</t>
    </r>
    <r>
      <rPr>
        <sz val="12"/>
        <rFont val="Calibri"/>
        <charset val="134"/>
      </rPr>
      <t xml:space="preserve">, com jornada de 12 horas, </t>
    </r>
    <r>
      <rPr>
        <b/>
        <sz val="12"/>
        <rFont val="Calibri"/>
        <charset val="134"/>
      </rPr>
      <t>escala 12 x 36 horas</t>
    </r>
    <r>
      <rPr>
        <sz val="12"/>
        <rFont val="Calibri"/>
        <charset val="134"/>
      </rPr>
      <t xml:space="preserve"> </t>
    </r>
    <r>
      <rPr>
        <b/>
        <sz val="12"/>
        <rFont val="Calibri"/>
        <charset val="134"/>
      </rPr>
      <t>(220 horas)</t>
    </r>
    <r>
      <rPr>
        <sz val="12"/>
        <rFont val="Calibri"/>
        <charset val="134"/>
      </rPr>
      <t>. Convenção Coletiva do SindVig-RS (RS000837/2025, registrada no MTE em 15/03/2025, vigência até 31/01/2027).</t>
    </r>
  </si>
  <si>
    <t>AGENTE DE MONITORAMENTO - 
CBO Nº 5174-20</t>
  </si>
  <si>
    <t>Salário Normativo CCT</t>
  </si>
  <si>
    <t>SindVig-RS</t>
  </si>
  <si>
    <t>220 Horas</t>
  </si>
  <si>
    <t>01 Hora</t>
  </si>
  <si>
    <t>Vr. Hora Not</t>
  </si>
  <si>
    <t>Ad. Not. %</t>
  </si>
  <si>
    <t>1 - Mão de Obra</t>
  </si>
  <si>
    <t>1.1</t>
  </si>
  <si>
    <t>Operador Monitoramento - Noturno</t>
  </si>
  <si>
    <t>Unidade</t>
  </si>
  <si>
    <t>Quantidade</t>
  </si>
  <si>
    <t>Preço unitário</t>
  </si>
  <si>
    <t>Subtotal</t>
  </si>
  <si>
    <t>Total (R$)</t>
  </si>
  <si>
    <t>Salário Efetivo (220 hs)</t>
  </si>
  <si>
    <t>Mês</t>
  </si>
  <si>
    <t>Adicional Noturno (20%) ((Vlr. Hora x 20%) x (Qt. Hs)</t>
  </si>
  <si>
    <t>Hora</t>
  </si>
  <si>
    <t>Periculosidade (Sal.Efet. + Ad.Not.) x (30%)</t>
  </si>
  <si>
    <t>%</t>
  </si>
  <si>
    <t>Soma</t>
  </si>
  <si>
    <t>Encargos Sociais</t>
  </si>
  <si>
    <t>Total por Operador</t>
  </si>
  <si>
    <t>Total Efetivo</t>
  </si>
  <si>
    <t>Pessoa</t>
  </si>
  <si>
    <t>1.2</t>
  </si>
  <si>
    <t>Operador Monitoramento  - Diurno</t>
  </si>
  <si>
    <t>Periculosidade (Sal.Efet.) x (30%)</t>
  </si>
  <si>
    <t>Outros</t>
  </si>
  <si>
    <t>1.3</t>
  </si>
  <si>
    <t>Demais custos relativos à Norma Coletiva</t>
  </si>
  <si>
    <r>
      <rPr>
        <sz val="12"/>
        <color theme="1"/>
        <rFont val="Calibri"/>
        <charset val="134"/>
        <scheme val="minor"/>
      </rPr>
      <t xml:space="preserve">Auxílio Alimentação  - </t>
    </r>
    <r>
      <rPr>
        <sz val="12"/>
        <color indexed="8"/>
        <rFont val="Calibri"/>
        <charset val="134"/>
      </rPr>
      <t>Cláusula 11ª CCT SindVig-RS</t>
    </r>
  </si>
  <si>
    <t>Vale</t>
  </si>
  <si>
    <t>Desconto Legal s/Auxílio Alimentação.</t>
  </si>
  <si>
    <t>Vale-Transporte - Cláusula 35ª CCT SindVig-RS</t>
  </si>
  <si>
    <t>Desconto Legal s/Vale Transporte</t>
  </si>
  <si>
    <t>Custo Mensal com Mão-de-obra (R$/mês) ...........................................................................................................................</t>
  </si>
  <si>
    <t>2. Uniformes e Equipamentos de Proteção Individual</t>
  </si>
  <si>
    <t>2.1</t>
  </si>
  <si>
    <t>Uniformes e EPI's para Agente de Monitoramento</t>
  </si>
  <si>
    <t>Calça</t>
  </si>
  <si>
    <t>Camisa</t>
  </si>
  <si>
    <t>Coturno</t>
  </si>
  <si>
    <t>Par</t>
  </si>
  <si>
    <t>Cinto Nylon</t>
  </si>
  <si>
    <t>Japona/gandola</t>
  </si>
  <si>
    <t>Meia</t>
  </si>
  <si>
    <t>Boné</t>
  </si>
  <si>
    <t>Total do Efetivo</t>
  </si>
  <si>
    <t>Custo Mensal com Uniformes e EPI's (R$/mês) ...................................................................................................................</t>
  </si>
  <si>
    <t>3.</t>
  </si>
  <si>
    <t>Rateio da Mão-de-Obra Utilizada</t>
  </si>
  <si>
    <t>Custo Mensal com Mão-de-obra (R$/mês)</t>
  </si>
  <si>
    <t>Custo Mensal com Uniformes e EPI's (R$/mês)</t>
  </si>
  <si>
    <r>
      <rPr>
        <sz val="12"/>
        <color theme="1"/>
        <rFont val="Calibri"/>
        <charset val="134"/>
        <scheme val="minor"/>
      </rPr>
      <t>Quantidade de horas trabalhadas/mês</t>
    </r>
    <r>
      <rPr>
        <vertAlign val="superscript"/>
        <sz val="12"/>
        <color indexed="8"/>
        <rFont val="Calibri"/>
        <charset val="134"/>
      </rPr>
      <t>(1)</t>
    </r>
  </si>
  <si>
    <t>horas</t>
  </si>
  <si>
    <t>Total horas efetivamente utilizadas no Monitoramento</t>
  </si>
  <si>
    <t>(1) Estimativa de 01 trabalhador a 220 horas/mês</t>
  </si>
  <si>
    <t>Custo Efetivo Mensal com Mão-de-obra no Monitoramento (R$/mês) ........................................................................................</t>
  </si>
  <si>
    <t>4. Equipamentos, Materiais e Custos de Operação</t>
  </si>
  <si>
    <t>4.1</t>
  </si>
  <si>
    <t>Equipamentos utilizados nos locais de monitoramento</t>
  </si>
  <si>
    <t>Câmera de Monit. Infravermelho Full HD 1080p 2.0</t>
  </si>
  <si>
    <t>DVR gravador Digital 16 canais Full hd com hd 2tb</t>
  </si>
  <si>
    <t>Conector Vídeo Balun Passivo Full HD (Par)</t>
  </si>
  <si>
    <t>Fonte de Alimentação 12V/2A</t>
  </si>
  <si>
    <t>Cabo de Rede 100% Cobre Capa Dupla Blindado - Bobina de 305M</t>
  </si>
  <si>
    <t>Mini rack montado 5u</t>
  </si>
  <si>
    <t>Switch 8 Portas TP-link 10/100/1000 Gigabit TL-SG108</t>
  </si>
  <si>
    <t>Caixa para CFTV Plástica/Câmeras</t>
  </si>
  <si>
    <t>Parafusos e Buchas - P/Fixação Câmeras e Sensores</t>
  </si>
  <si>
    <t>Central de Alarme Monitorada 24 horas/Comunicação via Internet e GPRS</t>
  </si>
  <si>
    <t>Sensores Infravermelho Passivo PET</t>
  </si>
  <si>
    <t>Sirene 12V 116 Db</t>
  </si>
  <si>
    <t>Teclado LCD</t>
  </si>
  <si>
    <t>Cabo de Alarme 80% Cobre - Bobina 300m</t>
  </si>
  <si>
    <t>Articuladores para sensor</t>
  </si>
  <si>
    <t>Baterias 12V/7A</t>
  </si>
  <si>
    <t>Depreciação mensal dos Equipamentos</t>
  </si>
  <si>
    <t>4.2</t>
  </si>
  <si>
    <t>Equipamentos utilizados na empresa</t>
  </si>
  <si>
    <t>Nobreak</t>
  </si>
  <si>
    <t>Central Receptora de Alarme</t>
  </si>
  <si>
    <t>Custo Mensal com Equipamentos, Materiais e Seguro Patrimonial (R$/mês) ...............................................................</t>
  </si>
  <si>
    <t>CUSTO TOTAL MENSAL COM DESPESAS OPERACIONAIS (R$/mês) ........................................................................................................</t>
  </si>
  <si>
    <t>5. Benefícios e Despesas Indiretas - BDI</t>
  </si>
  <si>
    <t>5.1</t>
  </si>
  <si>
    <t>Discriminação</t>
  </si>
  <si>
    <t>Benefícios e despesas indiretas</t>
  </si>
  <si>
    <t>Custo Mensal com BDI (R$/mês) .............................................................................................................................................</t>
  </si>
  <si>
    <t>CUSTOS MENSAL TOTAL (R$/mês) ..............................................................................................................................................</t>
  </si>
  <si>
    <t>CUSTO ANUAL TOTAL (R$/Anual) ..............................................................................................................................................</t>
  </si>
  <si>
    <t>Observações:</t>
  </si>
  <si>
    <r>
      <rPr>
        <b/>
        <sz val="12"/>
        <color theme="1"/>
        <rFont val="Calibri"/>
        <charset val="134"/>
      </rPr>
      <t>(1)</t>
    </r>
    <r>
      <rPr>
        <sz val="12"/>
        <color theme="1"/>
        <rFont val="Calibri"/>
        <charset val="134"/>
      </rPr>
      <t xml:space="preserve"> A planilha de composição de custos e formação de preços é meramente estimativa, cabendo ao licitante preenchê-las e apresentá-las, em conformidade com a sua realidade e com o previsto neste edital.</t>
    </r>
  </si>
  <si>
    <r>
      <rPr>
        <b/>
        <sz val="12"/>
        <rFont val="Calibri"/>
        <charset val="134"/>
      </rPr>
      <t>(2)</t>
    </r>
    <r>
      <rPr>
        <sz val="12"/>
        <rFont val="Calibri"/>
        <charset val="134"/>
      </rPr>
      <t xml:space="preserve"> Os tributos (ISS, COFINS e PIS) foram definidos utilizando o regime de tributação de Lucro Real, o licitante deve elaborar sua proposta e, por conseguinte, sua planilha de composição de custos e formação de preços com base no regime de tributação ao qual estará submetido durante a execução do contrato.</t>
    </r>
  </si>
  <si>
    <t>A - Módulo 1 - Encargos Previdenciários, FGTS e outras contribuições</t>
  </si>
  <si>
    <t>INSS (art. 22, inc. I, Lei nº 8.212/91)</t>
  </si>
  <si>
    <t>FGTS (art. 15, Lei nº 8.036/90)</t>
  </si>
  <si>
    <t>Seguro Acidente do Trabalho 1%, 2% e 3% (art. 22, inc. II, alíneas "b" e "c", da Lei nº 8.212/91)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</si>
  <si>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</si>
  <si>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</si>
  <si>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</si>
  <si>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</si>
  <si>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</si>
  <si>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</si>
  <si>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B - Módulo 2 - 13º Salário e Adicional de Férias</t>
  </si>
  <si>
    <t>13º Salário</t>
  </si>
  <si>
    <t>Adicional de Férias (1/3)</t>
  </si>
  <si>
    <t>C - Módulo 3 - Custo de reposição do profissional ausente</t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</si>
  <si>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</si>
  <si>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</si>
  <si>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</si>
  <si>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</si>
  <si>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D - Módulo 4 - Incidência Cumulativa</t>
  </si>
  <si>
    <t>Módulo 1 sobre Módulo 2 e Módulo 3 ((A x (B + C))</t>
  </si>
  <si>
    <t>E - Módulo 5 - Provião para rescisão</t>
  </si>
  <si>
    <t>Aviso Prévio Indenizado</t>
  </si>
  <si>
    <t>Incidência do FGTS sobre o Aviso Prévio Indenizado</t>
  </si>
  <si>
    <t>Multa do FGTS sobre o Aviso Prévio Indenizado</t>
  </si>
  <si>
    <t>Aviso Prévio Trabalhado</t>
  </si>
  <si>
    <t>Incidência do Grupo A sobre o Aviso Prévio trabalhado</t>
  </si>
  <si>
    <t>Total para Encargos Sociais (A + B + C+ D + E)</t>
  </si>
  <si>
    <t>Composição do BDI - Benefícios e Despesas Indiretas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</si>
  <si>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</si>
  <si>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</si>
  <si>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</si>
  <si>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</si>
  <si>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</si>
  <si>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</si>
  <si>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</si>
  <si>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</si>
  <si>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</si>
  <si>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</si>
  <si>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</t>
  </si>
  <si>
    <t>Tributos - COFINS</t>
  </si>
  <si>
    <t>Tributos - SIMPLES NACIONAL</t>
  </si>
  <si>
    <t>Fórmula para o cálculo do BDI:</t>
  </si>
  <si>
    <t>{[(1+AC+SRG) x (1+L) x (1+DF)] / (1-T)} -1</t>
  </si>
  <si>
    <t>Resultado do cálculo do BDI:</t>
  </si>
  <si>
    <t>Santiago - RS, 20 de outubro de 2025.</t>
  </si>
  <si>
    <t>HAROLDO RIOS POUEY</t>
  </si>
  <si>
    <t>Presidente da Câmara de Vereadores de Santiago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</si>
</sst>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5">
    <numFmt numFmtId="176" formatCode="_(* #,##0.00_);_(* \(#,##0.00\);_(* &quot;-&quot;??_);_(@_)"/>
    <numFmt numFmtId="177" formatCode="_(&quot;R$&quot;* #,##0.00_);_(&quot;R$&quot;* \(#,##0.00\);_(&quot;R$&quot;* &quot;-&quot;??_);_(@_)"/>
    <numFmt numFmtId="178" formatCode="_-* #,##0_-;\-* #,##0_-;_-* &quot;-&quot;_-;_-@_-"/>
    <numFmt numFmtId="179" formatCode="_-&quot;R$&quot;\ * #,##0_-;\-&quot;R$&quot;\ * #,##0_-;_-&quot;R$&quot;\ * &quot;-&quot;_-;_-@_-"/>
    <numFmt numFmtId="180" formatCode="_-* #,##0.00_-;\-* #,##0.00_-;_-* &quot;-&quot;??_-;_-@_-"/>
    <numFmt numFmtId="181" formatCode="0.000"/>
    <numFmt numFmtId="182" formatCode="#,##0.000"/>
    <numFmt numFmtId="183" formatCode="#\ ??/??"/>
    <numFmt numFmtId="184" formatCode="0.0%"/>
    <numFmt numFmtId="185" formatCode="0.0000%"/>
    <numFmt numFmtId="186" formatCode="#,##0.00_ ;\(#,##0.00\)"/>
    <numFmt numFmtId="187" formatCode="#,##0.00;\(\-#,##0.00\)"/>
    <numFmt numFmtId="188" formatCode="0.000%"/>
    <numFmt numFmtId="189" formatCode="_(* #,##0.000000_);_(* \(#,##0.000000\);_(* &quot;-&quot;??_);_(@_)"/>
    <numFmt numFmtId="190" formatCode="0.00000%"/>
  </numFmts>
  <fonts count="44">
    <font>
      <sz val="10"/>
      <name val="Arial"/>
      <charset val="134"/>
    </font>
    <font>
      <sz val="9"/>
      <color theme="1"/>
      <name val="Calibri"/>
      <charset val="134"/>
    </font>
    <font>
      <sz val="8"/>
      <color theme="1"/>
      <name val="Calibri"/>
      <charset val="134"/>
      <scheme val="minor"/>
    </font>
    <font>
      <sz val="9"/>
      <color theme="1"/>
      <name val="Calibri"/>
      <charset val="134"/>
      <scheme val="minor"/>
    </font>
    <font>
      <sz val="10"/>
      <name val="Calibri"/>
      <charset val="134"/>
      <scheme val="minor"/>
    </font>
    <font>
      <sz val="8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name val="Calibri"/>
      <charset val="134"/>
      <scheme val="minor"/>
    </font>
    <font>
      <b/>
      <i/>
      <sz val="10"/>
      <name val="Calibri"/>
      <charset val="134"/>
      <scheme val="minor"/>
    </font>
    <font>
      <sz val="10"/>
      <color theme="1"/>
      <name val="Calibri"/>
      <charset val="134"/>
    </font>
    <font>
      <b/>
      <sz val="12"/>
      <name val="Calibri"/>
      <charset val="134"/>
    </font>
    <font>
      <sz val="12"/>
      <name val="Calibri"/>
      <charset val="134"/>
    </font>
    <font>
      <sz val="12"/>
      <name val="Calibri"/>
      <charset val="134"/>
      <scheme val="minor"/>
    </font>
    <font>
      <sz val="12"/>
      <color theme="1"/>
      <name val="Calibri"/>
      <charset val="134"/>
    </font>
    <font>
      <sz val="12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b/>
      <u/>
      <sz val="12"/>
      <color theme="1"/>
      <name val="Calibri"/>
      <charset val="134"/>
    </font>
    <font>
      <b/>
      <sz val="12"/>
      <name val="Calibri"/>
      <charset val="134"/>
      <scheme val="minor"/>
    </font>
    <font>
      <sz val="12"/>
      <name val="Arial"/>
      <charset val="134"/>
    </font>
    <font>
      <b/>
      <sz val="12"/>
      <color theme="1"/>
      <name val="Calibri"/>
      <charset val="134"/>
    </font>
    <font>
      <b/>
      <i/>
      <sz val="12"/>
      <name val="Calibri"/>
      <charset val="134"/>
      <scheme val="minor"/>
    </font>
    <font>
      <sz val="1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2"/>
      <color indexed="8"/>
      <name val="Calibri"/>
      <charset val="134"/>
    </font>
    <font>
      <vertAlign val="superscript"/>
      <sz val="12"/>
      <color indexed="8"/>
      <name val="Calibri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8" borderId="38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39" applyNumberFormat="0" applyFill="0" applyAlignment="0" applyProtection="0">
      <alignment vertical="center"/>
    </xf>
    <xf numFmtId="0" fontId="28" fillId="0" borderId="39" applyNumberFormat="0" applyFill="0" applyAlignment="0" applyProtection="0">
      <alignment vertical="center"/>
    </xf>
    <xf numFmtId="0" fontId="29" fillId="0" borderId="4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9" borderId="41" applyNumberFormat="0" applyAlignment="0" applyProtection="0">
      <alignment vertical="center"/>
    </xf>
    <xf numFmtId="0" fontId="31" fillId="10" borderId="42" applyNumberFormat="0" applyAlignment="0" applyProtection="0">
      <alignment vertical="center"/>
    </xf>
    <xf numFmtId="0" fontId="32" fillId="10" borderId="41" applyNumberFormat="0" applyAlignment="0" applyProtection="0">
      <alignment vertical="center"/>
    </xf>
    <xf numFmtId="0" fontId="33" fillId="11" borderId="43" applyNumberFormat="0" applyAlignment="0" applyProtection="0">
      <alignment vertical="center"/>
    </xf>
    <xf numFmtId="0" fontId="34" fillId="0" borderId="44" applyNumberFormat="0" applyFill="0" applyAlignment="0" applyProtection="0">
      <alignment vertical="center"/>
    </xf>
    <xf numFmtId="0" fontId="35" fillId="0" borderId="45" applyNumberFormat="0" applyFill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0" fillId="35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41" fillId="0" borderId="0"/>
    <xf numFmtId="0" fontId="41" fillId="0" borderId="0"/>
    <xf numFmtId="9" fontId="41" fillId="0" borderId="0" applyFont="0" applyFill="0" applyBorder="0" applyAlignment="0" applyProtection="0"/>
    <xf numFmtId="180" fontId="41" fillId="0" borderId="0" applyFont="0" applyFill="0" applyBorder="0" applyAlignment="0" applyProtection="0"/>
  </cellStyleXfs>
  <cellXfs count="247">
    <xf numFmtId="0" fontId="0" fillId="0" borderId="0" xfId="0"/>
    <xf numFmtId="0" fontId="1" fillId="0" borderId="0" xfId="0" applyFont="1"/>
    <xf numFmtId="0" fontId="1" fillId="0" borderId="0" xfId="0" applyFont="1" applyFill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6" fillId="0" borderId="0" xfId="0" applyFont="1"/>
    <xf numFmtId="0" fontId="9" fillId="0" borderId="0" xfId="0" applyFont="1"/>
    <xf numFmtId="0" fontId="10" fillId="0" borderId="0" xfId="0" applyFont="1" applyAlignment="1" applyProtection="1">
      <alignment horizontal="center" vertical="center"/>
      <protection hidden="1"/>
    </xf>
    <xf numFmtId="0" fontId="11" fillId="0" borderId="1" xfId="0" applyFont="1" applyBorder="1" applyAlignment="1">
      <alignment horizontal="justify" wrapText="1"/>
    </xf>
    <xf numFmtId="0" fontId="11" fillId="0" borderId="2" xfId="0" applyFont="1" applyBorder="1" applyAlignment="1">
      <alignment horizontal="justify" wrapText="1"/>
    </xf>
    <xf numFmtId="0" fontId="11" fillId="0" borderId="3" xfId="0" applyFont="1" applyBorder="1" applyAlignment="1">
      <alignment horizontal="justify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5" fillId="4" borderId="1" xfId="0" applyFont="1" applyFill="1" applyBorder="1" applyAlignment="1">
      <alignment vertical="center" wrapText="1"/>
    </xf>
    <xf numFmtId="0" fontId="15" fillId="4" borderId="2" xfId="0" applyFont="1" applyFill="1" applyBorder="1" applyAlignment="1">
      <alignment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vertical="center"/>
    </xf>
    <xf numFmtId="0" fontId="15" fillId="5" borderId="2" xfId="0" applyFont="1" applyFill="1" applyBorder="1" applyAlignment="1">
      <alignment vertical="center"/>
    </xf>
    <xf numFmtId="0" fontId="15" fillId="5" borderId="7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76" fontId="12" fillId="0" borderId="7" xfId="0" applyNumberFormat="1" applyFont="1" applyBorder="1" applyAlignment="1">
      <alignment vertical="center"/>
    </xf>
    <xf numFmtId="180" fontId="12" fillId="0" borderId="7" xfId="0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9" fontId="12" fillId="0" borderId="7" xfId="3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181" fontId="12" fillId="0" borderId="7" xfId="3" applyNumberFormat="1" applyFont="1" applyBorder="1" applyAlignment="1">
      <alignment horizontal="center" vertical="center" wrapText="1"/>
    </xf>
    <xf numFmtId="180" fontId="12" fillId="0" borderId="7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180" fontId="12" fillId="0" borderId="3" xfId="0" applyNumberFormat="1" applyFont="1" applyBorder="1" applyAlignment="1">
      <alignment horizontal="center" vertical="center"/>
    </xf>
    <xf numFmtId="0" fontId="13" fillId="0" borderId="0" xfId="0" applyFont="1"/>
    <xf numFmtId="0" fontId="16" fillId="0" borderId="0" xfId="0" applyFont="1" applyAlignment="1">
      <alignment horizontal="center"/>
    </xf>
    <xf numFmtId="182" fontId="12" fillId="0" borderId="7" xfId="0" applyNumberFormat="1" applyFont="1" applyBorder="1" applyAlignment="1">
      <alignment horizontal="center" vertical="center"/>
    </xf>
    <xf numFmtId="180" fontId="14" fillId="0" borderId="7" xfId="0" applyNumberFormat="1" applyFont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center" vertical="center" wrapText="1"/>
    </xf>
    <xf numFmtId="180" fontId="14" fillId="0" borderId="7" xfId="0" applyNumberFormat="1" applyFont="1" applyFill="1" applyBorder="1" applyAlignment="1">
      <alignment horizontal="center" vertical="center" wrapText="1"/>
    </xf>
    <xf numFmtId="180" fontId="14" fillId="0" borderId="3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5" xfId="0" applyFont="1" applyBorder="1" applyAlignment="1">
      <alignment horizontal="right" vertical="center" wrapText="1"/>
    </xf>
    <xf numFmtId="0" fontId="11" fillId="0" borderId="7" xfId="1" applyNumberFormat="1" applyFont="1" applyBorder="1" applyAlignment="1">
      <alignment horizontal="center" vertical="center"/>
    </xf>
    <xf numFmtId="180" fontId="11" fillId="0" borderId="7" xfId="0" applyNumberFormat="1" applyFont="1" applyBorder="1" applyAlignment="1">
      <alignment vertical="center"/>
    </xf>
    <xf numFmtId="0" fontId="14" fillId="0" borderId="14" xfId="0" applyFont="1" applyBorder="1" applyAlignment="1">
      <alignment horizontal="center" vertical="center" wrapText="1"/>
    </xf>
    <xf numFmtId="10" fontId="12" fillId="0" borderId="7" xfId="1" applyNumberFormat="1" applyFont="1" applyBorder="1" applyAlignment="1">
      <alignment vertical="center" wrapText="1"/>
    </xf>
    <xf numFmtId="180" fontId="12" fillId="0" borderId="7" xfId="0" applyNumberFormat="1" applyFont="1" applyBorder="1" applyAlignment="1">
      <alignment vertical="center"/>
    </xf>
    <xf numFmtId="0" fontId="15" fillId="0" borderId="3" xfId="0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0" fontId="15" fillId="6" borderId="1" xfId="0" applyFont="1" applyFill="1" applyBorder="1" applyAlignment="1">
      <alignment vertical="center"/>
    </xf>
    <xf numFmtId="0" fontId="15" fillId="6" borderId="2" xfId="0" applyFont="1" applyFill="1" applyBorder="1" applyAlignment="1">
      <alignment vertical="center"/>
    </xf>
    <xf numFmtId="0" fontId="15" fillId="6" borderId="3" xfId="0" applyFont="1" applyFill="1" applyBorder="1" applyAlignment="1">
      <alignment vertical="center"/>
    </xf>
    <xf numFmtId="0" fontId="17" fillId="4" borderId="1" xfId="0" applyFont="1" applyFill="1" applyBorder="1" applyAlignment="1">
      <alignment vertical="center" wrapText="1"/>
    </xf>
    <xf numFmtId="0" fontId="17" fillId="4" borderId="2" xfId="0" applyFont="1" applyFill="1" applyBorder="1" applyAlignment="1">
      <alignment vertical="center" wrapText="1"/>
    </xf>
    <xf numFmtId="0" fontId="17" fillId="5" borderId="7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vertical="center"/>
    </xf>
    <xf numFmtId="0" fontId="17" fillId="5" borderId="2" xfId="0" applyFont="1" applyFill="1" applyBorder="1" applyAlignment="1">
      <alignment vertical="center"/>
    </xf>
    <xf numFmtId="0" fontId="12" fillId="0" borderId="1" xfId="0" applyFont="1" applyBorder="1"/>
    <xf numFmtId="0" fontId="12" fillId="0" borderId="2" xfId="0" applyFont="1" applyBorder="1" applyAlignment="1">
      <alignment vertical="center"/>
    </xf>
    <xf numFmtId="183" fontId="12" fillId="0" borderId="7" xfId="0" applyNumberFormat="1" applyFont="1" applyBorder="1" applyAlignment="1">
      <alignment horizontal="center"/>
    </xf>
    <xf numFmtId="180" fontId="12" fillId="0" borderId="7" xfId="2" applyNumberFormat="1" applyFont="1" applyBorder="1" applyAlignment="1">
      <alignment horizontal="center"/>
    </xf>
    <xf numFmtId="180" fontId="11" fillId="0" borderId="3" xfId="0" applyNumberFormat="1" applyFont="1" applyBorder="1" applyAlignment="1">
      <alignment vertical="center"/>
    </xf>
    <xf numFmtId="0" fontId="12" fillId="0" borderId="11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180" fontId="17" fillId="0" borderId="7" xfId="0" applyNumberFormat="1" applyFont="1" applyBorder="1" applyAlignment="1">
      <alignment vertical="center" wrapText="1"/>
    </xf>
    <xf numFmtId="0" fontId="12" fillId="0" borderId="2" xfId="0" applyFont="1" applyBorder="1" applyAlignment="1">
      <alignment horizontal="justify" vertical="center" wrapText="1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/>
    <xf numFmtId="0" fontId="12" fillId="0" borderId="7" xfId="0" applyFont="1" applyBorder="1" applyAlignment="1">
      <alignment horizontal="center"/>
    </xf>
    <xf numFmtId="180" fontId="14" fillId="0" borderId="7" xfId="2" applyNumberFormat="1" applyFont="1" applyBorder="1" applyAlignment="1">
      <alignment horizontal="center"/>
    </xf>
    <xf numFmtId="180" fontId="13" fillId="0" borderId="3" xfId="0" applyNumberFormat="1" applyFont="1" applyBorder="1" applyAlignment="1">
      <alignment vertical="center"/>
    </xf>
    <xf numFmtId="0" fontId="14" fillId="0" borderId="11" xfId="0" applyFont="1" applyBorder="1"/>
    <xf numFmtId="180" fontId="15" fillId="0" borderId="7" xfId="0" applyNumberFormat="1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15" fillId="5" borderId="1" xfId="0" applyFont="1" applyFill="1" applyBorder="1" applyAlignment="1">
      <alignment horizontal="left" vertical="center"/>
    </xf>
    <xf numFmtId="0" fontId="15" fillId="5" borderId="2" xfId="0" applyFont="1" applyFill="1" applyBorder="1" applyAlignment="1">
      <alignment horizontal="left" vertical="center"/>
    </xf>
    <xf numFmtId="0" fontId="15" fillId="5" borderId="3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/>
    </xf>
    <xf numFmtId="0" fontId="12" fillId="0" borderId="2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2" fillId="3" borderId="3" xfId="0" applyFont="1" applyFill="1" applyBorder="1" applyAlignment="1">
      <alignment horizontal="center" vertical="center" wrapText="1"/>
    </xf>
    <xf numFmtId="176" fontId="14" fillId="3" borderId="7" xfId="1" applyFont="1" applyFill="1" applyBorder="1" applyAlignment="1">
      <alignment horizontal="center" vertical="center" wrapText="1"/>
    </xf>
    <xf numFmtId="181" fontId="14" fillId="3" borderId="10" xfId="0" applyNumberFormat="1" applyFont="1" applyFill="1" applyBorder="1" applyAlignment="1">
      <alignment horizontal="center" vertical="center" wrapText="1"/>
    </xf>
    <xf numFmtId="9" fontId="12" fillId="3" borderId="7" xfId="0" applyNumberFormat="1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vertical="center" wrapText="1"/>
    </xf>
    <xf numFmtId="176" fontId="14" fillId="0" borderId="10" xfId="1" applyFont="1" applyBorder="1" applyAlignment="1">
      <alignment horizontal="right" vertical="center" wrapText="1"/>
    </xf>
    <xf numFmtId="176" fontId="14" fillId="0" borderId="15" xfId="1" applyFont="1" applyBorder="1" applyAlignment="1">
      <alignment horizontal="right" vertical="center" wrapText="1"/>
    </xf>
    <xf numFmtId="176" fontId="15" fillId="0" borderId="15" xfId="1" applyFont="1" applyBorder="1" applyAlignment="1">
      <alignment horizontal="right" vertical="center" wrapText="1"/>
    </xf>
    <xf numFmtId="176" fontId="14" fillId="0" borderId="14" xfId="1" applyFont="1" applyBorder="1" applyAlignment="1">
      <alignment horizontal="right" vertical="center" wrapText="1"/>
    </xf>
    <xf numFmtId="176" fontId="17" fillId="3" borderId="14" xfId="1" applyFont="1" applyFill="1" applyBorder="1" applyAlignment="1">
      <alignment horizontal="right" vertical="center" wrapText="1"/>
    </xf>
    <xf numFmtId="176" fontId="15" fillId="0" borderId="14" xfId="1" applyFont="1" applyFill="1" applyBorder="1" applyAlignment="1">
      <alignment horizontal="right" vertical="center" wrapText="1"/>
    </xf>
    <xf numFmtId="184" fontId="2" fillId="0" borderId="0" xfId="0" applyNumberFormat="1" applyFont="1" applyAlignment="1">
      <alignment horizontal="center" vertical="center" wrapText="1"/>
    </xf>
    <xf numFmtId="185" fontId="3" fillId="0" borderId="0" xfId="0" applyNumberFormat="1" applyFont="1" applyAlignment="1">
      <alignment horizontal="center" vertical="center" wrapText="1"/>
    </xf>
    <xf numFmtId="186" fontId="14" fillId="0" borderId="14" xfId="1" applyNumberFormat="1" applyFont="1" applyBorder="1" applyAlignment="1">
      <alignment horizontal="right" vertical="center" wrapText="1"/>
    </xf>
    <xf numFmtId="176" fontId="15" fillId="3" borderId="14" xfId="1" applyFont="1" applyFill="1" applyBorder="1" applyAlignment="1">
      <alignment horizontal="right" vertical="center" wrapText="1"/>
    </xf>
    <xf numFmtId="187" fontId="14" fillId="0" borderId="14" xfId="1" applyNumberFormat="1" applyFont="1" applyBorder="1" applyAlignment="1">
      <alignment horizontal="right" vertical="center" wrapText="1"/>
    </xf>
    <xf numFmtId="4" fontId="14" fillId="0" borderId="0" xfId="0" applyNumberFormat="1" applyFont="1" applyAlignment="1">
      <alignment horizontal="center" vertical="center" wrapText="1"/>
    </xf>
    <xf numFmtId="185" fontId="2" fillId="0" borderId="0" xfId="0" applyNumberFormat="1" applyFont="1" applyAlignment="1">
      <alignment horizontal="center" vertical="center" wrapText="1"/>
    </xf>
    <xf numFmtId="180" fontId="15" fillId="6" borderId="7" xfId="1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17" fillId="4" borderId="3" xfId="0" applyFont="1" applyFill="1" applyBorder="1" applyAlignment="1">
      <alignment vertical="center" wrapText="1"/>
    </xf>
    <xf numFmtId="185" fontId="4" fillId="0" borderId="0" xfId="0" applyNumberFormat="1" applyFont="1" applyAlignment="1">
      <alignment horizontal="center" vertical="center" wrapText="1"/>
    </xf>
    <xf numFmtId="0" fontId="17" fillId="5" borderId="7" xfId="0" applyFont="1" applyFill="1" applyBorder="1" applyAlignment="1">
      <alignment horizontal="center" vertical="center" wrapText="1"/>
    </xf>
    <xf numFmtId="176" fontId="12" fillId="0" borderId="10" xfId="1" applyFont="1" applyBorder="1" applyAlignment="1">
      <alignment horizontal="right" vertical="center" wrapText="1"/>
    </xf>
    <xf numFmtId="176" fontId="12" fillId="0" borderId="15" xfId="1" applyFont="1" applyBorder="1" applyAlignment="1">
      <alignment horizontal="right" vertical="center" wrapText="1"/>
    </xf>
    <xf numFmtId="176" fontId="12" fillId="0" borderId="14" xfId="1" applyFont="1" applyBorder="1" applyAlignment="1">
      <alignment horizontal="right" vertical="center" wrapText="1"/>
    </xf>
    <xf numFmtId="2" fontId="4" fillId="0" borderId="0" xfId="0" applyNumberFormat="1" applyFont="1" applyAlignment="1">
      <alignment horizontal="center" vertical="center" wrapText="1"/>
    </xf>
    <xf numFmtId="185" fontId="5" fillId="0" borderId="0" xfId="0" applyNumberFormat="1" applyFont="1" applyAlignment="1">
      <alignment horizontal="center" vertical="center" wrapText="1"/>
    </xf>
    <xf numFmtId="176" fontId="15" fillId="0" borderId="10" xfId="1" applyFont="1" applyFill="1" applyBorder="1" applyAlignment="1">
      <alignment horizontal="right" vertical="center" wrapText="1"/>
    </xf>
    <xf numFmtId="176" fontId="15" fillId="0" borderId="15" xfId="1" applyFont="1" applyFill="1" applyBorder="1" applyAlignment="1">
      <alignment horizontal="right" vertical="center" wrapText="1"/>
    </xf>
    <xf numFmtId="0" fontId="15" fillId="0" borderId="14" xfId="0" applyFont="1" applyBorder="1" applyAlignment="1">
      <alignment horizontal="center" vertical="center"/>
    </xf>
    <xf numFmtId="176" fontId="15" fillId="3" borderId="7" xfId="1" applyFont="1" applyFill="1" applyBorder="1" applyAlignment="1">
      <alignment horizontal="right" vertical="center" wrapText="1"/>
    </xf>
    <xf numFmtId="185" fontId="6" fillId="0" borderId="0" xfId="0" applyNumberFormat="1" applyFont="1" applyAlignment="1">
      <alignment horizontal="center" vertical="center" wrapText="1"/>
    </xf>
    <xf numFmtId="0" fontId="12" fillId="0" borderId="2" xfId="0" applyFont="1" applyBorder="1" applyAlignment="1">
      <alignment horizontal="left" wrapText="1"/>
    </xf>
    <xf numFmtId="0" fontId="12" fillId="0" borderId="3" xfId="0" applyFont="1" applyBorder="1" applyAlignment="1">
      <alignment horizontal="left" wrapText="1"/>
    </xf>
    <xf numFmtId="180" fontId="12" fillId="0" borderId="7" xfId="2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180" fontId="19" fillId="0" borderId="7" xfId="0" applyNumberFormat="1" applyFont="1" applyBorder="1" applyAlignment="1">
      <alignment vertical="center"/>
    </xf>
    <xf numFmtId="0" fontId="14" fillId="0" borderId="1" xfId="0" applyFont="1" applyBorder="1" applyAlignment="1">
      <alignment horizontal="left"/>
    </xf>
    <xf numFmtId="0" fontId="18" fillId="0" borderId="2" xfId="0" applyFont="1" applyBorder="1" applyAlignment="1">
      <alignment horizontal="left"/>
    </xf>
    <xf numFmtId="0" fontId="18" fillId="0" borderId="3" xfId="0" applyFont="1" applyBorder="1" applyAlignment="1">
      <alignment horizontal="left"/>
    </xf>
    <xf numFmtId="0" fontId="14" fillId="0" borderId="1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7" xfId="0" applyFont="1" applyBorder="1" applyAlignment="1">
      <alignment horizontal="center"/>
    </xf>
    <xf numFmtId="0" fontId="14" fillId="0" borderId="2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185" fontId="15" fillId="6" borderId="3" xfId="0" applyNumberFormat="1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176" fontId="11" fillId="0" borderId="14" xfId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5" fillId="7" borderId="7" xfId="0" applyFont="1" applyFill="1" applyBorder="1" applyAlignment="1">
      <alignment vertical="center"/>
    </xf>
    <xf numFmtId="0" fontId="19" fillId="0" borderId="0" xfId="0" applyFont="1" applyAlignment="1">
      <alignment horizontal="justify" wrapText="1"/>
    </xf>
    <xf numFmtId="0" fontId="13" fillId="0" borderId="0" xfId="0" applyFont="1" applyAlignment="1">
      <alignment horizontal="justify" wrapText="1"/>
    </xf>
    <xf numFmtId="0" fontId="10" fillId="0" borderId="0" xfId="0" applyFont="1" applyAlignment="1">
      <alignment horizontal="justify" wrapText="1"/>
    </xf>
    <xf numFmtId="0" fontId="11" fillId="0" borderId="0" xfId="0" applyFont="1" applyAlignment="1">
      <alignment horizontal="justify" wrapText="1"/>
    </xf>
    <xf numFmtId="0" fontId="18" fillId="2" borderId="0" xfId="0" applyFont="1" applyFill="1" applyAlignment="1">
      <alignment vertical="center"/>
    </xf>
    <xf numFmtId="176" fontId="17" fillId="0" borderId="0" xfId="1" applyFont="1" applyAlignment="1">
      <alignment vertical="center"/>
    </xf>
    <xf numFmtId="176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176" fontId="17" fillId="0" borderId="0" xfId="1" applyFont="1" applyBorder="1" applyAlignment="1">
      <alignment vertical="center"/>
    </xf>
    <xf numFmtId="10" fontId="17" fillId="0" borderId="0" xfId="3" applyNumberFormat="1" applyFont="1" applyBorder="1" applyAlignment="1">
      <alignment vertical="center"/>
    </xf>
    <xf numFmtId="176" fontId="20" fillId="0" borderId="1" xfId="1" applyFont="1" applyBorder="1" applyAlignment="1">
      <alignment vertical="center"/>
    </xf>
    <xf numFmtId="176" fontId="20" fillId="0" borderId="2" xfId="1" applyFont="1" applyBorder="1" applyAlignment="1">
      <alignment vertical="center"/>
    </xf>
    <xf numFmtId="176" fontId="20" fillId="0" borderId="3" xfId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176" fontId="12" fillId="0" borderId="1" xfId="1" applyFont="1" applyBorder="1" applyAlignment="1">
      <alignment horizontal="left" vertical="center"/>
    </xf>
    <xf numFmtId="176" fontId="12" fillId="0" borderId="2" xfId="1" applyFont="1" applyBorder="1" applyAlignment="1">
      <alignment horizontal="left" vertical="center"/>
    </xf>
    <xf numFmtId="176" fontId="12" fillId="0" borderId="3" xfId="1" applyFont="1" applyBorder="1" applyAlignment="1">
      <alignment horizontal="left" vertical="center"/>
    </xf>
    <xf numFmtId="188" fontId="11" fillId="0" borderId="7" xfId="3" applyNumberFormat="1" applyFont="1" applyBorder="1" applyAlignment="1">
      <alignment vertical="center"/>
    </xf>
    <xf numFmtId="176" fontId="12" fillId="0" borderId="1" xfId="1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176" fontId="17" fillId="0" borderId="1" xfId="1" applyFont="1" applyBorder="1" applyAlignment="1">
      <alignment horizontal="left" vertical="center"/>
    </xf>
    <xf numFmtId="188" fontId="10" fillId="0" borderId="7" xfId="3" applyNumberFormat="1" applyFont="1" applyBorder="1" applyAlignment="1">
      <alignment vertical="center"/>
    </xf>
    <xf numFmtId="0" fontId="17" fillId="0" borderId="0" xfId="0" applyFont="1" applyAlignment="1">
      <alignment vertical="center"/>
    </xf>
    <xf numFmtId="10" fontId="10" fillId="0" borderId="0" xfId="3" applyNumberFormat="1" applyFont="1" applyBorder="1" applyAlignment="1">
      <alignment vertical="center"/>
    </xf>
    <xf numFmtId="176" fontId="12" fillId="0" borderId="0" xfId="1" applyFont="1" applyBorder="1" applyAlignment="1">
      <alignment vertical="center"/>
    </xf>
    <xf numFmtId="188" fontId="11" fillId="0" borderId="14" xfId="3" applyNumberFormat="1" applyFont="1" applyBorder="1" applyAlignment="1">
      <alignment vertical="center"/>
    </xf>
    <xf numFmtId="176" fontId="20" fillId="0" borderId="0" xfId="1" applyFont="1" applyAlignment="1">
      <alignment vertical="center"/>
    </xf>
    <xf numFmtId="176" fontId="15" fillId="6" borderId="7" xfId="1" applyFont="1" applyFill="1" applyBorder="1" applyAlignment="1">
      <alignment horizontal="center" vertical="center" wrapText="1"/>
    </xf>
    <xf numFmtId="176" fontId="14" fillId="0" borderId="7" xfId="1" applyFont="1" applyBorder="1" applyAlignment="1">
      <alignment horizontal="center" vertical="center" wrapText="1"/>
    </xf>
    <xf numFmtId="176" fontId="15" fillId="7" borderId="7" xfId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180" fontId="12" fillId="0" borderId="0" xfId="0" applyNumberFormat="1" applyFont="1" applyAlignment="1">
      <alignment vertical="center"/>
    </xf>
    <xf numFmtId="189" fontId="12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17" fillId="0" borderId="7" xfId="1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4" fontId="18" fillId="2" borderId="0" xfId="0" applyNumberFormat="1" applyFont="1" applyFill="1" applyAlignment="1">
      <alignment vertical="center"/>
    </xf>
    <xf numFmtId="176" fontId="18" fillId="2" borderId="0" xfId="1" applyFont="1" applyFill="1" applyAlignment="1">
      <alignment vertical="center"/>
    </xf>
    <xf numFmtId="0" fontId="17" fillId="0" borderId="0" xfId="0" applyFont="1" applyAlignment="1">
      <alignment horizontal="center" vertical="center"/>
    </xf>
    <xf numFmtId="0" fontId="12" fillId="0" borderId="16" xfId="0" applyFont="1" applyBorder="1" applyAlignment="1">
      <alignment horizontal="left" vertical="center"/>
    </xf>
    <xf numFmtId="0" fontId="12" fillId="0" borderId="17" xfId="0" applyFont="1" applyBorder="1" applyAlignment="1">
      <alignment horizontal="left" vertical="center"/>
    </xf>
    <xf numFmtId="0" fontId="12" fillId="0" borderId="18" xfId="0" applyFont="1" applyBorder="1" applyAlignment="1">
      <alignment horizontal="left" vertical="center"/>
    </xf>
    <xf numFmtId="0" fontId="12" fillId="0" borderId="19" xfId="0" applyFont="1" applyBorder="1" applyAlignment="1">
      <alignment horizontal="center" vertical="center"/>
    </xf>
    <xf numFmtId="10" fontId="12" fillId="0" borderId="20" xfId="0" applyNumberFormat="1" applyFont="1" applyBorder="1" applyAlignment="1">
      <alignment horizontal="center" vertical="center"/>
    </xf>
    <xf numFmtId="0" fontId="12" fillId="0" borderId="21" xfId="0" applyFont="1" applyBorder="1" applyAlignment="1">
      <alignment horizontal="left" vertical="center"/>
    </xf>
    <xf numFmtId="10" fontId="12" fillId="0" borderId="22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10" fontId="12" fillId="0" borderId="23" xfId="0" applyNumberFormat="1" applyFont="1" applyBorder="1" applyAlignment="1">
      <alignment horizontal="center" vertical="center"/>
    </xf>
    <xf numFmtId="0" fontId="12" fillId="0" borderId="24" xfId="0" applyFont="1" applyBorder="1" applyAlignment="1">
      <alignment horizontal="left" vertical="center"/>
    </xf>
    <xf numFmtId="0" fontId="18" fillId="0" borderId="25" xfId="0" applyFont="1" applyBorder="1" applyAlignment="1">
      <alignment horizontal="left" vertical="center"/>
    </xf>
    <xf numFmtId="0" fontId="18" fillId="0" borderId="26" xfId="0" applyFont="1" applyBorder="1" applyAlignment="1">
      <alignment horizontal="left" vertical="center"/>
    </xf>
    <xf numFmtId="0" fontId="12" fillId="0" borderId="27" xfId="0" applyFont="1" applyBorder="1" applyAlignment="1">
      <alignment horizontal="center" vertical="center"/>
    </xf>
    <xf numFmtId="10" fontId="12" fillId="0" borderId="28" xfId="0" applyNumberFormat="1" applyFont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0" borderId="30" xfId="0" applyFont="1" applyBorder="1" applyAlignment="1">
      <alignment vertical="center"/>
    </xf>
    <xf numFmtId="10" fontId="12" fillId="0" borderId="31" xfId="0" applyNumberFormat="1" applyFont="1" applyBorder="1" applyAlignment="1">
      <alignment vertical="center"/>
    </xf>
    <xf numFmtId="0" fontId="12" fillId="0" borderId="32" xfId="0" applyFont="1" applyBorder="1" applyAlignment="1">
      <alignment horizontal="left" vertical="center"/>
    </xf>
    <xf numFmtId="0" fontId="12" fillId="0" borderId="33" xfId="0" applyFont="1" applyBorder="1" applyAlignment="1">
      <alignment vertical="center"/>
    </xf>
    <xf numFmtId="0" fontId="12" fillId="0" borderId="33" xfId="0" applyFont="1" applyBorder="1" applyAlignment="1">
      <alignment horizontal="left" vertical="center"/>
    </xf>
    <xf numFmtId="0" fontId="12" fillId="0" borderId="34" xfId="0" applyFont="1" applyBorder="1" applyAlignment="1">
      <alignment vertical="center"/>
    </xf>
    <xf numFmtId="0" fontId="17" fillId="0" borderId="35" xfId="0" applyFont="1" applyBorder="1" applyAlignment="1">
      <alignment vertical="center"/>
    </xf>
    <xf numFmtId="0" fontId="12" fillId="0" borderId="36" xfId="0" applyFont="1" applyBorder="1" applyAlignment="1">
      <alignment vertical="center"/>
    </xf>
    <xf numFmtId="10" fontId="17" fillId="0" borderId="37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/>
    <xf numFmtId="0" fontId="0" fillId="2" borderId="0" xfId="0" applyFont="1" applyFill="1" applyAlignment="1">
      <alignment vertical="center"/>
    </xf>
    <xf numFmtId="10" fontId="12" fillId="0" borderId="0" xfId="0" applyNumberFormat="1" applyFont="1" applyAlignment="1">
      <alignment vertical="center"/>
    </xf>
    <xf numFmtId="190" fontId="4" fillId="0" borderId="0" xfId="3" applyNumberFormat="1" applyFont="1" applyAlignment="1">
      <alignment horizontal="left" vertical="center"/>
    </xf>
    <xf numFmtId="176" fontId="4" fillId="0" borderId="0" xfId="1" applyFont="1" applyAlignment="1">
      <alignment vertical="center"/>
    </xf>
    <xf numFmtId="185" fontId="12" fillId="0" borderId="0" xfId="3" applyNumberFormat="1" applyFont="1" applyAlignment="1">
      <alignment vertical="center"/>
    </xf>
    <xf numFmtId="190" fontId="12" fillId="0" borderId="0" xfId="3" applyNumberFormat="1" applyFont="1" applyAlignment="1">
      <alignment vertical="center"/>
    </xf>
    <xf numFmtId="176" fontId="21" fillId="0" borderId="0" xfId="1" applyFont="1" applyAlignment="1">
      <alignment vertical="center"/>
    </xf>
    <xf numFmtId="176" fontId="12" fillId="0" borderId="0" xfId="0" applyNumberFormat="1" applyFont="1" applyAlignment="1">
      <alignment vertical="center"/>
    </xf>
  </cellXfs>
  <cellStyles count="53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Normal 2" xfId="49"/>
    <cellStyle name="Normal 3" xfId="50"/>
    <cellStyle name="Porcentagem 2" xfId="51"/>
    <cellStyle name="Vírgula 2" xfId="52"/>
  </cellStyles>
  <tableStyles count="0" defaultTableStyle="TableStyleMedium2" defaultPivotStyle="PivotStyleLight16"/>
  <colors>
    <mruColors>
      <color rgb="00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3555f3235a0026d0\IGAM_RS\Montenegro-Servi&#231;o-Especifico\Montenegro-modelo-planilha-custos-Marge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"/>
      <sheetName val="Orientações"/>
      <sheetName val="Materiais"/>
      <sheetName val="Equipamentos"/>
      <sheetName val="Uniformes e EPIs"/>
      <sheetName val="Postos de trabalho"/>
      <sheetName val="Custo Total"/>
      <sheetName val="Percentua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0"/>
  <sheetViews>
    <sheetView tabSelected="1" view="pageBreakPreview" zoomScalePageLayoutView="14" zoomScaleNormal="115" showWhiteSpace="0" topLeftCell="A133" workbookViewId="0">
      <selection activeCell="F137" sqref="F137"/>
    </sheetView>
  </sheetViews>
  <sheetFormatPr defaultColWidth="9" defaultRowHeight="12.75"/>
  <cols>
    <col min="1" max="1" width="4.28571428571429" style="14" customWidth="1"/>
    <col min="2" max="3" width="14.2857142857143" style="14" customWidth="1"/>
    <col min="4" max="4" width="40.7142857142857" style="14" customWidth="1"/>
    <col min="5" max="5" width="9.14285714285714" style="14" customWidth="1"/>
    <col min="6" max="6" width="12.5714285714286" style="14" customWidth="1"/>
    <col min="7" max="8" width="15.1428571428571" style="14" customWidth="1"/>
    <col min="9" max="9" width="11.2857142857143" style="14" customWidth="1"/>
    <col min="10" max="10" width="9.14285714285714" style="14"/>
    <col min="11" max="11" width="18.1428571428571" style="14" customWidth="1"/>
    <col min="12" max="12" width="11" style="14" customWidth="1"/>
    <col min="13" max="16384" width="9.14285714285714" style="14"/>
  </cols>
  <sheetData>
    <row r="1" ht="15.75" spans="1:9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ht="15.75" spans="1:9">
      <c r="A2" s="15" t="s">
        <v>1</v>
      </c>
      <c r="B2" s="15"/>
      <c r="C2" s="15"/>
      <c r="D2" s="15"/>
      <c r="E2" s="15"/>
      <c r="F2" s="15"/>
      <c r="G2" s="15"/>
      <c r="H2" s="15"/>
      <c r="I2" s="15"/>
    </row>
    <row r="3" customHeight="1" spans="1:9">
      <c r="A3" s="15"/>
      <c r="B3" s="15"/>
      <c r="C3" s="15"/>
      <c r="D3" s="15"/>
      <c r="E3" s="15"/>
      <c r="F3" s="15"/>
      <c r="G3" s="15"/>
      <c r="H3" s="15"/>
      <c r="I3" s="15"/>
    </row>
    <row r="4" ht="48" customHeight="1" spans="1:9">
      <c r="A4" s="16" t="s">
        <v>2</v>
      </c>
      <c r="B4" s="17"/>
      <c r="C4" s="17"/>
      <c r="D4" s="17"/>
      <c r="E4" s="17"/>
      <c r="F4" s="18"/>
      <c r="G4" s="19" t="s">
        <v>3</v>
      </c>
      <c r="H4" s="20"/>
      <c r="I4" s="110"/>
    </row>
    <row r="5" s="1" customFormat="1" ht="15" customHeight="1" spans="1:9">
      <c r="A5" s="21" t="s">
        <v>4</v>
      </c>
      <c r="B5" s="22"/>
      <c r="C5" s="22"/>
      <c r="D5" s="22"/>
      <c r="E5" s="22"/>
      <c r="F5" s="23"/>
      <c r="G5" s="24" t="s">
        <v>5</v>
      </c>
      <c r="H5" s="25" t="s">
        <v>6</v>
      </c>
      <c r="I5" s="111">
        <v>1845.8</v>
      </c>
    </row>
    <row r="6" s="1" customFormat="1" ht="15" customHeight="1" spans="1:9">
      <c r="A6" s="26"/>
      <c r="B6" s="27"/>
      <c r="C6" s="27"/>
      <c r="D6" s="27"/>
      <c r="E6" s="27"/>
      <c r="F6" s="28"/>
      <c r="G6" s="24" t="s">
        <v>5</v>
      </c>
      <c r="H6" s="25" t="s">
        <v>7</v>
      </c>
      <c r="I6" s="111">
        <v>7.88</v>
      </c>
    </row>
    <row r="7" customHeight="1" spans="1:9">
      <c r="A7" s="26"/>
      <c r="B7" s="27"/>
      <c r="C7" s="27"/>
      <c r="D7" s="27"/>
      <c r="E7" s="27"/>
      <c r="F7" s="28"/>
      <c r="G7" s="24" t="s">
        <v>5</v>
      </c>
      <c r="H7" s="29" t="s">
        <v>8</v>
      </c>
      <c r="I7" s="112">
        <f>ROUND(((I5/220)*0.2),3)</f>
        <v>1.678</v>
      </c>
    </row>
    <row r="8" ht="15.75" spans="1:9">
      <c r="A8" s="30"/>
      <c r="B8" s="31"/>
      <c r="C8" s="31"/>
      <c r="D8" s="31"/>
      <c r="E8" s="31"/>
      <c r="F8" s="32"/>
      <c r="G8" s="24" t="s">
        <v>5</v>
      </c>
      <c r="H8" s="24" t="s">
        <v>9</v>
      </c>
      <c r="I8" s="113">
        <v>0.2</v>
      </c>
    </row>
    <row r="9" s="1" customFormat="1" customHeight="1" spans="1:9">
      <c r="A9" s="33" t="s">
        <v>10</v>
      </c>
      <c r="B9" s="34"/>
      <c r="C9" s="34"/>
      <c r="D9" s="34"/>
      <c r="E9" s="34"/>
      <c r="F9" s="34"/>
      <c r="G9" s="34"/>
      <c r="H9" s="34"/>
      <c r="I9" s="114"/>
    </row>
    <row r="10" s="1" customFormat="1" ht="15" customHeight="1" spans="1:9">
      <c r="A10" s="35" t="s">
        <v>11</v>
      </c>
      <c r="B10" s="36" t="s">
        <v>12</v>
      </c>
      <c r="C10" s="37"/>
      <c r="D10" s="37"/>
      <c r="E10" s="38" t="s">
        <v>13</v>
      </c>
      <c r="F10" s="38" t="s">
        <v>14</v>
      </c>
      <c r="G10" s="38" t="s">
        <v>15</v>
      </c>
      <c r="H10" s="38" t="s">
        <v>16</v>
      </c>
      <c r="I10" s="35" t="s">
        <v>17</v>
      </c>
    </row>
    <row r="11" s="1" customFormat="1" customHeight="1" spans="1:9">
      <c r="A11" s="39">
        <v>1</v>
      </c>
      <c r="B11" s="40" t="s">
        <v>18</v>
      </c>
      <c r="C11" s="41"/>
      <c r="D11" s="41"/>
      <c r="E11" s="42" t="s">
        <v>19</v>
      </c>
      <c r="F11" s="43">
        <v>1</v>
      </c>
      <c r="G11" s="44">
        <v>1845.8</v>
      </c>
      <c r="H11" s="45">
        <f>F11*G11</f>
        <v>1845.8</v>
      </c>
      <c r="I11" s="115"/>
    </row>
    <row r="12" s="1" customFormat="1" customHeight="1" spans="1:9">
      <c r="A12" s="46">
        <v>2</v>
      </c>
      <c r="B12" s="40" t="s">
        <v>20</v>
      </c>
      <c r="C12" s="41"/>
      <c r="D12" s="41"/>
      <c r="E12" s="42" t="s">
        <v>21</v>
      </c>
      <c r="F12" s="43">
        <v>220</v>
      </c>
      <c r="G12" s="44">
        <f>I7</f>
        <v>1.678</v>
      </c>
      <c r="H12" s="45">
        <f>F12*G12</f>
        <v>369.16</v>
      </c>
      <c r="I12" s="116"/>
    </row>
    <row r="13" s="1" customFormat="1" customHeight="1" spans="1:9">
      <c r="A13" s="46">
        <v>3</v>
      </c>
      <c r="B13" s="40" t="s">
        <v>22</v>
      </c>
      <c r="C13" s="41"/>
      <c r="D13" s="41"/>
      <c r="E13" s="42" t="s">
        <v>23</v>
      </c>
      <c r="F13" s="47">
        <v>0.3</v>
      </c>
      <c r="G13" s="44">
        <f>SUM(H11:H12)</f>
        <v>2214.96</v>
      </c>
      <c r="H13" s="45">
        <f>F13*G13</f>
        <v>664.488</v>
      </c>
      <c r="I13" s="116"/>
    </row>
    <row r="14" s="1" customFormat="1" customHeight="1" spans="1:9">
      <c r="A14" s="48" t="s">
        <v>24</v>
      </c>
      <c r="B14" s="49"/>
      <c r="C14" s="49"/>
      <c r="D14" s="49"/>
      <c r="E14" s="49"/>
      <c r="F14" s="49"/>
      <c r="G14" s="50"/>
      <c r="H14" s="45">
        <f>SUM(H11:H13)</f>
        <v>2879.448</v>
      </c>
      <c r="I14" s="117"/>
    </row>
    <row r="15" s="1" customFormat="1" customHeight="1" spans="1:9">
      <c r="A15" s="48">
        <v>4</v>
      </c>
      <c r="B15" s="40" t="s">
        <v>25</v>
      </c>
      <c r="C15" s="49"/>
      <c r="D15" s="50"/>
      <c r="E15" s="39" t="s">
        <v>23</v>
      </c>
      <c r="F15" s="51">
        <f>G145*100</f>
        <v>69.6840666666667</v>
      </c>
      <c r="G15" s="52">
        <f>H14</f>
        <v>2879.448</v>
      </c>
      <c r="H15" s="45">
        <f>G15*(F15/100)</f>
        <v>2006.516463952</v>
      </c>
      <c r="I15" s="116"/>
    </row>
    <row r="16" s="1" customFormat="1" customHeight="1" spans="1:9">
      <c r="A16" s="53" t="s">
        <v>26</v>
      </c>
      <c r="B16" s="54"/>
      <c r="C16" s="54"/>
      <c r="D16" s="54"/>
      <c r="E16" s="54"/>
      <c r="F16" s="54"/>
      <c r="G16" s="54"/>
      <c r="H16" s="45">
        <f>SUM(H14:H15)</f>
        <v>4885.964463952</v>
      </c>
      <c r="I16" s="118"/>
    </row>
    <row r="17" s="1" customFormat="1" customHeight="1" spans="1:9">
      <c r="A17" s="39">
        <v>5</v>
      </c>
      <c r="B17" s="55" t="s">
        <v>27</v>
      </c>
      <c r="C17" s="49"/>
      <c r="D17" s="49"/>
      <c r="E17" s="39" t="s">
        <v>28</v>
      </c>
      <c r="F17" s="56">
        <v>1</v>
      </c>
      <c r="G17" s="52">
        <f>H16*5%</f>
        <v>244.2982231976</v>
      </c>
      <c r="H17" s="57">
        <f>F17*G17</f>
        <v>244.2982231976</v>
      </c>
      <c r="I17" s="119">
        <f>H17</f>
        <v>244.2982231976</v>
      </c>
    </row>
    <row r="18" ht="15.75" spans="1:9">
      <c r="A18" s="58"/>
      <c r="B18" s="59"/>
      <c r="C18" s="59"/>
      <c r="D18" s="59"/>
      <c r="E18" s="59"/>
      <c r="F18" s="59"/>
      <c r="G18" s="58"/>
      <c r="H18" s="58"/>
      <c r="I18" s="58"/>
    </row>
    <row r="19" s="1" customFormat="1" ht="15" customHeight="1" spans="1:9">
      <c r="A19" s="35" t="s">
        <v>29</v>
      </c>
      <c r="B19" s="36" t="s">
        <v>30</v>
      </c>
      <c r="C19" s="37"/>
      <c r="D19" s="37"/>
      <c r="E19" s="38" t="s">
        <v>13</v>
      </c>
      <c r="F19" s="38" t="s">
        <v>14</v>
      </c>
      <c r="G19" s="38" t="s">
        <v>15</v>
      </c>
      <c r="H19" s="38" t="s">
        <v>16</v>
      </c>
      <c r="I19" s="35" t="s">
        <v>17</v>
      </c>
    </row>
    <row r="20" s="1" customFormat="1" customHeight="1" spans="1:9">
      <c r="A20" s="39">
        <v>1</v>
      </c>
      <c r="B20" s="40" t="s">
        <v>18</v>
      </c>
      <c r="C20" s="41"/>
      <c r="D20" s="41"/>
      <c r="E20" s="42" t="s">
        <v>19</v>
      </c>
      <c r="F20" s="43">
        <v>1</v>
      </c>
      <c r="G20" s="44">
        <f>I5</f>
        <v>1845.8</v>
      </c>
      <c r="H20" s="45">
        <f>F20*G20</f>
        <v>1845.8</v>
      </c>
      <c r="I20" s="115"/>
    </row>
    <row r="21" s="1" customFormat="1" customHeight="1" spans="1:9">
      <c r="A21" s="46">
        <v>2</v>
      </c>
      <c r="B21" s="40" t="s">
        <v>31</v>
      </c>
      <c r="C21" s="41"/>
      <c r="D21" s="41"/>
      <c r="E21" s="42" t="s">
        <v>23</v>
      </c>
      <c r="F21" s="47">
        <v>0.3</v>
      </c>
      <c r="G21" s="44">
        <f>SUM(H20)</f>
        <v>1845.8</v>
      </c>
      <c r="H21" s="45">
        <f>F21*G21</f>
        <v>553.74</v>
      </c>
      <c r="I21" s="116"/>
    </row>
    <row r="22" s="1" customFormat="1" customHeight="1" spans="1:9">
      <c r="A22" s="46">
        <v>3</v>
      </c>
      <c r="B22" s="40" t="s">
        <v>32</v>
      </c>
      <c r="C22" s="41"/>
      <c r="D22" s="41"/>
      <c r="E22" s="42" t="s">
        <v>21</v>
      </c>
      <c r="F22" s="60">
        <f>I12</f>
        <v>0</v>
      </c>
      <c r="G22" s="44">
        <v>0</v>
      </c>
      <c r="H22" s="45">
        <v>0</v>
      </c>
      <c r="I22" s="116"/>
    </row>
    <row r="23" s="1" customFormat="1" customHeight="1" spans="1:9">
      <c r="A23" s="48" t="s">
        <v>24</v>
      </c>
      <c r="B23" s="49"/>
      <c r="C23" s="49"/>
      <c r="D23" s="49"/>
      <c r="E23" s="49"/>
      <c r="F23" s="49"/>
      <c r="G23" s="50"/>
      <c r="H23" s="61">
        <f>SUM(H20:H22)</f>
        <v>2399.54</v>
      </c>
      <c r="I23" s="117"/>
    </row>
    <row r="24" s="1" customFormat="1" customHeight="1" spans="1:9">
      <c r="A24" s="48">
        <v>4</v>
      </c>
      <c r="B24" s="40" t="s">
        <v>25</v>
      </c>
      <c r="C24" s="49"/>
      <c r="D24" s="50"/>
      <c r="E24" s="39" t="s">
        <v>23</v>
      </c>
      <c r="F24" s="51">
        <f>G145*100</f>
        <v>69.6840666666667</v>
      </c>
      <c r="G24" s="52">
        <f>H23</f>
        <v>2399.54</v>
      </c>
      <c r="H24" s="45">
        <f>G24*(F24/100)</f>
        <v>1672.09705329333</v>
      </c>
      <c r="I24" s="116"/>
    </row>
    <row r="25" s="1" customFormat="1" customHeight="1" spans="1:9">
      <c r="A25" s="53" t="s">
        <v>26</v>
      </c>
      <c r="B25" s="54"/>
      <c r="C25" s="54"/>
      <c r="D25" s="54"/>
      <c r="E25" s="54"/>
      <c r="F25" s="54"/>
      <c r="G25" s="54"/>
      <c r="H25" s="45">
        <f>SUM(H23:H24)</f>
        <v>4071.63705329333</v>
      </c>
      <c r="I25" s="118"/>
    </row>
    <row r="26" s="2" customFormat="1" customHeight="1" spans="1:9">
      <c r="A26" s="62">
        <v>5</v>
      </c>
      <c r="B26" s="63" t="s">
        <v>27</v>
      </c>
      <c r="C26" s="64"/>
      <c r="D26" s="64"/>
      <c r="E26" s="62" t="s">
        <v>28</v>
      </c>
      <c r="F26" s="62">
        <v>1</v>
      </c>
      <c r="G26" s="65">
        <f>H25*5%</f>
        <v>203.581852664667</v>
      </c>
      <c r="H26" s="66">
        <f>F26*G26</f>
        <v>203.581852664667</v>
      </c>
      <c r="I26" s="120">
        <f>H26</f>
        <v>203.581852664667</v>
      </c>
    </row>
    <row r="27" s="3" customFormat="1" ht="15.75" spans="1:10">
      <c r="A27" s="67"/>
      <c r="B27" s="67"/>
      <c r="C27" s="67"/>
      <c r="D27" s="68"/>
      <c r="E27" s="67"/>
      <c r="F27" s="67"/>
      <c r="G27" s="67"/>
      <c r="H27" s="67"/>
      <c r="I27" s="67"/>
      <c r="J27" s="121"/>
    </row>
    <row r="28" s="4" customFormat="1" ht="15" customHeight="1" spans="1:10">
      <c r="A28" s="35" t="s">
        <v>33</v>
      </c>
      <c r="B28" s="36" t="s">
        <v>34</v>
      </c>
      <c r="C28" s="37"/>
      <c r="D28" s="37"/>
      <c r="E28" s="38" t="s">
        <v>13</v>
      </c>
      <c r="F28" s="38" t="s">
        <v>14</v>
      </c>
      <c r="G28" s="38" t="s">
        <v>15</v>
      </c>
      <c r="H28" s="38" t="s">
        <v>16</v>
      </c>
      <c r="I28" s="35" t="s">
        <v>17</v>
      </c>
      <c r="J28" s="122"/>
    </row>
    <row r="29" s="4" customFormat="1" customHeight="1" spans="1:10">
      <c r="A29" s="46">
        <v>1</v>
      </c>
      <c r="B29" s="40" t="s">
        <v>35</v>
      </c>
      <c r="C29" s="41"/>
      <c r="D29" s="41"/>
      <c r="E29" s="42" t="s">
        <v>36</v>
      </c>
      <c r="F29" s="69">
        <f>((SUM(F17,F26))*21)</f>
        <v>42</v>
      </c>
      <c r="G29" s="70">
        <v>27</v>
      </c>
      <c r="H29" s="70">
        <f>F29*G29</f>
        <v>1134</v>
      </c>
      <c r="I29" s="115"/>
      <c r="J29" s="122"/>
    </row>
    <row r="30" s="4" customFormat="1" customHeight="1" spans="1:10">
      <c r="A30" s="71"/>
      <c r="B30" s="40" t="s">
        <v>37</v>
      </c>
      <c r="C30" s="41"/>
      <c r="D30" s="41"/>
      <c r="E30" s="42" t="s">
        <v>23</v>
      </c>
      <c r="F30" s="72">
        <v>-0.2</v>
      </c>
      <c r="G30" s="44">
        <f>H29</f>
        <v>1134</v>
      </c>
      <c r="H30" s="73">
        <f>F30*G30</f>
        <v>-226.8</v>
      </c>
      <c r="I30" s="123"/>
      <c r="J30" s="122"/>
    </row>
    <row r="31" s="4" customFormat="1" customHeight="1" spans="1:10">
      <c r="A31" s="53" t="s">
        <v>24</v>
      </c>
      <c r="B31" s="54"/>
      <c r="C31" s="54"/>
      <c r="D31" s="54"/>
      <c r="E31" s="54"/>
      <c r="F31" s="54"/>
      <c r="G31" s="54"/>
      <c r="H31" s="74"/>
      <c r="I31" s="124">
        <f>SUM(H29:H30)</f>
        <v>907.2</v>
      </c>
      <c r="J31" s="122"/>
    </row>
    <row r="32" s="4" customFormat="1" customHeight="1" spans="1:10">
      <c r="A32" s="46">
        <v>2</v>
      </c>
      <c r="B32" s="40" t="s">
        <v>38</v>
      </c>
      <c r="C32" s="41"/>
      <c r="D32" s="41"/>
      <c r="E32" s="42" t="s">
        <v>36</v>
      </c>
      <c r="F32" s="69">
        <f>((SUM(F17,F26))*21)*4</f>
        <v>168</v>
      </c>
      <c r="G32" s="70">
        <v>4</v>
      </c>
      <c r="H32" s="70">
        <f>F32*G32</f>
        <v>672</v>
      </c>
      <c r="I32" s="115"/>
      <c r="J32" s="122"/>
    </row>
    <row r="33" s="4" customFormat="1" customHeight="1" spans="1:10">
      <c r="A33" s="71"/>
      <c r="B33" s="40" t="s">
        <v>39</v>
      </c>
      <c r="C33" s="41"/>
      <c r="D33" s="41"/>
      <c r="E33" s="42" t="s">
        <v>23</v>
      </c>
      <c r="F33" s="72">
        <v>-0.06</v>
      </c>
      <c r="G33" s="44">
        <f>I5*(F26+F17)</f>
        <v>3691.6</v>
      </c>
      <c r="H33" s="73">
        <f>F33*G33</f>
        <v>-221.496</v>
      </c>
      <c r="I33" s="125"/>
      <c r="J33" s="122"/>
    </row>
    <row r="34" s="4" customFormat="1" customHeight="1" spans="1:10">
      <c r="A34" s="53" t="s">
        <v>24</v>
      </c>
      <c r="B34" s="54"/>
      <c r="C34" s="54"/>
      <c r="D34" s="54"/>
      <c r="E34" s="54"/>
      <c r="F34" s="54"/>
      <c r="G34" s="54"/>
      <c r="H34" s="74"/>
      <c r="I34" s="124">
        <f>SUM(H32:H33)</f>
        <v>450.504</v>
      </c>
      <c r="J34" s="122"/>
    </row>
    <row r="35" s="3" customFormat="1" ht="15.75" spans="1:10">
      <c r="A35" s="67"/>
      <c r="B35" s="67"/>
      <c r="C35" s="67"/>
      <c r="D35" s="67"/>
      <c r="E35" s="75"/>
      <c r="F35" s="75"/>
      <c r="G35" s="76"/>
      <c r="H35" s="75"/>
      <c r="I35" s="126"/>
      <c r="J35" s="127"/>
    </row>
    <row r="36" s="3" customFormat="1" ht="15" customHeight="1" spans="1:10">
      <c r="A36" s="77" t="s">
        <v>40</v>
      </c>
      <c r="B36" s="78"/>
      <c r="C36" s="78"/>
      <c r="D36" s="78"/>
      <c r="E36" s="78"/>
      <c r="F36" s="78"/>
      <c r="G36" s="78"/>
      <c r="H36" s="79"/>
      <c r="I36" s="128">
        <f>SUM(I17,I26,I31,I34)</f>
        <v>1805.58407586227</v>
      </c>
      <c r="J36" s="129"/>
    </row>
    <row r="37" ht="15.75" spans="1:9">
      <c r="A37" s="58"/>
      <c r="B37" s="59"/>
      <c r="C37" s="59"/>
      <c r="D37" s="59"/>
      <c r="E37" s="59"/>
      <c r="F37" s="59"/>
      <c r="G37" s="58"/>
      <c r="H37" s="58"/>
      <c r="I37" s="58"/>
    </row>
    <row r="38" s="5" customFormat="1" customHeight="1" spans="1:10">
      <c r="A38" s="80" t="s">
        <v>41</v>
      </c>
      <c r="B38" s="81"/>
      <c r="C38" s="81"/>
      <c r="D38" s="81"/>
      <c r="E38" s="81"/>
      <c r="F38" s="81"/>
      <c r="G38" s="81"/>
      <c r="H38" s="81"/>
      <c r="I38" s="130"/>
      <c r="J38" s="131"/>
    </row>
    <row r="39" s="5" customFormat="1" ht="15" customHeight="1" spans="1:10">
      <c r="A39" s="82" t="s">
        <v>42</v>
      </c>
      <c r="B39" s="83" t="s">
        <v>43</v>
      </c>
      <c r="C39" s="84"/>
      <c r="D39" s="84"/>
      <c r="E39" s="82" t="s">
        <v>13</v>
      </c>
      <c r="F39" s="82" t="s">
        <v>14</v>
      </c>
      <c r="G39" s="82" t="s">
        <v>15</v>
      </c>
      <c r="H39" s="82" t="s">
        <v>16</v>
      </c>
      <c r="I39" s="132" t="s">
        <v>17</v>
      </c>
      <c r="J39" s="131"/>
    </row>
    <row r="40" s="5" customFormat="1" customHeight="1" spans="1:10">
      <c r="A40" s="56">
        <v>1</v>
      </c>
      <c r="B40" s="85" t="s">
        <v>44</v>
      </c>
      <c r="C40" s="86"/>
      <c r="D40" s="86"/>
      <c r="E40" s="43" t="s">
        <v>13</v>
      </c>
      <c r="F40" s="87">
        <v>0.166666666666667</v>
      </c>
      <c r="G40" s="88">
        <v>184.36</v>
      </c>
      <c r="H40" s="89">
        <f>F40*G40</f>
        <v>30.7266666666667</v>
      </c>
      <c r="I40" s="133"/>
      <c r="J40" s="131"/>
    </row>
    <row r="41" s="5" customFormat="1" customHeight="1" spans="1:10">
      <c r="A41" s="56">
        <v>2</v>
      </c>
      <c r="B41" s="90" t="s">
        <v>45</v>
      </c>
      <c r="C41" s="86"/>
      <c r="D41" s="86"/>
      <c r="E41" s="43" t="s">
        <v>13</v>
      </c>
      <c r="F41" s="87">
        <v>0.166666666666667</v>
      </c>
      <c r="G41" s="88">
        <v>89.9</v>
      </c>
      <c r="H41" s="89">
        <f t="shared" ref="H41:H46" si="0">F41*G41</f>
        <v>14.9833333333334</v>
      </c>
      <c r="I41" s="134"/>
      <c r="J41" s="131"/>
    </row>
    <row r="42" s="5" customFormat="1" customHeight="1" spans="1:10">
      <c r="A42" s="56">
        <v>3</v>
      </c>
      <c r="B42" s="90" t="s">
        <v>46</v>
      </c>
      <c r="C42" s="86"/>
      <c r="D42" s="86"/>
      <c r="E42" s="43" t="s">
        <v>47</v>
      </c>
      <c r="F42" s="87">
        <v>0.0833333333333333</v>
      </c>
      <c r="G42" s="88">
        <v>337.02</v>
      </c>
      <c r="H42" s="89">
        <f t="shared" si="0"/>
        <v>28.085</v>
      </c>
      <c r="I42" s="134"/>
      <c r="J42" s="131"/>
    </row>
    <row r="43" s="5" customFormat="1" customHeight="1" spans="1:10">
      <c r="A43" s="56">
        <v>4</v>
      </c>
      <c r="B43" s="90" t="s">
        <v>48</v>
      </c>
      <c r="C43" s="86"/>
      <c r="D43" s="86"/>
      <c r="E43" s="43" t="s">
        <v>13</v>
      </c>
      <c r="F43" s="87">
        <v>0.0833333333333333</v>
      </c>
      <c r="G43" s="88">
        <v>46.18</v>
      </c>
      <c r="H43" s="89">
        <f t="shared" si="0"/>
        <v>3.84833333333333</v>
      </c>
      <c r="I43" s="134"/>
      <c r="J43" s="131"/>
    </row>
    <row r="44" s="5" customFormat="1" customHeight="1" spans="1:10">
      <c r="A44" s="56">
        <v>5</v>
      </c>
      <c r="B44" s="90" t="s">
        <v>49</v>
      </c>
      <c r="C44" s="86"/>
      <c r="D44" s="86"/>
      <c r="E44" s="43" t="s">
        <v>13</v>
      </c>
      <c r="F44" s="87">
        <v>0.0833333333333333</v>
      </c>
      <c r="G44" s="88">
        <v>229.9</v>
      </c>
      <c r="H44" s="89">
        <f t="shared" si="0"/>
        <v>19.1583333333333</v>
      </c>
      <c r="I44" s="134"/>
      <c r="J44" s="131"/>
    </row>
    <row r="45" s="5" customFormat="1" customHeight="1" spans="1:10">
      <c r="A45" s="56">
        <v>6</v>
      </c>
      <c r="B45" s="90" t="s">
        <v>50</v>
      </c>
      <c r="C45" s="86"/>
      <c r="D45" s="86"/>
      <c r="E45" s="43" t="s">
        <v>47</v>
      </c>
      <c r="F45" s="87">
        <v>0.166666666666667</v>
      </c>
      <c r="G45" s="88">
        <v>25.2</v>
      </c>
      <c r="H45" s="89">
        <f t="shared" si="0"/>
        <v>4.20000000000001</v>
      </c>
      <c r="I45" s="134"/>
      <c r="J45" s="131"/>
    </row>
    <row r="46" s="5" customFormat="1" customHeight="1" spans="1:10">
      <c r="A46" s="56">
        <v>7</v>
      </c>
      <c r="B46" s="90" t="s">
        <v>51</v>
      </c>
      <c r="C46" s="86"/>
      <c r="D46" s="86"/>
      <c r="E46" s="43" t="s">
        <v>13</v>
      </c>
      <c r="F46" s="87">
        <v>0.0833333333333333</v>
      </c>
      <c r="G46" s="88">
        <v>18.9</v>
      </c>
      <c r="H46" s="89">
        <f t="shared" si="0"/>
        <v>1.575</v>
      </c>
      <c r="I46" s="134"/>
      <c r="J46" s="131"/>
    </row>
    <row r="47" s="5" customFormat="1" customHeight="1" spans="1:10">
      <c r="A47" s="91" t="s">
        <v>24</v>
      </c>
      <c r="B47" s="92"/>
      <c r="C47" s="92"/>
      <c r="D47" s="92"/>
      <c r="E47" s="92"/>
      <c r="F47" s="92"/>
      <c r="G47" s="93"/>
      <c r="H47" s="94">
        <f>SUM(H40:H46)</f>
        <v>102.576666666667</v>
      </c>
      <c r="I47" s="135"/>
      <c r="J47" s="131"/>
    </row>
    <row r="48" s="5" customFormat="1" customHeight="1" spans="1:10">
      <c r="A48" s="56">
        <v>8</v>
      </c>
      <c r="B48" s="95" t="s">
        <v>52</v>
      </c>
      <c r="C48" s="95"/>
      <c r="D48" s="95"/>
      <c r="E48" s="56" t="s">
        <v>28</v>
      </c>
      <c r="F48" s="56">
        <v>1</v>
      </c>
      <c r="G48" s="52">
        <f>H47</f>
        <v>102.576666666667</v>
      </c>
      <c r="H48" s="57">
        <f>F48*G48</f>
        <v>102.576666666667</v>
      </c>
      <c r="I48" s="119">
        <f>H48</f>
        <v>102.576666666667</v>
      </c>
      <c r="J48" s="136"/>
    </row>
    <row r="49" s="6" customFormat="1" ht="15.75" spans="1:10">
      <c r="A49" s="96"/>
      <c r="B49" s="96"/>
      <c r="C49" s="96"/>
      <c r="D49" s="96"/>
      <c r="E49" s="96"/>
      <c r="F49" s="96"/>
      <c r="G49" s="96"/>
      <c r="H49" s="96"/>
      <c r="I49" s="96"/>
      <c r="J49" s="137"/>
    </row>
    <row r="50" s="3" customFormat="1" ht="15" customHeight="1" spans="1:10">
      <c r="A50" s="77" t="s">
        <v>53</v>
      </c>
      <c r="B50" s="78"/>
      <c r="C50" s="78"/>
      <c r="D50" s="78"/>
      <c r="E50" s="78"/>
      <c r="F50" s="78"/>
      <c r="G50" s="78"/>
      <c r="H50" s="79"/>
      <c r="I50" s="128">
        <f>SUM(I48)</f>
        <v>102.576666666667</v>
      </c>
      <c r="J50" s="129"/>
    </row>
    <row r="51" ht="15.75" spans="1:9">
      <c r="A51" s="58"/>
      <c r="B51" s="59"/>
      <c r="C51" s="59"/>
      <c r="D51" s="59"/>
      <c r="E51" s="59"/>
      <c r="F51" s="59"/>
      <c r="G51" s="58"/>
      <c r="H51" s="58"/>
      <c r="I51" s="58"/>
    </row>
    <row r="52" s="1" customFormat="1" ht="15" customHeight="1" spans="1:9">
      <c r="A52" s="35" t="s">
        <v>54</v>
      </c>
      <c r="B52" s="36" t="s">
        <v>55</v>
      </c>
      <c r="C52" s="37"/>
      <c r="D52" s="37"/>
      <c r="E52" s="38" t="s">
        <v>13</v>
      </c>
      <c r="F52" s="38" t="s">
        <v>14</v>
      </c>
      <c r="G52" s="38" t="s">
        <v>15</v>
      </c>
      <c r="H52" s="38" t="s">
        <v>16</v>
      </c>
      <c r="I52" s="35" t="s">
        <v>17</v>
      </c>
    </row>
    <row r="53" s="4" customFormat="1" customHeight="1" spans="1:10">
      <c r="A53" s="39">
        <v>1</v>
      </c>
      <c r="B53" s="97" t="s">
        <v>56</v>
      </c>
      <c r="C53" s="41"/>
      <c r="D53" s="41"/>
      <c r="E53" s="42" t="s">
        <v>13</v>
      </c>
      <c r="F53" s="98">
        <v>1</v>
      </c>
      <c r="G53" s="99">
        <f>I36</f>
        <v>1805.58407586227</v>
      </c>
      <c r="H53" s="100">
        <f>F53*G53</f>
        <v>1805.58407586227</v>
      </c>
      <c r="I53" s="138"/>
      <c r="J53" s="122"/>
    </row>
    <row r="54" s="4" customFormat="1" customHeight="1" spans="1:10">
      <c r="A54" s="39">
        <v>2</v>
      </c>
      <c r="B54" s="101" t="s">
        <v>57</v>
      </c>
      <c r="C54" s="41"/>
      <c r="D54" s="41"/>
      <c r="E54" s="42" t="s">
        <v>13</v>
      </c>
      <c r="F54" s="98">
        <v>1</v>
      </c>
      <c r="G54" s="99">
        <f>I50</f>
        <v>102.576666666667</v>
      </c>
      <c r="H54" s="100">
        <f>F54*G54</f>
        <v>102.576666666667</v>
      </c>
      <c r="I54" s="139"/>
      <c r="J54" s="122"/>
    </row>
    <row r="55" s="4" customFormat="1" customHeight="1" spans="1:10">
      <c r="A55" s="53" t="s">
        <v>24</v>
      </c>
      <c r="B55" s="54"/>
      <c r="C55" s="54"/>
      <c r="D55" s="54"/>
      <c r="E55" s="54"/>
      <c r="F55" s="54"/>
      <c r="G55" s="54"/>
      <c r="H55" s="102">
        <f>SUM(H53:H54)</f>
        <v>1908.16074252894</v>
      </c>
      <c r="I55" s="139"/>
      <c r="J55" s="122"/>
    </row>
    <row r="56" s="4" customFormat="1" customHeight="1" spans="1:10">
      <c r="A56" s="39">
        <v>3</v>
      </c>
      <c r="B56" s="97" t="s">
        <v>58</v>
      </c>
      <c r="C56" s="41"/>
      <c r="D56" s="41"/>
      <c r="E56" s="42" t="s">
        <v>59</v>
      </c>
      <c r="F56" s="98">
        <v>440</v>
      </c>
      <c r="G56" s="99">
        <f>H55/F56</f>
        <v>4.33672896029304</v>
      </c>
      <c r="H56" s="100">
        <f>F56*G56</f>
        <v>1908.16074252894</v>
      </c>
      <c r="I56" s="140"/>
      <c r="J56" s="122"/>
    </row>
    <row r="57" s="4" customFormat="1" customHeight="1" spans="1:10">
      <c r="A57" s="39">
        <v>4</v>
      </c>
      <c r="B57" s="97" t="s">
        <v>60</v>
      </c>
      <c r="C57" s="41"/>
      <c r="D57" s="41"/>
      <c r="E57" s="42" t="s">
        <v>59</v>
      </c>
      <c r="F57" s="98">
        <f>F56*0.5</f>
        <v>220</v>
      </c>
      <c r="G57" s="99">
        <f>G56</f>
        <v>4.33672896029304</v>
      </c>
      <c r="H57" s="100">
        <f>F57*G57</f>
        <v>954.080371264469</v>
      </c>
      <c r="I57" s="141">
        <f>H57</f>
        <v>954.080371264469</v>
      </c>
      <c r="J57" s="122"/>
    </row>
    <row r="58" s="4" customFormat="1" customHeight="1" spans="1:10">
      <c r="A58" s="103" t="s">
        <v>61</v>
      </c>
      <c r="B58" s="67"/>
      <c r="C58" s="67"/>
      <c r="D58" s="67"/>
      <c r="E58" s="67"/>
      <c r="F58" s="67"/>
      <c r="G58" s="67"/>
      <c r="H58" s="67"/>
      <c r="I58" s="67"/>
      <c r="J58" s="122"/>
    </row>
    <row r="59" s="4" customFormat="1" customHeight="1" spans="1:10">
      <c r="A59" s="103"/>
      <c r="B59" s="67"/>
      <c r="C59" s="67"/>
      <c r="D59" s="67"/>
      <c r="E59" s="67"/>
      <c r="F59" s="67"/>
      <c r="G59" s="67"/>
      <c r="H59" s="67"/>
      <c r="I59" s="67"/>
      <c r="J59" s="122"/>
    </row>
    <row r="60" s="3" customFormat="1" ht="15" customHeight="1" spans="1:10">
      <c r="A60" s="77" t="s">
        <v>62</v>
      </c>
      <c r="B60" s="78"/>
      <c r="C60" s="78"/>
      <c r="D60" s="78"/>
      <c r="E60" s="78"/>
      <c r="F60" s="78"/>
      <c r="G60" s="78"/>
      <c r="H60" s="79"/>
      <c r="I60" s="128">
        <f>I57</f>
        <v>954.080371264469</v>
      </c>
      <c r="J60" s="129"/>
    </row>
    <row r="61" s="3" customFormat="1" ht="15.75" spans="1:10">
      <c r="A61" s="67"/>
      <c r="B61" s="67"/>
      <c r="C61" s="67"/>
      <c r="D61" s="67"/>
      <c r="E61" s="67"/>
      <c r="F61" s="67"/>
      <c r="G61" s="67"/>
      <c r="H61" s="67"/>
      <c r="I61" s="67"/>
      <c r="J61" s="127"/>
    </row>
    <row r="62" s="7" customFormat="1" customHeight="1" spans="1:10">
      <c r="A62" s="33" t="s">
        <v>63</v>
      </c>
      <c r="B62" s="34"/>
      <c r="C62" s="34"/>
      <c r="D62" s="34"/>
      <c r="E62" s="34"/>
      <c r="F62" s="34"/>
      <c r="G62" s="34"/>
      <c r="H62" s="34"/>
      <c r="I62" s="114"/>
      <c r="J62" s="142"/>
    </row>
    <row r="63" s="7" customFormat="1" ht="15" customHeight="1" spans="1:10">
      <c r="A63" s="38" t="s">
        <v>64</v>
      </c>
      <c r="B63" s="104" t="s">
        <v>65</v>
      </c>
      <c r="C63" s="105"/>
      <c r="D63" s="106"/>
      <c r="E63" s="38" t="s">
        <v>13</v>
      </c>
      <c r="F63" s="38" t="s">
        <v>14</v>
      </c>
      <c r="G63" s="38" t="s">
        <v>15</v>
      </c>
      <c r="H63" s="38" t="s">
        <v>16</v>
      </c>
      <c r="I63" s="35" t="s">
        <v>17</v>
      </c>
      <c r="J63" s="142"/>
    </row>
    <row r="64" s="7" customFormat="1" customHeight="1" spans="1:10">
      <c r="A64" s="56">
        <v>1</v>
      </c>
      <c r="B64" s="107" t="s">
        <v>66</v>
      </c>
      <c r="C64" s="108"/>
      <c r="D64" s="109"/>
      <c r="E64" s="43" t="s">
        <v>13</v>
      </c>
      <c r="F64" s="98">
        <v>16</v>
      </c>
      <c r="G64" s="88">
        <v>500</v>
      </c>
      <c r="H64" s="89">
        <f t="shared" ref="H64:H70" si="1">F64*G64</f>
        <v>8000</v>
      </c>
      <c r="I64" s="116"/>
      <c r="J64" s="142"/>
    </row>
    <row r="65" s="7" customFormat="1" customHeight="1" spans="1:10">
      <c r="A65" s="56">
        <v>2</v>
      </c>
      <c r="B65" s="107" t="s">
        <v>67</v>
      </c>
      <c r="C65" s="108"/>
      <c r="D65" s="109"/>
      <c r="E65" s="43" t="s">
        <v>13</v>
      </c>
      <c r="F65" s="98">
        <v>1</v>
      </c>
      <c r="G65" s="88">
        <v>1498</v>
      </c>
      <c r="H65" s="89">
        <f t="shared" si="1"/>
        <v>1498</v>
      </c>
      <c r="I65" s="116"/>
      <c r="J65" s="142"/>
    </row>
    <row r="66" s="7" customFormat="1" customHeight="1" spans="1:10">
      <c r="A66" s="56">
        <v>3</v>
      </c>
      <c r="B66" s="107" t="s">
        <v>68</v>
      </c>
      <c r="C66" s="108"/>
      <c r="D66" s="109"/>
      <c r="E66" s="43" t="s">
        <v>13</v>
      </c>
      <c r="F66" s="98">
        <v>16</v>
      </c>
      <c r="G66" s="88">
        <v>35</v>
      </c>
      <c r="H66" s="89">
        <f t="shared" si="1"/>
        <v>560</v>
      </c>
      <c r="I66" s="116"/>
      <c r="J66" s="142"/>
    </row>
    <row r="67" s="7" customFormat="1" customHeight="1" spans="1:10">
      <c r="A67" s="56">
        <v>4</v>
      </c>
      <c r="B67" s="107" t="s">
        <v>69</v>
      </c>
      <c r="C67" s="108"/>
      <c r="D67" s="109"/>
      <c r="E67" s="43" t="s">
        <v>13</v>
      </c>
      <c r="F67" s="98">
        <v>16</v>
      </c>
      <c r="G67" s="88">
        <v>45</v>
      </c>
      <c r="H67" s="89">
        <f t="shared" si="1"/>
        <v>720</v>
      </c>
      <c r="I67" s="116"/>
      <c r="J67" s="142"/>
    </row>
    <row r="68" s="7" customFormat="1" customHeight="1" spans="1:10">
      <c r="A68" s="56">
        <v>5</v>
      </c>
      <c r="B68" s="107" t="s">
        <v>70</v>
      </c>
      <c r="C68" s="108"/>
      <c r="D68" s="109"/>
      <c r="E68" s="43" t="s">
        <v>13</v>
      </c>
      <c r="F68" s="98">
        <v>1</v>
      </c>
      <c r="G68" s="88">
        <v>1050.28</v>
      </c>
      <c r="H68" s="89">
        <f t="shared" si="1"/>
        <v>1050.28</v>
      </c>
      <c r="I68" s="116"/>
      <c r="J68" s="142"/>
    </row>
    <row r="69" s="7" customFormat="1" customHeight="1" spans="1:10">
      <c r="A69" s="56">
        <v>6</v>
      </c>
      <c r="B69" s="107" t="s">
        <v>71</v>
      </c>
      <c r="C69" s="143"/>
      <c r="D69" s="144"/>
      <c r="E69" s="43" t="s">
        <v>13</v>
      </c>
      <c r="F69" s="43">
        <v>1</v>
      </c>
      <c r="G69" s="88">
        <v>500</v>
      </c>
      <c r="H69" s="89">
        <f t="shared" si="1"/>
        <v>500</v>
      </c>
      <c r="I69" s="116"/>
      <c r="J69" s="142"/>
    </row>
    <row r="70" s="7" customFormat="1" customHeight="1" spans="1:10">
      <c r="A70" s="56">
        <v>7</v>
      </c>
      <c r="B70" s="107" t="s">
        <v>72</v>
      </c>
      <c r="C70" s="143"/>
      <c r="D70" s="144"/>
      <c r="E70" s="43" t="s">
        <v>13</v>
      </c>
      <c r="F70" s="43">
        <v>1</v>
      </c>
      <c r="G70" s="145">
        <v>300</v>
      </c>
      <c r="H70" s="89">
        <f t="shared" si="1"/>
        <v>300</v>
      </c>
      <c r="I70" s="116"/>
      <c r="J70" s="142"/>
    </row>
    <row r="71" s="7" customFormat="1" customHeight="1" spans="1:10">
      <c r="A71" s="56">
        <v>8</v>
      </c>
      <c r="B71" s="107" t="s">
        <v>73</v>
      </c>
      <c r="C71" s="108"/>
      <c r="D71" s="109"/>
      <c r="E71" s="43" t="s">
        <v>13</v>
      </c>
      <c r="F71" s="98">
        <v>16</v>
      </c>
      <c r="G71" s="145">
        <v>25</v>
      </c>
      <c r="H71" s="89">
        <f t="shared" ref="H71:H72" si="2">F71*G71</f>
        <v>400</v>
      </c>
      <c r="I71" s="116"/>
      <c r="J71" s="142"/>
    </row>
    <row r="72" s="7" customFormat="1" customHeight="1" spans="1:10">
      <c r="A72" s="56">
        <v>9</v>
      </c>
      <c r="B72" s="146" t="s">
        <v>74</v>
      </c>
      <c r="C72" s="147"/>
      <c r="D72" s="148"/>
      <c r="E72" s="43" t="s">
        <v>13</v>
      </c>
      <c r="F72" s="98">
        <v>120</v>
      </c>
      <c r="G72" s="145">
        <v>0.9</v>
      </c>
      <c r="H72" s="89">
        <f t="shared" si="2"/>
        <v>108</v>
      </c>
      <c r="I72" s="116"/>
      <c r="J72" s="142"/>
    </row>
    <row r="73" s="7" customFormat="1" ht="15.75" spans="1:10">
      <c r="A73" s="56">
        <v>10</v>
      </c>
      <c r="B73" s="146" t="s">
        <v>75</v>
      </c>
      <c r="C73" s="149"/>
      <c r="D73" s="150"/>
      <c r="E73" s="43" t="s">
        <v>13</v>
      </c>
      <c r="F73" s="98">
        <v>2</v>
      </c>
      <c r="G73" s="88">
        <v>1157.79</v>
      </c>
      <c r="H73" s="89">
        <f t="shared" ref="H73:H79" si="3">F73*G73</f>
        <v>2315.58</v>
      </c>
      <c r="I73" s="116"/>
      <c r="J73" s="142"/>
    </row>
    <row r="74" s="7" customFormat="1" customHeight="1" spans="1:10">
      <c r="A74" s="56">
        <v>11</v>
      </c>
      <c r="B74" s="146" t="s">
        <v>76</v>
      </c>
      <c r="C74" s="147"/>
      <c r="D74" s="148"/>
      <c r="E74" s="43" t="s">
        <v>13</v>
      </c>
      <c r="F74" s="98">
        <v>43</v>
      </c>
      <c r="G74" s="88">
        <v>70</v>
      </c>
      <c r="H74" s="89">
        <f t="shared" si="3"/>
        <v>3010</v>
      </c>
      <c r="I74" s="116"/>
      <c r="J74" s="142"/>
    </row>
    <row r="75" s="7" customFormat="1" customHeight="1" spans="1:10">
      <c r="A75" s="56">
        <v>12</v>
      </c>
      <c r="B75" s="107" t="s">
        <v>77</v>
      </c>
      <c r="C75" s="108"/>
      <c r="D75" s="109"/>
      <c r="E75" s="43" t="s">
        <v>13</v>
      </c>
      <c r="F75" s="98">
        <v>2</v>
      </c>
      <c r="G75" s="88">
        <v>27.9</v>
      </c>
      <c r="H75" s="89">
        <f t="shared" si="3"/>
        <v>55.8</v>
      </c>
      <c r="I75" s="116"/>
      <c r="J75" s="142"/>
    </row>
    <row r="76" s="7" customFormat="1" customHeight="1" spans="1:10">
      <c r="A76" s="56">
        <v>13</v>
      </c>
      <c r="B76" s="107" t="s">
        <v>78</v>
      </c>
      <c r="C76" s="108"/>
      <c r="D76" s="109"/>
      <c r="E76" s="43" t="s">
        <v>13</v>
      </c>
      <c r="F76" s="98">
        <v>2</v>
      </c>
      <c r="G76" s="88">
        <v>220</v>
      </c>
      <c r="H76" s="89">
        <f t="shared" si="3"/>
        <v>440</v>
      </c>
      <c r="I76" s="116"/>
      <c r="J76" s="142"/>
    </row>
    <row r="77" s="7" customFormat="1" customHeight="1" spans="1:10">
      <c r="A77" s="56">
        <v>14</v>
      </c>
      <c r="B77" s="107" t="s">
        <v>79</v>
      </c>
      <c r="C77" s="108"/>
      <c r="D77" s="109"/>
      <c r="E77" s="43" t="s">
        <v>13</v>
      </c>
      <c r="F77" s="98">
        <v>1</v>
      </c>
      <c r="G77" s="88">
        <v>301.84</v>
      </c>
      <c r="H77" s="89">
        <f t="shared" si="3"/>
        <v>301.84</v>
      </c>
      <c r="I77" s="116"/>
      <c r="J77" s="142"/>
    </row>
    <row r="78" s="7" customFormat="1" customHeight="1" spans="1:10">
      <c r="A78" s="56">
        <v>15</v>
      </c>
      <c r="B78" s="107" t="s">
        <v>80</v>
      </c>
      <c r="C78" s="108"/>
      <c r="D78" s="109"/>
      <c r="E78" s="43" t="s">
        <v>13</v>
      </c>
      <c r="F78" s="98">
        <v>43</v>
      </c>
      <c r="G78" s="88">
        <v>8.85</v>
      </c>
      <c r="H78" s="89">
        <f t="shared" si="3"/>
        <v>380.55</v>
      </c>
      <c r="I78" s="116"/>
      <c r="J78" s="142"/>
    </row>
    <row r="79" s="7" customFormat="1" customHeight="1" spans="1:10">
      <c r="A79" s="56">
        <v>16</v>
      </c>
      <c r="B79" s="151" t="s">
        <v>81</v>
      </c>
      <c r="C79" s="152"/>
      <c r="D79" s="153"/>
      <c r="E79" s="43" t="s">
        <v>13</v>
      </c>
      <c r="F79" s="98">
        <v>2</v>
      </c>
      <c r="G79" s="88">
        <v>131.9</v>
      </c>
      <c r="H79" s="89">
        <f t="shared" si="3"/>
        <v>263.8</v>
      </c>
      <c r="I79" s="116"/>
      <c r="J79" s="142"/>
    </row>
    <row r="80" s="7" customFormat="1" customHeight="1" spans="1:10">
      <c r="A80" s="53" t="s">
        <v>24</v>
      </c>
      <c r="B80" s="54"/>
      <c r="C80" s="54"/>
      <c r="D80" s="54"/>
      <c r="E80" s="54"/>
      <c r="F80" s="54"/>
      <c r="G80" s="54"/>
      <c r="H80" s="154">
        <f>SUM(H64:H79)</f>
        <v>19903.85</v>
      </c>
      <c r="I80" s="116"/>
      <c r="J80" s="142"/>
    </row>
    <row r="81" s="7" customFormat="1" customHeight="1" spans="1:10">
      <c r="A81" s="39">
        <v>17</v>
      </c>
      <c r="B81" s="155" t="s">
        <v>82</v>
      </c>
      <c r="C81" s="156"/>
      <c r="D81" s="157"/>
      <c r="E81" s="42" t="s">
        <v>19</v>
      </c>
      <c r="F81" s="98">
        <v>60</v>
      </c>
      <c r="G81" s="99">
        <f>H80</f>
        <v>19903.85</v>
      </c>
      <c r="H81" s="100">
        <f>G81/F81</f>
        <v>331.730833333333</v>
      </c>
      <c r="I81" s="116"/>
      <c r="J81" s="142"/>
    </row>
    <row r="82" s="4" customFormat="1" customHeight="1" spans="1:10">
      <c r="A82" s="53" t="s">
        <v>24</v>
      </c>
      <c r="B82" s="54"/>
      <c r="C82" s="54"/>
      <c r="D82" s="54"/>
      <c r="E82" s="54"/>
      <c r="F82" s="54"/>
      <c r="G82" s="54"/>
      <c r="H82" s="74"/>
      <c r="I82" s="141">
        <f>H81</f>
        <v>331.730833333333</v>
      </c>
      <c r="J82" s="122"/>
    </row>
    <row r="83" s="3" customFormat="1" ht="15.75" spans="1:10">
      <c r="A83" s="67"/>
      <c r="B83" s="67"/>
      <c r="C83" s="67"/>
      <c r="D83" s="67"/>
      <c r="E83" s="67"/>
      <c r="F83" s="67"/>
      <c r="G83" s="67"/>
      <c r="H83" s="67"/>
      <c r="I83" s="67"/>
      <c r="J83" s="127"/>
    </row>
    <row r="84" s="7" customFormat="1" ht="15" customHeight="1" spans="1:10">
      <c r="A84" s="38" t="s">
        <v>83</v>
      </c>
      <c r="B84" s="36" t="s">
        <v>84</v>
      </c>
      <c r="C84" s="37"/>
      <c r="D84" s="37"/>
      <c r="E84" s="38" t="s">
        <v>13</v>
      </c>
      <c r="F84" s="38" t="s">
        <v>14</v>
      </c>
      <c r="G84" s="38" t="s">
        <v>15</v>
      </c>
      <c r="H84" s="38" t="s">
        <v>16</v>
      </c>
      <c r="I84" s="35" t="s">
        <v>17</v>
      </c>
      <c r="J84" s="142"/>
    </row>
    <row r="85" s="7" customFormat="1" customHeight="1" spans="1:10">
      <c r="A85" s="39">
        <v>1</v>
      </c>
      <c r="B85" s="158" t="s">
        <v>85</v>
      </c>
      <c r="C85" s="159"/>
      <c r="D85" s="160"/>
      <c r="E85" s="42" t="s">
        <v>13</v>
      </c>
      <c r="F85" s="161">
        <v>1</v>
      </c>
      <c r="G85" s="88">
        <v>599.9</v>
      </c>
      <c r="H85" s="100">
        <f>F85*G85</f>
        <v>599.9</v>
      </c>
      <c r="I85" s="116"/>
      <c r="J85" s="142"/>
    </row>
    <row r="86" s="7" customFormat="1" customHeight="1" spans="1:10">
      <c r="A86" s="39">
        <v>2</v>
      </c>
      <c r="B86" s="158" t="s">
        <v>86</v>
      </c>
      <c r="C86" s="159"/>
      <c r="D86" s="160"/>
      <c r="E86" s="42" t="s">
        <v>13</v>
      </c>
      <c r="F86" s="161">
        <v>1</v>
      </c>
      <c r="G86" s="88">
        <v>10000</v>
      </c>
      <c r="H86" s="100">
        <f>F86*G86</f>
        <v>10000</v>
      </c>
      <c r="I86" s="116"/>
      <c r="J86" s="142"/>
    </row>
    <row r="87" s="7" customFormat="1" customHeight="1" spans="1:10">
      <c r="A87" s="53" t="s">
        <v>24</v>
      </c>
      <c r="B87" s="54"/>
      <c r="C87" s="54"/>
      <c r="D87" s="54"/>
      <c r="E87" s="54"/>
      <c r="F87" s="54"/>
      <c r="G87" s="74"/>
      <c r="H87" s="154">
        <f>SUM(H85:H86)</f>
        <v>10599.9</v>
      </c>
      <c r="I87" s="116"/>
      <c r="J87" s="142"/>
    </row>
    <row r="88" s="7" customFormat="1" customHeight="1" spans="1:10">
      <c r="A88" s="39">
        <v>3</v>
      </c>
      <c r="B88" s="155" t="s">
        <v>82</v>
      </c>
      <c r="C88" s="162"/>
      <c r="D88" s="163"/>
      <c r="E88" s="42" t="s">
        <v>19</v>
      </c>
      <c r="F88" s="98">
        <v>60</v>
      </c>
      <c r="G88" s="99">
        <f>H87</f>
        <v>10599.9</v>
      </c>
      <c r="H88" s="100">
        <f>G88/F88</f>
        <v>176.665</v>
      </c>
      <c r="I88" s="116"/>
      <c r="J88" s="142"/>
    </row>
    <row r="89" s="4" customFormat="1" customHeight="1" spans="1:10">
      <c r="A89" s="53" t="s">
        <v>24</v>
      </c>
      <c r="B89" s="54"/>
      <c r="C89" s="54"/>
      <c r="D89" s="54"/>
      <c r="E89" s="54"/>
      <c r="F89" s="54"/>
      <c r="G89" s="54"/>
      <c r="H89" s="74"/>
      <c r="I89" s="141">
        <f>H88</f>
        <v>176.665</v>
      </c>
      <c r="J89" s="122"/>
    </row>
    <row r="90" s="3" customFormat="1" ht="15.75" spans="1:10">
      <c r="A90" s="67"/>
      <c r="B90" s="67"/>
      <c r="C90" s="67"/>
      <c r="D90" s="67"/>
      <c r="E90" s="67"/>
      <c r="F90" s="67"/>
      <c r="G90" s="67"/>
      <c r="H90" s="67"/>
      <c r="I90" s="67"/>
      <c r="J90" s="127"/>
    </row>
    <row r="91" s="3" customFormat="1" ht="15" customHeight="1" spans="1:10">
      <c r="A91" s="77" t="s">
        <v>87</v>
      </c>
      <c r="B91" s="78"/>
      <c r="C91" s="78"/>
      <c r="D91" s="78"/>
      <c r="E91" s="78"/>
      <c r="F91" s="78"/>
      <c r="G91" s="78"/>
      <c r="H91" s="79"/>
      <c r="I91" s="128">
        <f>SUM(I82,I89)</f>
        <v>508.395833333333</v>
      </c>
      <c r="J91" s="129"/>
    </row>
    <row r="92" s="3" customFormat="1" ht="15.75" spans="1:10">
      <c r="A92" s="67"/>
      <c r="B92" s="67"/>
      <c r="C92" s="67"/>
      <c r="D92" s="67"/>
      <c r="E92" s="67"/>
      <c r="F92" s="67"/>
      <c r="G92" s="67"/>
      <c r="H92" s="67"/>
      <c r="I92" s="67"/>
      <c r="J92" s="127"/>
    </row>
    <row r="93" s="3" customFormat="1" ht="15" customHeight="1" spans="1:10">
      <c r="A93" s="77" t="s">
        <v>88</v>
      </c>
      <c r="B93" s="78"/>
      <c r="C93" s="78"/>
      <c r="D93" s="78"/>
      <c r="E93" s="78"/>
      <c r="F93" s="78"/>
      <c r="G93" s="78"/>
      <c r="H93" s="164"/>
      <c r="I93" s="200">
        <f>SUM(I60,I91)</f>
        <v>1462.4762045978</v>
      </c>
      <c r="J93" s="127"/>
    </row>
    <row r="94" s="3" customFormat="1" ht="15.75" spans="1:10">
      <c r="A94" s="67"/>
      <c r="B94" s="67"/>
      <c r="C94" s="67"/>
      <c r="D94" s="67"/>
      <c r="E94" s="67"/>
      <c r="F94" s="67"/>
      <c r="G94" s="67"/>
      <c r="H94" s="67"/>
      <c r="I94" s="67"/>
      <c r="J94" s="127"/>
    </row>
    <row r="95" s="7" customFormat="1" customHeight="1" spans="1:10">
      <c r="A95" s="33" t="s">
        <v>89</v>
      </c>
      <c r="B95" s="34"/>
      <c r="C95" s="34"/>
      <c r="D95" s="34"/>
      <c r="E95" s="34"/>
      <c r="F95" s="34"/>
      <c r="G95" s="34"/>
      <c r="H95" s="34"/>
      <c r="I95" s="114"/>
      <c r="J95" s="142"/>
    </row>
    <row r="96" s="7" customFormat="1" ht="15" customHeight="1" spans="1:10">
      <c r="A96" s="38" t="s">
        <v>90</v>
      </c>
      <c r="B96" s="36" t="s">
        <v>91</v>
      </c>
      <c r="C96" s="37"/>
      <c r="D96" s="37"/>
      <c r="E96" s="38" t="s">
        <v>13</v>
      </c>
      <c r="F96" s="38" t="s">
        <v>14</v>
      </c>
      <c r="G96" s="38" t="s">
        <v>15</v>
      </c>
      <c r="H96" s="38" t="s">
        <v>16</v>
      </c>
      <c r="I96" s="35" t="s">
        <v>17</v>
      </c>
      <c r="J96" s="142"/>
    </row>
    <row r="97" s="7" customFormat="1" customHeight="1" spans="1:10">
      <c r="A97" s="39">
        <v>1</v>
      </c>
      <c r="B97" s="40" t="s">
        <v>92</v>
      </c>
      <c r="C97" s="41"/>
      <c r="D97" s="41"/>
      <c r="E97" s="165" t="s">
        <v>23</v>
      </c>
      <c r="F97" s="165">
        <f>G158*100</f>
        <v>31.67</v>
      </c>
      <c r="G97" s="166">
        <f>I93</f>
        <v>1462.4762045978</v>
      </c>
      <c r="H97" s="166">
        <f>F97*G97/100</f>
        <v>463.166213996124</v>
      </c>
      <c r="I97" s="201"/>
      <c r="J97" s="142"/>
    </row>
    <row r="98" s="7" customFormat="1" ht="15" customHeight="1" spans="1:10">
      <c r="A98" s="167" t="s">
        <v>93</v>
      </c>
      <c r="B98" s="168"/>
      <c r="C98" s="168"/>
      <c r="D98" s="168"/>
      <c r="E98" s="168"/>
      <c r="F98" s="168"/>
      <c r="G98" s="168"/>
      <c r="H98" s="169"/>
      <c r="I98" s="141">
        <f>SUM(H97)</f>
        <v>463.166213996124</v>
      </c>
      <c r="J98" s="142"/>
    </row>
    <row r="99" s="7" customFormat="1" ht="15.75" spans="1:10">
      <c r="A99" s="67"/>
      <c r="B99" s="67"/>
      <c r="C99" s="67"/>
      <c r="D99" s="67"/>
      <c r="E99" s="67"/>
      <c r="F99" s="67"/>
      <c r="G99" s="67"/>
      <c r="H99" s="67"/>
      <c r="I99" s="67"/>
      <c r="J99" s="142"/>
    </row>
    <row r="100" s="3" customFormat="1" ht="15" customHeight="1" spans="1:10">
      <c r="A100" s="77" t="s">
        <v>94</v>
      </c>
      <c r="B100" s="78"/>
      <c r="C100" s="78"/>
      <c r="D100" s="78"/>
      <c r="E100" s="78"/>
      <c r="F100" s="78"/>
      <c r="G100" s="78"/>
      <c r="H100" s="79"/>
      <c r="I100" s="200">
        <f>SUM(I93,I98)</f>
        <v>1925.64241859393</v>
      </c>
      <c r="J100" s="127"/>
    </row>
    <row r="101" s="7" customFormat="1" ht="15.75" spans="1:10">
      <c r="A101" s="67"/>
      <c r="B101" s="67"/>
      <c r="C101" s="67"/>
      <c r="D101" s="67"/>
      <c r="E101" s="67"/>
      <c r="F101" s="67"/>
      <c r="G101" s="67"/>
      <c r="H101" s="67"/>
      <c r="I101" s="67"/>
      <c r="J101" s="142"/>
    </row>
    <row r="102" customFormat="1" ht="15.75" spans="1:10">
      <c r="A102" s="170" t="s">
        <v>95</v>
      </c>
      <c r="B102" s="170"/>
      <c r="C102" s="170"/>
      <c r="D102" s="170"/>
      <c r="E102" s="170"/>
      <c r="F102" s="170"/>
      <c r="G102" s="170"/>
      <c r="H102" s="170"/>
      <c r="I102" s="202">
        <f>I100*12</f>
        <v>23107.7090231271</v>
      </c>
      <c r="J102" s="14"/>
    </row>
    <row r="103" ht="15.75" spans="1:9">
      <c r="A103" s="58"/>
      <c r="B103" s="58" t="s">
        <v>96</v>
      </c>
      <c r="C103" s="58"/>
      <c r="D103" s="58"/>
      <c r="E103" s="58"/>
      <c r="F103" s="58"/>
      <c r="G103" s="58"/>
      <c r="H103" s="58"/>
      <c r="I103" s="58"/>
    </row>
    <row r="104" ht="15.75" spans="1:9">
      <c r="A104" s="58"/>
      <c r="B104" s="171" t="s">
        <v>97</v>
      </c>
      <c r="C104" s="172"/>
      <c r="D104" s="172"/>
      <c r="E104" s="172"/>
      <c r="F104" s="172"/>
      <c r="G104" s="172"/>
      <c r="H104" s="172"/>
      <c r="I104" s="172"/>
    </row>
    <row r="105" ht="15.75" spans="1:9">
      <c r="A105" s="58"/>
      <c r="B105" s="172"/>
      <c r="C105" s="172"/>
      <c r="D105" s="172"/>
      <c r="E105" s="172"/>
      <c r="F105" s="172"/>
      <c r="G105" s="172"/>
      <c r="H105" s="172"/>
      <c r="I105" s="172"/>
    </row>
    <row r="106" ht="15.75" spans="1:9">
      <c r="A106" s="58"/>
      <c r="B106" s="173" t="s">
        <v>98</v>
      </c>
      <c r="C106" s="174"/>
      <c r="D106" s="174"/>
      <c r="E106" s="174"/>
      <c r="F106" s="174"/>
      <c r="G106" s="174"/>
      <c r="H106" s="174"/>
      <c r="I106" s="174"/>
    </row>
    <row r="107" customFormat="1" ht="15.75" spans="1:10">
      <c r="A107" s="58"/>
      <c r="B107" s="174"/>
      <c r="C107" s="174"/>
      <c r="D107" s="174"/>
      <c r="E107" s="174"/>
      <c r="F107" s="174"/>
      <c r="G107" s="174"/>
      <c r="H107" s="174"/>
      <c r="I107" s="174"/>
      <c r="J107" s="14"/>
    </row>
    <row r="108" customFormat="1" ht="15.75" spans="1:10">
      <c r="A108" s="58"/>
      <c r="B108" s="174"/>
      <c r="C108" s="174"/>
      <c r="D108" s="174"/>
      <c r="E108" s="174"/>
      <c r="F108" s="174"/>
      <c r="G108" s="174"/>
      <c r="H108" s="174"/>
      <c r="I108" s="174"/>
      <c r="J108" s="14"/>
    </row>
    <row r="109" s="8" customFormat="1" ht="7.5" customHeight="1" spans="1:10">
      <c r="A109" s="175"/>
      <c r="B109" s="175"/>
      <c r="C109" s="175"/>
      <c r="D109" s="175"/>
      <c r="E109" s="175"/>
      <c r="F109" s="175"/>
      <c r="G109" s="175"/>
      <c r="H109" s="175"/>
      <c r="I109" s="175"/>
      <c r="J109" s="203"/>
    </row>
    <row r="110" s="9" customFormat="1" ht="17.25" customHeight="1" spans="1:9">
      <c r="A110" s="176"/>
      <c r="B110" s="177"/>
      <c r="C110" s="176" t="s">
        <v>25</v>
      </c>
      <c r="D110" s="177"/>
      <c r="E110" s="177"/>
      <c r="F110" s="177"/>
      <c r="G110" s="178"/>
      <c r="H110" s="178"/>
      <c r="I110" s="204"/>
    </row>
    <row r="111" s="10" customFormat="1" ht="15" customHeight="1" spans="1:10">
      <c r="A111" s="179"/>
      <c r="B111" s="180"/>
      <c r="C111" s="181" t="s">
        <v>99</v>
      </c>
      <c r="D111" s="182"/>
      <c r="E111" s="182"/>
      <c r="F111" s="182"/>
      <c r="G111" s="183"/>
      <c r="H111" s="184"/>
      <c r="I111" s="205"/>
      <c r="J111" s="9"/>
    </row>
    <row r="112" s="11" customFormat="1" ht="15" customHeight="1" spans="1:9">
      <c r="A112" s="185"/>
      <c r="B112" s="185"/>
      <c r="C112" s="186" t="s">
        <v>100</v>
      </c>
      <c r="D112" s="187"/>
      <c r="E112" s="187"/>
      <c r="F112" s="188"/>
      <c r="G112" s="189">
        <v>0.2</v>
      </c>
      <c r="H112" s="185"/>
      <c r="I112" s="185"/>
    </row>
    <row r="113" s="9" customFormat="1" ht="15" customHeight="1" spans="1:9">
      <c r="A113" s="178"/>
      <c r="B113" s="178"/>
      <c r="C113" s="186" t="s">
        <v>101</v>
      </c>
      <c r="D113" s="147"/>
      <c r="E113" s="147"/>
      <c r="F113" s="148"/>
      <c r="G113" s="189">
        <v>0.08</v>
      </c>
      <c r="H113" s="177"/>
      <c r="I113" s="178"/>
    </row>
    <row r="114" s="9" customFormat="1" ht="15.75" spans="1:9">
      <c r="A114" s="178"/>
      <c r="B114" s="178"/>
      <c r="C114" s="190" t="s">
        <v>102</v>
      </c>
      <c r="D114" s="191"/>
      <c r="E114" s="191"/>
      <c r="F114" s="192"/>
      <c r="G114" s="189">
        <v>0.03</v>
      </c>
      <c r="H114" s="177"/>
      <c r="I114" s="178"/>
    </row>
    <row r="115" s="9" customFormat="1" ht="15" customHeight="1" spans="1:9">
      <c r="A115" s="178"/>
      <c r="B115" s="178"/>
      <c r="C115" s="186" t="s">
        <v>103</v>
      </c>
      <c r="D115" s="187"/>
      <c r="E115" s="187"/>
      <c r="F115" s="188"/>
      <c r="G115" s="189">
        <v>0.025</v>
      </c>
      <c r="H115" s="177"/>
      <c r="I115" s="178"/>
    </row>
    <row r="116" s="9" customFormat="1" ht="15" customHeight="1" spans="1:9">
      <c r="A116" s="178"/>
      <c r="B116" s="178"/>
      <c r="C116" s="186" t="s">
        <v>104</v>
      </c>
      <c r="D116" s="147"/>
      <c r="E116" s="147"/>
      <c r="F116" s="148"/>
      <c r="G116" s="189">
        <v>0.006</v>
      </c>
      <c r="H116" s="177"/>
      <c r="I116" s="178"/>
    </row>
    <row r="117" s="9" customFormat="1" ht="15" customHeight="1" spans="1:9">
      <c r="A117" s="178"/>
      <c r="B117" s="178"/>
      <c r="C117" s="186" t="s">
        <v>105</v>
      </c>
      <c r="D117" s="147"/>
      <c r="E117" s="147"/>
      <c r="F117" s="148"/>
      <c r="G117" s="189">
        <v>0.015</v>
      </c>
      <c r="H117" s="177"/>
      <c r="I117" s="178"/>
    </row>
    <row r="118" s="9" customFormat="1" ht="15" customHeight="1" spans="1:9">
      <c r="A118" s="178"/>
      <c r="B118" s="178"/>
      <c r="C118" s="186" t="s">
        <v>106</v>
      </c>
      <c r="D118" s="147"/>
      <c r="E118" s="147"/>
      <c r="F118" s="148"/>
      <c r="G118" s="189">
        <v>0.01</v>
      </c>
      <c r="H118" s="177"/>
      <c r="I118" s="178"/>
    </row>
    <row r="119" s="9" customFormat="1" ht="15" customHeight="1" spans="1:9">
      <c r="A119" s="178"/>
      <c r="B119" s="178"/>
      <c r="C119" s="186" t="s">
        <v>107</v>
      </c>
      <c r="D119" s="147"/>
      <c r="E119" s="147"/>
      <c r="F119" s="148"/>
      <c r="G119" s="189">
        <v>0.002</v>
      </c>
      <c r="H119" s="177"/>
      <c r="I119" s="178"/>
    </row>
    <row r="120" s="9" customFormat="1" ht="15" customHeight="1" spans="1:10">
      <c r="A120" s="178"/>
      <c r="B120" s="178"/>
      <c r="C120" s="193" t="s">
        <v>108</v>
      </c>
      <c r="D120" s="147"/>
      <c r="E120" s="147"/>
      <c r="F120" s="148"/>
      <c r="G120" s="194">
        <f>SUM(G112:G119)</f>
        <v>0.368</v>
      </c>
      <c r="H120" s="177"/>
      <c r="I120" s="197"/>
      <c r="J120" s="206"/>
    </row>
    <row r="121" s="10" customFormat="1" ht="9.95" customHeight="1" spans="1:9">
      <c r="A121" s="195"/>
      <c r="B121" s="195"/>
      <c r="C121" s="179"/>
      <c r="D121" s="195"/>
      <c r="E121" s="195"/>
      <c r="F121" s="196"/>
      <c r="G121" s="197"/>
      <c r="H121" s="176"/>
      <c r="I121" s="195"/>
    </row>
    <row r="122" s="10" customFormat="1" ht="15" customHeight="1" spans="1:10">
      <c r="A122" s="195"/>
      <c r="B122" s="195"/>
      <c r="C122" s="181" t="s">
        <v>109</v>
      </c>
      <c r="D122" s="182"/>
      <c r="E122" s="182"/>
      <c r="F122" s="182"/>
      <c r="G122" s="183"/>
      <c r="H122" s="176"/>
      <c r="I122" s="176"/>
      <c r="J122" s="206"/>
    </row>
    <row r="123" s="11" customFormat="1" ht="15" customHeight="1" spans="1:10">
      <c r="A123" s="185"/>
      <c r="B123" s="185"/>
      <c r="C123" s="186" t="s">
        <v>110</v>
      </c>
      <c r="D123" s="147"/>
      <c r="E123" s="147"/>
      <c r="F123" s="148"/>
      <c r="G123" s="198">
        <v>0.083333</v>
      </c>
      <c r="H123" s="199"/>
      <c r="I123" s="199"/>
      <c r="J123" s="207"/>
    </row>
    <row r="124" s="9" customFormat="1" ht="15" customHeight="1" spans="1:10">
      <c r="A124" s="178"/>
      <c r="B124" s="178"/>
      <c r="C124" s="186" t="s">
        <v>111</v>
      </c>
      <c r="D124" s="147"/>
      <c r="E124" s="147"/>
      <c r="F124" s="148"/>
      <c r="G124" s="189">
        <f>G123*(1/3)</f>
        <v>0.0277776666666667</v>
      </c>
      <c r="H124" s="177"/>
      <c r="I124" s="199"/>
      <c r="J124" s="206"/>
    </row>
    <row r="125" s="10" customFormat="1" ht="15" customHeight="1" spans="1:9">
      <c r="A125" s="195"/>
      <c r="B125" s="195"/>
      <c r="C125" s="193" t="s">
        <v>108</v>
      </c>
      <c r="D125" s="147"/>
      <c r="E125" s="147"/>
      <c r="F125" s="148"/>
      <c r="G125" s="194">
        <f>SUM(G123:G124)</f>
        <v>0.111110666666667</v>
      </c>
      <c r="H125" s="176"/>
      <c r="I125" s="176"/>
    </row>
    <row r="126" s="10" customFormat="1" ht="9.95" customHeight="1" spans="1:9">
      <c r="A126" s="195"/>
      <c r="B126" s="195"/>
      <c r="C126" s="179"/>
      <c r="D126" s="195"/>
      <c r="E126" s="195"/>
      <c r="F126" s="196"/>
      <c r="G126" s="197"/>
      <c r="H126" s="176"/>
      <c r="I126" s="195"/>
    </row>
    <row r="127" s="10" customFormat="1" ht="15" customHeight="1" spans="1:10">
      <c r="A127" s="195"/>
      <c r="B127" s="195"/>
      <c r="C127" s="181" t="s">
        <v>112</v>
      </c>
      <c r="D127" s="182"/>
      <c r="E127" s="182"/>
      <c r="F127" s="182"/>
      <c r="G127" s="183"/>
      <c r="H127" s="176"/>
      <c r="I127" s="176"/>
      <c r="J127" s="206"/>
    </row>
    <row r="128" s="9" customFormat="1" ht="15" customHeight="1" spans="1:10">
      <c r="A128" s="178"/>
      <c r="B128" s="178"/>
      <c r="C128" s="186" t="s">
        <v>113</v>
      </c>
      <c r="D128" s="147"/>
      <c r="E128" s="147"/>
      <c r="F128" s="148"/>
      <c r="G128" s="189">
        <f>ROUND(1/12,5)</f>
        <v>0.08333</v>
      </c>
      <c r="H128" s="177"/>
      <c r="I128" s="199"/>
      <c r="J128" s="206"/>
    </row>
    <row r="129" s="9" customFormat="1" ht="15" customHeight="1" spans="1:10">
      <c r="A129" s="178"/>
      <c r="B129" s="178"/>
      <c r="C129" s="186" t="s">
        <v>114</v>
      </c>
      <c r="D129" s="147"/>
      <c r="E129" s="147"/>
      <c r="F129" s="148"/>
      <c r="G129" s="189">
        <f>ROUND(5/30/12,5)</f>
        <v>0.01389</v>
      </c>
      <c r="H129" s="177"/>
      <c r="I129" s="199"/>
      <c r="J129" s="206"/>
    </row>
    <row r="130" s="9" customFormat="1" ht="15" customHeight="1" spans="1:10">
      <c r="A130" s="178"/>
      <c r="B130" s="178"/>
      <c r="C130" s="186" t="s">
        <v>115</v>
      </c>
      <c r="D130" s="147"/>
      <c r="E130" s="147"/>
      <c r="F130" s="148"/>
      <c r="G130" s="189">
        <f>ROUND(1/30/12,5)</f>
        <v>0.00278</v>
      </c>
      <c r="H130" s="177"/>
      <c r="I130" s="199"/>
      <c r="J130" s="206"/>
    </row>
    <row r="131" s="9" customFormat="1" ht="15" customHeight="1" spans="1:10">
      <c r="A131" s="178"/>
      <c r="B131" s="178"/>
      <c r="C131" s="186" t="s">
        <v>116</v>
      </c>
      <c r="D131" s="147"/>
      <c r="E131" s="147"/>
      <c r="F131" s="148"/>
      <c r="G131" s="189">
        <f>ROUND(1/12*0.0078,5)</f>
        <v>0.00065</v>
      </c>
      <c r="H131" s="177"/>
      <c r="I131" s="177"/>
      <c r="J131" s="206"/>
    </row>
    <row r="132" s="10" customFormat="1" ht="15" customHeight="1" spans="1:9">
      <c r="A132" s="195"/>
      <c r="B132" s="195"/>
      <c r="C132" s="193" t="s">
        <v>108</v>
      </c>
      <c r="D132" s="147"/>
      <c r="E132" s="147"/>
      <c r="F132" s="148"/>
      <c r="G132" s="194">
        <f>SUM(G128:G131)</f>
        <v>0.10065</v>
      </c>
      <c r="H132" s="176"/>
      <c r="I132" s="176"/>
    </row>
    <row r="133" s="10" customFormat="1" ht="9.95" customHeight="1" spans="1:10">
      <c r="A133" s="195"/>
      <c r="B133" s="195"/>
      <c r="C133" s="179"/>
      <c r="D133" s="185"/>
      <c r="E133" s="185"/>
      <c r="F133" s="185"/>
      <c r="G133" s="196"/>
      <c r="H133" s="176"/>
      <c r="I133" s="176"/>
      <c r="J133" s="206"/>
    </row>
    <row r="134" s="11" customFormat="1" ht="15" customHeight="1" spans="1:9">
      <c r="A134" s="185"/>
      <c r="B134" s="185"/>
      <c r="C134" s="181" t="s">
        <v>117</v>
      </c>
      <c r="D134" s="182"/>
      <c r="E134" s="182"/>
      <c r="F134" s="182"/>
      <c r="G134" s="183"/>
      <c r="H134" s="199"/>
      <c r="I134" s="185"/>
    </row>
    <row r="135" s="9" customFormat="1" ht="15" customHeight="1" spans="1:9">
      <c r="A135" s="178"/>
      <c r="B135" s="178"/>
      <c r="C135" s="186" t="s">
        <v>118</v>
      </c>
      <c r="D135" s="147"/>
      <c r="E135" s="147"/>
      <c r="F135" s="148"/>
      <c r="G135" s="189">
        <f>ROUND(G120*(G125+G132),5)</f>
        <v>0.07793</v>
      </c>
      <c r="H135" s="177"/>
      <c r="I135" s="178"/>
    </row>
    <row r="136" s="10" customFormat="1" ht="9.95" customHeight="1" spans="1:10">
      <c r="A136" s="195"/>
      <c r="B136" s="195"/>
      <c r="C136" s="179"/>
      <c r="D136" s="185"/>
      <c r="E136" s="185"/>
      <c r="F136" s="185"/>
      <c r="G136" s="196"/>
      <c r="H136" s="176"/>
      <c r="I136" s="176"/>
      <c r="J136" s="206"/>
    </row>
    <row r="137" s="11" customFormat="1" ht="15" customHeight="1" spans="1:9">
      <c r="A137" s="185"/>
      <c r="B137" s="185"/>
      <c r="C137" s="181" t="s">
        <v>119</v>
      </c>
      <c r="D137" s="182"/>
      <c r="E137" s="182"/>
      <c r="F137" s="182"/>
      <c r="G137" s="183"/>
      <c r="H137" s="199"/>
      <c r="I137" s="185"/>
    </row>
    <row r="138" s="9" customFormat="1" ht="15" customHeight="1" spans="1:9">
      <c r="A138" s="178"/>
      <c r="B138" s="178"/>
      <c r="C138" s="186" t="s">
        <v>120</v>
      </c>
      <c r="D138" s="147"/>
      <c r="E138" s="147"/>
      <c r="F138" s="148"/>
      <c r="G138" s="189">
        <f>ROUND(0.05*1/12,5)</f>
        <v>0.00417</v>
      </c>
      <c r="H138" s="177"/>
      <c r="I138" s="178"/>
    </row>
    <row r="139" s="9" customFormat="1" ht="15" customHeight="1" spans="1:9">
      <c r="A139" s="178"/>
      <c r="B139" s="178"/>
      <c r="C139" s="186" t="s">
        <v>121</v>
      </c>
      <c r="D139" s="147"/>
      <c r="E139" s="147"/>
      <c r="F139" s="148"/>
      <c r="G139" s="189">
        <f>ROUND(G113*G138,5)</f>
        <v>0.00033</v>
      </c>
      <c r="H139" s="177"/>
      <c r="I139" s="178"/>
    </row>
    <row r="140" s="9" customFormat="1" ht="15" customHeight="1" spans="1:9">
      <c r="A140" s="178"/>
      <c r="B140" s="178"/>
      <c r="C140" s="186" t="s">
        <v>122</v>
      </c>
      <c r="D140" s="147"/>
      <c r="E140" s="147"/>
      <c r="F140" s="148"/>
      <c r="G140" s="189">
        <f>ROUND(0.08*0.4*0.9*(1+1/12+(1/3*1/12)),5)</f>
        <v>0.032</v>
      </c>
      <c r="H140" s="177"/>
      <c r="I140" s="178"/>
    </row>
    <row r="141" s="9" customFormat="1" ht="15" customHeight="1" spans="1:9">
      <c r="A141" s="178"/>
      <c r="B141" s="178"/>
      <c r="C141" s="186" t="s">
        <v>123</v>
      </c>
      <c r="D141" s="147"/>
      <c r="E141" s="147"/>
      <c r="F141" s="148"/>
      <c r="G141" s="189">
        <f>ROUND((((7/30)*0.1)/12),5)</f>
        <v>0.00194</v>
      </c>
      <c r="H141" s="177"/>
      <c r="I141" s="178"/>
    </row>
    <row r="142" s="9" customFormat="1" ht="15" customHeight="1" spans="1:9">
      <c r="A142" s="178"/>
      <c r="B142" s="178"/>
      <c r="C142" s="186" t="s">
        <v>124</v>
      </c>
      <c r="D142" s="147"/>
      <c r="E142" s="147"/>
      <c r="F142" s="148"/>
      <c r="G142" s="189">
        <f>ROUND(G120*G141,5)</f>
        <v>0.00071</v>
      </c>
      <c r="H142" s="177"/>
      <c r="I142" s="178"/>
    </row>
    <row r="143" s="10" customFormat="1" ht="15" customHeight="1" spans="1:9">
      <c r="A143" s="195"/>
      <c r="B143" s="195"/>
      <c r="C143" s="193" t="s">
        <v>108</v>
      </c>
      <c r="D143" s="147"/>
      <c r="E143" s="147"/>
      <c r="F143" s="148"/>
      <c r="G143" s="194">
        <f>SUM(G138:G142)</f>
        <v>0.03915</v>
      </c>
      <c r="H143" s="176"/>
      <c r="I143" s="176"/>
    </row>
    <row r="144" s="9" customFormat="1" ht="9.95" customHeight="1" spans="1:9">
      <c r="A144" s="178"/>
      <c r="B144" s="178"/>
      <c r="C144" s="179"/>
      <c r="D144" s="195"/>
      <c r="E144" s="195"/>
      <c r="F144" s="195"/>
      <c r="G144" s="196"/>
      <c r="H144" s="177"/>
      <c r="I144" s="178"/>
    </row>
    <row r="145" s="10" customFormat="1" ht="15" customHeight="1" spans="1:10">
      <c r="A145" s="195"/>
      <c r="B145" s="195"/>
      <c r="C145" s="208" t="s">
        <v>125</v>
      </c>
      <c r="D145" s="209"/>
      <c r="E145" s="209"/>
      <c r="F145" s="209"/>
      <c r="G145" s="194">
        <f>+G120+G125+G132+G135+G143</f>
        <v>0.696840666666667</v>
      </c>
      <c r="H145" s="176"/>
      <c r="I145" s="176"/>
      <c r="J145" s="206"/>
    </row>
    <row r="146" s="12" customFormat="1" ht="7.5" customHeight="1" spans="1:10">
      <c r="A146" s="175"/>
      <c r="B146" s="210"/>
      <c r="C146" s="210"/>
      <c r="D146" s="211"/>
      <c r="E146" s="211"/>
      <c r="F146" s="211"/>
      <c r="G146" s="211"/>
      <c r="H146" s="211"/>
      <c r="I146" s="211"/>
      <c r="J146" s="239"/>
    </row>
    <row r="147" s="9" customFormat="1" ht="15" customHeight="1" spans="1:9">
      <c r="A147" s="178"/>
      <c r="B147" s="178"/>
      <c r="C147" s="212" t="s">
        <v>126</v>
      </c>
      <c r="D147" s="212"/>
      <c r="E147" s="212"/>
      <c r="F147" s="212"/>
      <c r="G147" s="212"/>
      <c r="H147" s="177"/>
      <c r="I147" s="178"/>
    </row>
    <row r="148" s="9" customFormat="1" ht="15" customHeight="1" spans="1:10">
      <c r="A148" s="178"/>
      <c r="B148" s="178"/>
      <c r="C148" s="213" t="s">
        <v>127</v>
      </c>
      <c r="D148" s="214"/>
      <c r="E148" s="215"/>
      <c r="F148" s="216" t="s">
        <v>128</v>
      </c>
      <c r="G148" s="217">
        <v>0.03</v>
      </c>
      <c r="H148" s="177"/>
      <c r="I148" s="240"/>
      <c r="J148" s="241"/>
    </row>
    <row r="149" s="9" customFormat="1" ht="15" customHeight="1" spans="1:10">
      <c r="A149" s="178"/>
      <c r="B149" s="178"/>
      <c r="C149" s="218" t="s">
        <v>129</v>
      </c>
      <c r="D149" s="149"/>
      <c r="E149" s="150"/>
      <c r="F149" s="43" t="s">
        <v>130</v>
      </c>
      <c r="G149" s="219">
        <v>0.01</v>
      </c>
      <c r="H149" s="177"/>
      <c r="I149" s="177"/>
      <c r="J149" s="242"/>
    </row>
    <row r="150" s="9" customFormat="1" ht="15" customHeight="1" spans="1:10">
      <c r="A150" s="178"/>
      <c r="B150" s="178"/>
      <c r="C150" s="218" t="s">
        <v>131</v>
      </c>
      <c r="D150" s="147"/>
      <c r="E150" s="148"/>
      <c r="F150" s="43" t="s">
        <v>132</v>
      </c>
      <c r="G150" s="219">
        <v>0.1</v>
      </c>
      <c r="H150" s="177"/>
      <c r="I150" s="177"/>
      <c r="J150" s="242"/>
    </row>
    <row r="151" s="9" customFormat="1" ht="15" customHeight="1" spans="1:10">
      <c r="A151" s="178"/>
      <c r="B151" s="178"/>
      <c r="C151" s="218" t="s">
        <v>133</v>
      </c>
      <c r="D151" s="147"/>
      <c r="E151" s="148"/>
      <c r="F151" s="43" t="s">
        <v>134</v>
      </c>
      <c r="G151" s="219">
        <v>0.01</v>
      </c>
      <c r="H151" s="177"/>
      <c r="I151" s="177"/>
      <c r="J151" s="242"/>
    </row>
    <row r="152" s="9" customFormat="1" ht="15" customHeight="1" spans="1:10">
      <c r="A152" s="178"/>
      <c r="B152" s="178"/>
      <c r="C152" s="218" t="s">
        <v>135</v>
      </c>
      <c r="D152" s="147"/>
      <c r="E152" s="148"/>
      <c r="F152" s="43" t="s">
        <v>136</v>
      </c>
      <c r="G152" s="219">
        <v>0.03</v>
      </c>
      <c r="H152" s="177"/>
      <c r="I152" s="243"/>
      <c r="J152" s="242"/>
    </row>
    <row r="153" s="9" customFormat="1" ht="15" customHeight="1" spans="1:10">
      <c r="A153" s="178"/>
      <c r="B153" s="178"/>
      <c r="C153" s="218" t="s">
        <v>137</v>
      </c>
      <c r="D153" s="147"/>
      <c r="E153" s="148"/>
      <c r="F153" s="220"/>
      <c r="G153" s="221">
        <v>0.0165</v>
      </c>
      <c r="H153" s="177"/>
      <c r="I153" s="243"/>
      <c r="J153" s="242"/>
    </row>
    <row r="154" s="9" customFormat="1" ht="15" customHeight="1" spans="1:10">
      <c r="A154" s="178"/>
      <c r="B154" s="178"/>
      <c r="C154" s="218" t="s">
        <v>138</v>
      </c>
      <c r="D154" s="147"/>
      <c r="E154" s="148"/>
      <c r="F154" s="220"/>
      <c r="G154" s="221">
        <v>0.076</v>
      </c>
      <c r="H154" s="177"/>
      <c r="I154" s="243"/>
      <c r="J154" s="242"/>
    </row>
    <row r="155" s="9" customFormat="1" ht="15" customHeight="1" spans="1:12">
      <c r="A155" s="178"/>
      <c r="B155" s="178"/>
      <c r="C155" s="222" t="s">
        <v>139</v>
      </c>
      <c r="D155" s="223"/>
      <c r="E155" s="224"/>
      <c r="F155" s="225"/>
      <c r="G155" s="226">
        <v>0</v>
      </c>
      <c r="H155" s="177"/>
      <c r="I155" s="244"/>
      <c r="J155" s="245"/>
      <c r="L155" s="242"/>
    </row>
    <row r="156" s="9" customFormat="1" ht="15" customHeight="1" spans="1:9">
      <c r="A156" s="178"/>
      <c r="B156" s="178"/>
      <c r="C156" s="227" t="s">
        <v>140</v>
      </c>
      <c r="D156" s="228"/>
      <c r="E156" s="228"/>
      <c r="F156" s="228"/>
      <c r="G156" s="229"/>
      <c r="H156" s="177"/>
      <c r="I156" s="178"/>
    </row>
    <row r="157" s="9" customFormat="1" ht="15" customHeight="1" spans="1:9">
      <c r="A157" s="178"/>
      <c r="B157" s="178"/>
      <c r="C157" s="230" t="s">
        <v>141</v>
      </c>
      <c r="D157" s="231"/>
      <c r="E157" s="231"/>
      <c r="F157" s="232"/>
      <c r="G157" s="233"/>
      <c r="H157" s="177"/>
      <c r="I157" s="246"/>
    </row>
    <row r="158" s="9" customFormat="1" ht="15" customHeight="1" spans="1:9">
      <c r="A158" s="178"/>
      <c r="B158" s="178"/>
      <c r="C158" s="234" t="s">
        <v>142</v>
      </c>
      <c r="D158" s="235"/>
      <c r="E158" s="235"/>
      <c r="F158" s="235"/>
      <c r="G158" s="236">
        <f>ROUND((((1+G148+G149)*(1+G150)*(1+G151))/(1-(G152+G153+G154+G155))-1),4)</f>
        <v>0.3167</v>
      </c>
      <c r="H158" s="177"/>
      <c r="I158" s="178"/>
    </row>
    <row r="159" s="13" customFormat="1" ht="15" customHeight="1"/>
    <row r="160" s="13" customFormat="1" ht="15" customHeight="1" spans="3:6">
      <c r="C160" s="237" t="s">
        <v>143</v>
      </c>
      <c r="D160" s="237"/>
      <c r="E160" s="238"/>
      <c r="F160" s="238"/>
    </row>
    <row r="161" s="13" customFormat="1" ht="15" customHeight="1" spans="3:6">
      <c r="C161" s="237"/>
      <c r="D161" s="237"/>
      <c r="E161" s="238"/>
      <c r="F161" s="238"/>
    </row>
    <row r="162" s="13" customFormat="1" ht="15" customHeight="1" spans="3:6">
      <c r="C162" s="237"/>
      <c r="D162" s="237"/>
      <c r="E162" s="238"/>
      <c r="F162" s="238"/>
    </row>
    <row r="163" s="13" customFormat="1" ht="15" customHeight="1" spans="3:6">
      <c r="C163" s="238"/>
      <c r="D163" s="238"/>
      <c r="E163" s="238"/>
      <c r="F163" s="238"/>
    </row>
    <row r="164" s="13" customFormat="1" ht="15" customHeight="1" spans="3:6">
      <c r="C164" s="238"/>
      <c r="D164" s="237" t="s">
        <v>144</v>
      </c>
      <c r="E164" s="237"/>
      <c r="F164" s="237"/>
    </row>
    <row r="165" s="13" customFormat="1" ht="15" customHeight="1" spans="3:6">
      <c r="C165" s="238"/>
      <c r="D165" s="237" t="s">
        <v>145</v>
      </c>
      <c r="E165" s="237"/>
      <c r="F165" s="237"/>
    </row>
    <row r="166" s="13" customFormat="1" ht="15" customHeight="1"/>
    <row r="167" s="13" customFormat="1" ht="15" customHeight="1"/>
    <row r="168" s="13" customFormat="1" ht="15" customHeight="1"/>
    <row r="169" s="13" customFormat="1" ht="15" customHeight="1"/>
    <row r="170" s="13" customFormat="1" ht="15" customHeight="1"/>
    <row r="171" s="13" customFormat="1" ht="15" customHeight="1"/>
    <row r="172" s="13" customFormat="1" ht="15" customHeight="1"/>
    <row r="173" s="13" customFormat="1" ht="15" customHeight="1"/>
    <row r="174" s="13" customFormat="1" ht="15" customHeight="1"/>
    <row r="175" s="13" customFormat="1" ht="15" customHeight="1"/>
    <row r="176" s="13" customFormat="1"/>
    <row r="177" s="13" customFormat="1"/>
    <row r="178" s="13" customFormat="1"/>
    <row r="179" s="13" customFormat="1"/>
    <row r="180" s="13" customFormat="1"/>
    <row r="181" s="13" customFormat="1"/>
    <row r="182" s="13" customFormat="1"/>
    <row r="183" s="13" customFormat="1"/>
    <row r="184" s="13" customFormat="1"/>
    <row r="185" s="13" customFormat="1"/>
    <row r="186" s="13" customFormat="1"/>
    <row r="187" s="13" customFormat="1"/>
    <row r="188" s="13" customFormat="1"/>
    <row r="189" s="13" customFormat="1"/>
    <row r="190" s="13" customFormat="1"/>
  </sheetData>
  <mergeCells count="81">
    <mergeCell ref="A1:I1"/>
    <mergeCell ref="A2:I2"/>
    <mergeCell ref="A4:F4"/>
    <mergeCell ref="G4:I4"/>
    <mergeCell ref="A9:I9"/>
    <mergeCell ref="A14:G14"/>
    <mergeCell ref="A16:G16"/>
    <mergeCell ref="A23:G23"/>
    <mergeCell ref="A25:G25"/>
    <mergeCell ref="A31:H31"/>
    <mergeCell ref="A34:H34"/>
    <mergeCell ref="A36:H36"/>
    <mergeCell ref="A38:I38"/>
    <mergeCell ref="A47:G47"/>
    <mergeCell ref="B48:D48"/>
    <mergeCell ref="A50:H50"/>
    <mergeCell ref="A55:G55"/>
    <mergeCell ref="A60:H60"/>
    <mergeCell ref="A62:I62"/>
    <mergeCell ref="B63:D63"/>
    <mergeCell ref="B71:D71"/>
    <mergeCell ref="B72:D72"/>
    <mergeCell ref="B73:D73"/>
    <mergeCell ref="B75:D75"/>
    <mergeCell ref="B76:D76"/>
    <mergeCell ref="B77:D77"/>
    <mergeCell ref="B78:D78"/>
    <mergeCell ref="B79:D79"/>
    <mergeCell ref="A80:G80"/>
    <mergeCell ref="B81:D81"/>
    <mergeCell ref="A82:H82"/>
    <mergeCell ref="B85:D85"/>
    <mergeCell ref="B86:D86"/>
    <mergeCell ref="A87:G87"/>
    <mergeCell ref="B88:D88"/>
    <mergeCell ref="A89:H89"/>
    <mergeCell ref="A95:I95"/>
    <mergeCell ref="A98:H98"/>
    <mergeCell ref="A100:H100"/>
    <mergeCell ref="A102:H102"/>
    <mergeCell ref="C112:F112"/>
    <mergeCell ref="C113:F113"/>
    <mergeCell ref="C114:F114"/>
    <mergeCell ref="C115:F115"/>
    <mergeCell ref="C116:F116"/>
    <mergeCell ref="C117:F117"/>
    <mergeCell ref="C118:F118"/>
    <mergeCell ref="C119:F119"/>
    <mergeCell ref="C120:F120"/>
    <mergeCell ref="C123:F123"/>
    <mergeCell ref="C124:F124"/>
    <mergeCell ref="C125:F125"/>
    <mergeCell ref="C129:F129"/>
    <mergeCell ref="C131:F131"/>
    <mergeCell ref="C132:F132"/>
    <mergeCell ref="C135:F135"/>
    <mergeCell ref="C138:F138"/>
    <mergeCell ref="C139:F139"/>
    <mergeCell ref="C140:F140"/>
    <mergeCell ref="C141:F141"/>
    <mergeCell ref="C142:F142"/>
    <mergeCell ref="C143:F143"/>
    <mergeCell ref="C145:F145"/>
    <mergeCell ref="C147:G147"/>
    <mergeCell ref="C148:E148"/>
    <mergeCell ref="C149:E149"/>
    <mergeCell ref="C150:E150"/>
    <mergeCell ref="C151:E151"/>
    <mergeCell ref="C152:E152"/>
    <mergeCell ref="C153:E153"/>
    <mergeCell ref="C154:E154"/>
    <mergeCell ref="C155:E155"/>
    <mergeCell ref="C160:D160"/>
    <mergeCell ref="D164:F164"/>
    <mergeCell ref="D165:F165"/>
    <mergeCell ref="A29:A30"/>
    <mergeCell ref="A32:A33"/>
    <mergeCell ref="F152:F155"/>
    <mergeCell ref="A5:F8"/>
    <mergeCell ref="B104:I105"/>
    <mergeCell ref="B106:I108"/>
  </mergeCells>
  <dataValidations count="1">
    <dataValidation type="custom" allowBlank="1" showInputMessage="1" showErrorMessage="1" sqref="G155">
      <formula1>#REF!</formula1>
    </dataValidation>
  </dataValidations>
  <printOptions verticalCentered="1" headings="1"/>
  <pageMargins left="0.708661417322835" right="0.708661417322835" top="0.748031496062992" bottom="0.748031496062992" header="0.31496062992126" footer="0.31496062992126"/>
  <pageSetup paperSize="9" scale="57" fitToHeight="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dmlu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Monitoramento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Valdir</dc:creator>
  <cp:lastModifiedBy>Valdir Nascimento</cp:lastModifiedBy>
  <dcterms:created xsi:type="dcterms:W3CDTF">2000-12-13T10:02:00Z</dcterms:created>
  <cp:lastPrinted>2025-10-01T13:06:00Z</cp:lastPrinted>
  <dcterms:modified xsi:type="dcterms:W3CDTF">2025-10-29T14:20:08Z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857CD3B7019D4298B5303B67B07885F7_13</vt:lpwstr>
  </property>
  <property fmtid="{D5CDD505-2E9C-101B-9397-08002B2CF9AE}" pid="3" name="KSOProductBuildVer">
    <vt:lpwstr>1046-12.2.0.23131</vt:lpwstr>
  </property>
</Properties>
</file>