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sespaefs03\DA_Compras\2025\2- EDITAIS DE SERVIÇOS - NORMAIS E DISPENSAS\Dispensa\9522-2025 - 25-2000-0162808-8 - Marcelo\"/>
    </mc:Choice>
  </mc:AlternateContent>
  <xr:revisionPtr revIDLastSave="0" documentId="13_ncr:1_{47C38D18-1200-4550-8104-112A07114413}" xr6:coauthVersionLast="47" xr6:coauthVersionMax="47" xr10:uidLastSave="{00000000-0000-0000-0000-000000000000}"/>
  <bookViews>
    <workbookView xWindow="28680" yWindow="-120" windowWidth="29040" windowHeight="15720" tabRatio="649" activeTab="1" xr2:uid="{00000000-000D-0000-FFFF-FFFF00000000}"/>
  </bookViews>
  <sheets>
    <sheet name="Vigilante diurno" sheetId="7" r:id="rId1"/>
    <sheet name="Vigilante noturno" sheetId="10" r:id="rId2"/>
    <sheet name="Resumo" sheetId="9" r:id="rId3"/>
  </sheets>
  <externalReferences>
    <externalReference r:id="rId4"/>
    <externalReference r:id="rId5"/>
  </externalReferences>
  <definedNames>
    <definedName name="_xlnm.Print_Area" localSheetId="0">'Vigilante diurno'!$A$1:$I$177</definedName>
    <definedName name="_xlnm.Print_Area" localSheetId="1">'Vigilante noturno'!$A$1:$I$185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9" l="1"/>
  <c r="F158" i="10"/>
  <c r="F150" i="7"/>
  <c r="I44" i="10" l="1"/>
  <c r="I39" i="7"/>
  <c r="I45" i="10"/>
  <c r="I40" i="7"/>
  <c r="I33" i="10"/>
  <c r="I31" i="10"/>
  <c r="I5" i="10"/>
  <c r="I37" i="10" s="1"/>
  <c r="F100" i="10" s="1"/>
  <c r="I49" i="10"/>
  <c r="I50" i="10" s="1"/>
  <c r="I32" i="10"/>
  <c r="I30" i="10"/>
  <c r="I5" i="7"/>
  <c r="I33" i="7"/>
  <c r="I41" i="7"/>
  <c r="I42" i="7" s="1"/>
  <c r="I94" i="10"/>
  <c r="F123" i="10"/>
  <c r="I130" i="10"/>
  <c r="I173" i="10" s="1"/>
  <c r="H63" i="10"/>
  <c r="H85" i="10" s="1"/>
  <c r="H86" i="10" s="1"/>
  <c r="H88" i="10" s="1"/>
  <c r="H75" i="10"/>
  <c r="A108" i="10"/>
  <c r="I18" i="10"/>
  <c r="C108" i="10" s="1"/>
  <c r="G108" i="10"/>
  <c r="A104" i="10"/>
  <c r="I21" i="10"/>
  <c r="C104" i="10"/>
  <c r="G104" i="10"/>
  <c r="A100" i="10"/>
  <c r="E100" i="10" s="1"/>
  <c r="I15" i="10"/>
  <c r="C100" i="10"/>
  <c r="G100" i="10"/>
  <c r="H156" i="10"/>
  <c r="H159" i="10" s="1"/>
  <c r="D156" i="10" s="1"/>
  <c r="E156" i="10" s="1"/>
  <c r="H183" i="10"/>
  <c r="I86" i="7"/>
  <c r="A100" i="7"/>
  <c r="F115" i="7"/>
  <c r="I107" i="7" s="1"/>
  <c r="I122" i="7"/>
  <c r="I165" i="7" s="1"/>
  <c r="H55" i="7"/>
  <c r="H67" i="7"/>
  <c r="I18" i="7"/>
  <c r="C100" i="7" s="1"/>
  <c r="E100" i="7" s="1"/>
  <c r="G100" i="7"/>
  <c r="A96" i="7"/>
  <c r="E96" i="7" s="1"/>
  <c r="I21" i="7"/>
  <c r="C96" i="7" s="1"/>
  <c r="G96" i="7"/>
  <c r="A92" i="7"/>
  <c r="I15" i="7"/>
  <c r="C92" i="7" s="1"/>
  <c r="G92" i="7"/>
  <c r="H148" i="7"/>
  <c r="H151" i="7" s="1"/>
  <c r="D148" i="7" s="1"/>
  <c r="E148" i="7" s="1"/>
  <c r="H175" i="7"/>
  <c r="A34" i="7"/>
  <c r="A35" i="7" s="1"/>
  <c r="A36" i="7" s="1"/>
  <c r="A37" i="7" s="1"/>
  <c r="A38" i="7" s="1"/>
  <c r="A39" i="7" s="1"/>
  <c r="A40" i="7" s="1"/>
  <c r="A41" i="7" s="1"/>
  <c r="A42" i="7" s="1"/>
  <c r="A43" i="7" s="1"/>
  <c r="F6" i="9"/>
  <c r="G5" i="10"/>
  <c r="G5" i="7"/>
  <c r="A6" i="10"/>
  <c r="A6" i="7"/>
  <c r="B43" i="7"/>
  <c r="B51" i="10"/>
  <c r="A183" i="10"/>
  <c r="E157" i="10"/>
  <c r="G156" i="10"/>
  <c r="G159" i="10" s="1"/>
  <c r="D155" i="10" s="1"/>
  <c r="E155" i="10" s="1"/>
  <c r="H107" i="10"/>
  <c r="I95" i="10"/>
  <c r="H82" i="10"/>
  <c r="I42" i="10"/>
  <c r="I41" i="10"/>
  <c r="I40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G11" i="10"/>
  <c r="I87" i="7"/>
  <c r="I37" i="7"/>
  <c r="I35" i="7"/>
  <c r="I36" i="7"/>
  <c r="A175" i="7"/>
  <c r="E149" i="7"/>
  <c r="G148" i="7"/>
  <c r="G151" i="7" s="1"/>
  <c r="D147" i="7" s="1"/>
  <c r="E147" i="7" s="1"/>
  <c r="H99" i="7"/>
  <c r="H74" i="7"/>
  <c r="H100" i="10" l="1"/>
  <c r="I115" i="10"/>
  <c r="E92" i="7"/>
  <c r="E104" i="10"/>
  <c r="I100" i="10"/>
  <c r="I93" i="10" s="1"/>
  <c r="I123" i="10" s="1"/>
  <c r="I47" i="10"/>
  <c r="I46" i="10"/>
  <c r="F100" i="7"/>
  <c r="H100" i="7" s="1"/>
  <c r="I100" i="7" s="1"/>
  <c r="I83" i="7" s="1"/>
  <c r="E108" i="10"/>
  <c r="F104" i="10"/>
  <c r="H104" i="10" s="1"/>
  <c r="I104" i="10" s="1"/>
  <c r="I92" i="10" s="1"/>
  <c r="F96" i="7"/>
  <c r="H96" i="7" s="1"/>
  <c r="I96" i="7" s="1"/>
  <c r="I84" i="7" s="1"/>
  <c r="I48" i="10"/>
  <c r="I39" i="10" s="1"/>
  <c r="I34" i="7"/>
  <c r="H77" i="7"/>
  <c r="H78" i="7" s="1"/>
  <c r="H80" i="7" s="1"/>
  <c r="F92" i="7"/>
  <c r="H92" i="7" s="1"/>
  <c r="I92" i="7" s="1"/>
  <c r="I85" i="7" s="1"/>
  <c r="I38" i="7"/>
  <c r="I43" i="10"/>
  <c r="I136" i="10" l="1"/>
  <c r="I52" i="10"/>
  <c r="I56" i="10" s="1"/>
  <c r="I115" i="7"/>
  <c r="I128" i="7"/>
  <c r="I88" i="7"/>
  <c r="F108" i="10"/>
  <c r="H108" i="10" s="1"/>
  <c r="I108" i="10" s="1"/>
  <c r="I91" i="10" s="1"/>
  <c r="I44" i="7"/>
  <c r="H85" i="7" s="1"/>
  <c r="H51" i="10" l="1"/>
  <c r="H92" i="10"/>
  <c r="H42" i="10"/>
  <c r="I85" i="10"/>
  <c r="I86" i="10" s="1"/>
  <c r="F138" i="10" s="1"/>
  <c r="I71" i="10"/>
  <c r="I73" i="10"/>
  <c r="H48" i="10"/>
  <c r="H40" i="10"/>
  <c r="A138" i="10"/>
  <c r="I74" i="10"/>
  <c r="I55" i="10"/>
  <c r="H50" i="10"/>
  <c r="H43" i="10"/>
  <c r="I61" i="10"/>
  <c r="I62" i="10"/>
  <c r="H37" i="10"/>
  <c r="I69" i="10"/>
  <c r="I75" i="10" s="1"/>
  <c r="I58" i="10"/>
  <c r="H46" i="10"/>
  <c r="I79" i="10"/>
  <c r="I68" i="10"/>
  <c r="I57" i="10"/>
  <c r="H93" i="10"/>
  <c r="H38" i="10"/>
  <c r="I166" i="10"/>
  <c r="H47" i="10"/>
  <c r="H44" i="10"/>
  <c r="I81" i="10"/>
  <c r="I72" i="10"/>
  <c r="I70" i="10"/>
  <c r="I60" i="10"/>
  <c r="I59" i="10"/>
  <c r="H94" i="10"/>
  <c r="H95" i="10"/>
  <c r="I80" i="10"/>
  <c r="I82" i="10" s="1"/>
  <c r="I67" i="10"/>
  <c r="A125" i="10"/>
  <c r="H45" i="10"/>
  <c r="H49" i="10"/>
  <c r="H39" i="10"/>
  <c r="H41" i="10"/>
  <c r="I96" i="10"/>
  <c r="I168" i="10" s="1"/>
  <c r="H91" i="10"/>
  <c r="I49" i="7"/>
  <c r="I53" i="7"/>
  <c r="I61" i="7"/>
  <c r="I65" i="7"/>
  <c r="I73" i="7"/>
  <c r="A117" i="7"/>
  <c r="H87" i="7"/>
  <c r="I52" i="7"/>
  <c r="H43" i="7"/>
  <c r="H35" i="7"/>
  <c r="H39" i="7"/>
  <c r="I158" i="7"/>
  <c r="I50" i="7"/>
  <c r="I54" i="7"/>
  <c r="I62" i="7"/>
  <c r="I66" i="7"/>
  <c r="H41" i="7"/>
  <c r="H86" i="7"/>
  <c r="H37" i="7"/>
  <c r="I48" i="7"/>
  <c r="I64" i="7"/>
  <c r="I72" i="7"/>
  <c r="I47" i="7"/>
  <c r="I51" i="7"/>
  <c r="I59" i="7"/>
  <c r="I63" i="7"/>
  <c r="I71" i="7"/>
  <c r="I77" i="7"/>
  <c r="I78" i="7" s="1"/>
  <c r="A130" i="7"/>
  <c r="I60" i="7"/>
  <c r="H42" i="7"/>
  <c r="H40" i="7"/>
  <c r="H33" i="7"/>
  <c r="H36" i="7"/>
  <c r="H38" i="7"/>
  <c r="H34" i="7"/>
  <c r="H83" i="7"/>
  <c r="I160" i="7"/>
  <c r="G130" i="7"/>
  <c r="G117" i="7"/>
  <c r="H84" i="7"/>
  <c r="F125" i="10" l="1"/>
  <c r="I63" i="10"/>
  <c r="C125" i="10" s="1"/>
  <c r="H96" i="10"/>
  <c r="H52" i="10"/>
  <c r="H110" i="10" s="1"/>
  <c r="G138" i="10"/>
  <c r="G125" i="10"/>
  <c r="H88" i="7"/>
  <c r="I67" i="7"/>
  <c r="D130" i="7" s="1"/>
  <c r="H44" i="7"/>
  <c r="F117" i="7"/>
  <c r="F130" i="7"/>
  <c r="I55" i="7"/>
  <c r="I74" i="7"/>
  <c r="D125" i="10"/>
  <c r="D138" i="10"/>
  <c r="E125" i="10"/>
  <c r="E138" i="10"/>
  <c r="I167" i="10" l="1"/>
  <c r="I169" i="10" s="1"/>
  <c r="C10" i="9" s="1"/>
  <c r="F10" i="9" s="1"/>
  <c r="C138" i="10"/>
  <c r="H138" i="10" s="1"/>
  <c r="I138" i="10" s="1"/>
  <c r="H128" i="10" s="1"/>
  <c r="I88" i="10"/>
  <c r="I110" i="10" s="1"/>
  <c r="A154" i="10" s="1"/>
  <c r="H102" i="7"/>
  <c r="D117" i="7"/>
  <c r="H125" i="10"/>
  <c r="I125" i="10" s="1"/>
  <c r="H114" i="10" s="1"/>
  <c r="E130" i="7"/>
  <c r="E117" i="7"/>
  <c r="C117" i="7"/>
  <c r="C130" i="7"/>
  <c r="H130" i="7" s="1"/>
  <c r="I130" i="7" s="1"/>
  <c r="I159" i="7"/>
  <c r="I161" i="7" s="1"/>
  <c r="C9" i="9" s="1"/>
  <c r="F9" i="9" s="1"/>
  <c r="I80" i="7"/>
  <c r="I102" i="7" s="1"/>
  <c r="A146" i="7" s="1"/>
  <c r="H118" i="10"/>
  <c r="H115" i="10"/>
  <c r="H119" i="10"/>
  <c r="H116" i="10"/>
  <c r="F11" i="9" l="1"/>
  <c r="H13" i="9" s="1"/>
  <c r="G123" i="10"/>
  <c r="I120" i="10" s="1"/>
  <c r="I172" i="10" s="1"/>
  <c r="H117" i="7"/>
  <c r="I117" i="7" s="1"/>
  <c r="H110" i="7" s="1"/>
  <c r="G136" i="10"/>
  <c r="H133" i="10" s="1"/>
  <c r="H134" i="10" s="1"/>
  <c r="H129" i="10"/>
  <c r="H121" i="7"/>
  <c r="G128" i="7"/>
  <c r="H120" i="7"/>
  <c r="H130" i="10"/>
  <c r="I134" i="10" l="1"/>
  <c r="I140" i="10" s="1"/>
  <c r="C154" i="10" s="1"/>
  <c r="D154" i="10" s="1"/>
  <c r="H117" i="10"/>
  <c r="H120" i="10" s="1"/>
  <c r="H140" i="10" s="1"/>
  <c r="H122" i="7"/>
  <c r="H106" i="7"/>
  <c r="H108" i="7"/>
  <c r="H111" i="7"/>
  <c r="H107" i="7"/>
  <c r="G115" i="7"/>
  <c r="I112" i="7" s="1"/>
  <c r="I164" i="7" s="1"/>
  <c r="I126" i="7"/>
  <c r="H125" i="7"/>
  <c r="H126" i="7" s="1"/>
  <c r="I174" i="10" l="1"/>
  <c r="I175" i="10" s="1"/>
  <c r="D10" i="9" s="1"/>
  <c r="G10" i="9" s="1"/>
  <c r="H109" i="7"/>
  <c r="H112" i="7" s="1"/>
  <c r="H132" i="7" s="1"/>
  <c r="I166" i="7"/>
  <c r="I167" i="7" s="1"/>
  <c r="D9" i="9" s="1"/>
  <c r="G9" i="9" s="1"/>
  <c r="I132" i="7"/>
  <c r="C146" i="7" s="1"/>
  <c r="D146" i="7" s="1"/>
  <c r="I148" i="10"/>
  <c r="H148" i="10" s="1"/>
  <c r="I147" i="10"/>
  <c r="H147" i="10" s="1"/>
  <c r="I145" i="10"/>
  <c r="H145" i="10" s="1"/>
  <c r="I146" i="10"/>
  <c r="H146" i="10" s="1"/>
  <c r="I144" i="10"/>
  <c r="G11" i="9" l="1"/>
  <c r="H14" i="9" s="1"/>
  <c r="I140" i="7"/>
  <c r="H140" i="7" s="1"/>
  <c r="I139" i="7"/>
  <c r="H139" i="7" s="1"/>
  <c r="I138" i="7"/>
  <c r="H138" i="7" s="1"/>
  <c r="I136" i="7"/>
  <c r="I137" i="7"/>
  <c r="H137" i="7" s="1"/>
  <c r="I149" i="10"/>
  <c r="I179" i="10" s="1"/>
  <c r="E10" i="9" s="1"/>
  <c r="H10" i="9" s="1"/>
  <c r="H144" i="10"/>
  <c r="H149" i="10" s="1"/>
  <c r="H162" i="10" s="1"/>
  <c r="H136" i="7" l="1"/>
  <c r="H141" i="7" s="1"/>
  <c r="H154" i="7" s="1"/>
  <c r="I141" i="7"/>
  <c r="I171" i="7" s="1"/>
  <c r="E9" i="9" s="1"/>
  <c r="H9" i="9" s="1"/>
  <c r="H11" i="9" s="1"/>
  <c r="H15" i="9" s="1"/>
  <c r="H16" i="9" s="1"/>
  <c r="I162" i="10"/>
  <c r="G183" i="10"/>
  <c r="I178" i="10"/>
  <c r="I154" i="7" l="1"/>
  <c r="I170" i="7"/>
  <c r="G175" i="7"/>
  <c r="H178" i="10"/>
  <c r="H179" i="10" s="1"/>
  <c r="H172" i="10"/>
  <c r="H173" i="10"/>
  <c r="H166" i="10"/>
  <c r="I183" i="10"/>
  <c r="I185" i="10" s="1"/>
  <c r="E5" i="9" s="1"/>
  <c r="G5" i="9" s="1"/>
  <c r="H168" i="10"/>
  <c r="H167" i="10"/>
  <c r="H174" i="10"/>
  <c r="H170" i="7" l="1"/>
  <c r="H171" i="7" s="1"/>
  <c r="H160" i="7"/>
  <c r="H166" i="7"/>
  <c r="H158" i="7"/>
  <c r="I175" i="7"/>
  <c r="I177" i="7" s="1"/>
  <c r="E4" i="9" s="1"/>
  <c r="G4" i="9" s="1"/>
  <c r="G6" i="9" s="1"/>
  <c r="H159" i="7"/>
  <c r="H165" i="7"/>
  <c r="H164" i="7"/>
  <c r="H175" i="10"/>
  <c r="H169" i="10"/>
  <c r="H167" i="7" l="1"/>
  <c r="H16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Requena</author>
    <author>Ilete-Kuhn</author>
    <author>Computador CELIC</author>
  </authors>
  <commentList>
    <comment ref="I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87551E3D-E32F-4B23-9332-2C3AE54848DF}">
      <text>
        <r>
          <rPr>
            <b/>
            <sz val="9"/>
            <color indexed="81"/>
            <rFont val="Tahoma"/>
            <family val="2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C8D1FE09-4583-4061-BBDC-226FCE89D546}">
      <text>
        <r>
          <rPr>
            <b/>
            <sz val="9"/>
            <color indexed="81"/>
            <rFont val="Tahoma"/>
            <family val="2"/>
          </rPr>
          <t>Informar a cidade de prestação dos serviços</t>
        </r>
      </text>
    </comment>
    <comment ref="I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Informar o número de horas correspondente ao salário normativo (exemplo: 220, 180, etc).</t>
        </r>
      </text>
    </comment>
    <comment ref="I10" authorId="0" shapeId="0" xr:uid="{C48CB617-9D44-4870-A34C-0636A6357B9F}">
      <text>
        <r>
          <rPr>
            <b/>
            <sz val="9"/>
            <color indexed="81"/>
            <rFont val="Tahoma"/>
            <family val="2"/>
          </rPr>
          <t>Informar o valor do salário normativo do cargo</t>
        </r>
      </text>
    </comment>
    <comment ref="I11" authorId="1" shapeId="0" xr:uid="{00000000-0006-0000-0000-00000A000000}">
      <text>
        <r>
          <rPr>
            <b/>
            <sz val="8"/>
            <color indexed="81"/>
            <rFont val="Calibri"/>
            <family val="2"/>
            <scheme val="minor"/>
          </rPr>
          <t>Informar a alíquota do ISS relativo ao serviço do posto de trabalho</t>
        </r>
      </text>
    </comment>
    <comment ref="I12" authorId="2" shapeId="0" xr:uid="{D51D6BEA-85F0-4A2D-A6D4-24050DC102F4}">
      <text>
        <r>
          <rPr>
            <b/>
            <sz val="9"/>
            <color indexed="81"/>
            <rFont val="Segoe UI"/>
            <family val="2"/>
          </rPr>
          <t>Preencher com o valor da troca de uniforme somente para os postos de vigilantes que preveem o pagamento da troca de uniforme na CCT.</t>
        </r>
      </text>
    </comment>
    <comment ref="I13" authorId="2" shapeId="0" xr:uid="{00000000-0006-0000-0000-00000C000000}">
      <text>
        <r>
          <rPr>
            <b/>
            <sz val="9"/>
            <color indexed="81"/>
            <rFont val="Segoe UI"/>
            <family val="2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000-000018000000}">
      <text>
        <r>
          <rPr>
            <b/>
            <sz val="7"/>
            <color indexed="81"/>
            <rFont val="Tahoma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indexed="81"/>
            <rFont val="Tahoma"/>
            <family val="2"/>
          </rPr>
          <t>salário-mínimo</t>
        </r>
        <r>
          <rPr>
            <b/>
            <sz val="7"/>
            <color indexed="81"/>
            <rFont val="Tahoma"/>
            <family val="2"/>
          </rPr>
          <t xml:space="preserve"> da região (LEI Nº 15.561, DE 9 DE DEZEMBRO DE 2020 - ver sempre se tem uma lei nova)
</t>
        </r>
        <r>
          <rPr>
            <b/>
            <u/>
            <sz val="7"/>
            <color indexed="81"/>
            <rFont val="Tahoma"/>
            <family val="2"/>
          </rPr>
          <t xml:space="preserve">
Obs. 1: a CCT poderá indicar outra base de cálculo da insalubridade.</t>
        </r>
        <r>
          <rPr>
            <b/>
            <sz val="7"/>
            <color indexed="81"/>
            <rFont val="Tahoma"/>
            <family val="2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indexed="81"/>
            <rFont val="Tahoma"/>
            <family val="2"/>
          </rPr>
          <t>salário proporcional do posto</t>
        </r>
        <r>
          <rPr>
            <b/>
            <sz val="7"/>
            <color indexed="81"/>
            <rFont val="Tahoma"/>
            <family val="2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2" shapeId="0" xr:uid="{00000000-0006-0000-0000-000019000000}">
      <text>
        <r>
          <rPr>
            <b/>
            <sz val="9"/>
            <color indexed="81"/>
            <rFont val="Segoe UI"/>
            <family val="2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2" shapeId="0" xr:uid="{00000000-0006-0000-0000-00001A000000}">
      <text>
        <r>
          <rPr>
            <b/>
            <sz val="9"/>
            <color indexed="81"/>
            <rFont val="Segoe UI"/>
            <family val="2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Requena</author>
    <author>Ilete-Kuhn</author>
    <author>Computador CELIC</author>
  </authors>
  <commentList>
    <comment ref="I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Informar a cidade de prestação dos serviços</t>
        </r>
      </text>
    </comment>
    <comment ref="I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Informar o valor do salário normativo do cargo</t>
        </r>
      </text>
    </comment>
    <comment ref="I11" authorId="1" shapeId="0" xr:uid="{00000000-0006-0000-0100-00000B000000}">
      <text>
        <r>
          <rPr>
            <b/>
            <sz val="8"/>
            <color indexed="81"/>
            <rFont val="Calibri"/>
            <family val="2"/>
            <scheme val="minor"/>
          </rPr>
          <t>Informar a alíquota do ISS relativo ao serviço do posto de trabalho</t>
        </r>
      </text>
    </comment>
    <comment ref="I12" authorId="2" shapeId="0" xr:uid="{00000000-0006-0000-0100-00000C000000}">
      <text>
        <r>
          <rPr>
            <b/>
            <sz val="9"/>
            <color indexed="81"/>
            <rFont val="Segoe UI"/>
            <family val="2"/>
          </rPr>
          <t>Preencher com o valor da troca de uniforme somente para os postos de vigilantes que preveem o pagamento da troca de uniforme na CCT.</t>
        </r>
      </text>
    </comment>
    <comment ref="I13" authorId="2" shapeId="0" xr:uid="{00000000-0006-0000-0100-00000D000000}">
      <text>
        <r>
          <rPr>
            <b/>
            <sz val="9"/>
            <color indexed="81"/>
            <rFont val="Segoe UI"/>
            <family val="2"/>
          </rPr>
          <t>Informar a quantidade de dias trabalhados.
Para postos 12x36, utilizar 15.</t>
        </r>
      </text>
    </comment>
    <comment ref="I14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Informar o valor do VT da cidade que o posto de trabalho irá exercer suas funções</t>
        </r>
      </text>
    </comment>
    <comment ref="I15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Informar o valor do desconto do VT. Geralmente é 6%, porém a CCT pode indicar outra porcentagem</t>
        </r>
      </text>
    </comment>
    <comment ref="I17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Informar o valor do vale alimentação caso conste na CCT. Caso não conste na CCT, incluir o valor 0.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Informar o número de dias por mês que o posto irá receber o VA.</t>
        </r>
      </text>
    </comment>
    <comment ref="I19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Informar o valor do desconto do VA. Geralmente é 20%, porém a CCT pode indicar outra porcentagem</t>
        </r>
      </text>
    </comment>
    <comment ref="I20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Informar o número de dias por mês que o posto irá receber o VL.</t>
        </r>
      </text>
    </comment>
    <comment ref="I22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Informar o valor do desconto do VL. Geralmente é 20%, porém a CCT pode indicar outra porcentagem</t>
        </r>
      </text>
    </comment>
    <comment ref="I23" authorId="0" shapeId="0" xr:uid="{1EF982B6-D88A-4B1A-9914-64BED8819181}">
      <text>
        <r>
          <rPr>
            <b/>
            <sz val="9"/>
            <color indexed="81"/>
            <rFont val="Tahoma"/>
            <family val="2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9000000}">
      <text>
        <r>
          <rPr>
            <b/>
            <sz val="7"/>
            <color indexed="81"/>
            <rFont val="Tahoma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indexed="81"/>
            <rFont val="Tahoma"/>
            <family val="2"/>
          </rPr>
          <t>salário-mínimo</t>
        </r>
        <r>
          <rPr>
            <b/>
            <sz val="7"/>
            <color indexed="81"/>
            <rFont val="Tahoma"/>
            <family val="2"/>
          </rPr>
          <t xml:space="preserve"> da região 
</t>
        </r>
        <r>
          <rPr>
            <b/>
            <u/>
            <sz val="7"/>
            <color indexed="81"/>
            <rFont val="Tahoma"/>
            <family val="2"/>
          </rPr>
          <t xml:space="preserve">
Obs. 1: a CCT poderá indicar outra base de cálculo da insalubridade.</t>
        </r>
        <r>
          <rPr>
            <b/>
            <sz val="7"/>
            <color indexed="81"/>
            <rFont val="Tahoma"/>
            <family val="2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indexed="81"/>
            <rFont val="Tahoma"/>
            <family val="2"/>
          </rPr>
          <t>salário proporcional do posto</t>
        </r>
        <r>
          <rPr>
            <b/>
            <sz val="7"/>
            <color indexed="81"/>
            <rFont val="Tahoma"/>
            <family val="2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2" shapeId="0" xr:uid="{00000000-0006-0000-0100-00001A000000}">
      <text>
        <r>
          <rPr>
            <b/>
            <sz val="9"/>
            <color indexed="81"/>
            <rFont val="Segoe UI"/>
            <family val="2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2" shapeId="0" xr:uid="{00000000-0006-0000-0100-00001B000000}">
      <text>
        <r>
          <rPr>
            <b/>
            <sz val="9"/>
            <color indexed="81"/>
            <rFont val="Segoe UI"/>
            <family val="2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D000000}">
      <text>
        <r>
          <rPr>
            <b/>
            <sz val="9"/>
            <color indexed="81"/>
            <rFont val="Tahoma"/>
            <family val="2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E000000}">
      <text>
        <r>
          <rPr>
            <b/>
            <sz val="9"/>
            <color indexed="81"/>
            <rFont val="Tahoma"/>
            <family val="2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F000000}">
      <text>
        <r>
          <rPr>
            <b/>
            <sz val="9"/>
            <color indexed="81"/>
            <rFont val="Tahoma"/>
            <family val="2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20000000}">
      <text>
        <r>
          <rPr>
            <b/>
            <sz val="9"/>
            <color indexed="81"/>
            <rFont val="Tahoma"/>
            <family val="2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1000000}">
      <text>
        <r>
          <rPr>
            <b/>
            <sz val="9"/>
            <color indexed="81"/>
            <rFont val="Tahoma"/>
            <family val="2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<sst xmlns="http://schemas.openxmlformats.org/spreadsheetml/2006/main" count="561" uniqueCount="217">
  <si>
    <t>PROCESSO:</t>
  </si>
  <si>
    <t>LICITAÇÃO/EDITAL</t>
  </si>
  <si>
    <t>ABERTURA:</t>
  </si>
  <si>
    <t>Alíquota</t>
  </si>
  <si>
    <t>CCT</t>
  </si>
  <si>
    <t>Vr. Unitário</t>
  </si>
  <si>
    <t>Dias</t>
  </si>
  <si>
    <t>Desconto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</si>
  <si>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</si>
  <si>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</si>
  <si>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</si>
  <si>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</si>
  <si>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</si>
  <si>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</si>
  <si>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</si>
  <si>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</si>
  <si>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</si>
  <si>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</si>
  <si>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</si>
  <si>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</si>
  <si>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</si>
  <si>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</si>
  <si>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</si>
  <si>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</si>
  <si>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</si>
  <si>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</si>
  <si>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</si>
  <si>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</si>
  <si>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</si>
  <si>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</si>
  <si>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</si>
  <si>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</si>
  <si>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</si>
  <si>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</si>
  <si>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</si>
  <si>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</si>
  <si>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</si>
  <si>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</si>
  <si>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</si>
  <si>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</si>
  <si>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</si>
  <si>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</si>
  <si>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</si>
  <si>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</si>
  <si>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</si>
  <si>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</si>
  <si>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</si>
  <si>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</si>
  <si>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</si>
  <si>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</si>
  <si>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</si>
  <si>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</si>
  <si>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</si>
  <si>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</si>
  <si>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</si>
  <si>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</si>
  <si>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</si>
  <si>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</si>
  <si>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</si>
  <si>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</si>
  <si>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</si>
  <si>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</si>
  <si>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</si>
  <si>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</si>
  <si>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</si>
  <si>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</si>
  <si>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</si>
  <si>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</si>
  <si>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</si>
  <si>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</si>
  <si>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</si>
  <si>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</si>
  <si>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</si>
  <si>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</si>
  <si>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</si>
  <si>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</si>
  <si>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</si>
  <si>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</si>
  <si>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</si>
  <si>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</si>
  <si>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</si>
  <si>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</si>
  <si>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</si>
  <si>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</si>
  <si>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</si>
  <si>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</si>
  <si>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</si>
  <si>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</si>
  <si>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</si>
  <si>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</si>
  <si>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</si>
  <si>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</si>
  <si>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</si>
  <si>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</si>
  <si>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</si>
  <si>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</si>
  <si>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</si>
  <si>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</si>
  <si>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</si>
  <si>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</si>
  <si>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</si>
  <si>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</si>
  <si>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</si>
  <si>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</si>
  <si>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</si>
  <si>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</si>
  <si>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</si>
  <si>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</si>
  <si>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</si>
  <si>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</si>
  <si>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</si>
  <si>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</si>
  <si>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</si>
  <si>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</si>
  <si>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</si>
  <si>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</si>
  <si>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</si>
  <si>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</si>
  <si>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</si>
  <si>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</si>
  <si>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</si>
  <si>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</si>
  <si>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</si>
  <si>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</si>
  <si>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</si>
  <si>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</si>
  <si>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t>Quadro Resumo Mensal</t>
  </si>
  <si>
    <t>Função</t>
  </si>
  <si>
    <t>Carga Horária</t>
  </si>
  <si>
    <t>Dias da semana</t>
  </si>
  <si>
    <t>Valor Total</t>
  </si>
  <si>
    <t>Salário Normativo</t>
  </si>
  <si>
    <t>Tarifa Transporte</t>
  </si>
  <si>
    <t>Outros</t>
  </si>
  <si>
    <t>Cidade:</t>
  </si>
  <si>
    <t>Vale Alimentação</t>
  </si>
  <si>
    <t>Porcentagem</t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</si>
  <si>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</si>
  <si>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</si>
  <si>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t>MEMÓRIA DE CÁLCULO DO VALE ALIMENTAÇÃO</t>
  </si>
  <si>
    <t>Nº de Postos</t>
  </si>
  <si>
    <t>Valor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</si>
  <si>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</si>
  <si>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t>Custo total por empregado</t>
  </si>
  <si>
    <t>Adicional de Supervisor (37%)</t>
  </si>
  <si>
    <t>Não aplicável</t>
  </si>
  <si>
    <t>Valor mensal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</si>
  <si>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</si>
  <si>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</si>
  <si>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</si>
  <si>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Nº horas</t>
  </si>
  <si>
    <t>Vr. Hora</t>
  </si>
  <si>
    <t>Reduzida Noturna</t>
  </si>
  <si>
    <t xml:space="preserve">Adicional Noturno 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</si>
  <si>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</si>
  <si>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Integração RSRF (20%) sobre H. Extra Red. Noturna e Adic Noturno = [Reduzida Noturna + Adic. Noturno]*[Descanso Semanal Remunerado] (20%)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</si>
  <si>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</si>
  <si>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</si>
  <si>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</si>
  <si>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</si>
  <si>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</si>
  <si>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</si>
  <si>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</si>
  <si>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</si>
  <si>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</si>
  <si>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</si>
  <si>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</si>
  <si>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</si>
  <si>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</si>
  <si>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</si>
  <si>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r>
      <t>Vale-Transporte</t>
    </r>
    <r>
      <rPr>
        <sz val="8"/>
        <color theme="1"/>
        <rFont val="Calibri"/>
        <family val="2"/>
      </rPr>
      <t>⁽⁵⁾</t>
    </r>
  </si>
  <si>
    <t>O valor do vale-transporte pode variar de acordo com o modal fornecido pelo empregador.</t>
  </si>
  <si>
    <t>(5)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</si>
  <si>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</si>
  <si>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</si>
  <si>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</si>
  <si>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(9)</t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</si>
  <si>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</si>
  <si>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</si>
  <si>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</si>
  <si>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Base de cálculo da insalubridade</t>
  </si>
  <si>
    <t>Adicional Troca de Uniforme (somente para postos de vigilantes que prevêm pagamento para troca de uniforme na CCT)</t>
  </si>
  <si>
    <t xml:space="preserve">Adicional Troca de Uniforme </t>
  </si>
  <si>
    <t>Integração RSF (20% sobre Ad.Troca de Uniforme - somente para vigilantes)</t>
  </si>
  <si>
    <t>Adicional Troca de Uniforme</t>
  </si>
  <si>
    <t>Integração RSF (20% sobre Ad.Troca de Uniforme)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</si>
  <si>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</si>
  <si>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LUCRO PRESUMIDO e REAL (*)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</si>
  <si>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</rPr>
      <t xml:space="preserve"> 4,33 horas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</si>
  <si>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REGIME DE TRIBUTAÇÃO: </t>
    </r>
    <r>
      <rPr>
        <b/>
        <sz val="12"/>
        <color indexed="10"/>
        <rFont val="Calibri"/>
        <family val="2"/>
      </rPr>
      <t>LUCRO REAL e PRESUMIDO (*)</t>
    </r>
  </si>
  <si>
    <t>Quantidade de dias trabalhados no mês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</si>
  <si>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DECRETOS 52.768 de 15.12.2015)</t>
    </r>
  </si>
  <si>
    <t>Adicional Periculosidade 30%</t>
  </si>
  <si>
    <t>Acréscimo da hora extra</t>
  </si>
  <si>
    <t>Feriados</t>
  </si>
  <si>
    <t>Quantitativo de horas trabalhadas em feriados no mês (estimado) - Não aplicável para postos 12x36</t>
  </si>
  <si>
    <t>DSR =  número total das horas extras do mês / número de dias úteis X domingos e feriados do mês X valor da hora extra com acréscimo</t>
  </si>
  <si>
    <t>Hora Intervalar (somente para postos 12x36, quando for o caso)</t>
  </si>
  <si>
    <t>SIMPLES</t>
  </si>
  <si>
    <t>25/2000-0162808-8</t>
  </si>
  <si>
    <t>Vigilantes</t>
  </si>
  <si>
    <t>12X36</t>
  </si>
  <si>
    <t>CCT RS000837/2025</t>
  </si>
  <si>
    <t>Porto Alegre</t>
  </si>
  <si>
    <t>Custeio Compulsório para a Apredizagem - cláusula 93ª</t>
  </si>
  <si>
    <t>Vigilante Noturno</t>
  </si>
  <si>
    <t>Vigilante Diurno</t>
  </si>
  <si>
    <t>POA</t>
  </si>
  <si>
    <t>12x36</t>
  </si>
  <si>
    <t>V. Unit Mont A</t>
  </si>
  <si>
    <t>V. Unit Mont B</t>
  </si>
  <si>
    <t>V. Unit Mont C</t>
  </si>
  <si>
    <t>V. Mont A</t>
  </si>
  <si>
    <t>V. Mont B</t>
  </si>
  <si>
    <t>V. Mont C</t>
  </si>
  <si>
    <t>Montante 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</si>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</sst>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  <numFmt numFmtId="170" formatCode="&quot;R$&quot;\ #,##0.000"/>
  </numFmts>
  <fonts count="4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9"/>
      <color indexed="81"/>
      <name val="Segoe UI"/>
      <family val="2"/>
    </font>
    <font>
      <b/>
      <sz val="8"/>
      <color indexed="8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indexed="8"/>
      <name val="Calibri"/>
      <family val="2"/>
      <charset val="1"/>
    </font>
    <font>
      <b/>
      <sz val="9"/>
      <color indexed="81"/>
      <name val="Tahoma"/>
      <family val="2"/>
    </font>
    <font>
      <sz val="7.5"/>
      <color theme="1"/>
      <name val="Calibri"/>
      <family val="2"/>
      <scheme val="minor"/>
    </font>
    <font>
      <b/>
      <sz val="8"/>
      <color rgb="FF000000"/>
      <name val="Calibri"/>
      <family val="2"/>
      <charset val="1"/>
    </font>
    <font>
      <b/>
      <sz val="7"/>
      <color indexed="81"/>
      <name val="Tahoma"/>
      <family val="2"/>
    </font>
    <font>
      <b/>
      <u/>
      <sz val="7"/>
      <color indexed="81"/>
      <name val="Tahoma"/>
      <family val="2"/>
    </font>
    <font>
      <b/>
      <i/>
      <sz val="7"/>
      <color theme="1"/>
      <name val="Calibri"/>
      <family val="2"/>
      <scheme val="minor"/>
    </font>
    <font>
      <sz val="8"/>
      <color theme="1"/>
      <name val="Calibri"/>
      <family val="2"/>
    </font>
    <font>
      <b/>
      <sz val="6"/>
      <color theme="1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indexed="10"/>
      <name val="Calibri"/>
      <family val="2"/>
    </font>
    <font>
      <sz val="7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4" fillId="0" borderId="0" applyNumberFormat="0" applyFill="0" applyBorder="0" applyAlignment="0" applyProtection="0">
      <alignment vertical="top"/>
      <protection locked="0"/>
    </xf>
    <xf numFmtId="168" fontId="27" fillId="0" borderId="0" applyBorder="0" applyProtection="0"/>
    <xf numFmtId="0" fontId="31" fillId="0" borderId="0"/>
    <xf numFmtId="0" fontId="24" fillId="0" borderId="0"/>
    <xf numFmtId="9" fontId="27" fillId="0" borderId="0" applyBorder="0" applyProtection="0"/>
  </cellStyleXfs>
  <cellXfs count="226">
    <xf numFmtId="0" fontId="0" fillId="0" borderId="0" xfId="0"/>
    <xf numFmtId="164" fontId="3" fillId="0" borderId="0" xfId="0" applyNumberFormat="1" applyFont="1" applyAlignment="1">
      <alignment horizontal="center" vertical="center" wrapText="1"/>
    </xf>
    <xf numFmtId="0" fontId="4" fillId="0" borderId="0" xfId="1" applyFill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4" fontId="9" fillId="2" borderId="0" xfId="0" applyNumberFormat="1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9" fontId="1" fillId="8" borderId="1" xfId="0" quotePrefix="1" applyNumberFormat="1" applyFont="1" applyFill="1" applyBorder="1" applyAlignment="1">
      <alignment horizontal="center" vertical="center" wrapText="1"/>
    </xf>
    <xf numFmtId="2" fontId="1" fillId="3" borderId="1" xfId="0" quotePrefix="1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2" fontId="16" fillId="2" borderId="1" xfId="0" applyNumberFormat="1" applyFont="1" applyFill="1" applyBorder="1" applyAlignment="1">
      <alignment horizontal="center" vertical="center" wrapText="1"/>
    </xf>
    <xf numFmtId="0" fontId="16" fillId="2" borderId="1" xfId="0" quotePrefix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7" fontId="9" fillId="2" borderId="1" xfId="0" applyNumberFormat="1" applyFont="1" applyFill="1" applyBorder="1" applyAlignment="1">
      <alignment horizontal="center" vertical="center" wrapText="1"/>
    </xf>
    <xf numFmtId="0" fontId="21" fillId="0" borderId="0" xfId="0" quotePrefix="1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9" fillId="10" borderId="1" xfId="0" applyNumberFormat="1" applyFont="1" applyFill="1" applyBorder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0" fontId="27" fillId="0" borderId="0" xfId="2"/>
    <xf numFmtId="0" fontId="29" fillId="12" borderId="1" xfId="2" applyFont="1" applyFill="1" applyBorder="1" applyAlignment="1">
      <alignment horizontal="center" vertical="center" wrapText="1"/>
    </xf>
    <xf numFmtId="0" fontId="28" fillId="12" borderId="1" xfId="2" applyFont="1" applyFill="1" applyBorder="1" applyAlignment="1">
      <alignment horizontal="center" vertical="center" wrapText="1"/>
    </xf>
    <xf numFmtId="0" fontId="27" fillId="0" borderId="1" xfId="2" applyBorder="1"/>
    <xf numFmtId="0" fontId="27" fillId="0" borderId="1" xfId="2" applyBorder="1" applyAlignment="1">
      <alignment horizontal="center"/>
    </xf>
    <xf numFmtId="168" fontId="27" fillId="0" borderId="1" xfId="2" applyNumberFormat="1" applyBorder="1"/>
    <xf numFmtId="0" fontId="28" fillId="0" borderId="1" xfId="2" applyFont="1" applyBorder="1" applyAlignment="1">
      <alignment horizontal="center"/>
    </xf>
    <xf numFmtId="168" fontId="28" fillId="0" borderId="1" xfId="2" applyNumberFormat="1" applyFont="1" applyBorder="1"/>
    <xf numFmtId="0" fontId="30" fillId="0" borderId="0" xfId="2" applyFont="1"/>
    <xf numFmtId="0" fontId="33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26" fillId="1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26" fillId="13" borderId="11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4" fontId="26" fillId="0" borderId="0" xfId="0" applyNumberFormat="1" applyFont="1" applyAlignment="1">
      <alignment horizontal="center" vertical="center" wrapText="1"/>
    </xf>
    <xf numFmtId="2" fontId="26" fillId="13" borderId="11" xfId="0" applyNumberFormat="1" applyFont="1" applyFill="1" applyBorder="1" applyAlignment="1">
      <alignment horizontal="center" vertical="center" wrapText="1"/>
    </xf>
    <xf numFmtId="4" fontId="26" fillId="13" borderId="1" xfId="0" applyNumberFormat="1" applyFont="1" applyFill="1" applyBorder="1" applyAlignment="1">
      <alignment horizontal="center"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49" fontId="9" fillId="15" borderId="5" xfId="0" applyNumberFormat="1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70" fontId="26" fillId="13" borderId="1" xfId="0" applyNumberFormat="1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9" fillId="12" borderId="11" xfId="2" applyFont="1" applyFill="1" applyBorder="1" applyAlignment="1">
      <alignment horizontal="center" vertical="center" wrapText="1"/>
    </xf>
    <xf numFmtId="166" fontId="27" fillId="0" borderId="1" xfId="2" applyNumberFormat="1" applyBorder="1"/>
    <xf numFmtId="166" fontId="27" fillId="0" borderId="0" xfId="2" applyNumberFormat="1"/>
    <xf numFmtId="0" fontId="1" fillId="9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6" fillId="0" borderId="1" xfId="0" quotePrefix="1" applyFont="1" applyBorder="1" applyAlignment="1">
      <alignment horizontal="left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  <xf numFmtId="0" fontId="39" fillId="15" borderId="1" xfId="0" quotePrefix="1" applyFont="1" applyFill="1" applyBorder="1" applyAlignment="1">
      <alignment horizontal="left" vertical="center" wrapText="1"/>
    </xf>
    <xf numFmtId="0" fontId="20" fillId="15" borderId="1" xfId="0" quotePrefix="1" applyFont="1" applyFill="1" applyBorder="1" applyAlignment="1">
      <alignment horizontal="left" vertical="center" wrapText="1"/>
    </xf>
    <xf numFmtId="10" fontId="1" fillId="15" borderId="1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10" fontId="3" fillId="15" borderId="5" xfId="0" applyNumberFormat="1" applyFont="1" applyFill="1" applyBorder="1" applyAlignment="1">
      <alignment horizontal="center" vertical="center" wrapText="1"/>
    </xf>
    <xf numFmtId="10" fontId="3" fillId="15" borderId="7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center" vertical="center" wrapText="1"/>
    </xf>
    <xf numFmtId="0" fontId="20" fillId="2" borderId="11" xfId="0" quotePrefix="1" applyFont="1" applyFill="1" applyBorder="1" applyAlignment="1">
      <alignment horizontal="center" vertical="center" wrapText="1"/>
    </xf>
    <xf numFmtId="0" fontId="20" fillId="2" borderId="2" xfId="0" quotePrefix="1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6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" fillId="8" borderId="1" xfId="0" quotePrefix="1" applyFont="1" applyFill="1" applyBorder="1" applyAlignment="1">
      <alignment horizontal="center" vertical="center" wrapText="1"/>
    </xf>
    <xf numFmtId="0" fontId="16" fillId="2" borderId="1" xfId="0" quotePrefix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vertical="top" wrapText="1"/>
    </xf>
    <xf numFmtId="0" fontId="1" fillId="8" borderId="6" xfId="0" quotePrefix="1" applyFont="1" applyFill="1" applyBorder="1" applyAlignment="1">
      <alignment vertical="top" wrapText="1"/>
    </xf>
    <xf numFmtId="0" fontId="1" fillId="8" borderId="7" xfId="0" quotePrefix="1" applyFont="1" applyFill="1" applyBorder="1" applyAlignment="1">
      <alignment vertical="top" wrapText="1"/>
    </xf>
    <xf numFmtId="0" fontId="17" fillId="0" borderId="9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justify" vertical="center" wrapText="1"/>
    </xf>
    <xf numFmtId="0" fontId="26" fillId="14" borderId="5" xfId="0" applyFont="1" applyFill="1" applyBorder="1" applyAlignment="1">
      <alignment horizontal="left" vertical="center" wrapText="1"/>
    </xf>
    <xf numFmtId="0" fontId="26" fillId="14" borderId="6" xfId="0" applyFont="1" applyFill="1" applyBorder="1" applyAlignment="1">
      <alignment horizontal="left" vertical="center" wrapText="1"/>
    </xf>
    <xf numFmtId="0" fontId="26" fillId="14" borderId="7" xfId="0" applyFont="1" applyFill="1" applyBorder="1" applyAlignment="1">
      <alignment horizontal="left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43" fillId="15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1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33" fillId="4" borderId="3" xfId="0" applyFont="1" applyFill="1" applyBorder="1" applyAlignment="1">
      <alignment horizontal="center" vertical="center" wrapText="1"/>
    </xf>
    <xf numFmtId="0" fontId="33" fillId="4" borderId="12" xfId="0" applyFont="1" applyFill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4" borderId="1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22" xfId="0" quotePrefix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26" fillId="13" borderId="1" xfId="0" applyFont="1" applyFill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33" fillId="4" borderId="5" xfId="0" applyFont="1" applyFill="1" applyBorder="1" applyAlignment="1">
      <alignment horizontal="center" vertical="center" wrapText="1"/>
    </xf>
    <xf numFmtId="0" fontId="33" fillId="4" borderId="7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40" fillId="15" borderId="16" xfId="0" applyFont="1" applyFill="1" applyBorder="1" applyAlignment="1">
      <alignment horizontal="justify" vertical="center" wrapText="1"/>
    </xf>
    <xf numFmtId="0" fontId="41" fillId="15" borderId="17" xfId="0" applyFont="1" applyFill="1" applyBorder="1" applyAlignment="1">
      <alignment horizontal="justify" vertical="center" wrapText="1"/>
    </xf>
    <xf numFmtId="0" fontId="41" fillId="15" borderId="18" xfId="0" applyFont="1" applyFill="1" applyBorder="1" applyAlignment="1">
      <alignment horizontal="justify" vertical="center" wrapText="1"/>
    </xf>
    <xf numFmtId="0" fontId="26" fillId="0" borderId="1" xfId="0" applyFont="1" applyBorder="1" applyAlignment="1">
      <alignment horizontal="left" vertical="center" wrapText="1"/>
    </xf>
    <xf numFmtId="0" fontId="28" fillId="11" borderId="1" xfId="2" applyFont="1" applyFill="1" applyBorder="1" applyAlignment="1">
      <alignment horizontal="center"/>
    </xf>
    <xf numFmtId="0" fontId="28" fillId="0" borderId="5" xfId="2" applyFont="1" applyBorder="1" applyAlignment="1">
      <alignment horizontal="right"/>
    </xf>
    <xf numFmtId="0" fontId="28" fillId="0" borderId="6" xfId="2" applyFont="1" applyBorder="1" applyAlignment="1">
      <alignment horizontal="right"/>
    </xf>
    <xf numFmtId="0" fontId="28" fillId="0" borderId="7" xfId="2" applyFont="1" applyBorder="1" applyAlignment="1">
      <alignment horizontal="right"/>
    </xf>
  </cellXfs>
  <cellStyles count="8">
    <cellStyle name="Hiperlink" xfId="1" builtinId="8"/>
    <cellStyle name="Hiperlink 2" xfId="3" xr:uid="{00000000-0005-0000-0000-000001000000}"/>
    <cellStyle name="Moeda 2" xfId="4" xr:uid="{00000000-0005-0000-0000-000002000000}"/>
    <cellStyle name="Normal" xfId="0" builtinId="0"/>
    <cellStyle name="Normal 2" xfId="2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7"/>
  <sheetViews>
    <sheetView view="pageBreakPreview" zoomScale="130" zoomScaleNormal="130" zoomScaleSheetLayoutView="130" workbookViewId="0">
      <selection sqref="A1:I1"/>
    </sheetView>
  </sheetViews>
  <sheetFormatPr defaultColWidth="9.140625" defaultRowHeight="11.25" x14ac:dyDescent="0.25"/>
  <cols>
    <col min="1" max="1" width="2.85546875" style="3" customWidth="1"/>
    <col min="2" max="2" width="14.28515625" style="3" customWidth="1"/>
    <col min="3" max="3" width="14.42578125" style="3" customWidth="1"/>
    <col min="4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39" t="s">
        <v>191</v>
      </c>
      <c r="B1" s="139"/>
      <c r="C1" s="139"/>
      <c r="D1" s="139"/>
      <c r="E1" s="139"/>
      <c r="F1" s="139"/>
      <c r="G1" s="139"/>
      <c r="H1" s="139"/>
      <c r="I1" s="139"/>
      <c r="K1" s="2"/>
    </row>
    <row r="2" spans="1:11" ht="22.5" customHeight="1" x14ac:dyDescent="0.25">
      <c r="A2" s="139" t="s">
        <v>0</v>
      </c>
      <c r="B2" s="139"/>
      <c r="C2" s="173" t="s">
        <v>199</v>
      </c>
      <c r="D2" s="173"/>
      <c r="E2" s="174" t="s">
        <v>189</v>
      </c>
      <c r="F2" s="174"/>
      <c r="G2" s="174"/>
      <c r="H2" s="174"/>
      <c r="I2" s="174"/>
    </row>
    <row r="3" spans="1:11" ht="11.25" customHeight="1" x14ac:dyDescent="0.25">
      <c r="A3" s="139" t="s">
        <v>1</v>
      </c>
      <c r="B3" s="139"/>
      <c r="C3" s="4"/>
      <c r="D3" s="5"/>
      <c r="E3" s="6" t="s">
        <v>2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98" t="s">
        <v>159</v>
      </c>
      <c r="B5" s="99"/>
      <c r="C5" s="100"/>
      <c r="D5" s="189" t="s">
        <v>200</v>
      </c>
      <c r="E5" s="190"/>
      <c r="F5" s="191"/>
      <c r="G5" s="192" t="str">
        <f>IF(D6="12x36","Regime de trabalho:","Quantidade de HORAS/MÊS")</f>
        <v>Regime de trabalho:</v>
      </c>
      <c r="H5" s="193"/>
      <c r="I5" s="196" t="str">
        <f>IF(D6="12x36",D6,5*D6)</f>
        <v>12X36</v>
      </c>
    </row>
    <row r="6" spans="1:11" ht="18.75" customHeight="1" x14ac:dyDescent="0.25">
      <c r="A6" s="158" t="str">
        <f>IF(D6="12x36","Regime de trabalho:","Regime de trabalho (horas semanais):")</f>
        <v>Regime de trabalho:</v>
      </c>
      <c r="B6" s="159"/>
      <c r="C6" s="160"/>
      <c r="D6" s="158" t="s">
        <v>201</v>
      </c>
      <c r="E6" s="159"/>
      <c r="F6" s="160"/>
      <c r="G6" s="194"/>
      <c r="H6" s="195"/>
      <c r="I6" s="197"/>
    </row>
    <row r="7" spans="1:11" ht="22.5" customHeight="1" x14ac:dyDescent="0.25">
      <c r="A7" s="158" t="s">
        <v>166</v>
      </c>
      <c r="B7" s="159"/>
      <c r="C7" s="160"/>
      <c r="D7" s="98" t="s">
        <v>202</v>
      </c>
      <c r="E7" s="99"/>
      <c r="F7" s="100"/>
      <c r="G7" s="198" t="s">
        <v>160</v>
      </c>
      <c r="H7" s="199"/>
      <c r="I7" s="186" t="s">
        <v>145</v>
      </c>
    </row>
    <row r="8" spans="1:11" ht="22.5" customHeight="1" x14ac:dyDescent="0.25">
      <c r="A8" s="158" t="s">
        <v>167</v>
      </c>
      <c r="B8" s="159"/>
      <c r="C8" s="160"/>
      <c r="D8" s="98" t="s">
        <v>202</v>
      </c>
      <c r="E8" s="99"/>
      <c r="F8" s="100"/>
      <c r="G8" s="200"/>
      <c r="H8" s="201"/>
      <c r="I8" s="187"/>
    </row>
    <row r="9" spans="1:11" ht="18.75" customHeight="1" x14ac:dyDescent="0.25">
      <c r="A9" s="202" t="s">
        <v>134</v>
      </c>
      <c r="B9" s="202"/>
      <c r="C9" s="202"/>
      <c r="D9" s="158" t="s">
        <v>203</v>
      </c>
      <c r="E9" s="159"/>
      <c r="F9" s="160"/>
      <c r="G9" s="177" t="s">
        <v>161</v>
      </c>
      <c r="H9" s="177"/>
      <c r="I9" s="8">
        <v>0.3</v>
      </c>
    </row>
    <row r="10" spans="1:11" ht="32.25" customHeight="1" x14ac:dyDescent="0.25">
      <c r="A10" s="178" t="s">
        <v>131</v>
      </c>
      <c r="B10" s="179"/>
      <c r="C10" s="179"/>
      <c r="D10" s="179"/>
      <c r="E10" s="179"/>
      <c r="F10" s="179"/>
      <c r="G10" s="70" t="s">
        <v>168</v>
      </c>
      <c r="H10" s="7">
        <v>220</v>
      </c>
      <c r="I10" s="72">
        <v>2105.4</v>
      </c>
    </row>
    <row r="11" spans="1:11" ht="15" customHeight="1" x14ac:dyDescent="0.25">
      <c r="A11" s="180" t="s">
        <v>165</v>
      </c>
      <c r="B11" s="181"/>
      <c r="C11" s="181"/>
      <c r="D11" s="181"/>
      <c r="E11" s="181"/>
      <c r="F11" s="181"/>
      <c r="G11" s="7"/>
      <c r="H11" s="7" t="s">
        <v>3</v>
      </c>
      <c r="I11" s="84">
        <v>2.5000000000000001E-2</v>
      </c>
    </row>
    <row r="12" spans="1:11" ht="24.75" customHeight="1" x14ac:dyDescent="0.25">
      <c r="A12" s="180" t="s">
        <v>181</v>
      </c>
      <c r="B12" s="181"/>
      <c r="C12" s="181"/>
      <c r="D12" s="181"/>
      <c r="E12" s="181"/>
      <c r="F12" s="188"/>
      <c r="G12" s="7" t="s">
        <v>4</v>
      </c>
      <c r="H12" s="7" t="s">
        <v>141</v>
      </c>
      <c r="I12" s="72">
        <v>1.59</v>
      </c>
    </row>
    <row r="13" spans="1:11" ht="15.75" customHeight="1" x14ac:dyDescent="0.25">
      <c r="A13" s="180" t="s">
        <v>190</v>
      </c>
      <c r="B13" s="181"/>
      <c r="C13" s="181"/>
      <c r="D13" s="181"/>
      <c r="E13" s="181"/>
      <c r="F13" s="188"/>
      <c r="G13" s="7"/>
      <c r="H13" s="7"/>
      <c r="I13" s="73">
        <v>15</v>
      </c>
    </row>
    <row r="14" spans="1:11" ht="15" customHeight="1" x14ac:dyDescent="0.25">
      <c r="A14" s="176" t="s">
        <v>132</v>
      </c>
      <c r="B14" s="182"/>
      <c r="C14" s="182"/>
      <c r="D14" s="182"/>
      <c r="E14" s="182"/>
      <c r="F14" s="182"/>
      <c r="G14" s="185" t="s">
        <v>4</v>
      </c>
      <c r="H14" s="7" t="s">
        <v>5</v>
      </c>
      <c r="I14" s="72">
        <v>5</v>
      </c>
    </row>
    <row r="15" spans="1:11" x14ac:dyDescent="0.25">
      <c r="A15" s="183"/>
      <c r="B15" s="184"/>
      <c r="C15" s="184"/>
      <c r="D15" s="184"/>
      <c r="E15" s="184"/>
      <c r="F15" s="184"/>
      <c r="G15" s="185"/>
      <c r="H15" s="7" t="s">
        <v>6</v>
      </c>
      <c r="I15" s="73">
        <f>I13</f>
        <v>15</v>
      </c>
    </row>
    <row r="16" spans="1:11" x14ac:dyDescent="0.25">
      <c r="A16" s="178"/>
      <c r="B16" s="179"/>
      <c r="C16" s="179"/>
      <c r="D16" s="179"/>
      <c r="E16" s="179"/>
      <c r="F16" s="179"/>
      <c r="G16" s="185"/>
      <c r="H16" s="7" t="s">
        <v>7</v>
      </c>
      <c r="I16" s="8">
        <v>0.06</v>
      </c>
    </row>
    <row r="17" spans="1:9" ht="11.25" customHeight="1" x14ac:dyDescent="0.25">
      <c r="A17" s="161" t="s">
        <v>162</v>
      </c>
      <c r="B17" s="161"/>
      <c r="C17" s="161"/>
      <c r="D17" s="161"/>
      <c r="E17" s="161"/>
      <c r="F17" s="180"/>
      <c r="G17" s="185" t="s">
        <v>4</v>
      </c>
      <c r="H17" s="7" t="s">
        <v>5</v>
      </c>
      <c r="I17" s="72">
        <v>30</v>
      </c>
    </row>
    <row r="18" spans="1:9" ht="11.25" customHeight="1" x14ac:dyDescent="0.25">
      <c r="A18" s="161"/>
      <c r="B18" s="161"/>
      <c r="C18" s="161"/>
      <c r="D18" s="161"/>
      <c r="E18" s="161"/>
      <c r="F18" s="180"/>
      <c r="G18" s="185"/>
      <c r="H18" s="7" t="s">
        <v>6</v>
      </c>
      <c r="I18" s="73">
        <f>I13</f>
        <v>15</v>
      </c>
    </row>
    <row r="19" spans="1:9" x14ac:dyDescent="0.25">
      <c r="A19" s="161"/>
      <c r="B19" s="161"/>
      <c r="C19" s="161"/>
      <c r="D19" s="161"/>
      <c r="E19" s="161"/>
      <c r="F19" s="180"/>
      <c r="G19" s="185"/>
      <c r="H19" s="7" t="s">
        <v>7</v>
      </c>
      <c r="I19" s="8">
        <v>0.2</v>
      </c>
    </row>
    <row r="20" spans="1:9" x14ac:dyDescent="0.25">
      <c r="A20" s="161" t="s">
        <v>163</v>
      </c>
      <c r="B20" s="161"/>
      <c r="C20" s="161"/>
      <c r="D20" s="161"/>
      <c r="E20" s="161"/>
      <c r="F20" s="180"/>
      <c r="G20" s="185" t="s">
        <v>4</v>
      </c>
      <c r="H20" s="7" t="s">
        <v>5</v>
      </c>
      <c r="I20" s="72">
        <v>0</v>
      </c>
    </row>
    <row r="21" spans="1:9" x14ac:dyDescent="0.25">
      <c r="A21" s="161"/>
      <c r="B21" s="161"/>
      <c r="C21" s="161"/>
      <c r="D21" s="161"/>
      <c r="E21" s="161"/>
      <c r="F21" s="180"/>
      <c r="G21" s="185"/>
      <c r="H21" s="7" t="s">
        <v>6</v>
      </c>
      <c r="I21" s="73">
        <f>I13</f>
        <v>15</v>
      </c>
    </row>
    <row r="22" spans="1:9" x14ac:dyDescent="0.25">
      <c r="A22" s="161"/>
      <c r="B22" s="161"/>
      <c r="C22" s="161"/>
      <c r="D22" s="161"/>
      <c r="E22" s="161"/>
      <c r="F22" s="180"/>
      <c r="G22" s="185"/>
      <c r="H22" s="7" t="s">
        <v>7</v>
      </c>
      <c r="I22" s="8">
        <v>0</v>
      </c>
    </row>
    <row r="23" spans="1:9" ht="36" customHeight="1" x14ac:dyDescent="0.25">
      <c r="A23" s="175" t="s">
        <v>204</v>
      </c>
      <c r="B23" s="175"/>
      <c r="C23" s="175"/>
      <c r="D23" s="175"/>
      <c r="E23" s="175"/>
      <c r="F23" s="176"/>
      <c r="G23" s="71" t="s">
        <v>4</v>
      </c>
      <c r="H23" s="71" t="s">
        <v>146</v>
      </c>
      <c r="I23" s="75">
        <v>90.04</v>
      </c>
    </row>
    <row r="24" spans="1:9" ht="22.5" x14ac:dyDescent="0.25">
      <c r="A24" s="180" t="s">
        <v>144</v>
      </c>
      <c r="B24" s="181"/>
      <c r="C24" s="181"/>
      <c r="D24" s="181"/>
      <c r="E24" s="181"/>
      <c r="F24" s="188"/>
      <c r="G24" s="71"/>
      <c r="H24" s="71" t="s">
        <v>136</v>
      </c>
      <c r="I24" s="74"/>
    </row>
    <row r="25" spans="1:9" ht="34.5" customHeight="1" x14ac:dyDescent="0.25">
      <c r="A25" s="161" t="s">
        <v>180</v>
      </c>
      <c r="B25" s="161"/>
      <c r="C25" s="161"/>
      <c r="D25" s="161"/>
      <c r="E25" s="161"/>
      <c r="F25" s="161"/>
      <c r="G25" s="7"/>
      <c r="H25" s="7" t="s">
        <v>141</v>
      </c>
      <c r="I25" s="72" t="s">
        <v>145</v>
      </c>
    </row>
    <row r="26" spans="1:9" ht="15" customHeight="1" x14ac:dyDescent="0.25">
      <c r="A26" s="176" t="s">
        <v>195</v>
      </c>
      <c r="B26" s="182"/>
      <c r="C26" s="182"/>
      <c r="D26" s="182"/>
      <c r="E26" s="182"/>
      <c r="F26" s="203"/>
      <c r="G26" s="71"/>
      <c r="H26" s="90" t="s">
        <v>147</v>
      </c>
      <c r="I26" s="77" t="s">
        <v>145</v>
      </c>
    </row>
    <row r="27" spans="1:9" ht="15" customHeight="1" x14ac:dyDescent="0.25">
      <c r="A27" s="178"/>
      <c r="B27" s="179"/>
      <c r="C27" s="179"/>
      <c r="D27" s="179"/>
      <c r="E27" s="179"/>
      <c r="F27" s="204"/>
      <c r="G27" s="71"/>
      <c r="H27" s="91" t="s">
        <v>193</v>
      </c>
      <c r="I27" s="8" t="s">
        <v>145</v>
      </c>
    </row>
    <row r="28" spans="1:9" ht="26.25" customHeight="1" x14ac:dyDescent="0.25">
      <c r="A28" s="180" t="s">
        <v>197</v>
      </c>
      <c r="B28" s="181"/>
      <c r="C28" s="181"/>
      <c r="D28" s="181"/>
      <c r="E28" s="181"/>
      <c r="F28" s="188"/>
      <c r="G28" s="71"/>
      <c r="H28" s="76" t="s">
        <v>147</v>
      </c>
      <c r="I28" s="77">
        <v>15</v>
      </c>
    </row>
    <row r="29" spans="1:9" ht="35.25" customHeight="1" x14ac:dyDescent="0.25">
      <c r="A29" s="161" t="s">
        <v>158</v>
      </c>
      <c r="B29" s="161"/>
      <c r="C29" s="161"/>
      <c r="D29" s="161"/>
      <c r="E29" s="161"/>
      <c r="F29" s="161"/>
      <c r="G29" s="7"/>
      <c r="H29" s="70" t="s">
        <v>136</v>
      </c>
      <c r="I29" s="8">
        <v>0.2</v>
      </c>
    </row>
    <row r="30" spans="1:9" ht="5.0999999999999996" customHeight="1" x14ac:dyDescent="0.25"/>
    <row r="31" spans="1:9" ht="17.25" customHeight="1" x14ac:dyDescent="0.25">
      <c r="A31" s="97" t="s">
        <v>8</v>
      </c>
      <c r="B31" s="97"/>
      <c r="C31" s="97"/>
      <c r="D31" s="97"/>
      <c r="E31" s="97"/>
      <c r="F31" s="97"/>
      <c r="G31" s="97"/>
      <c r="H31" s="97"/>
      <c r="I31" s="97"/>
    </row>
    <row r="32" spans="1:9" ht="33.75" x14ac:dyDescent="0.25">
      <c r="A32" s="9" t="s">
        <v>9</v>
      </c>
      <c r="B32" s="148" t="s">
        <v>10</v>
      </c>
      <c r="C32" s="149"/>
      <c r="D32" s="149"/>
      <c r="E32" s="149"/>
      <c r="F32" s="149"/>
      <c r="G32" s="150"/>
      <c r="H32" s="9" t="s">
        <v>11</v>
      </c>
      <c r="I32" s="9" t="s">
        <v>12</v>
      </c>
    </row>
    <row r="33" spans="1:10" ht="15" customHeight="1" x14ac:dyDescent="0.25">
      <c r="A33" s="10">
        <v>1</v>
      </c>
      <c r="B33" s="98" t="s">
        <v>13</v>
      </c>
      <c r="C33" s="99"/>
      <c r="D33" s="99"/>
      <c r="E33" s="99"/>
      <c r="F33" s="99"/>
      <c r="G33" s="100"/>
      <c r="H33" s="11">
        <f t="shared" ref="H33:H43" si="0">I33/$I$44</f>
        <v>0.75891437828064479</v>
      </c>
      <c r="I33" s="12">
        <f>IF(D6="12x36",I10,I10/H10*I5)</f>
        <v>2105.4</v>
      </c>
    </row>
    <row r="34" spans="1:10" ht="15" customHeight="1" x14ac:dyDescent="0.25">
      <c r="A34" s="10">
        <f>A33+1</f>
        <v>2</v>
      </c>
      <c r="B34" s="98" t="s">
        <v>192</v>
      </c>
      <c r="C34" s="99"/>
      <c r="D34" s="99"/>
      <c r="E34" s="99"/>
      <c r="F34" s="99"/>
      <c r="G34" s="100"/>
      <c r="H34" s="11">
        <f t="shared" si="0"/>
        <v>0.23076923076923075</v>
      </c>
      <c r="I34" s="12">
        <f>IF(I9=30%,(I33+I41+I42)*I9,0)</f>
        <v>640.20600000000002</v>
      </c>
    </row>
    <row r="35" spans="1:10" ht="15" customHeight="1" x14ac:dyDescent="0.25">
      <c r="A35" s="10">
        <f t="shared" ref="A35:A43" si="1">A34+1</f>
        <v>3</v>
      </c>
      <c r="B35" s="101" t="s">
        <v>142</v>
      </c>
      <c r="C35" s="101"/>
      <c r="D35" s="101"/>
      <c r="E35" s="101"/>
      <c r="F35" s="101"/>
      <c r="G35" s="101"/>
      <c r="H35" s="11">
        <f t="shared" si="0"/>
        <v>0</v>
      </c>
      <c r="I35" s="12">
        <f>IF(I7=10%,I25*I7,0)</f>
        <v>0</v>
      </c>
    </row>
    <row r="36" spans="1:10" ht="15" customHeight="1" x14ac:dyDescent="0.25">
      <c r="A36" s="10">
        <f t="shared" si="1"/>
        <v>4</v>
      </c>
      <c r="B36" s="101" t="s">
        <v>137</v>
      </c>
      <c r="C36" s="101"/>
      <c r="D36" s="101"/>
      <c r="E36" s="101"/>
      <c r="F36" s="101"/>
      <c r="G36" s="101"/>
      <c r="H36" s="11">
        <f t="shared" si="0"/>
        <v>0</v>
      </c>
      <c r="I36" s="12">
        <f>IF(I7=20%,I25*I7,0)</f>
        <v>0</v>
      </c>
    </row>
    <row r="37" spans="1:10" ht="15" customHeight="1" x14ac:dyDescent="0.25">
      <c r="A37" s="10">
        <f t="shared" si="1"/>
        <v>5</v>
      </c>
      <c r="B37" s="101" t="s">
        <v>138</v>
      </c>
      <c r="C37" s="101"/>
      <c r="D37" s="101"/>
      <c r="E37" s="101"/>
      <c r="F37" s="101"/>
      <c r="G37" s="101"/>
      <c r="H37" s="11">
        <f t="shared" si="0"/>
        <v>0</v>
      </c>
      <c r="I37" s="12">
        <f>IF(I7=40%,I25*I7,0)</f>
        <v>0</v>
      </c>
    </row>
    <row r="38" spans="1:10" ht="15" customHeight="1" x14ac:dyDescent="0.25">
      <c r="A38" s="10">
        <f t="shared" si="1"/>
        <v>6</v>
      </c>
      <c r="B38" s="98" t="s">
        <v>169</v>
      </c>
      <c r="C38" s="99"/>
      <c r="D38" s="99"/>
      <c r="E38" s="99"/>
      <c r="F38" s="99"/>
      <c r="G38" s="100"/>
      <c r="H38" s="11">
        <f t="shared" si="0"/>
        <v>0</v>
      </c>
      <c r="I38" s="12">
        <f>IF(I24="Não aplicável",0,I33*I24)</f>
        <v>0</v>
      </c>
    </row>
    <row r="39" spans="1:10" ht="15" customHeight="1" x14ac:dyDescent="0.25">
      <c r="A39" s="10">
        <f t="shared" si="1"/>
        <v>7</v>
      </c>
      <c r="B39" s="98" t="s">
        <v>194</v>
      </c>
      <c r="C39" s="99"/>
      <c r="D39" s="99"/>
      <c r="E39" s="99"/>
      <c r="F39" s="99"/>
      <c r="G39" s="100"/>
      <c r="H39" s="11">
        <f t="shared" si="0"/>
        <v>0</v>
      </c>
      <c r="I39" s="12">
        <f>IF(I26="Não aplicável",0,(I33+I34+I35+I36+I37+I38+I43)/I5*I26*(1+I27))</f>
        <v>0</v>
      </c>
    </row>
    <row r="40" spans="1:10" ht="23.25" customHeight="1" x14ac:dyDescent="0.25">
      <c r="A40" s="10">
        <f t="shared" si="1"/>
        <v>8</v>
      </c>
      <c r="B40" s="98" t="s">
        <v>196</v>
      </c>
      <c r="C40" s="99"/>
      <c r="D40" s="99"/>
      <c r="E40" s="99"/>
      <c r="F40" s="99"/>
      <c r="G40" s="100"/>
      <c r="H40" s="11">
        <f t="shared" si="0"/>
        <v>0</v>
      </c>
      <c r="I40" s="12">
        <f>IF(I26="Não aplicável",0,I26/I13*5*(I10/H10*(1+I27)))</f>
        <v>0</v>
      </c>
    </row>
    <row r="41" spans="1:10" ht="15" customHeight="1" x14ac:dyDescent="0.25">
      <c r="A41" s="10">
        <f t="shared" si="1"/>
        <v>9</v>
      </c>
      <c r="B41" s="98" t="s">
        <v>182</v>
      </c>
      <c r="C41" s="99"/>
      <c r="D41" s="99"/>
      <c r="E41" s="99"/>
      <c r="F41" s="99"/>
      <c r="G41" s="100"/>
      <c r="H41" s="11">
        <f t="shared" si="0"/>
        <v>8.5969924584370569E-3</v>
      </c>
      <c r="I41" s="12">
        <f>I12*I13</f>
        <v>23.85</v>
      </c>
    </row>
    <row r="42" spans="1:10" ht="15" customHeight="1" x14ac:dyDescent="0.25">
      <c r="A42" s="10">
        <f t="shared" si="1"/>
        <v>10</v>
      </c>
      <c r="B42" s="98" t="s">
        <v>183</v>
      </c>
      <c r="C42" s="99"/>
      <c r="D42" s="99"/>
      <c r="E42" s="99"/>
      <c r="F42" s="99"/>
      <c r="G42" s="100"/>
      <c r="H42" s="11">
        <f t="shared" si="0"/>
        <v>1.7193984916874113E-3</v>
      </c>
      <c r="I42" s="12">
        <f>I41*20%</f>
        <v>4.7700000000000005</v>
      </c>
    </row>
    <row r="43" spans="1:10" ht="15" customHeight="1" x14ac:dyDescent="0.25">
      <c r="A43" s="10">
        <f t="shared" si="1"/>
        <v>11</v>
      </c>
      <c r="B43" s="170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3" s="171"/>
      <c r="D43" s="171"/>
      <c r="E43" s="171"/>
      <c r="F43" s="171"/>
      <c r="G43" s="172"/>
      <c r="H43" s="11">
        <f t="shared" si="0"/>
        <v>0</v>
      </c>
      <c r="I43" s="60">
        <v>0</v>
      </c>
    </row>
    <row r="44" spans="1:10" s="16" customFormat="1" ht="15" customHeight="1" x14ac:dyDescent="0.25">
      <c r="A44" s="142" t="s">
        <v>15</v>
      </c>
      <c r="B44" s="143"/>
      <c r="C44" s="143"/>
      <c r="D44" s="143"/>
      <c r="E44" s="143"/>
      <c r="F44" s="143"/>
      <c r="G44" s="144"/>
      <c r="H44" s="14">
        <f>SUM(H33:H43)</f>
        <v>1</v>
      </c>
      <c r="I44" s="48">
        <f>SUM(I33:I43)</f>
        <v>2774.2260000000001</v>
      </c>
      <c r="J44" s="15"/>
    </row>
    <row r="45" spans="1:10" ht="5.0999999999999996" customHeight="1" x14ac:dyDescent="0.25"/>
    <row r="46" spans="1:10" ht="33.75" customHeight="1" x14ac:dyDescent="0.25">
      <c r="A46" s="9" t="s">
        <v>16</v>
      </c>
      <c r="B46" s="148" t="s">
        <v>17</v>
      </c>
      <c r="C46" s="149"/>
      <c r="D46" s="149"/>
      <c r="E46" s="149"/>
      <c r="F46" s="149"/>
      <c r="G46" s="150"/>
      <c r="H46" s="9" t="s">
        <v>11</v>
      </c>
      <c r="I46" s="9" t="s">
        <v>12</v>
      </c>
    </row>
    <row r="47" spans="1:10" ht="15" customHeight="1" x14ac:dyDescent="0.25">
      <c r="A47" s="10">
        <v>1</v>
      </c>
      <c r="B47" s="98" t="s">
        <v>18</v>
      </c>
      <c r="C47" s="99"/>
      <c r="D47" s="99"/>
      <c r="E47" s="99"/>
      <c r="F47" s="99"/>
      <c r="G47" s="100"/>
      <c r="H47" s="11">
        <v>0.2</v>
      </c>
      <c r="I47" s="12">
        <f>$I$44*H47</f>
        <v>554.84520000000009</v>
      </c>
    </row>
    <row r="48" spans="1:10" ht="15" customHeight="1" x14ac:dyDescent="0.25">
      <c r="A48" s="10">
        <v>2</v>
      </c>
      <c r="B48" s="98" t="s">
        <v>19</v>
      </c>
      <c r="C48" s="99"/>
      <c r="D48" s="99"/>
      <c r="E48" s="99"/>
      <c r="F48" s="99"/>
      <c r="G48" s="100"/>
      <c r="H48" s="11">
        <v>1.4999999999999999E-2</v>
      </c>
      <c r="I48" s="12">
        <f t="shared" ref="I48:I54" si="2">$I$44*H48</f>
        <v>41.613390000000003</v>
      </c>
    </row>
    <row r="49" spans="1:16" ht="15" customHeight="1" x14ac:dyDescent="0.25">
      <c r="A49" s="10">
        <v>3</v>
      </c>
      <c r="B49" s="98" t="s">
        <v>20</v>
      </c>
      <c r="C49" s="99"/>
      <c r="D49" s="99"/>
      <c r="E49" s="99"/>
      <c r="F49" s="99"/>
      <c r="G49" s="100"/>
      <c r="H49" s="11">
        <v>0.01</v>
      </c>
      <c r="I49" s="12">
        <f t="shared" si="2"/>
        <v>27.742260000000002</v>
      </c>
    </row>
    <row r="50" spans="1:16" ht="15" customHeight="1" x14ac:dyDescent="0.25">
      <c r="A50" s="10">
        <v>4</v>
      </c>
      <c r="B50" s="98" t="s">
        <v>21</v>
      </c>
      <c r="C50" s="99"/>
      <c r="D50" s="99"/>
      <c r="E50" s="99"/>
      <c r="F50" s="99"/>
      <c r="G50" s="100"/>
      <c r="H50" s="11">
        <v>2E-3</v>
      </c>
      <c r="I50" s="12">
        <f>$I$44*H50</f>
        <v>5.5484520000000002</v>
      </c>
    </row>
    <row r="51" spans="1:16" ht="15" customHeight="1" x14ac:dyDescent="0.25">
      <c r="A51" s="10">
        <v>5</v>
      </c>
      <c r="B51" s="98" t="s">
        <v>22</v>
      </c>
      <c r="C51" s="99"/>
      <c r="D51" s="99"/>
      <c r="E51" s="99"/>
      <c r="F51" s="99"/>
      <c r="G51" s="100"/>
      <c r="H51" s="11">
        <v>2.5000000000000001E-2</v>
      </c>
      <c r="I51" s="12">
        <f t="shared" si="2"/>
        <v>69.355650000000011</v>
      </c>
    </row>
    <row r="52" spans="1:16" ht="15" customHeight="1" x14ac:dyDescent="0.25">
      <c r="A52" s="10">
        <v>6</v>
      </c>
      <c r="B52" s="98" t="s">
        <v>23</v>
      </c>
      <c r="C52" s="99"/>
      <c r="D52" s="99"/>
      <c r="E52" s="99"/>
      <c r="F52" s="99"/>
      <c r="G52" s="100"/>
      <c r="H52" s="11">
        <v>0.08</v>
      </c>
      <c r="I52" s="12">
        <f>$I$44*H52</f>
        <v>221.93808000000001</v>
      </c>
    </row>
    <row r="53" spans="1:16" ht="15" customHeight="1" x14ac:dyDescent="0.25">
      <c r="A53" s="10">
        <v>7</v>
      </c>
      <c r="B53" s="98" t="s">
        <v>125</v>
      </c>
      <c r="C53" s="99"/>
      <c r="D53" s="99"/>
      <c r="E53" s="99"/>
      <c r="F53" s="99"/>
      <c r="G53" s="100"/>
      <c r="H53" s="11">
        <v>5.0000000000000001E-3</v>
      </c>
      <c r="I53" s="12">
        <f t="shared" si="2"/>
        <v>13.871130000000001</v>
      </c>
    </row>
    <row r="54" spans="1:16" ht="15" customHeight="1" x14ac:dyDescent="0.25">
      <c r="A54" s="10">
        <v>8</v>
      </c>
      <c r="B54" s="98" t="s">
        <v>24</v>
      </c>
      <c r="C54" s="99"/>
      <c r="D54" s="99"/>
      <c r="E54" s="99"/>
      <c r="F54" s="99"/>
      <c r="G54" s="100"/>
      <c r="H54" s="11">
        <v>6.0000000000000001E-3</v>
      </c>
      <c r="I54" s="12">
        <f t="shared" si="2"/>
        <v>16.645356</v>
      </c>
    </row>
    <row r="55" spans="1:16" s="16" customFormat="1" ht="15" customHeight="1" x14ac:dyDescent="0.25">
      <c r="A55" s="142" t="s">
        <v>25</v>
      </c>
      <c r="B55" s="143"/>
      <c r="C55" s="143"/>
      <c r="D55" s="143"/>
      <c r="E55" s="143"/>
      <c r="F55" s="143"/>
      <c r="G55" s="144"/>
      <c r="H55" s="14">
        <f>SUM(H47:H54)</f>
        <v>0.34300000000000008</v>
      </c>
      <c r="I55" s="48">
        <f>SUM(I47:I54)</f>
        <v>951.55951800000003</v>
      </c>
      <c r="J55" s="15"/>
    </row>
    <row r="56" spans="1:16" ht="15" customHeight="1" x14ac:dyDescent="0.25">
      <c r="A56" s="166" t="s">
        <v>26</v>
      </c>
      <c r="B56" s="166"/>
      <c r="C56" s="166"/>
      <c r="D56" s="166"/>
      <c r="E56" s="166"/>
      <c r="F56" s="166"/>
      <c r="G56" s="166"/>
      <c r="H56" s="166"/>
      <c r="I56" s="166"/>
    </row>
    <row r="57" spans="1:16" ht="30.75" customHeight="1" x14ac:dyDescent="0.25">
      <c r="A57" s="169" t="s">
        <v>27</v>
      </c>
      <c r="B57" s="169"/>
      <c r="C57" s="169"/>
      <c r="D57" s="169"/>
      <c r="E57" s="169"/>
      <c r="F57" s="169"/>
      <c r="G57" s="169"/>
      <c r="H57" s="169"/>
      <c r="I57" s="169"/>
      <c r="J57"/>
      <c r="K57"/>
      <c r="L57"/>
      <c r="M57"/>
      <c r="N57"/>
      <c r="O57"/>
      <c r="P57"/>
    </row>
    <row r="58" spans="1:16" ht="33.75" customHeight="1" x14ac:dyDescent="0.25">
      <c r="A58" s="9" t="s">
        <v>28</v>
      </c>
      <c r="B58" s="148" t="s">
        <v>29</v>
      </c>
      <c r="C58" s="149"/>
      <c r="D58" s="149"/>
      <c r="E58" s="149"/>
      <c r="F58" s="149"/>
      <c r="G58" s="150"/>
      <c r="H58" s="9" t="s">
        <v>11</v>
      </c>
      <c r="I58" s="9" t="s">
        <v>12</v>
      </c>
    </row>
    <row r="59" spans="1:16" ht="15" customHeight="1" x14ac:dyDescent="0.25">
      <c r="A59" s="10">
        <v>1</v>
      </c>
      <c r="B59" s="98" t="s">
        <v>30</v>
      </c>
      <c r="C59" s="99"/>
      <c r="D59" s="99"/>
      <c r="E59" s="99"/>
      <c r="F59" s="99"/>
      <c r="G59" s="100"/>
      <c r="H59" s="59">
        <v>0.119314</v>
      </c>
      <c r="I59" s="12">
        <f>$I$44*H59</f>
        <v>331.004000964</v>
      </c>
    </row>
    <row r="60" spans="1:16" ht="15" customHeight="1" x14ac:dyDescent="0.25">
      <c r="A60" s="10">
        <v>2</v>
      </c>
      <c r="B60" s="98" t="s">
        <v>31</v>
      </c>
      <c r="C60" s="99"/>
      <c r="D60" s="99"/>
      <c r="E60" s="99"/>
      <c r="F60" s="99"/>
      <c r="G60" s="100"/>
      <c r="H60" s="59">
        <v>2.0479000000000001E-2</v>
      </c>
      <c r="I60" s="12">
        <f t="shared" ref="I60:I65" si="3">$I$44*H60</f>
        <v>56.813374254000003</v>
      </c>
    </row>
    <row r="61" spans="1:16" ht="15" customHeight="1" x14ac:dyDescent="0.25">
      <c r="A61" s="10">
        <v>3</v>
      </c>
      <c r="B61" s="98" t="s">
        <v>32</v>
      </c>
      <c r="C61" s="99"/>
      <c r="D61" s="99"/>
      <c r="E61" s="99"/>
      <c r="F61" s="99"/>
      <c r="G61" s="100"/>
      <c r="H61" s="11">
        <v>1.2123E-2</v>
      </c>
      <c r="I61" s="12">
        <f t="shared" si="3"/>
        <v>33.631941798</v>
      </c>
    </row>
    <row r="62" spans="1:16" ht="15" customHeight="1" x14ac:dyDescent="0.25">
      <c r="A62" s="10">
        <v>4</v>
      </c>
      <c r="B62" s="98" t="s">
        <v>33</v>
      </c>
      <c r="C62" s="99"/>
      <c r="D62" s="99"/>
      <c r="E62" s="99"/>
      <c r="F62" s="99"/>
      <c r="G62" s="100"/>
      <c r="H62" s="11">
        <v>1.1436E-2</v>
      </c>
      <c r="I62" s="12">
        <f>$I$44*H62</f>
        <v>31.726048536</v>
      </c>
    </row>
    <row r="63" spans="1:16" ht="15" customHeight="1" x14ac:dyDescent="0.25">
      <c r="A63" s="10">
        <v>5</v>
      </c>
      <c r="B63" s="98" t="s">
        <v>34</v>
      </c>
      <c r="C63" s="99"/>
      <c r="D63" s="99"/>
      <c r="E63" s="99"/>
      <c r="F63" s="99"/>
      <c r="G63" s="100"/>
      <c r="H63" s="11">
        <v>1.74E-4</v>
      </c>
      <c r="I63" s="12">
        <f t="shared" si="3"/>
        <v>0.482715324</v>
      </c>
    </row>
    <row r="64" spans="1:16" ht="15" customHeight="1" x14ac:dyDescent="0.25">
      <c r="A64" s="10">
        <v>6</v>
      </c>
      <c r="B64" s="98" t="s">
        <v>35</v>
      </c>
      <c r="C64" s="99"/>
      <c r="D64" s="99"/>
      <c r="E64" s="99"/>
      <c r="F64" s="99"/>
      <c r="G64" s="100"/>
      <c r="H64" s="11">
        <v>4.4200000000000001E-4</v>
      </c>
      <c r="I64" s="12">
        <f t="shared" si="3"/>
        <v>1.2262078920000001</v>
      </c>
    </row>
    <row r="65" spans="1:11" ht="15" customHeight="1" x14ac:dyDescent="0.25">
      <c r="A65" s="10">
        <v>7</v>
      </c>
      <c r="B65" s="98" t="s">
        <v>36</v>
      </c>
      <c r="C65" s="99"/>
      <c r="D65" s="99"/>
      <c r="E65" s="99"/>
      <c r="F65" s="99"/>
      <c r="G65" s="100"/>
      <c r="H65" s="11">
        <v>1.85E-4</v>
      </c>
      <c r="I65" s="12">
        <f t="shared" si="3"/>
        <v>0.51323181000000007</v>
      </c>
    </row>
    <row r="66" spans="1:11" ht="15" customHeight="1" x14ac:dyDescent="0.25">
      <c r="A66" s="10">
        <v>8</v>
      </c>
      <c r="B66" s="98" t="s">
        <v>37</v>
      </c>
      <c r="C66" s="99"/>
      <c r="D66" s="99"/>
      <c r="E66" s="99"/>
      <c r="F66" s="99"/>
      <c r="G66" s="100"/>
      <c r="H66" s="11">
        <v>9.0789999999999996E-2</v>
      </c>
      <c r="I66" s="12">
        <f>$I$44*H66</f>
        <v>251.87197853999999</v>
      </c>
    </row>
    <row r="67" spans="1:11" s="16" customFormat="1" ht="15" customHeight="1" x14ac:dyDescent="0.25">
      <c r="A67" s="142" t="s">
        <v>38</v>
      </c>
      <c r="B67" s="143"/>
      <c r="C67" s="143"/>
      <c r="D67" s="143"/>
      <c r="E67" s="143"/>
      <c r="F67" s="143"/>
      <c r="G67" s="144"/>
      <c r="H67" s="14">
        <f>SUM(H59:H66)</f>
        <v>0.25494299999999998</v>
      </c>
      <c r="I67" s="48">
        <f>SUM(I59:I66)</f>
        <v>707.269499118</v>
      </c>
      <c r="J67" s="15"/>
    </row>
    <row r="68" spans="1:11" ht="11.25" customHeight="1" x14ac:dyDescent="0.25">
      <c r="A68" s="17" t="s">
        <v>39</v>
      </c>
      <c r="B68" s="135" t="s">
        <v>40</v>
      </c>
      <c r="C68" s="135"/>
      <c r="D68" s="135"/>
      <c r="E68" s="135"/>
      <c r="F68" s="135"/>
      <c r="G68" s="135"/>
      <c r="H68" s="135"/>
      <c r="I68" s="135"/>
    </row>
    <row r="69" spans="1:11" ht="15" customHeight="1" x14ac:dyDescent="0.25">
      <c r="A69" s="17" t="s">
        <v>41</v>
      </c>
      <c r="B69" s="168" t="s">
        <v>42</v>
      </c>
      <c r="C69" s="168"/>
      <c r="D69" s="168"/>
      <c r="E69" s="168"/>
      <c r="F69" s="168"/>
      <c r="G69" s="168"/>
      <c r="H69" s="168"/>
      <c r="I69" s="168"/>
    </row>
    <row r="70" spans="1:11" ht="33.75" customHeight="1" x14ac:dyDescent="0.25">
      <c r="A70" s="9" t="s">
        <v>43</v>
      </c>
      <c r="B70" s="148" t="s">
        <v>44</v>
      </c>
      <c r="C70" s="149"/>
      <c r="D70" s="149"/>
      <c r="E70" s="149"/>
      <c r="F70" s="149"/>
      <c r="G70" s="150"/>
      <c r="H70" s="9" t="s">
        <v>11</v>
      </c>
      <c r="I70" s="9" t="s">
        <v>12</v>
      </c>
    </row>
    <row r="71" spans="1:11" ht="15" customHeight="1" x14ac:dyDescent="0.25">
      <c r="A71" s="10">
        <v>1</v>
      </c>
      <c r="B71" s="98" t="s">
        <v>45</v>
      </c>
      <c r="C71" s="99"/>
      <c r="D71" s="99"/>
      <c r="E71" s="99"/>
      <c r="F71" s="99"/>
      <c r="G71" s="100"/>
      <c r="H71" s="11">
        <v>2.3626999999999999E-2</v>
      </c>
      <c r="I71" s="12">
        <f>$I$44*H71</f>
        <v>65.546637701999998</v>
      </c>
    </row>
    <row r="72" spans="1:11" ht="15" customHeight="1" x14ac:dyDescent="0.25">
      <c r="A72" s="10">
        <v>2</v>
      </c>
      <c r="B72" s="98" t="s">
        <v>46</v>
      </c>
      <c r="C72" s="99"/>
      <c r="D72" s="99"/>
      <c r="E72" s="99"/>
      <c r="F72" s="99"/>
      <c r="G72" s="100"/>
      <c r="H72" s="11">
        <v>1.717E-3</v>
      </c>
      <c r="I72" s="12">
        <f t="shared" ref="I72:I73" si="4">$I$44*H72</f>
        <v>4.7633460420000002</v>
      </c>
    </row>
    <row r="73" spans="1:11" ht="15" customHeight="1" x14ac:dyDescent="0.25">
      <c r="A73" s="10">
        <v>3</v>
      </c>
      <c r="B73" s="98" t="s">
        <v>47</v>
      </c>
      <c r="C73" s="99"/>
      <c r="D73" s="99"/>
      <c r="E73" s="99"/>
      <c r="F73" s="99"/>
      <c r="G73" s="100"/>
      <c r="H73" s="11">
        <v>9.4509999999999993E-3</v>
      </c>
      <c r="I73" s="12">
        <f t="shared" si="4"/>
        <v>26.219209925999998</v>
      </c>
    </row>
    <row r="74" spans="1:11" s="16" customFormat="1" ht="15" customHeight="1" x14ac:dyDescent="0.25">
      <c r="A74" s="142" t="s">
        <v>48</v>
      </c>
      <c r="B74" s="143"/>
      <c r="C74" s="143"/>
      <c r="D74" s="143"/>
      <c r="E74" s="143"/>
      <c r="F74" s="143"/>
      <c r="G74" s="144"/>
      <c r="H74" s="14">
        <f>SUM(H71:H73)</f>
        <v>3.4795E-2</v>
      </c>
      <c r="I74" s="48">
        <f>SUM(I71:I73)</f>
        <v>96.529193669999984</v>
      </c>
      <c r="J74" s="15"/>
    </row>
    <row r="75" spans="1:11" ht="5.0999999999999996" customHeight="1" x14ac:dyDescent="0.25"/>
    <row r="76" spans="1:11" ht="33.75" x14ac:dyDescent="0.25">
      <c r="A76" s="9" t="s">
        <v>49</v>
      </c>
      <c r="B76" s="148" t="s">
        <v>50</v>
      </c>
      <c r="C76" s="149"/>
      <c r="D76" s="149"/>
      <c r="E76" s="149"/>
      <c r="F76" s="149"/>
      <c r="G76" s="150"/>
      <c r="H76" s="9" t="s">
        <v>11</v>
      </c>
      <c r="I76" s="9" t="s">
        <v>12</v>
      </c>
    </row>
    <row r="77" spans="1:11" ht="15" customHeight="1" x14ac:dyDescent="0.25">
      <c r="A77" s="10">
        <v>1</v>
      </c>
      <c r="B77" s="98" t="s">
        <v>51</v>
      </c>
      <c r="C77" s="99"/>
      <c r="D77" s="99"/>
      <c r="E77" s="99"/>
      <c r="F77" s="99"/>
      <c r="G77" s="100"/>
      <c r="H77" s="11">
        <f>(H55*H67)</f>
        <v>8.7445449000000008E-2</v>
      </c>
      <c r="I77" s="12">
        <f>$I$44*H77</f>
        <v>242.59343819747403</v>
      </c>
    </row>
    <row r="78" spans="1:11" s="16" customFormat="1" ht="15" customHeight="1" x14ac:dyDescent="0.25">
      <c r="A78" s="142" t="s">
        <v>52</v>
      </c>
      <c r="B78" s="143"/>
      <c r="C78" s="143"/>
      <c r="D78" s="143"/>
      <c r="E78" s="143"/>
      <c r="F78" s="143"/>
      <c r="G78" s="144"/>
      <c r="H78" s="14">
        <f>SUM(H77:H77)</f>
        <v>8.7445449000000008E-2</v>
      </c>
      <c r="I78" s="48">
        <f>I77</f>
        <v>242.59343819747403</v>
      </c>
      <c r="J78" s="15"/>
      <c r="K78" s="18"/>
    </row>
    <row r="79" spans="1:11" ht="5.0999999999999996" customHeight="1" x14ac:dyDescent="0.25">
      <c r="J79" s="19"/>
    </row>
    <row r="80" spans="1:11" s="16" customFormat="1" ht="12" x14ac:dyDescent="0.25">
      <c r="A80" s="165" t="s">
        <v>53</v>
      </c>
      <c r="B80" s="165"/>
      <c r="C80" s="165"/>
      <c r="D80" s="165"/>
      <c r="E80" s="165"/>
      <c r="F80" s="165"/>
      <c r="G80" s="165"/>
      <c r="H80" s="20">
        <f>H55+H67+H74+H78</f>
        <v>0.72018344900000009</v>
      </c>
      <c r="I80" s="21">
        <f>I55+I67+I74+I78</f>
        <v>1997.9516489854741</v>
      </c>
      <c r="J80" s="15"/>
    </row>
    <row r="81" spans="1:10" ht="5.0999999999999996" customHeight="1" x14ac:dyDescent="0.25"/>
    <row r="82" spans="1:10" ht="33.75" x14ac:dyDescent="0.25">
      <c r="A82" s="9" t="s">
        <v>54</v>
      </c>
      <c r="B82" s="148" t="s">
        <v>156</v>
      </c>
      <c r="C82" s="149"/>
      <c r="D82" s="149"/>
      <c r="E82" s="149"/>
      <c r="F82" s="149"/>
      <c r="G82" s="150"/>
      <c r="H82" s="9" t="s">
        <v>11</v>
      </c>
      <c r="I82" s="9" t="s">
        <v>12</v>
      </c>
    </row>
    <row r="83" spans="1:10" ht="15" customHeight="1" x14ac:dyDescent="0.25">
      <c r="A83" s="10">
        <v>1</v>
      </c>
      <c r="B83" s="98" t="s">
        <v>162</v>
      </c>
      <c r="C83" s="99"/>
      <c r="D83" s="99"/>
      <c r="E83" s="99"/>
      <c r="F83" s="99"/>
      <c r="G83" s="100"/>
      <c r="H83" s="11">
        <f>I83/$I$44</f>
        <v>0.12976592390093669</v>
      </c>
      <c r="I83" s="12">
        <f>I100</f>
        <v>360</v>
      </c>
    </row>
    <row r="84" spans="1:10" ht="15" customHeight="1" x14ac:dyDescent="0.25">
      <c r="A84" s="10">
        <v>2</v>
      </c>
      <c r="B84" s="98" t="s">
        <v>163</v>
      </c>
      <c r="C84" s="99"/>
      <c r="D84" s="99"/>
      <c r="E84" s="99"/>
      <c r="F84" s="99"/>
      <c r="G84" s="100"/>
      <c r="H84" s="11">
        <f>I84/$I$44</f>
        <v>0</v>
      </c>
      <c r="I84" s="12">
        <f>I96</f>
        <v>0</v>
      </c>
    </row>
    <row r="85" spans="1:10" ht="15" customHeight="1" x14ac:dyDescent="0.25">
      <c r="A85" s="10">
        <v>3</v>
      </c>
      <c r="B85" s="98" t="s">
        <v>170</v>
      </c>
      <c r="C85" s="99"/>
      <c r="D85" s="99"/>
      <c r="E85" s="99"/>
      <c r="F85" s="99"/>
      <c r="G85" s="100"/>
      <c r="H85" s="11">
        <f>I85/$I$44</f>
        <v>8.5342722618849363E-3</v>
      </c>
      <c r="I85" s="12">
        <f>I92</f>
        <v>23.676000000000002</v>
      </c>
    </row>
    <row r="86" spans="1:10" ht="15" customHeight="1" x14ac:dyDescent="0.25">
      <c r="A86" s="10">
        <v>4</v>
      </c>
      <c r="B86" s="98" t="s">
        <v>148</v>
      </c>
      <c r="C86" s="99"/>
      <c r="D86" s="99"/>
      <c r="E86" s="99"/>
      <c r="F86" s="99"/>
      <c r="G86" s="100"/>
      <c r="H86" s="11">
        <f>I86/$I$44</f>
        <v>7.761624323324777E-2</v>
      </c>
      <c r="I86" s="12">
        <f>IF(I28="Não aplicável",0,((I10/H10)*1.5*I28))</f>
        <v>215.32500000000002</v>
      </c>
    </row>
    <row r="87" spans="1:10" ht="15" customHeight="1" x14ac:dyDescent="0.25">
      <c r="A87" s="10">
        <v>5</v>
      </c>
      <c r="B87" s="98" t="s">
        <v>133</v>
      </c>
      <c r="C87" s="99"/>
      <c r="D87" s="99"/>
      <c r="E87" s="99"/>
      <c r="F87" s="99"/>
      <c r="G87" s="100"/>
      <c r="H87" s="11">
        <f>I87/$I$44</f>
        <v>3.245589941122317E-2</v>
      </c>
      <c r="I87" s="12">
        <f>IF(I23="Não aplicável",0,I23)</f>
        <v>90.04</v>
      </c>
    </row>
    <row r="88" spans="1:10" ht="15" customHeight="1" x14ac:dyDescent="0.25">
      <c r="A88" s="142" t="s">
        <v>55</v>
      </c>
      <c r="B88" s="143"/>
      <c r="C88" s="143"/>
      <c r="D88" s="143"/>
      <c r="E88" s="143"/>
      <c r="F88" s="143"/>
      <c r="G88" s="144"/>
      <c r="H88" s="14">
        <f>SUM(H83:H87)</f>
        <v>0.24837233880729259</v>
      </c>
      <c r="I88" s="48">
        <f>SUM(I83:I87)</f>
        <v>689.04099999999994</v>
      </c>
      <c r="J88" s="13"/>
    </row>
    <row r="89" spans="1:10" ht="18" customHeight="1" x14ac:dyDescent="0.25">
      <c r="A89" s="17" t="s">
        <v>172</v>
      </c>
      <c r="B89" s="166" t="s">
        <v>171</v>
      </c>
      <c r="C89" s="167"/>
      <c r="D89" s="167"/>
      <c r="E89" s="167"/>
      <c r="F89" s="167"/>
      <c r="G89" s="167"/>
      <c r="H89" s="23"/>
      <c r="I89" s="24"/>
    </row>
    <row r="90" spans="1:10" ht="15" customHeight="1" x14ac:dyDescent="0.25">
      <c r="A90" s="163" t="s">
        <v>56</v>
      </c>
      <c r="B90" s="163"/>
      <c r="C90" s="163"/>
      <c r="D90" s="163"/>
      <c r="E90" s="163"/>
      <c r="F90" s="163"/>
      <c r="G90" s="163"/>
      <c r="H90" s="163"/>
      <c r="I90" s="163"/>
    </row>
    <row r="91" spans="1:10" ht="24" customHeight="1" x14ac:dyDescent="0.25">
      <c r="A91" s="161" t="s">
        <v>57</v>
      </c>
      <c r="B91" s="161"/>
      <c r="C91" s="10" t="s">
        <v>58</v>
      </c>
      <c r="D91" s="10" t="s">
        <v>59</v>
      </c>
      <c r="E91" s="10" t="s">
        <v>60</v>
      </c>
      <c r="F91" s="10" t="s">
        <v>61</v>
      </c>
      <c r="G91" s="10" t="s">
        <v>62</v>
      </c>
      <c r="H91" s="11" t="s">
        <v>63</v>
      </c>
      <c r="I91" s="12" t="s">
        <v>64</v>
      </c>
    </row>
    <row r="92" spans="1:10" ht="15" customHeight="1" x14ac:dyDescent="0.25">
      <c r="A92" s="164">
        <f>I14</f>
        <v>5</v>
      </c>
      <c r="B92" s="161"/>
      <c r="C92" s="10">
        <f>I15</f>
        <v>15</v>
      </c>
      <c r="D92" s="10">
        <v>2</v>
      </c>
      <c r="E92" s="29">
        <f>A92*C92*D92</f>
        <v>150</v>
      </c>
      <c r="F92" s="29">
        <f>I33</f>
        <v>2105.4</v>
      </c>
      <c r="G92" s="25">
        <f>I16</f>
        <v>0.06</v>
      </c>
      <c r="H92" s="29">
        <f>F92*G92</f>
        <v>126.324</v>
      </c>
      <c r="I92" s="60">
        <f>IF((E92-H92)&gt;0,E92-H92,0)</f>
        <v>23.676000000000002</v>
      </c>
    </row>
    <row r="93" spans="1:10" ht="3.75" customHeight="1" x14ac:dyDescent="0.25">
      <c r="A93" s="79"/>
      <c r="E93" s="13"/>
      <c r="F93" s="13"/>
      <c r="G93" s="80"/>
      <c r="H93" s="13"/>
      <c r="I93" s="81"/>
    </row>
    <row r="94" spans="1:10" ht="15" customHeight="1" x14ac:dyDescent="0.25">
      <c r="A94" s="163" t="s">
        <v>164</v>
      </c>
      <c r="B94" s="163"/>
      <c r="C94" s="163"/>
      <c r="D94" s="163"/>
      <c r="E94" s="163"/>
      <c r="F94" s="163"/>
      <c r="G94" s="163"/>
      <c r="H94" s="163"/>
      <c r="I94" s="163"/>
    </row>
    <row r="95" spans="1:10" ht="23.25" customHeight="1" x14ac:dyDescent="0.25">
      <c r="A95" s="161" t="s">
        <v>57</v>
      </c>
      <c r="B95" s="161"/>
      <c r="C95" s="10" t="s">
        <v>65</v>
      </c>
      <c r="D95" s="10" t="s">
        <v>59</v>
      </c>
      <c r="E95" s="10" t="s">
        <v>60</v>
      </c>
      <c r="F95" s="10" t="s">
        <v>61</v>
      </c>
      <c r="G95" s="10" t="s">
        <v>62</v>
      </c>
      <c r="H95" s="11" t="s">
        <v>63</v>
      </c>
      <c r="I95" s="12" t="s">
        <v>64</v>
      </c>
    </row>
    <row r="96" spans="1:10" ht="15" customHeight="1" x14ac:dyDescent="0.25">
      <c r="A96" s="162">
        <f>I20</f>
        <v>0</v>
      </c>
      <c r="B96" s="162"/>
      <c r="C96" s="30">
        <f>I21</f>
        <v>15</v>
      </c>
      <c r="D96" s="10">
        <v>1</v>
      </c>
      <c r="E96" s="29">
        <f>A96*C96*D96</f>
        <v>0</v>
      </c>
      <c r="F96" s="29">
        <f>E96</f>
        <v>0</v>
      </c>
      <c r="G96" s="49">
        <f>I22</f>
        <v>0</v>
      </c>
      <c r="H96" s="29">
        <f>F96*G96</f>
        <v>0</v>
      </c>
      <c r="I96" s="12">
        <f>E96-H96</f>
        <v>0</v>
      </c>
    </row>
    <row r="97" spans="1:19" ht="5.0999999999999996" customHeight="1" x14ac:dyDescent="0.25">
      <c r="A97" s="26"/>
      <c r="B97" s="26"/>
      <c r="C97" s="26"/>
      <c r="D97" s="26"/>
      <c r="E97" s="15"/>
      <c r="F97" s="15"/>
      <c r="G97" s="27"/>
      <c r="H97" s="15"/>
      <c r="I97" s="28"/>
    </row>
    <row r="98" spans="1:19" ht="15" customHeight="1" x14ac:dyDescent="0.25">
      <c r="A98" s="163" t="s">
        <v>139</v>
      </c>
      <c r="B98" s="163"/>
      <c r="C98" s="163"/>
      <c r="D98" s="163"/>
      <c r="E98" s="163"/>
      <c r="F98" s="163"/>
      <c r="G98" s="163"/>
      <c r="H98" s="163"/>
      <c r="I98" s="163"/>
    </row>
    <row r="99" spans="1:19" ht="23.25" customHeight="1" x14ac:dyDescent="0.25">
      <c r="A99" s="161" t="s">
        <v>57</v>
      </c>
      <c r="B99" s="161"/>
      <c r="C99" s="10" t="s">
        <v>65</v>
      </c>
      <c r="D99" s="10" t="s">
        <v>59</v>
      </c>
      <c r="E99" s="10" t="s">
        <v>60</v>
      </c>
      <c r="F99" s="10" t="s">
        <v>61</v>
      </c>
      <c r="G99" s="10" t="s">
        <v>62</v>
      </c>
      <c r="H99" s="11" t="str">
        <f>H91</f>
        <v>Valor desconto</v>
      </c>
      <c r="I99" s="12" t="s">
        <v>64</v>
      </c>
    </row>
    <row r="100" spans="1:19" ht="15" customHeight="1" x14ac:dyDescent="0.25">
      <c r="A100" s="162">
        <f>I17</f>
        <v>30</v>
      </c>
      <c r="B100" s="162"/>
      <c r="C100" s="30">
        <f>I18</f>
        <v>15</v>
      </c>
      <c r="D100" s="10">
        <v>1</v>
      </c>
      <c r="E100" s="29">
        <f>A100*C100*D100</f>
        <v>450</v>
      </c>
      <c r="F100" s="29">
        <f>E100</f>
        <v>450</v>
      </c>
      <c r="G100" s="49">
        <f>I19</f>
        <v>0.2</v>
      </c>
      <c r="H100" s="29">
        <f>F100*G100</f>
        <v>90</v>
      </c>
      <c r="I100" s="12">
        <f>E100-H100</f>
        <v>360</v>
      </c>
    </row>
    <row r="101" spans="1:19" ht="5.0999999999999996" customHeight="1" x14ac:dyDescent="0.25"/>
    <row r="102" spans="1:19" ht="12" customHeight="1" x14ac:dyDescent="0.25">
      <c r="A102" s="111" t="s">
        <v>66</v>
      </c>
      <c r="B102" s="111"/>
      <c r="C102" s="111"/>
      <c r="D102" s="111"/>
      <c r="E102" s="111"/>
      <c r="F102" s="111"/>
      <c r="G102" s="111"/>
      <c r="H102" s="31">
        <f>H44+H80+H88</f>
        <v>1.9685557878072926</v>
      </c>
      <c r="I102" s="32">
        <f>I44+I80+I88</f>
        <v>5461.2186489854748</v>
      </c>
      <c r="J102" s="13"/>
      <c r="L102" s="13"/>
    </row>
    <row r="103" spans="1:19" s="37" customFormat="1" ht="5.0999999999999996" customHeight="1" x14ac:dyDescent="0.25">
      <c r="A103" s="33"/>
      <c r="B103" s="33"/>
      <c r="C103" s="33"/>
      <c r="D103" s="33"/>
      <c r="E103" s="33"/>
      <c r="F103" s="33"/>
      <c r="G103" s="33"/>
      <c r="H103" s="34"/>
      <c r="I103" s="35"/>
      <c r="J103" s="36"/>
      <c r="L103" s="36"/>
    </row>
    <row r="104" spans="1:19" x14ac:dyDescent="0.25">
      <c r="A104" s="97" t="s">
        <v>67</v>
      </c>
      <c r="B104" s="97"/>
      <c r="C104" s="97"/>
      <c r="D104" s="97"/>
      <c r="E104" s="97"/>
      <c r="F104" s="97"/>
      <c r="G104" s="97"/>
      <c r="H104" s="97"/>
      <c r="I104" s="97"/>
    </row>
    <row r="105" spans="1:19" ht="33.75" x14ac:dyDescent="0.25">
      <c r="A105" s="9" t="s">
        <v>9</v>
      </c>
      <c r="B105" s="148" t="s">
        <v>68</v>
      </c>
      <c r="C105" s="149"/>
      <c r="D105" s="149"/>
      <c r="E105" s="149"/>
      <c r="F105" s="149"/>
      <c r="G105" s="150"/>
      <c r="H105" s="9" t="s">
        <v>11</v>
      </c>
      <c r="I105" s="9" t="s">
        <v>12</v>
      </c>
    </row>
    <row r="106" spans="1:19" ht="15" customHeight="1" x14ac:dyDescent="0.25">
      <c r="A106" s="10">
        <v>1</v>
      </c>
      <c r="B106" s="98" t="s">
        <v>173</v>
      </c>
      <c r="C106" s="99"/>
      <c r="D106" s="99"/>
      <c r="E106" s="99"/>
      <c r="F106" s="99"/>
      <c r="G106" s="100"/>
      <c r="H106" s="11">
        <f>I106/$I$117</f>
        <v>0</v>
      </c>
      <c r="I106" s="12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10">
        <v>2</v>
      </c>
      <c r="B107" s="155" t="s">
        <v>177</v>
      </c>
      <c r="C107" s="156"/>
      <c r="D107" s="156"/>
      <c r="E107" s="156"/>
      <c r="F107" s="156"/>
      <c r="G107" s="157"/>
      <c r="H107" s="11">
        <f t="shared" ref="H107:H111" si="5">I107/$I$117</f>
        <v>0</v>
      </c>
      <c r="I107" s="12">
        <f>IF(F115=10%,G115,0)</f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10">
        <v>3</v>
      </c>
      <c r="B108" s="98" t="s">
        <v>69</v>
      </c>
      <c r="C108" s="99"/>
      <c r="D108" s="99"/>
      <c r="E108" s="99"/>
      <c r="F108" s="99"/>
      <c r="G108" s="100"/>
      <c r="H108" s="11">
        <f t="shared" si="5"/>
        <v>0</v>
      </c>
      <c r="I108" s="12">
        <v>0</v>
      </c>
      <c r="K108"/>
      <c r="L108"/>
      <c r="M108"/>
      <c r="N108"/>
      <c r="O108"/>
      <c r="P108"/>
      <c r="Q108"/>
      <c r="R108"/>
      <c r="S108"/>
    </row>
    <row r="109" spans="1:19" ht="15" customHeight="1" x14ac:dyDescent="0.25">
      <c r="A109" s="10">
        <v>4</v>
      </c>
      <c r="B109" s="158" t="s">
        <v>70</v>
      </c>
      <c r="C109" s="159"/>
      <c r="D109" s="159"/>
      <c r="E109" s="159"/>
      <c r="F109" s="159"/>
      <c r="G109" s="160"/>
      <c r="H109" s="11">
        <f t="shared" si="5"/>
        <v>0</v>
      </c>
      <c r="I109" s="12">
        <v>0</v>
      </c>
      <c r="K109"/>
      <c r="L109"/>
      <c r="M109"/>
      <c r="N109"/>
      <c r="O109"/>
      <c r="P109"/>
      <c r="Q109"/>
      <c r="R109"/>
      <c r="S109"/>
    </row>
    <row r="110" spans="1:19" ht="15" customHeight="1" x14ac:dyDescent="0.25">
      <c r="A110" s="10">
        <v>5</v>
      </c>
      <c r="B110" s="98" t="s">
        <v>178</v>
      </c>
      <c r="C110" s="99"/>
      <c r="D110" s="99"/>
      <c r="E110" s="99"/>
      <c r="F110" s="99"/>
      <c r="G110" s="100"/>
      <c r="H110" s="11">
        <f t="shared" si="5"/>
        <v>0</v>
      </c>
      <c r="I110" s="12">
        <v>0</v>
      </c>
      <c r="K110"/>
      <c r="L110"/>
      <c r="M110"/>
      <c r="N110"/>
      <c r="O110"/>
      <c r="P110"/>
      <c r="Q110"/>
      <c r="R110"/>
      <c r="S110"/>
    </row>
    <row r="111" spans="1:19" ht="15" customHeight="1" x14ac:dyDescent="0.25">
      <c r="A111" s="10">
        <v>6</v>
      </c>
      <c r="B111" s="98" t="s">
        <v>71</v>
      </c>
      <c r="C111" s="99"/>
      <c r="D111" s="99"/>
      <c r="E111" s="99"/>
      <c r="F111" s="99"/>
      <c r="G111" s="100"/>
      <c r="H111" s="11">
        <f t="shared" si="5"/>
        <v>0</v>
      </c>
      <c r="I111" s="12">
        <v>0</v>
      </c>
      <c r="K111"/>
      <c r="L111"/>
      <c r="M111"/>
      <c r="N111"/>
      <c r="O111"/>
      <c r="P111"/>
      <c r="Q111"/>
      <c r="R111"/>
      <c r="S111"/>
    </row>
    <row r="112" spans="1:19" ht="15" customHeight="1" x14ac:dyDescent="0.25">
      <c r="A112" s="142" t="s">
        <v>72</v>
      </c>
      <c r="B112" s="143"/>
      <c r="C112" s="143"/>
      <c r="D112" s="143"/>
      <c r="E112" s="143"/>
      <c r="F112" s="143"/>
      <c r="G112" s="144"/>
      <c r="H112" s="14">
        <f>H106+H107+H108+H109+H110+H111</f>
        <v>0</v>
      </c>
      <c r="I112" s="38">
        <f>SUM(I106:I111)</f>
        <v>0</v>
      </c>
      <c r="J112" s="13"/>
      <c r="K112"/>
      <c r="L112"/>
      <c r="M112"/>
      <c r="N112"/>
      <c r="O112"/>
      <c r="P112"/>
      <c r="Q112"/>
      <c r="R112"/>
      <c r="S112"/>
    </row>
    <row r="113" spans="1:19" ht="30" customHeight="1" x14ac:dyDescent="0.25">
      <c r="A113"/>
      <c r="B113" s="135" t="s">
        <v>174</v>
      </c>
      <c r="C113" s="135"/>
      <c r="D113" s="135"/>
      <c r="E113" s="135"/>
      <c r="F113" s="135"/>
      <c r="G113" s="135"/>
      <c r="H113" s="135"/>
      <c r="I113" s="135"/>
      <c r="K113"/>
      <c r="L113"/>
      <c r="M113"/>
      <c r="N113"/>
      <c r="O113"/>
      <c r="P113"/>
      <c r="Q113"/>
      <c r="R113"/>
      <c r="S113"/>
    </row>
    <row r="114" spans="1:19" ht="5.25" customHeight="1" x14ac:dyDescent="0.25">
      <c r="A114"/>
      <c r="B114"/>
      <c r="C114"/>
      <c r="D114"/>
      <c r="E114"/>
      <c r="F114"/>
      <c r="G114"/>
      <c r="H114"/>
      <c r="I114"/>
    </row>
    <row r="115" spans="1:19" ht="48.75" customHeight="1" x14ac:dyDescent="0.25">
      <c r="A115" s="151" t="s">
        <v>149</v>
      </c>
      <c r="B115" s="152"/>
      <c r="C115" s="152"/>
      <c r="D115" s="152"/>
      <c r="E115" s="153"/>
      <c r="F115" s="39">
        <f>I29</f>
        <v>0.2</v>
      </c>
      <c r="G115" s="40">
        <f>I117*F115</f>
        <v>1087.5085297970948</v>
      </c>
      <c r="H115" s="41" t="s">
        <v>73</v>
      </c>
      <c r="I115" s="42">
        <f>I85</f>
        <v>23.676000000000002</v>
      </c>
      <c r="K115"/>
      <c r="L115"/>
      <c r="M115"/>
      <c r="N115"/>
      <c r="O115"/>
      <c r="P115"/>
      <c r="Q115"/>
      <c r="R115"/>
      <c r="S115"/>
    </row>
    <row r="116" spans="1:19" s="46" customFormat="1" ht="16.5" customHeight="1" x14ac:dyDescent="0.25">
      <c r="A116" s="146" t="s">
        <v>74</v>
      </c>
      <c r="B116" s="146"/>
      <c r="C116" s="43" t="s">
        <v>75</v>
      </c>
      <c r="D116" s="43" t="s">
        <v>76</v>
      </c>
      <c r="E116" s="43" t="s">
        <v>77</v>
      </c>
      <c r="F116" s="43" t="s">
        <v>78</v>
      </c>
      <c r="G116" s="43" t="s">
        <v>79</v>
      </c>
      <c r="H116" s="41" t="s">
        <v>80</v>
      </c>
      <c r="I116" s="44" t="s">
        <v>81</v>
      </c>
      <c r="J116" s="45"/>
      <c r="K116"/>
      <c r="L116"/>
      <c r="M116"/>
      <c r="N116"/>
      <c r="O116"/>
      <c r="P116"/>
      <c r="Q116"/>
      <c r="R116"/>
      <c r="S116"/>
    </row>
    <row r="117" spans="1:19" ht="16.5" customHeight="1" x14ac:dyDescent="0.25">
      <c r="A117" s="147">
        <f>I44</f>
        <v>2774.2260000000001</v>
      </c>
      <c r="B117" s="147"/>
      <c r="C117" s="47">
        <f>I55</f>
        <v>951.55951800000003</v>
      </c>
      <c r="D117" s="47">
        <f>I67</f>
        <v>707.269499118</v>
      </c>
      <c r="E117" s="47">
        <f>I74</f>
        <v>96.529193669999984</v>
      </c>
      <c r="F117" s="47">
        <f>I78</f>
        <v>242.59343819747403</v>
      </c>
      <c r="G117" s="47">
        <f>I88</f>
        <v>689.04099999999994</v>
      </c>
      <c r="H117" s="47">
        <f>A117+C117+D117+E117+F117+G117</f>
        <v>5461.2186489854739</v>
      </c>
      <c r="I117" s="47">
        <f>H117-I115</f>
        <v>5437.5426489854735</v>
      </c>
      <c r="J117" s="13"/>
      <c r="K117"/>
      <c r="L117"/>
      <c r="M117"/>
      <c r="N117"/>
      <c r="O117"/>
      <c r="P117"/>
      <c r="Q117"/>
      <c r="R117"/>
      <c r="S117"/>
    </row>
    <row r="118" spans="1:19" ht="5.0999999999999996" customHeight="1" x14ac:dyDescent="0.25">
      <c r="A118" s="17"/>
      <c r="B118" s="154"/>
      <c r="C118" s="154"/>
      <c r="D118" s="154"/>
      <c r="E118" s="154"/>
      <c r="F118" s="154"/>
      <c r="G118" s="154"/>
      <c r="H118" s="154"/>
      <c r="I118" s="154"/>
    </row>
    <row r="119" spans="1:19" ht="33.75" x14ac:dyDescent="0.25">
      <c r="A119" s="9" t="s">
        <v>16</v>
      </c>
      <c r="B119" s="148" t="s">
        <v>82</v>
      </c>
      <c r="C119" s="149"/>
      <c r="D119" s="149"/>
      <c r="E119" s="149"/>
      <c r="F119" s="149"/>
      <c r="G119" s="150"/>
      <c r="H119" s="9" t="s">
        <v>11</v>
      </c>
      <c r="I119" s="9" t="s">
        <v>12</v>
      </c>
    </row>
    <row r="120" spans="1:19" ht="15" customHeight="1" x14ac:dyDescent="0.25">
      <c r="A120" s="10">
        <v>1</v>
      </c>
      <c r="B120" s="98" t="s">
        <v>83</v>
      </c>
      <c r="C120" s="99"/>
      <c r="D120" s="99"/>
      <c r="E120" s="99"/>
      <c r="F120" s="99"/>
      <c r="G120" s="100"/>
      <c r="H120" s="11">
        <f>I120/$I$130</f>
        <v>0</v>
      </c>
      <c r="I120" s="12">
        <v>0</v>
      </c>
    </row>
    <row r="121" spans="1:19" ht="15" customHeight="1" x14ac:dyDescent="0.25">
      <c r="A121" s="10">
        <v>2</v>
      </c>
      <c r="B121" s="98" t="s">
        <v>84</v>
      </c>
      <c r="C121" s="99"/>
      <c r="D121" s="99"/>
      <c r="E121" s="99"/>
      <c r="F121" s="99"/>
      <c r="G121" s="100"/>
      <c r="H121" s="11">
        <f>I121/$I$130</f>
        <v>0</v>
      </c>
      <c r="I121" s="12">
        <v>0</v>
      </c>
    </row>
    <row r="122" spans="1:19" ht="15" customHeight="1" x14ac:dyDescent="0.25">
      <c r="A122" s="142" t="s">
        <v>85</v>
      </c>
      <c r="B122" s="143"/>
      <c r="C122" s="143"/>
      <c r="D122" s="143"/>
      <c r="E122" s="143"/>
      <c r="F122" s="143"/>
      <c r="G122" s="144"/>
      <c r="H122" s="14">
        <f>H120+H121</f>
        <v>0</v>
      </c>
      <c r="I122" s="48">
        <f>SUM(I120:I121)</f>
        <v>0</v>
      </c>
    </row>
    <row r="123" spans="1:19" ht="5.0999999999999996" customHeight="1" x14ac:dyDescent="0.25"/>
    <row r="124" spans="1:19" ht="33.75" x14ac:dyDescent="0.25">
      <c r="A124" s="9" t="s">
        <v>28</v>
      </c>
      <c r="B124" s="148" t="s">
        <v>86</v>
      </c>
      <c r="C124" s="149"/>
      <c r="D124" s="149"/>
      <c r="E124" s="149"/>
      <c r="F124" s="149"/>
      <c r="G124" s="150"/>
      <c r="H124" s="9" t="s">
        <v>11</v>
      </c>
      <c r="I124" s="9" t="s">
        <v>12</v>
      </c>
    </row>
    <row r="125" spans="1:19" ht="15" customHeight="1" x14ac:dyDescent="0.25">
      <c r="A125" s="10">
        <v>1</v>
      </c>
      <c r="B125" s="98" t="s">
        <v>86</v>
      </c>
      <c r="C125" s="99"/>
      <c r="D125" s="99"/>
      <c r="E125" s="99"/>
      <c r="F125" s="99"/>
      <c r="G125" s="100"/>
      <c r="H125" s="11">
        <f>I125/I130</f>
        <v>0</v>
      </c>
      <c r="I125" s="12">
        <v>0</v>
      </c>
    </row>
    <row r="126" spans="1:19" ht="15" customHeight="1" x14ac:dyDescent="0.25">
      <c r="A126" s="142" t="s">
        <v>87</v>
      </c>
      <c r="B126" s="143"/>
      <c r="C126" s="143"/>
      <c r="D126" s="143"/>
      <c r="E126" s="143"/>
      <c r="F126" s="143"/>
      <c r="G126" s="144"/>
      <c r="H126" s="14">
        <f>H125</f>
        <v>0</v>
      </c>
      <c r="I126" s="48">
        <f>I125</f>
        <v>0</v>
      </c>
      <c r="J126" s="13"/>
      <c r="K126" s="13"/>
      <c r="L126" s="1"/>
    </row>
    <row r="127" spans="1:19" ht="5.0999999999999996" customHeight="1" x14ac:dyDescent="0.25">
      <c r="A127" s="16"/>
      <c r="B127" s="16"/>
      <c r="C127" s="16"/>
      <c r="D127" s="16"/>
      <c r="E127" s="16"/>
      <c r="F127" s="16"/>
      <c r="G127" s="16"/>
      <c r="H127" s="23"/>
      <c r="I127" s="24"/>
    </row>
    <row r="128" spans="1:19" ht="39" customHeight="1" x14ac:dyDescent="0.25">
      <c r="A128" s="145" t="s">
        <v>88</v>
      </c>
      <c r="B128" s="145"/>
      <c r="C128" s="145"/>
      <c r="D128" s="145"/>
      <c r="E128" s="145"/>
      <c r="F128" s="39">
        <v>0.18</v>
      </c>
      <c r="G128" s="40">
        <f>I130*F128</f>
        <v>978.75767681738523</v>
      </c>
      <c r="H128" s="41" t="s">
        <v>73</v>
      </c>
      <c r="I128" s="42">
        <f>I85</f>
        <v>23.676000000000002</v>
      </c>
      <c r="L128" s="1"/>
    </row>
    <row r="129" spans="1:19" s="46" customFormat="1" ht="16.5" customHeight="1" x14ac:dyDescent="0.25">
      <c r="A129" s="146" t="s">
        <v>74</v>
      </c>
      <c r="B129" s="146"/>
      <c r="C129" s="43" t="s">
        <v>75</v>
      </c>
      <c r="D129" s="43" t="s">
        <v>76</v>
      </c>
      <c r="E129" s="43" t="s">
        <v>77</v>
      </c>
      <c r="F129" s="43" t="s">
        <v>78</v>
      </c>
      <c r="G129" s="43" t="s">
        <v>79</v>
      </c>
      <c r="H129" s="41" t="s">
        <v>80</v>
      </c>
      <c r="I129" s="44" t="s">
        <v>81</v>
      </c>
      <c r="J129" s="45"/>
      <c r="L129" s="45"/>
    </row>
    <row r="130" spans="1:19" ht="16.5" customHeight="1" x14ac:dyDescent="0.25">
      <c r="A130" s="147">
        <f>I44</f>
        <v>2774.2260000000001</v>
      </c>
      <c r="B130" s="147"/>
      <c r="C130" s="47">
        <f>I55</f>
        <v>951.55951800000003</v>
      </c>
      <c r="D130" s="47">
        <f>I67</f>
        <v>707.269499118</v>
      </c>
      <c r="E130" s="47">
        <f>I74</f>
        <v>96.529193669999984</v>
      </c>
      <c r="F130" s="47">
        <f>I78</f>
        <v>242.59343819747403</v>
      </c>
      <c r="G130" s="47">
        <f>I88</f>
        <v>689.04099999999994</v>
      </c>
      <c r="H130" s="47">
        <f>A130+C130+D130+E130+F130+G130</f>
        <v>5461.2186489854739</v>
      </c>
      <c r="I130" s="47">
        <f>H130-I128</f>
        <v>5437.5426489854735</v>
      </c>
      <c r="J130" s="13"/>
      <c r="L130" s="1"/>
    </row>
    <row r="131" spans="1:19" ht="5.0999999999999996" customHeight="1" x14ac:dyDescent="0.25"/>
    <row r="132" spans="1:19" ht="12" x14ac:dyDescent="0.25">
      <c r="A132" s="111" t="s">
        <v>89</v>
      </c>
      <c r="B132" s="111"/>
      <c r="C132" s="111"/>
      <c r="D132" s="111"/>
      <c r="E132" s="111"/>
      <c r="F132" s="111"/>
      <c r="G132" s="111"/>
      <c r="H132" s="31">
        <f>H112+H122+H126</f>
        <v>0</v>
      </c>
      <c r="I132" s="32">
        <f>I112+I122+I126</f>
        <v>0</v>
      </c>
    </row>
    <row r="133" spans="1:19" ht="5.0999999999999996" customHeight="1" x14ac:dyDescent="0.25"/>
    <row r="134" spans="1:19" x14ac:dyDescent="0.25">
      <c r="A134" s="97" t="s">
        <v>90</v>
      </c>
      <c r="B134" s="97"/>
      <c r="C134" s="97"/>
      <c r="D134" s="97"/>
      <c r="E134" s="97"/>
      <c r="F134" s="97"/>
      <c r="G134" s="97"/>
      <c r="H134" s="97"/>
      <c r="I134" s="97"/>
    </row>
    <row r="135" spans="1:19" ht="33.75" x14ac:dyDescent="0.25">
      <c r="A135" s="9" t="s">
        <v>9</v>
      </c>
      <c r="B135" s="148" t="s">
        <v>175</v>
      </c>
      <c r="C135" s="149"/>
      <c r="D135" s="149"/>
      <c r="E135" s="149"/>
      <c r="F135" s="149"/>
      <c r="G135" s="150"/>
      <c r="H135" s="9" t="s">
        <v>11</v>
      </c>
      <c r="I135" s="9" t="s">
        <v>12</v>
      </c>
      <c r="K135"/>
      <c r="L135"/>
      <c r="M135"/>
      <c r="N135"/>
      <c r="O135"/>
    </row>
    <row r="136" spans="1:19" ht="15" customHeight="1" x14ac:dyDescent="0.25">
      <c r="A136" s="10">
        <v>1</v>
      </c>
      <c r="B136" s="98" t="s">
        <v>91</v>
      </c>
      <c r="C136" s="99"/>
      <c r="D136" s="99"/>
      <c r="E136" s="99"/>
      <c r="F136" s="99"/>
      <c r="G136" s="100"/>
      <c r="H136" s="11">
        <f>I136/$I$102</f>
        <v>6.9259456579648373E-3</v>
      </c>
      <c r="I136" s="12">
        <f>($D$146/$E$148)*H146</f>
        <v>37.824103589137543</v>
      </c>
    </row>
    <row r="137" spans="1:19" ht="15" customHeight="1" x14ac:dyDescent="0.25">
      <c r="A137" s="10">
        <v>2</v>
      </c>
      <c r="B137" s="98" t="s">
        <v>92</v>
      </c>
      <c r="C137" s="99"/>
      <c r="D137" s="99"/>
      <c r="E137" s="99"/>
      <c r="F137" s="99"/>
      <c r="G137" s="100"/>
      <c r="H137" s="11">
        <f t="shared" ref="H137:H140" si="6">I137/$I$102</f>
        <v>3.1965903036760786E-2</v>
      </c>
      <c r="I137" s="12">
        <f t="shared" ref="I137:I139" si="7">($D$146/$E$148)*H147</f>
        <v>174.57278579601942</v>
      </c>
    </row>
    <row r="138" spans="1:19" ht="15" customHeight="1" x14ac:dyDescent="0.25">
      <c r="A138" s="10">
        <v>3</v>
      </c>
      <c r="B138" s="98" t="s">
        <v>165</v>
      </c>
      <c r="C138" s="99"/>
      <c r="D138" s="99"/>
      <c r="E138" s="99"/>
      <c r="F138" s="99"/>
      <c r="G138" s="100"/>
      <c r="H138" s="11">
        <f t="shared" si="6"/>
        <v>2.6638252530633989E-2</v>
      </c>
      <c r="I138" s="12">
        <f t="shared" si="7"/>
        <v>145.47732149668286</v>
      </c>
    </row>
    <row r="139" spans="1:19" ht="15" customHeight="1" x14ac:dyDescent="0.25">
      <c r="A139" s="10">
        <v>4</v>
      </c>
      <c r="B139" s="98" t="s">
        <v>179</v>
      </c>
      <c r="C139" s="99"/>
      <c r="D139" s="99"/>
      <c r="E139" s="99"/>
      <c r="F139" s="99"/>
      <c r="G139" s="100"/>
      <c r="H139" s="11">
        <f t="shared" si="6"/>
        <v>0</v>
      </c>
      <c r="I139" s="12">
        <f t="shared" si="7"/>
        <v>0</v>
      </c>
    </row>
    <row r="140" spans="1:19" ht="15" customHeight="1" x14ac:dyDescent="0.25">
      <c r="A140" s="10">
        <v>5</v>
      </c>
      <c r="B140" s="98" t="s">
        <v>71</v>
      </c>
      <c r="C140" s="99"/>
      <c r="D140" s="99"/>
      <c r="E140" s="99"/>
      <c r="F140" s="99"/>
      <c r="G140" s="100"/>
      <c r="H140" s="11">
        <f t="shared" si="6"/>
        <v>0</v>
      </c>
      <c r="I140" s="12">
        <f>($D$146/$E$148)*H150</f>
        <v>0</v>
      </c>
    </row>
    <row r="141" spans="1:19" ht="15" customHeight="1" x14ac:dyDescent="0.25">
      <c r="A141" s="142" t="s">
        <v>93</v>
      </c>
      <c r="B141" s="143"/>
      <c r="C141" s="143"/>
      <c r="D141" s="143"/>
      <c r="E141" s="143"/>
      <c r="F141" s="143"/>
      <c r="G141" s="144"/>
      <c r="H141" s="14">
        <f>H136+H137+H138+H139+H140</f>
        <v>6.5530101225359613E-2</v>
      </c>
      <c r="I141" s="48">
        <f>SUM(I136:I140)</f>
        <v>357.87421088183982</v>
      </c>
    </row>
    <row r="142" spans="1:19" ht="11.25" customHeight="1" x14ac:dyDescent="0.25">
      <c r="A142" s="17" t="s">
        <v>95</v>
      </c>
      <c r="B142" s="135" t="s">
        <v>94</v>
      </c>
      <c r="C142" s="135"/>
      <c r="D142" s="135"/>
      <c r="E142" s="135"/>
      <c r="F142" s="135"/>
      <c r="G142" s="135"/>
      <c r="H142" s="135"/>
      <c r="I142" s="135"/>
      <c r="K142"/>
      <c r="L142"/>
      <c r="M142"/>
      <c r="N142"/>
      <c r="O142"/>
      <c r="P142"/>
      <c r="Q142"/>
      <c r="R142"/>
      <c r="S142"/>
    </row>
    <row r="143" spans="1:19" ht="20.25" customHeight="1" x14ac:dyDescent="0.25">
      <c r="A143" s="17" t="s">
        <v>176</v>
      </c>
      <c r="B143" s="136" t="s">
        <v>96</v>
      </c>
      <c r="C143" s="136"/>
      <c r="D143" s="136"/>
      <c r="E143" s="136"/>
      <c r="F143" s="136"/>
      <c r="G143" s="136"/>
      <c r="H143" s="136"/>
      <c r="I143" s="136"/>
      <c r="K143"/>
      <c r="L143"/>
      <c r="M143"/>
      <c r="N143"/>
      <c r="O143"/>
      <c r="P143"/>
      <c r="Q143"/>
      <c r="R143"/>
      <c r="S143"/>
    </row>
    <row r="144" spans="1:19" ht="13.5" customHeight="1" x14ac:dyDescent="0.25">
      <c r="A144" s="137" t="s">
        <v>97</v>
      </c>
      <c r="B144" s="137"/>
      <c r="C144" s="137"/>
      <c r="D144" s="137"/>
      <c r="E144" s="137"/>
      <c r="F144" s="137"/>
      <c r="G144" s="137"/>
      <c r="H144" s="137"/>
      <c r="I144" s="137"/>
    </row>
    <row r="145" spans="1:10" ht="13.5" customHeight="1" x14ac:dyDescent="0.25">
      <c r="A145" s="138" t="s">
        <v>98</v>
      </c>
      <c r="B145" s="138"/>
      <c r="C145" s="22" t="s">
        <v>99</v>
      </c>
      <c r="D145" s="139" t="s">
        <v>143</v>
      </c>
      <c r="E145" s="140"/>
      <c r="F145" s="22" t="s">
        <v>100</v>
      </c>
      <c r="G145" s="22" t="s">
        <v>101</v>
      </c>
      <c r="H145" s="141" t="s">
        <v>187</v>
      </c>
      <c r="I145" s="141"/>
    </row>
    <row r="146" spans="1:10" ht="13.5" customHeight="1" x14ac:dyDescent="0.25">
      <c r="A146" s="130">
        <f>I102</f>
        <v>5461.2186489854748</v>
      </c>
      <c r="B146" s="131"/>
      <c r="C146" s="12">
        <f>I132</f>
        <v>0</v>
      </c>
      <c r="D146" s="132">
        <f>A146+C146</f>
        <v>5461.2186489854748</v>
      </c>
      <c r="E146" s="133"/>
      <c r="F146" s="10" t="s">
        <v>91</v>
      </c>
      <c r="G146" s="49">
        <v>1.6500000000000001E-2</v>
      </c>
      <c r="H146" s="106">
        <v>6.4999999999999997E-3</v>
      </c>
      <c r="I146" s="106"/>
      <c r="J146" s="13"/>
    </row>
    <row r="147" spans="1:10" ht="13.5" customHeight="1" x14ac:dyDescent="0.25">
      <c r="A147" s="134" t="s">
        <v>102</v>
      </c>
      <c r="B147" s="134"/>
      <c r="C147" s="10">
        <v>1</v>
      </c>
      <c r="D147" s="50">
        <f>G151/1</f>
        <v>0.11749999999999999</v>
      </c>
      <c r="E147" s="85">
        <f>C147-D147</f>
        <v>0.88250000000000006</v>
      </c>
      <c r="F147" s="10" t="s">
        <v>92</v>
      </c>
      <c r="G147" s="49">
        <v>7.5999999999999998E-2</v>
      </c>
      <c r="H147" s="106">
        <v>0.03</v>
      </c>
      <c r="I147" s="106"/>
    </row>
    <row r="148" spans="1:10" ht="13.5" customHeight="1" x14ac:dyDescent="0.25">
      <c r="A148" s="105" t="s">
        <v>103</v>
      </c>
      <c r="B148" s="105"/>
      <c r="C148" s="10">
        <v>1</v>
      </c>
      <c r="D148" s="50">
        <f>H151</f>
        <v>6.1499999999999999E-2</v>
      </c>
      <c r="E148" s="87">
        <f>C148-D148</f>
        <v>0.9385</v>
      </c>
      <c r="F148" s="10" t="s">
        <v>165</v>
      </c>
      <c r="G148" s="49">
        <f>I11</f>
        <v>2.5000000000000001E-2</v>
      </c>
      <c r="H148" s="106">
        <f>I11</f>
        <v>2.5000000000000001E-2</v>
      </c>
      <c r="I148" s="106"/>
    </row>
    <row r="149" spans="1:10" ht="13.5" customHeight="1" x14ac:dyDescent="0.25">
      <c r="A149" s="105" t="s">
        <v>104</v>
      </c>
      <c r="B149" s="105"/>
      <c r="C149" s="10">
        <v>1</v>
      </c>
      <c r="D149" s="51">
        <v>0.09</v>
      </c>
      <c r="E149" s="52">
        <f>C149-D149</f>
        <v>0.91</v>
      </c>
      <c r="F149" s="10" t="s">
        <v>198</v>
      </c>
      <c r="G149" s="49">
        <v>0</v>
      </c>
      <c r="H149" s="106">
        <v>0</v>
      </c>
      <c r="I149" s="106"/>
    </row>
    <row r="150" spans="1:10" ht="13.5" customHeight="1" x14ac:dyDescent="0.25">
      <c r="A150" s="120" t="s">
        <v>105</v>
      </c>
      <c r="B150" s="114" t="s">
        <v>106</v>
      </c>
      <c r="C150" s="115"/>
      <c r="D150" s="115"/>
      <c r="E150" s="116"/>
      <c r="F150" s="92" t="str">
        <f>B140</f>
        <v>Outros (especificar)</v>
      </c>
      <c r="G150" s="49">
        <v>0</v>
      </c>
      <c r="H150" s="112">
        <v>0</v>
      </c>
      <c r="I150" s="113"/>
    </row>
    <row r="151" spans="1:10" ht="18" customHeight="1" x14ac:dyDescent="0.25">
      <c r="A151" s="121"/>
      <c r="B151" s="117"/>
      <c r="C151" s="118"/>
      <c r="D151" s="118"/>
      <c r="E151" s="119"/>
      <c r="F151" s="22" t="s">
        <v>107</v>
      </c>
      <c r="G151" s="86">
        <f>SUM(G146:G150)</f>
        <v>0.11749999999999999</v>
      </c>
      <c r="H151" s="109">
        <f>SUM(H146:I150)</f>
        <v>6.1499999999999999E-2</v>
      </c>
      <c r="I151" s="109"/>
    </row>
    <row r="152" spans="1:10" ht="48.75" customHeight="1" x14ac:dyDescent="0.25">
      <c r="A152" s="107" t="s">
        <v>186</v>
      </c>
      <c r="B152" s="108"/>
      <c r="C152" s="108"/>
      <c r="D152" s="108"/>
      <c r="E152" s="108"/>
      <c r="F152" s="108"/>
      <c r="G152" s="108"/>
      <c r="H152" s="108"/>
      <c r="I152" s="108"/>
    </row>
    <row r="153" spans="1:10" ht="5.0999999999999996" customHeight="1" x14ac:dyDescent="0.25">
      <c r="A153" s="53"/>
      <c r="B153" s="110"/>
      <c r="C153" s="110"/>
      <c r="D153" s="110"/>
      <c r="E153" s="110"/>
      <c r="F153" s="110"/>
      <c r="G153" s="110"/>
      <c r="H153" s="110"/>
      <c r="I153" s="110"/>
    </row>
    <row r="154" spans="1:10" ht="12" x14ac:dyDescent="0.25">
      <c r="A154" s="111" t="s">
        <v>108</v>
      </c>
      <c r="B154" s="111"/>
      <c r="C154" s="111"/>
      <c r="D154" s="111"/>
      <c r="E154" s="111"/>
      <c r="F154" s="111"/>
      <c r="G154" s="111"/>
      <c r="H154" s="31">
        <f>H141</f>
        <v>6.5530101225359613E-2</v>
      </c>
      <c r="I154" s="32">
        <f>I141</f>
        <v>357.87421088183982</v>
      </c>
    </row>
    <row r="155" spans="1:10" ht="5.0999999999999996" customHeight="1" x14ac:dyDescent="0.25"/>
    <row r="156" spans="1:10" x14ac:dyDescent="0.25">
      <c r="A156" s="96" t="s">
        <v>109</v>
      </c>
      <c r="B156" s="96"/>
      <c r="C156" s="96"/>
      <c r="D156" s="96"/>
      <c r="E156" s="96"/>
      <c r="F156" s="96"/>
      <c r="G156" s="96"/>
      <c r="H156" s="96"/>
      <c r="I156" s="96"/>
    </row>
    <row r="157" spans="1:10" x14ac:dyDescent="0.25">
      <c r="A157" s="97" t="s">
        <v>8</v>
      </c>
      <c r="B157" s="97"/>
      <c r="C157" s="97"/>
      <c r="D157" s="97"/>
      <c r="E157" s="97"/>
      <c r="F157" s="97"/>
      <c r="G157" s="97"/>
      <c r="H157" s="97"/>
      <c r="I157" s="97"/>
    </row>
    <row r="158" spans="1:10" ht="15" customHeight="1" x14ac:dyDescent="0.25">
      <c r="A158" s="10">
        <v>1</v>
      </c>
      <c r="B158" s="98" t="s">
        <v>110</v>
      </c>
      <c r="C158" s="99"/>
      <c r="D158" s="99"/>
      <c r="E158" s="99"/>
      <c r="F158" s="99"/>
      <c r="G158" s="100"/>
      <c r="H158" s="11">
        <f>I158/$G$175</f>
        <v>0.476745676729523</v>
      </c>
      <c r="I158" s="54">
        <f>I44</f>
        <v>2774.2260000000001</v>
      </c>
    </row>
    <row r="159" spans="1:10" ht="15" customHeight="1" x14ac:dyDescent="0.25">
      <c r="A159" s="10">
        <v>2</v>
      </c>
      <c r="B159" s="98" t="s">
        <v>111</v>
      </c>
      <c r="C159" s="99"/>
      <c r="D159" s="99"/>
      <c r="E159" s="99"/>
      <c r="F159" s="99"/>
      <c r="G159" s="100"/>
      <c r="H159" s="11">
        <f t="shared" ref="H159:H160" si="8">I159/$G$175</f>
        <v>0.3433443457629069</v>
      </c>
      <c r="I159" s="54">
        <f>I55+I67+I74+I78</f>
        <v>1997.9516489854741</v>
      </c>
    </row>
    <row r="160" spans="1:10" ht="15" customHeight="1" x14ac:dyDescent="0.25">
      <c r="A160" s="10">
        <v>3</v>
      </c>
      <c r="B160" s="101" t="s">
        <v>112</v>
      </c>
      <c r="C160" s="101"/>
      <c r="D160" s="101"/>
      <c r="E160" s="101"/>
      <c r="F160" s="101"/>
      <c r="G160" s="101"/>
      <c r="H160" s="11">
        <f t="shared" si="8"/>
        <v>0.11841043874557704</v>
      </c>
      <c r="I160" s="54">
        <f>I88</f>
        <v>689.04099999999994</v>
      </c>
    </row>
    <row r="161" spans="1:11" s="16" customFormat="1" ht="15" customHeight="1" x14ac:dyDescent="0.25">
      <c r="A161" s="102" t="s">
        <v>113</v>
      </c>
      <c r="B161" s="103"/>
      <c r="C161" s="103"/>
      <c r="D161" s="103"/>
      <c r="E161" s="103"/>
      <c r="F161" s="103"/>
      <c r="G161" s="104"/>
      <c r="H161" s="31">
        <f>H158+H159+H160</f>
        <v>0.9385004612380069</v>
      </c>
      <c r="I161" s="32">
        <f>ROUND(SUM(I158:I160),2)</f>
        <v>5461.22</v>
      </c>
      <c r="J161" s="23"/>
    </row>
    <row r="162" spans="1:11" ht="5.0999999999999996" customHeight="1" x14ac:dyDescent="0.25"/>
    <row r="163" spans="1:11" x14ac:dyDescent="0.25">
      <c r="A163" s="97" t="s">
        <v>67</v>
      </c>
      <c r="B163" s="97"/>
      <c r="C163" s="97"/>
      <c r="D163" s="97"/>
      <c r="E163" s="97"/>
      <c r="F163" s="97"/>
      <c r="G163" s="97"/>
      <c r="H163" s="97"/>
      <c r="I163" s="97"/>
    </row>
    <row r="164" spans="1:11" ht="15" customHeight="1" x14ac:dyDescent="0.25">
      <c r="A164" s="10">
        <v>1</v>
      </c>
      <c r="B164" s="98" t="s">
        <v>114</v>
      </c>
      <c r="C164" s="99"/>
      <c r="D164" s="99"/>
      <c r="E164" s="99"/>
      <c r="F164" s="99"/>
      <c r="G164" s="100"/>
      <c r="H164" s="11">
        <f>I164/$G$175</f>
        <v>0</v>
      </c>
      <c r="I164" s="12">
        <f>I112</f>
        <v>0</v>
      </c>
    </row>
    <row r="165" spans="1:11" ht="15" customHeight="1" x14ac:dyDescent="0.25">
      <c r="A165" s="10">
        <v>2</v>
      </c>
      <c r="B165" s="98" t="s">
        <v>115</v>
      </c>
      <c r="C165" s="99"/>
      <c r="D165" s="99"/>
      <c r="E165" s="99"/>
      <c r="F165" s="99"/>
      <c r="G165" s="100"/>
      <c r="H165" s="11">
        <f t="shared" ref="H165:H166" si="9">I165/$G$175</f>
        <v>0</v>
      </c>
      <c r="I165" s="12">
        <f>I122</f>
        <v>0</v>
      </c>
    </row>
    <row r="166" spans="1:11" ht="15" customHeight="1" x14ac:dyDescent="0.25">
      <c r="A166" s="10">
        <v>3</v>
      </c>
      <c r="B166" s="98" t="s">
        <v>116</v>
      </c>
      <c r="C166" s="99"/>
      <c r="D166" s="99"/>
      <c r="E166" s="99"/>
      <c r="F166" s="99"/>
      <c r="G166" s="100"/>
      <c r="H166" s="11">
        <f t="shared" si="9"/>
        <v>0</v>
      </c>
      <c r="I166" s="12">
        <f>I126</f>
        <v>0</v>
      </c>
    </row>
    <row r="167" spans="1:11" ht="15" customHeight="1" x14ac:dyDescent="0.25">
      <c r="A167" s="102" t="s">
        <v>117</v>
      </c>
      <c r="B167" s="103"/>
      <c r="C167" s="103"/>
      <c r="D167" s="103"/>
      <c r="E167" s="103"/>
      <c r="F167" s="103"/>
      <c r="G167" s="104"/>
      <c r="H167" s="31">
        <f>H164+H165+H166</f>
        <v>0</v>
      </c>
      <c r="I167" s="32">
        <f>ROUND(I164+I165+I166,2)</f>
        <v>0</v>
      </c>
    </row>
    <row r="168" spans="1:11" ht="5.0999999999999996" customHeight="1" x14ac:dyDescent="0.25"/>
    <row r="169" spans="1:11" x14ac:dyDescent="0.25">
      <c r="A169" s="97" t="s">
        <v>90</v>
      </c>
      <c r="B169" s="97"/>
      <c r="C169" s="97"/>
      <c r="D169" s="97"/>
      <c r="E169" s="97"/>
      <c r="F169" s="97"/>
      <c r="G169" s="97"/>
      <c r="H169" s="97"/>
      <c r="I169" s="97"/>
    </row>
    <row r="170" spans="1:11" ht="15" customHeight="1" x14ac:dyDescent="0.25">
      <c r="A170" s="10">
        <v>1</v>
      </c>
      <c r="B170" s="98" t="s">
        <v>118</v>
      </c>
      <c r="C170" s="99"/>
      <c r="D170" s="99"/>
      <c r="E170" s="99"/>
      <c r="F170" s="99"/>
      <c r="G170" s="100"/>
      <c r="H170" s="11">
        <f>I170/$G$175</f>
        <v>6.1500030224973287E-2</v>
      </c>
      <c r="I170" s="12">
        <f>I141</f>
        <v>357.87421088183982</v>
      </c>
    </row>
    <row r="171" spans="1:11" ht="15" customHeight="1" x14ac:dyDescent="0.25">
      <c r="A171" s="102" t="s">
        <v>119</v>
      </c>
      <c r="B171" s="103"/>
      <c r="C171" s="103"/>
      <c r="D171" s="103"/>
      <c r="E171" s="103"/>
      <c r="F171" s="103"/>
      <c r="G171" s="104"/>
      <c r="H171" s="31">
        <f>H170</f>
        <v>6.1500030224973287E-2</v>
      </c>
      <c r="I171" s="32">
        <f>ROUND(I141,2)</f>
        <v>357.87</v>
      </c>
      <c r="K171" s="55"/>
    </row>
    <row r="172" spans="1:11" ht="5.0999999999999996" customHeight="1" x14ac:dyDescent="0.25"/>
    <row r="173" spans="1:11" x14ac:dyDescent="0.25">
      <c r="A173" s="125" t="s">
        <v>109</v>
      </c>
      <c r="B173" s="125"/>
      <c r="C173" s="125"/>
      <c r="D173" s="125"/>
      <c r="E173" s="125"/>
      <c r="F173" s="125"/>
      <c r="G173" s="125"/>
      <c r="H173" s="125"/>
      <c r="I173" s="125"/>
    </row>
    <row r="174" spans="1:11" ht="45" x14ac:dyDescent="0.25">
      <c r="A174" s="126" t="s">
        <v>120</v>
      </c>
      <c r="B174" s="126"/>
      <c r="C174" s="126"/>
      <c r="D174" s="126"/>
      <c r="E174" s="126"/>
      <c r="F174" s="126"/>
      <c r="G174" s="56" t="s">
        <v>121</v>
      </c>
      <c r="H174" s="56" t="s">
        <v>122</v>
      </c>
      <c r="I174" s="56" t="s">
        <v>123</v>
      </c>
    </row>
    <row r="175" spans="1:11" ht="11.25" customHeight="1" x14ac:dyDescent="0.25">
      <c r="A175" s="127" t="str">
        <f>D5</f>
        <v>Vigilantes</v>
      </c>
      <c r="B175" s="128"/>
      <c r="C175" s="128"/>
      <c r="D175" s="128"/>
      <c r="E175" s="128"/>
      <c r="F175" s="129"/>
      <c r="G175" s="57">
        <f>I161+I167+I171</f>
        <v>5819.09</v>
      </c>
      <c r="H175" s="56">
        <f>IF(D6="12x36",2,1)</f>
        <v>2</v>
      </c>
      <c r="I175" s="57">
        <f>G175*H175</f>
        <v>11638.18</v>
      </c>
    </row>
    <row r="176" spans="1:11" x14ac:dyDescent="0.25">
      <c r="A176" s="127"/>
      <c r="B176" s="128"/>
      <c r="C176" s="128"/>
      <c r="D176" s="128"/>
      <c r="E176" s="128"/>
      <c r="F176" s="129"/>
      <c r="G176" s="56"/>
      <c r="H176" s="56"/>
      <c r="I176" s="57"/>
    </row>
    <row r="177" spans="1:10" s="16" customFormat="1" ht="12" x14ac:dyDescent="0.25">
      <c r="A177" s="122" t="s">
        <v>124</v>
      </c>
      <c r="B177" s="123"/>
      <c r="C177" s="123"/>
      <c r="D177" s="123"/>
      <c r="E177" s="123"/>
      <c r="F177" s="123"/>
      <c r="G177" s="123"/>
      <c r="H177" s="124"/>
      <c r="I177" s="58">
        <f>I175</f>
        <v>11638.18</v>
      </c>
      <c r="J177" s="23"/>
    </row>
  </sheetData>
  <mergeCells count="175">
    <mergeCell ref="G5:H6"/>
    <mergeCell ref="I5:I6"/>
    <mergeCell ref="D7:F7"/>
    <mergeCell ref="A7:C7"/>
    <mergeCell ref="A6:C6"/>
    <mergeCell ref="A28:F28"/>
    <mergeCell ref="A20:F22"/>
    <mergeCell ref="G20:G22"/>
    <mergeCell ref="A8:C8"/>
    <mergeCell ref="D8:F8"/>
    <mergeCell ref="G7:H8"/>
    <mergeCell ref="A9:C9"/>
    <mergeCell ref="A17:F19"/>
    <mergeCell ref="G17:G19"/>
    <mergeCell ref="A24:F24"/>
    <mergeCell ref="A12:F12"/>
    <mergeCell ref="A26:F27"/>
    <mergeCell ref="A1:I1"/>
    <mergeCell ref="A2:B2"/>
    <mergeCell ref="C2:D2"/>
    <mergeCell ref="E2:I2"/>
    <mergeCell ref="A3:B3"/>
    <mergeCell ref="A23:F23"/>
    <mergeCell ref="D9:F9"/>
    <mergeCell ref="G9:H9"/>
    <mergeCell ref="B46:G46"/>
    <mergeCell ref="B34:G34"/>
    <mergeCell ref="B32:G32"/>
    <mergeCell ref="B33:G33"/>
    <mergeCell ref="A10:F10"/>
    <mergeCell ref="A11:F11"/>
    <mergeCell ref="A14:F16"/>
    <mergeCell ref="G14:G16"/>
    <mergeCell ref="I7:I8"/>
    <mergeCell ref="A13:F13"/>
    <mergeCell ref="A29:F29"/>
    <mergeCell ref="A31:I31"/>
    <mergeCell ref="D5:F5"/>
    <mergeCell ref="A5:C5"/>
    <mergeCell ref="D6:F6"/>
    <mergeCell ref="A25:F25"/>
    <mergeCell ref="B47:G47"/>
    <mergeCell ref="B48:G48"/>
    <mergeCell ref="B49:G49"/>
    <mergeCell ref="B50:G50"/>
    <mergeCell ref="B51:G51"/>
    <mergeCell ref="B35:G35"/>
    <mergeCell ref="B36:G36"/>
    <mergeCell ref="B40:G40"/>
    <mergeCell ref="A44:G44"/>
    <mergeCell ref="B37:G37"/>
    <mergeCell ref="B38:G38"/>
    <mergeCell ref="B43:G43"/>
    <mergeCell ref="B41:G41"/>
    <mergeCell ref="B42:G42"/>
    <mergeCell ref="B39:G39"/>
    <mergeCell ref="B58:G58"/>
    <mergeCell ref="B59:G59"/>
    <mergeCell ref="B60:G60"/>
    <mergeCell ref="B61:G61"/>
    <mergeCell ref="B62:G62"/>
    <mergeCell ref="B63:G63"/>
    <mergeCell ref="B52:G52"/>
    <mergeCell ref="B53:G53"/>
    <mergeCell ref="B54:G54"/>
    <mergeCell ref="A55:G55"/>
    <mergeCell ref="A56:I56"/>
    <mergeCell ref="A57:I57"/>
    <mergeCell ref="B70:G70"/>
    <mergeCell ref="B71:G71"/>
    <mergeCell ref="B72:G72"/>
    <mergeCell ref="B73:G73"/>
    <mergeCell ref="A74:G74"/>
    <mergeCell ref="B76:G76"/>
    <mergeCell ref="B64:G64"/>
    <mergeCell ref="B65:G65"/>
    <mergeCell ref="B66:G66"/>
    <mergeCell ref="A67:G67"/>
    <mergeCell ref="B68:I68"/>
    <mergeCell ref="B69:I69"/>
    <mergeCell ref="B87:G87"/>
    <mergeCell ref="A88:G88"/>
    <mergeCell ref="A90:I90"/>
    <mergeCell ref="A91:B91"/>
    <mergeCell ref="A92:B92"/>
    <mergeCell ref="A98:I98"/>
    <mergeCell ref="A96:B96"/>
    <mergeCell ref="B77:G77"/>
    <mergeCell ref="A78:G78"/>
    <mergeCell ref="A80:G80"/>
    <mergeCell ref="B82:G82"/>
    <mergeCell ref="B83:G83"/>
    <mergeCell ref="B85:G85"/>
    <mergeCell ref="B86:G86"/>
    <mergeCell ref="A94:I94"/>
    <mergeCell ref="A95:B95"/>
    <mergeCell ref="B84:G84"/>
    <mergeCell ref="B89:G89"/>
    <mergeCell ref="B107:G107"/>
    <mergeCell ref="B108:G108"/>
    <mergeCell ref="B109:G109"/>
    <mergeCell ref="B110:G110"/>
    <mergeCell ref="B111:G111"/>
    <mergeCell ref="A112:G112"/>
    <mergeCell ref="A99:B99"/>
    <mergeCell ref="A100:B100"/>
    <mergeCell ref="A102:G102"/>
    <mergeCell ref="A104:I104"/>
    <mergeCell ref="B105:G105"/>
    <mergeCell ref="B106:G106"/>
    <mergeCell ref="B120:G120"/>
    <mergeCell ref="B121:G121"/>
    <mergeCell ref="A122:G122"/>
    <mergeCell ref="B124:G124"/>
    <mergeCell ref="B125:G125"/>
    <mergeCell ref="A126:G126"/>
    <mergeCell ref="B113:I113"/>
    <mergeCell ref="A115:E115"/>
    <mergeCell ref="A116:B116"/>
    <mergeCell ref="A117:B117"/>
    <mergeCell ref="B118:I118"/>
    <mergeCell ref="B119:G119"/>
    <mergeCell ref="B136:G136"/>
    <mergeCell ref="B137:G137"/>
    <mergeCell ref="B138:G138"/>
    <mergeCell ref="B139:G139"/>
    <mergeCell ref="B140:G140"/>
    <mergeCell ref="A141:G141"/>
    <mergeCell ref="A128:E128"/>
    <mergeCell ref="A129:B129"/>
    <mergeCell ref="A130:B130"/>
    <mergeCell ref="A132:G132"/>
    <mergeCell ref="A134:I134"/>
    <mergeCell ref="B135:G135"/>
    <mergeCell ref="A146:B146"/>
    <mergeCell ref="D146:E146"/>
    <mergeCell ref="H146:I146"/>
    <mergeCell ref="A147:B147"/>
    <mergeCell ref="H147:I147"/>
    <mergeCell ref="A148:B148"/>
    <mergeCell ref="H148:I148"/>
    <mergeCell ref="B142:I142"/>
    <mergeCell ref="B143:I143"/>
    <mergeCell ref="A144:I144"/>
    <mergeCell ref="A145:B145"/>
    <mergeCell ref="D145:E145"/>
    <mergeCell ref="H145:I145"/>
    <mergeCell ref="A177:H177"/>
    <mergeCell ref="B170:G170"/>
    <mergeCell ref="A171:G171"/>
    <mergeCell ref="A173:I173"/>
    <mergeCell ref="A174:F174"/>
    <mergeCell ref="A175:F175"/>
    <mergeCell ref="A176:F176"/>
    <mergeCell ref="A163:I163"/>
    <mergeCell ref="B164:G164"/>
    <mergeCell ref="B165:G165"/>
    <mergeCell ref="B166:G166"/>
    <mergeCell ref="A167:G167"/>
    <mergeCell ref="A169:I169"/>
    <mergeCell ref="A156:I156"/>
    <mergeCell ref="A157:I157"/>
    <mergeCell ref="B158:G158"/>
    <mergeCell ref="B159:G159"/>
    <mergeCell ref="B160:G160"/>
    <mergeCell ref="A161:G161"/>
    <mergeCell ref="A149:B149"/>
    <mergeCell ref="H149:I149"/>
    <mergeCell ref="A152:I152"/>
    <mergeCell ref="H151:I151"/>
    <mergeCell ref="B153:I153"/>
    <mergeCell ref="A154:G154"/>
    <mergeCell ref="H150:I150"/>
    <mergeCell ref="B150:E151"/>
    <mergeCell ref="A150:A151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5"/>
  <sheetViews>
    <sheetView tabSelected="1" view="pageBreakPreview" zoomScale="130" zoomScaleNormal="130" zoomScaleSheetLayoutView="130" workbookViewId="0">
      <selection sqref="A1:I1"/>
    </sheetView>
  </sheetViews>
  <sheetFormatPr defaultColWidth="9.140625" defaultRowHeight="11.25" x14ac:dyDescent="0.25"/>
  <cols>
    <col min="1" max="1" width="2.85546875" style="3" customWidth="1"/>
    <col min="2" max="4" width="11.28515625" style="3" customWidth="1"/>
    <col min="5" max="5" width="12.140625" style="3" customWidth="1"/>
    <col min="6" max="7" width="11.28515625" style="3" customWidth="1"/>
    <col min="8" max="8" width="9.28515625" style="3" customWidth="1"/>
    <col min="9" max="9" width="11.7109375" style="3" customWidth="1"/>
    <col min="10" max="10" width="11.140625" style="1" customWidth="1"/>
    <col min="11" max="11" width="10" style="3" customWidth="1"/>
    <col min="12" max="12" width="9.140625" style="3"/>
    <col min="13" max="15" width="22.28515625" style="3" customWidth="1"/>
    <col min="16" max="16384" width="9.140625" style="3"/>
  </cols>
  <sheetData>
    <row r="1" spans="1:11" ht="27.75" customHeight="1" x14ac:dyDescent="0.25">
      <c r="A1" s="139" t="s">
        <v>191</v>
      </c>
      <c r="B1" s="139"/>
      <c r="C1" s="139"/>
      <c r="D1" s="139"/>
      <c r="E1" s="139"/>
      <c r="F1" s="139"/>
      <c r="G1" s="139"/>
      <c r="H1" s="139"/>
      <c r="I1" s="139"/>
      <c r="K1" s="2"/>
    </row>
    <row r="2" spans="1:11" ht="22.5" customHeight="1" x14ac:dyDescent="0.25">
      <c r="A2" s="139" t="s">
        <v>0</v>
      </c>
      <c r="B2" s="139"/>
      <c r="C2" s="173" t="s">
        <v>199</v>
      </c>
      <c r="D2" s="173"/>
      <c r="E2" s="174" t="s">
        <v>189</v>
      </c>
      <c r="F2" s="174"/>
      <c r="G2" s="174"/>
      <c r="H2" s="174"/>
      <c r="I2" s="174"/>
    </row>
    <row r="3" spans="1:11" ht="11.25" customHeight="1" x14ac:dyDescent="0.25">
      <c r="A3" s="139" t="s">
        <v>1</v>
      </c>
      <c r="B3" s="139"/>
      <c r="C3" s="4"/>
      <c r="D3" s="5"/>
      <c r="E3" s="6" t="s">
        <v>2</v>
      </c>
      <c r="F3" s="4"/>
      <c r="G3" s="5"/>
      <c r="H3" s="5"/>
      <c r="I3" s="5"/>
    </row>
    <row r="4" spans="1:11" ht="5.0999999999999996" customHeight="1" x14ac:dyDescent="0.25"/>
    <row r="5" spans="1:11" ht="18.75" customHeight="1" x14ac:dyDescent="0.25">
      <c r="A5" s="158" t="s">
        <v>159</v>
      </c>
      <c r="B5" s="159"/>
      <c r="C5" s="160"/>
      <c r="D5" s="189" t="s">
        <v>200</v>
      </c>
      <c r="E5" s="190"/>
      <c r="F5" s="191"/>
      <c r="G5" s="192" t="str">
        <f>IF(D6="12x36","Regime de trabalho:","Quantidade de HORAS/MÊS")</f>
        <v>Regime de trabalho:</v>
      </c>
      <c r="H5" s="193"/>
      <c r="I5" s="196" t="str">
        <f>IF(D6="12x36",D6,5*D6)</f>
        <v>12X36</v>
      </c>
    </row>
    <row r="6" spans="1:11" ht="18.75" customHeight="1" x14ac:dyDescent="0.25">
      <c r="A6" s="158" t="str">
        <f>IF(D6="12x36","Regime de trabalho:","Regime de trabalho (horas semanais):")</f>
        <v>Regime de trabalho:</v>
      </c>
      <c r="B6" s="159"/>
      <c r="C6" s="160"/>
      <c r="D6" s="158" t="s">
        <v>201</v>
      </c>
      <c r="E6" s="159"/>
      <c r="F6" s="160"/>
      <c r="G6" s="194"/>
      <c r="H6" s="195"/>
      <c r="I6" s="197"/>
    </row>
    <row r="7" spans="1:11" ht="22.5" customHeight="1" x14ac:dyDescent="0.25">
      <c r="A7" s="158" t="s">
        <v>166</v>
      </c>
      <c r="B7" s="159"/>
      <c r="C7" s="160"/>
      <c r="D7" s="98" t="s">
        <v>202</v>
      </c>
      <c r="E7" s="99"/>
      <c r="F7" s="100"/>
      <c r="G7" s="198" t="s">
        <v>160</v>
      </c>
      <c r="H7" s="199"/>
      <c r="I7" s="186" t="s">
        <v>145</v>
      </c>
    </row>
    <row r="8" spans="1:11" ht="22.5" customHeight="1" x14ac:dyDescent="0.25">
      <c r="A8" s="158" t="s">
        <v>167</v>
      </c>
      <c r="B8" s="159"/>
      <c r="C8" s="160"/>
      <c r="D8" s="98" t="s">
        <v>202</v>
      </c>
      <c r="E8" s="99"/>
      <c r="F8" s="100"/>
      <c r="G8" s="200"/>
      <c r="H8" s="201"/>
      <c r="I8" s="187"/>
    </row>
    <row r="9" spans="1:11" ht="24.75" customHeight="1" x14ac:dyDescent="0.25">
      <c r="A9" s="158" t="s">
        <v>134</v>
      </c>
      <c r="B9" s="159"/>
      <c r="C9" s="160"/>
      <c r="D9" s="158" t="s">
        <v>203</v>
      </c>
      <c r="E9" s="159"/>
      <c r="F9" s="160"/>
      <c r="G9" s="213" t="s">
        <v>161</v>
      </c>
      <c r="H9" s="214"/>
      <c r="I9" s="8">
        <v>0.3</v>
      </c>
    </row>
    <row r="10" spans="1:11" ht="32.25" customHeight="1" x14ac:dyDescent="0.25">
      <c r="A10" s="178" t="s">
        <v>131</v>
      </c>
      <c r="B10" s="179"/>
      <c r="C10" s="179"/>
      <c r="D10" s="179"/>
      <c r="E10" s="179"/>
      <c r="F10" s="179"/>
      <c r="G10" s="70" t="s">
        <v>168</v>
      </c>
      <c r="H10" s="7">
        <v>220</v>
      </c>
      <c r="I10" s="72">
        <v>2105.4</v>
      </c>
    </row>
    <row r="11" spans="1:11" ht="15" customHeight="1" x14ac:dyDescent="0.25">
      <c r="A11" s="180" t="s">
        <v>165</v>
      </c>
      <c r="B11" s="181"/>
      <c r="C11" s="181"/>
      <c r="D11" s="181"/>
      <c r="E11" s="181"/>
      <c r="F11" s="181"/>
      <c r="G11" s="7" t="str">
        <f>D9</f>
        <v>Porto Alegre</v>
      </c>
      <c r="H11" s="7" t="s">
        <v>3</v>
      </c>
      <c r="I11" s="84">
        <v>2.5000000000000001E-2</v>
      </c>
    </row>
    <row r="12" spans="1:11" ht="26.25" customHeight="1" x14ac:dyDescent="0.25">
      <c r="A12" s="180" t="s">
        <v>181</v>
      </c>
      <c r="B12" s="181"/>
      <c r="C12" s="181"/>
      <c r="D12" s="181"/>
      <c r="E12" s="181"/>
      <c r="F12" s="188"/>
      <c r="G12" s="7" t="s">
        <v>4</v>
      </c>
      <c r="H12" s="7" t="s">
        <v>141</v>
      </c>
      <c r="I12" s="72">
        <v>1.59</v>
      </c>
    </row>
    <row r="13" spans="1:11" ht="16.5" customHeight="1" x14ac:dyDescent="0.25">
      <c r="A13" s="180" t="s">
        <v>190</v>
      </c>
      <c r="B13" s="181"/>
      <c r="C13" s="181"/>
      <c r="D13" s="181"/>
      <c r="E13" s="181"/>
      <c r="F13" s="188"/>
      <c r="G13" s="7"/>
      <c r="H13" s="7"/>
      <c r="I13" s="73">
        <v>15</v>
      </c>
    </row>
    <row r="14" spans="1:11" ht="15" customHeight="1" x14ac:dyDescent="0.25">
      <c r="A14" s="176" t="s">
        <v>132</v>
      </c>
      <c r="B14" s="182"/>
      <c r="C14" s="182"/>
      <c r="D14" s="182"/>
      <c r="E14" s="182"/>
      <c r="F14" s="182"/>
      <c r="G14" s="185" t="s">
        <v>4</v>
      </c>
      <c r="H14" s="7" t="s">
        <v>5</v>
      </c>
      <c r="I14" s="72">
        <v>5</v>
      </c>
    </row>
    <row r="15" spans="1:11" x14ac:dyDescent="0.25">
      <c r="A15" s="183"/>
      <c r="B15" s="184"/>
      <c r="C15" s="184"/>
      <c r="D15" s="184"/>
      <c r="E15" s="184"/>
      <c r="F15" s="184"/>
      <c r="G15" s="185"/>
      <c r="H15" s="7" t="s">
        <v>6</v>
      </c>
      <c r="I15" s="73">
        <f>I13</f>
        <v>15</v>
      </c>
    </row>
    <row r="16" spans="1:11" x14ac:dyDescent="0.25">
      <c r="A16" s="178"/>
      <c r="B16" s="179"/>
      <c r="C16" s="179"/>
      <c r="D16" s="179"/>
      <c r="E16" s="179"/>
      <c r="F16" s="179"/>
      <c r="G16" s="185"/>
      <c r="H16" s="7" t="s">
        <v>7</v>
      </c>
      <c r="I16" s="8">
        <v>0.06</v>
      </c>
    </row>
    <row r="17" spans="1:10" ht="11.25" customHeight="1" x14ac:dyDescent="0.25">
      <c r="A17" s="161" t="s">
        <v>135</v>
      </c>
      <c r="B17" s="161"/>
      <c r="C17" s="161"/>
      <c r="D17" s="161"/>
      <c r="E17" s="161"/>
      <c r="F17" s="180"/>
      <c r="G17" s="185" t="s">
        <v>4</v>
      </c>
      <c r="H17" s="7" t="s">
        <v>5</v>
      </c>
      <c r="I17" s="72">
        <v>30</v>
      </c>
    </row>
    <row r="18" spans="1:10" ht="11.25" customHeight="1" x14ac:dyDescent="0.25">
      <c r="A18" s="161"/>
      <c r="B18" s="161"/>
      <c r="C18" s="161"/>
      <c r="D18" s="161"/>
      <c r="E18" s="161"/>
      <c r="F18" s="180"/>
      <c r="G18" s="185"/>
      <c r="H18" s="7" t="s">
        <v>6</v>
      </c>
      <c r="I18" s="73">
        <f>I13</f>
        <v>15</v>
      </c>
    </row>
    <row r="19" spans="1:10" x14ac:dyDescent="0.25">
      <c r="A19" s="161"/>
      <c r="B19" s="161"/>
      <c r="C19" s="161"/>
      <c r="D19" s="161"/>
      <c r="E19" s="161"/>
      <c r="F19" s="180"/>
      <c r="G19" s="185"/>
      <c r="H19" s="7" t="s">
        <v>7</v>
      </c>
      <c r="I19" s="8">
        <v>0.2</v>
      </c>
    </row>
    <row r="20" spans="1:10" ht="11.25" customHeight="1" x14ac:dyDescent="0.25">
      <c r="A20" s="161" t="s">
        <v>163</v>
      </c>
      <c r="B20" s="161"/>
      <c r="C20" s="161"/>
      <c r="D20" s="161"/>
      <c r="E20" s="161"/>
      <c r="F20" s="180"/>
      <c r="G20" s="185" t="s">
        <v>4</v>
      </c>
      <c r="H20" s="7" t="s">
        <v>5</v>
      </c>
      <c r="I20" s="72">
        <v>0</v>
      </c>
    </row>
    <row r="21" spans="1:10" x14ac:dyDescent="0.25">
      <c r="A21" s="161"/>
      <c r="B21" s="161"/>
      <c r="C21" s="161"/>
      <c r="D21" s="161"/>
      <c r="E21" s="161"/>
      <c r="F21" s="180"/>
      <c r="G21" s="185"/>
      <c r="H21" s="7" t="s">
        <v>6</v>
      </c>
      <c r="I21" s="73">
        <f>I13</f>
        <v>15</v>
      </c>
    </row>
    <row r="22" spans="1:10" x14ac:dyDescent="0.25">
      <c r="A22" s="161"/>
      <c r="B22" s="161"/>
      <c r="C22" s="161"/>
      <c r="D22" s="161"/>
      <c r="E22" s="161"/>
      <c r="F22" s="180"/>
      <c r="G22" s="185"/>
      <c r="H22" s="7" t="s">
        <v>7</v>
      </c>
      <c r="I22" s="8">
        <v>0</v>
      </c>
    </row>
    <row r="23" spans="1:10" ht="36" customHeight="1" x14ac:dyDescent="0.25">
      <c r="A23" s="175" t="s">
        <v>204</v>
      </c>
      <c r="B23" s="175"/>
      <c r="C23" s="175"/>
      <c r="D23" s="175"/>
      <c r="E23" s="175"/>
      <c r="F23" s="176"/>
      <c r="G23" s="71" t="s">
        <v>4</v>
      </c>
      <c r="H23" s="71" t="s">
        <v>146</v>
      </c>
      <c r="I23" s="75">
        <v>90.04</v>
      </c>
    </row>
    <row r="24" spans="1:10" ht="22.5" x14ac:dyDescent="0.25">
      <c r="A24" s="180" t="s">
        <v>144</v>
      </c>
      <c r="B24" s="181"/>
      <c r="C24" s="181"/>
      <c r="D24" s="181"/>
      <c r="E24" s="181"/>
      <c r="F24" s="188"/>
      <c r="G24" s="71"/>
      <c r="H24" s="71" t="s">
        <v>136</v>
      </c>
      <c r="I24" s="74"/>
    </row>
    <row r="25" spans="1:10" ht="36" customHeight="1" x14ac:dyDescent="0.25">
      <c r="A25" s="161" t="s">
        <v>180</v>
      </c>
      <c r="B25" s="161"/>
      <c r="C25" s="161"/>
      <c r="D25" s="161"/>
      <c r="E25" s="161"/>
      <c r="F25" s="161"/>
      <c r="G25" s="7"/>
      <c r="H25" s="7" t="s">
        <v>141</v>
      </c>
      <c r="I25" s="72" t="s">
        <v>145</v>
      </c>
    </row>
    <row r="26" spans="1:10" ht="15" customHeight="1" x14ac:dyDescent="0.25">
      <c r="A26" s="176" t="s">
        <v>195</v>
      </c>
      <c r="B26" s="182"/>
      <c r="C26" s="182"/>
      <c r="D26" s="182"/>
      <c r="E26" s="182"/>
      <c r="F26" s="203"/>
      <c r="G26" s="71"/>
      <c r="H26" s="90" t="s">
        <v>147</v>
      </c>
      <c r="I26" s="77" t="s">
        <v>145</v>
      </c>
    </row>
    <row r="27" spans="1:10" ht="15" customHeight="1" x14ac:dyDescent="0.25">
      <c r="A27" s="178"/>
      <c r="B27" s="179"/>
      <c r="C27" s="179"/>
      <c r="D27" s="179"/>
      <c r="E27" s="179"/>
      <c r="F27" s="204"/>
      <c r="G27" s="71"/>
      <c r="H27" s="91" t="s">
        <v>193</v>
      </c>
      <c r="I27" s="8" t="s">
        <v>145</v>
      </c>
    </row>
    <row r="28" spans="1:10" ht="26.25" customHeight="1" x14ac:dyDescent="0.25">
      <c r="A28" s="180" t="s">
        <v>197</v>
      </c>
      <c r="B28" s="181"/>
      <c r="C28" s="181"/>
      <c r="D28" s="181"/>
      <c r="E28" s="181"/>
      <c r="F28" s="188"/>
      <c r="G28" s="71"/>
      <c r="H28" s="76" t="s">
        <v>147</v>
      </c>
      <c r="I28" s="77">
        <v>15</v>
      </c>
    </row>
    <row r="29" spans="1:10" ht="36.75" customHeight="1" x14ac:dyDescent="0.25">
      <c r="A29" s="161" t="s">
        <v>158</v>
      </c>
      <c r="B29" s="161"/>
      <c r="C29" s="161"/>
      <c r="D29" s="161"/>
      <c r="E29" s="161"/>
      <c r="F29" s="161"/>
      <c r="G29" s="7"/>
      <c r="H29" s="70" t="s">
        <v>136</v>
      </c>
      <c r="I29" s="8">
        <v>0.2</v>
      </c>
    </row>
    <row r="30" spans="1:10" ht="24.75" customHeight="1" x14ac:dyDescent="0.25">
      <c r="A30" s="209" t="s">
        <v>154</v>
      </c>
      <c r="B30" s="209"/>
      <c r="C30" s="209"/>
      <c r="D30" s="209"/>
      <c r="E30" s="209"/>
      <c r="F30" s="209"/>
      <c r="G30" s="210" t="s">
        <v>4</v>
      </c>
      <c r="H30" s="78" t="s">
        <v>150</v>
      </c>
      <c r="I30" s="82">
        <f>((60/52.5)*7)*15</f>
        <v>120</v>
      </c>
    </row>
    <row r="31" spans="1:10" ht="24.75" customHeight="1" x14ac:dyDescent="0.25">
      <c r="A31" s="209"/>
      <c r="B31" s="209"/>
      <c r="C31" s="209"/>
      <c r="D31" s="209"/>
      <c r="E31" s="209"/>
      <c r="F31" s="209"/>
      <c r="G31" s="210"/>
      <c r="H31" s="78" t="s">
        <v>151</v>
      </c>
      <c r="I31" s="78">
        <f>I10/H10*20%</f>
        <v>1.9140000000000001</v>
      </c>
    </row>
    <row r="32" spans="1:10" ht="29.25" customHeight="1" x14ac:dyDescent="0.25">
      <c r="A32" s="211" t="s">
        <v>188</v>
      </c>
      <c r="B32" s="211"/>
      <c r="C32" s="211"/>
      <c r="D32" s="211"/>
      <c r="E32" s="211"/>
      <c r="F32" s="211"/>
      <c r="G32" s="210" t="s">
        <v>4</v>
      </c>
      <c r="H32" s="76" t="s">
        <v>150</v>
      </c>
      <c r="I32" s="83">
        <f>((5+7+1)*15)-190.67</f>
        <v>4.3300000000000125</v>
      </c>
      <c r="J32" s="88"/>
    </row>
    <row r="33" spans="1:10" ht="30.75" customHeight="1" x14ac:dyDescent="0.25">
      <c r="A33" s="211"/>
      <c r="B33" s="211"/>
      <c r="C33" s="211"/>
      <c r="D33" s="211"/>
      <c r="E33" s="211"/>
      <c r="F33" s="211"/>
      <c r="G33" s="210"/>
      <c r="H33" s="76" t="s">
        <v>151</v>
      </c>
      <c r="I33" s="89">
        <f>(I10/H10)*1.5</f>
        <v>14.355</v>
      </c>
    </row>
    <row r="34" spans="1:10" ht="5.0999999999999996" customHeight="1" x14ac:dyDescent="0.25"/>
    <row r="35" spans="1:10" ht="17.25" customHeight="1" x14ac:dyDescent="0.25">
      <c r="A35" s="97" t="s">
        <v>8</v>
      </c>
      <c r="B35" s="97"/>
      <c r="C35" s="97"/>
      <c r="D35" s="97"/>
      <c r="E35" s="97"/>
      <c r="F35" s="97"/>
      <c r="G35" s="97"/>
      <c r="H35" s="97"/>
      <c r="I35" s="97"/>
    </row>
    <row r="36" spans="1:10" ht="33.75" x14ac:dyDescent="0.25">
      <c r="A36" s="9" t="s">
        <v>9</v>
      </c>
      <c r="B36" s="148" t="s">
        <v>10</v>
      </c>
      <c r="C36" s="149"/>
      <c r="D36" s="149"/>
      <c r="E36" s="149"/>
      <c r="F36" s="149"/>
      <c r="G36" s="150"/>
      <c r="H36" s="9" t="s">
        <v>11</v>
      </c>
      <c r="I36" s="9" t="s">
        <v>12</v>
      </c>
    </row>
    <row r="37" spans="1:10" ht="15" customHeight="1" x14ac:dyDescent="0.25">
      <c r="A37" s="10">
        <v>1</v>
      </c>
      <c r="B37" s="98" t="s">
        <v>13</v>
      </c>
      <c r="C37" s="99"/>
      <c r="D37" s="99"/>
      <c r="E37" s="99"/>
      <c r="F37" s="99"/>
      <c r="G37" s="100"/>
      <c r="H37" s="11">
        <f t="shared" ref="H37:H51" si="0">I37/$I$52</f>
        <v>0.6519291671844184</v>
      </c>
      <c r="I37" s="12">
        <f>IF(D6="12x36",I10,I10/H10*I5)</f>
        <v>2105.4</v>
      </c>
    </row>
    <row r="38" spans="1:10" ht="15" customHeight="1" x14ac:dyDescent="0.25">
      <c r="A38" s="10">
        <f>A37+1</f>
        <v>2</v>
      </c>
      <c r="B38" s="98" t="s">
        <v>14</v>
      </c>
      <c r="C38" s="99"/>
      <c r="D38" s="99"/>
      <c r="E38" s="99"/>
      <c r="F38" s="99"/>
      <c r="G38" s="100"/>
      <c r="H38" s="11">
        <f t="shared" si="0"/>
        <v>0</v>
      </c>
      <c r="I38" s="47">
        <v>0</v>
      </c>
      <c r="J38" s="13"/>
    </row>
    <row r="39" spans="1:10" ht="15" customHeight="1" x14ac:dyDescent="0.25">
      <c r="A39" s="10">
        <f t="shared" ref="A39:A51" si="1">A38+1</f>
        <v>3</v>
      </c>
      <c r="B39" s="98" t="s">
        <v>192</v>
      </c>
      <c r="C39" s="99"/>
      <c r="D39" s="99"/>
      <c r="E39" s="99"/>
      <c r="F39" s="99"/>
      <c r="G39" s="100"/>
      <c r="H39" s="11">
        <f t="shared" si="0"/>
        <v>0.23076923076923078</v>
      </c>
      <c r="I39" s="12">
        <f>IF(I9=30%,(I37+I49+I46+I47+I48+I50)*I9,0)</f>
        <v>745.26737400000002</v>
      </c>
    </row>
    <row r="40" spans="1:10" ht="15" customHeight="1" x14ac:dyDescent="0.25">
      <c r="A40" s="10">
        <f t="shared" si="1"/>
        <v>4</v>
      </c>
      <c r="B40" s="101" t="s">
        <v>142</v>
      </c>
      <c r="C40" s="101"/>
      <c r="D40" s="101"/>
      <c r="E40" s="101"/>
      <c r="F40" s="101"/>
      <c r="G40" s="101"/>
      <c r="H40" s="11">
        <f t="shared" si="0"/>
        <v>0</v>
      </c>
      <c r="I40" s="12">
        <f>IF(I7=10%,I25*I7,0)</f>
        <v>0</v>
      </c>
    </row>
    <row r="41" spans="1:10" ht="15" customHeight="1" x14ac:dyDescent="0.25">
      <c r="A41" s="10">
        <f t="shared" si="1"/>
        <v>5</v>
      </c>
      <c r="B41" s="101" t="s">
        <v>137</v>
      </c>
      <c r="C41" s="101"/>
      <c r="D41" s="101"/>
      <c r="E41" s="101"/>
      <c r="F41" s="101"/>
      <c r="G41" s="101"/>
      <c r="H41" s="11">
        <f t="shared" si="0"/>
        <v>0</v>
      </c>
      <c r="I41" s="12">
        <f>IF(I7=20%,I25*I7,0)</f>
        <v>0</v>
      </c>
    </row>
    <row r="42" spans="1:10" ht="15" customHeight="1" x14ac:dyDescent="0.25">
      <c r="A42" s="10">
        <f t="shared" si="1"/>
        <v>6</v>
      </c>
      <c r="B42" s="101" t="s">
        <v>138</v>
      </c>
      <c r="C42" s="101"/>
      <c r="D42" s="101"/>
      <c r="E42" s="101"/>
      <c r="F42" s="101"/>
      <c r="G42" s="101"/>
      <c r="H42" s="11">
        <f t="shared" si="0"/>
        <v>0</v>
      </c>
      <c r="I42" s="12">
        <f>IF(I7=40%,I25*I7,0)</f>
        <v>0</v>
      </c>
    </row>
    <row r="43" spans="1:10" ht="15" customHeight="1" x14ac:dyDescent="0.25">
      <c r="A43" s="10">
        <f t="shared" si="1"/>
        <v>7</v>
      </c>
      <c r="B43" s="98" t="s">
        <v>169</v>
      </c>
      <c r="C43" s="99"/>
      <c r="D43" s="99"/>
      <c r="E43" s="99"/>
      <c r="F43" s="99"/>
      <c r="G43" s="100"/>
      <c r="H43" s="11">
        <f t="shared" si="0"/>
        <v>0</v>
      </c>
      <c r="I43" s="12">
        <f>IF(I24="Não aplicável",0,I37*I24)</f>
        <v>0</v>
      </c>
    </row>
    <row r="44" spans="1:10" ht="15" customHeight="1" x14ac:dyDescent="0.25">
      <c r="A44" s="10">
        <f t="shared" si="1"/>
        <v>8</v>
      </c>
      <c r="B44" s="98" t="s">
        <v>194</v>
      </c>
      <c r="C44" s="99"/>
      <c r="D44" s="99"/>
      <c r="E44" s="99"/>
      <c r="F44" s="99"/>
      <c r="G44" s="100"/>
      <c r="H44" s="11">
        <f t="shared" si="0"/>
        <v>0</v>
      </c>
      <c r="I44" s="12">
        <f>IF(I26="Não aplicável",0,(I37+I38+I39+I40+I41+I42+I43+I51)/I5*I26*(1+I27))</f>
        <v>0</v>
      </c>
    </row>
    <row r="45" spans="1:10" ht="21" customHeight="1" x14ac:dyDescent="0.25">
      <c r="A45" s="10">
        <f t="shared" si="1"/>
        <v>9</v>
      </c>
      <c r="B45" s="98" t="s">
        <v>196</v>
      </c>
      <c r="C45" s="99"/>
      <c r="D45" s="99"/>
      <c r="E45" s="99"/>
      <c r="F45" s="99"/>
      <c r="G45" s="100"/>
      <c r="H45" s="11">
        <f t="shared" si="0"/>
        <v>0</v>
      </c>
      <c r="I45" s="12">
        <f>IF(I26="Não aplicável",0,I26/I13*5*(I10/H10*(1+I27)))</f>
        <v>0</v>
      </c>
    </row>
    <row r="46" spans="1:10" ht="15" customHeight="1" x14ac:dyDescent="0.25">
      <c r="A46" s="10">
        <f t="shared" si="1"/>
        <v>10</v>
      </c>
      <c r="B46" s="221" t="s">
        <v>152</v>
      </c>
      <c r="C46" s="221"/>
      <c r="D46" s="221"/>
      <c r="E46" s="221"/>
      <c r="F46" s="221"/>
      <c r="G46" s="221"/>
      <c r="H46" s="11">
        <f t="shared" si="0"/>
        <v>1.9246727003921861E-2</v>
      </c>
      <c r="I46" s="12">
        <f>I32*I33</f>
        <v>62.157150000000179</v>
      </c>
    </row>
    <row r="47" spans="1:10" ht="15" customHeight="1" x14ac:dyDescent="0.25">
      <c r="A47" s="10">
        <f t="shared" si="1"/>
        <v>11</v>
      </c>
      <c r="B47" s="221" t="s">
        <v>153</v>
      </c>
      <c r="C47" s="221"/>
      <c r="D47" s="221"/>
      <c r="E47" s="221"/>
      <c r="F47" s="221"/>
      <c r="G47" s="221"/>
      <c r="H47" s="11">
        <f t="shared" si="0"/>
        <v>7.1119545511027463E-2</v>
      </c>
      <c r="I47" s="12">
        <f>I30*I31</f>
        <v>229.68</v>
      </c>
    </row>
    <row r="48" spans="1:10" ht="24" customHeight="1" x14ac:dyDescent="0.25">
      <c r="A48" s="10">
        <f t="shared" si="1"/>
        <v>12</v>
      </c>
      <c r="B48" s="221" t="s">
        <v>155</v>
      </c>
      <c r="C48" s="221"/>
      <c r="D48" s="221"/>
      <c r="E48" s="221"/>
      <c r="F48" s="221"/>
      <c r="G48" s="221"/>
      <c r="H48" s="11">
        <f t="shared" si="0"/>
        <v>1.8073254502989865E-2</v>
      </c>
      <c r="I48" s="60">
        <f>(I46+I47)*0.2</f>
        <v>58.367430000000041</v>
      </c>
    </row>
    <row r="49" spans="1:10" ht="12.75" customHeight="1" x14ac:dyDescent="0.25">
      <c r="A49" s="10">
        <f t="shared" si="1"/>
        <v>13</v>
      </c>
      <c r="B49" s="215" t="s">
        <v>184</v>
      </c>
      <c r="C49" s="216"/>
      <c r="D49" s="216"/>
      <c r="E49" s="216"/>
      <c r="F49" s="216"/>
      <c r="G49" s="217"/>
      <c r="H49" s="11">
        <f t="shared" si="0"/>
        <v>7.3850625236764411E-3</v>
      </c>
      <c r="I49" s="60">
        <f>I12*I13</f>
        <v>23.85</v>
      </c>
    </row>
    <row r="50" spans="1:10" ht="12.75" customHeight="1" x14ac:dyDescent="0.25">
      <c r="A50" s="10">
        <f t="shared" si="1"/>
        <v>14</v>
      </c>
      <c r="B50" s="215" t="s">
        <v>185</v>
      </c>
      <c r="C50" s="216"/>
      <c r="D50" s="216"/>
      <c r="E50" s="216"/>
      <c r="F50" s="216"/>
      <c r="G50" s="217"/>
      <c r="H50" s="11">
        <f t="shared" si="0"/>
        <v>1.4770125047352883E-3</v>
      </c>
      <c r="I50" s="60">
        <f>I49*20%</f>
        <v>4.7700000000000005</v>
      </c>
    </row>
    <row r="51" spans="1:10" ht="15" customHeight="1" x14ac:dyDescent="0.25">
      <c r="A51" s="10">
        <f t="shared" si="1"/>
        <v>15</v>
      </c>
      <c r="B51" s="170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1" s="171"/>
      <c r="D51" s="171"/>
      <c r="E51" s="171"/>
      <c r="F51" s="171"/>
      <c r="G51" s="172"/>
      <c r="H51" s="11">
        <f t="shared" si="0"/>
        <v>0</v>
      </c>
      <c r="I51" s="60">
        <v>0</v>
      </c>
    </row>
    <row r="52" spans="1:10" s="16" customFormat="1" ht="15" customHeight="1" x14ac:dyDescent="0.25">
      <c r="A52" s="142" t="s">
        <v>15</v>
      </c>
      <c r="B52" s="143"/>
      <c r="C52" s="143"/>
      <c r="D52" s="143"/>
      <c r="E52" s="143"/>
      <c r="F52" s="143"/>
      <c r="G52" s="144"/>
      <c r="H52" s="14">
        <f>SUM(H37:H51)</f>
        <v>1</v>
      </c>
      <c r="I52" s="48">
        <f>SUM(I37:I51)</f>
        <v>3229.4919540000001</v>
      </c>
      <c r="J52" s="15"/>
    </row>
    <row r="53" spans="1:10" ht="5.0999999999999996" customHeight="1" x14ac:dyDescent="0.25"/>
    <row r="54" spans="1:10" ht="33.75" customHeight="1" x14ac:dyDescent="0.25">
      <c r="A54" s="9" t="s">
        <v>16</v>
      </c>
      <c r="B54" s="148" t="s">
        <v>17</v>
      </c>
      <c r="C54" s="149"/>
      <c r="D54" s="149"/>
      <c r="E54" s="149"/>
      <c r="F54" s="149"/>
      <c r="G54" s="150"/>
      <c r="H54" s="9" t="s">
        <v>11</v>
      </c>
      <c r="I54" s="9" t="s">
        <v>12</v>
      </c>
    </row>
    <row r="55" spans="1:10" ht="15" customHeight="1" x14ac:dyDescent="0.25">
      <c r="A55" s="10">
        <v>1</v>
      </c>
      <c r="B55" s="98" t="s">
        <v>18</v>
      </c>
      <c r="C55" s="99"/>
      <c r="D55" s="99"/>
      <c r="E55" s="99"/>
      <c r="F55" s="99"/>
      <c r="G55" s="100"/>
      <c r="H55" s="11">
        <v>0.2</v>
      </c>
      <c r="I55" s="12">
        <f>$I$52*H55</f>
        <v>645.89839080000002</v>
      </c>
    </row>
    <row r="56" spans="1:10" ht="15" customHeight="1" x14ac:dyDescent="0.25">
      <c r="A56" s="10">
        <v>2</v>
      </c>
      <c r="B56" s="98" t="s">
        <v>19</v>
      </c>
      <c r="C56" s="99"/>
      <c r="D56" s="99"/>
      <c r="E56" s="99"/>
      <c r="F56" s="99"/>
      <c r="G56" s="100"/>
      <c r="H56" s="11">
        <v>1.4999999999999999E-2</v>
      </c>
      <c r="I56" s="12">
        <f t="shared" ref="I56:I62" si="2">$I$52*H56</f>
        <v>48.44237931</v>
      </c>
    </row>
    <row r="57" spans="1:10" ht="15" customHeight="1" x14ac:dyDescent="0.25">
      <c r="A57" s="10">
        <v>3</v>
      </c>
      <c r="B57" s="98" t="s">
        <v>20</v>
      </c>
      <c r="C57" s="99"/>
      <c r="D57" s="99"/>
      <c r="E57" s="99"/>
      <c r="F57" s="99"/>
      <c r="G57" s="100"/>
      <c r="H57" s="11">
        <v>0.01</v>
      </c>
      <c r="I57" s="12">
        <f t="shared" si="2"/>
        <v>32.294919540000002</v>
      </c>
    </row>
    <row r="58" spans="1:10" ht="15" customHeight="1" x14ac:dyDescent="0.25">
      <c r="A58" s="10">
        <v>4</v>
      </c>
      <c r="B58" s="98" t="s">
        <v>21</v>
      </c>
      <c r="C58" s="99"/>
      <c r="D58" s="99"/>
      <c r="E58" s="99"/>
      <c r="F58" s="99"/>
      <c r="G58" s="100"/>
      <c r="H58" s="11">
        <v>2E-3</v>
      </c>
      <c r="I58" s="12">
        <f>$I$52*H58</f>
        <v>6.4589839080000004</v>
      </c>
    </row>
    <row r="59" spans="1:10" ht="15" customHeight="1" x14ac:dyDescent="0.25">
      <c r="A59" s="10">
        <v>5</v>
      </c>
      <c r="B59" s="98" t="s">
        <v>22</v>
      </c>
      <c r="C59" s="99"/>
      <c r="D59" s="99"/>
      <c r="E59" s="99"/>
      <c r="F59" s="99"/>
      <c r="G59" s="100"/>
      <c r="H59" s="11">
        <v>2.5000000000000001E-2</v>
      </c>
      <c r="I59" s="12">
        <f t="shared" si="2"/>
        <v>80.737298850000002</v>
      </c>
    </row>
    <row r="60" spans="1:10" ht="15" customHeight="1" x14ac:dyDescent="0.25">
      <c r="A60" s="10">
        <v>6</v>
      </c>
      <c r="B60" s="98" t="s">
        <v>23</v>
      </c>
      <c r="C60" s="99"/>
      <c r="D60" s="99"/>
      <c r="E60" s="99"/>
      <c r="F60" s="99"/>
      <c r="G60" s="100"/>
      <c r="H60" s="11">
        <v>0.08</v>
      </c>
      <c r="I60" s="12">
        <f>$I$52*H60</f>
        <v>258.35935632000002</v>
      </c>
    </row>
    <row r="61" spans="1:10" ht="15" customHeight="1" x14ac:dyDescent="0.25">
      <c r="A61" s="10">
        <v>7</v>
      </c>
      <c r="B61" s="98" t="s">
        <v>125</v>
      </c>
      <c r="C61" s="99"/>
      <c r="D61" s="99"/>
      <c r="E61" s="99"/>
      <c r="F61" s="99"/>
      <c r="G61" s="100"/>
      <c r="H61" s="11">
        <v>5.0000000000000001E-3</v>
      </c>
      <c r="I61" s="12">
        <f t="shared" si="2"/>
        <v>16.147459770000001</v>
      </c>
    </row>
    <row r="62" spans="1:10" ht="15" customHeight="1" x14ac:dyDescent="0.25">
      <c r="A62" s="10">
        <v>8</v>
      </c>
      <c r="B62" s="98" t="s">
        <v>24</v>
      </c>
      <c r="C62" s="99"/>
      <c r="D62" s="99"/>
      <c r="E62" s="99"/>
      <c r="F62" s="99"/>
      <c r="G62" s="100"/>
      <c r="H62" s="11">
        <v>6.0000000000000001E-3</v>
      </c>
      <c r="I62" s="12">
        <f t="shared" si="2"/>
        <v>19.376951724000001</v>
      </c>
    </row>
    <row r="63" spans="1:10" s="16" customFormat="1" ht="15" customHeight="1" x14ac:dyDescent="0.25">
      <c r="A63" s="142" t="s">
        <v>25</v>
      </c>
      <c r="B63" s="143"/>
      <c r="C63" s="143"/>
      <c r="D63" s="143"/>
      <c r="E63" s="143"/>
      <c r="F63" s="143"/>
      <c r="G63" s="144"/>
      <c r="H63" s="14">
        <f>SUM(H55:H62)</f>
        <v>0.34300000000000008</v>
      </c>
      <c r="I63" s="48">
        <f>SUM(I55:I62)</f>
        <v>1107.7157402220002</v>
      </c>
      <c r="J63" s="15"/>
    </row>
    <row r="64" spans="1:10" ht="15" customHeight="1" x14ac:dyDescent="0.25">
      <c r="A64" s="166" t="s">
        <v>26</v>
      </c>
      <c r="B64" s="166"/>
      <c r="C64" s="166"/>
      <c r="D64" s="166"/>
      <c r="E64" s="166"/>
      <c r="F64" s="166"/>
      <c r="G64" s="166"/>
      <c r="H64" s="166"/>
      <c r="I64" s="166"/>
    </row>
    <row r="65" spans="1:16" ht="30.75" customHeight="1" x14ac:dyDescent="0.25">
      <c r="A65" s="169" t="s">
        <v>27</v>
      </c>
      <c r="B65" s="169"/>
      <c r="C65" s="169"/>
      <c r="D65" s="169"/>
      <c r="E65" s="169"/>
      <c r="F65" s="169"/>
      <c r="G65" s="169"/>
      <c r="H65" s="169"/>
      <c r="I65" s="169"/>
      <c r="J65"/>
      <c r="K65"/>
      <c r="L65"/>
      <c r="M65"/>
      <c r="N65"/>
      <c r="O65"/>
      <c r="P65"/>
    </row>
    <row r="66" spans="1:16" ht="33.75" customHeight="1" x14ac:dyDescent="0.25">
      <c r="A66" s="9" t="s">
        <v>28</v>
      </c>
      <c r="B66" s="148" t="s">
        <v>29</v>
      </c>
      <c r="C66" s="149"/>
      <c r="D66" s="149"/>
      <c r="E66" s="149"/>
      <c r="F66" s="149"/>
      <c r="G66" s="150"/>
      <c r="H66" s="9" t="s">
        <v>11</v>
      </c>
      <c r="I66" s="9" t="s">
        <v>12</v>
      </c>
    </row>
    <row r="67" spans="1:16" ht="15" customHeight="1" x14ac:dyDescent="0.25">
      <c r="A67" s="10">
        <v>1</v>
      </c>
      <c r="B67" s="98" t="s">
        <v>30</v>
      </c>
      <c r="C67" s="99"/>
      <c r="D67" s="99"/>
      <c r="E67" s="99"/>
      <c r="F67" s="99"/>
      <c r="G67" s="100"/>
      <c r="H67" s="59">
        <v>0.119314</v>
      </c>
      <c r="I67" s="12">
        <f>$I$52*H67</f>
        <v>385.32360299955604</v>
      </c>
    </row>
    <row r="68" spans="1:16" ht="15" customHeight="1" x14ac:dyDescent="0.25">
      <c r="A68" s="10">
        <v>2</v>
      </c>
      <c r="B68" s="98" t="s">
        <v>31</v>
      </c>
      <c r="C68" s="99"/>
      <c r="D68" s="99"/>
      <c r="E68" s="99"/>
      <c r="F68" s="99"/>
      <c r="G68" s="100"/>
      <c r="H68" s="59">
        <v>2.0479000000000001E-2</v>
      </c>
      <c r="I68" s="12">
        <f t="shared" ref="I68:I73" si="3">$I$52*H68</f>
        <v>66.136765725966001</v>
      </c>
    </row>
    <row r="69" spans="1:16" ht="15" customHeight="1" x14ac:dyDescent="0.25">
      <c r="A69" s="10">
        <v>3</v>
      </c>
      <c r="B69" s="98" t="s">
        <v>32</v>
      </c>
      <c r="C69" s="99"/>
      <c r="D69" s="99"/>
      <c r="E69" s="99"/>
      <c r="F69" s="99"/>
      <c r="G69" s="100"/>
      <c r="H69" s="11">
        <v>1.2123E-2</v>
      </c>
      <c r="I69" s="12">
        <f t="shared" si="3"/>
        <v>39.151130958342002</v>
      </c>
    </row>
    <row r="70" spans="1:16" ht="15" customHeight="1" x14ac:dyDescent="0.25">
      <c r="A70" s="10">
        <v>4</v>
      </c>
      <c r="B70" s="98" t="s">
        <v>33</v>
      </c>
      <c r="C70" s="99"/>
      <c r="D70" s="99"/>
      <c r="E70" s="99"/>
      <c r="F70" s="99"/>
      <c r="G70" s="100"/>
      <c r="H70" s="11">
        <v>1.1436E-2</v>
      </c>
      <c r="I70" s="12">
        <f>$I$52*H70</f>
        <v>36.932469985944003</v>
      </c>
    </row>
    <row r="71" spans="1:16" ht="15" customHeight="1" x14ac:dyDescent="0.25">
      <c r="A71" s="10">
        <v>5</v>
      </c>
      <c r="B71" s="98" t="s">
        <v>34</v>
      </c>
      <c r="C71" s="99"/>
      <c r="D71" s="99"/>
      <c r="E71" s="99"/>
      <c r="F71" s="99"/>
      <c r="G71" s="100"/>
      <c r="H71" s="11">
        <v>1.74E-4</v>
      </c>
      <c r="I71" s="12">
        <f t="shared" si="3"/>
        <v>0.56193159999600006</v>
      </c>
    </row>
    <row r="72" spans="1:16" ht="15" customHeight="1" x14ac:dyDescent="0.25">
      <c r="A72" s="10">
        <v>6</v>
      </c>
      <c r="B72" s="98" t="s">
        <v>35</v>
      </c>
      <c r="C72" s="99"/>
      <c r="D72" s="99"/>
      <c r="E72" s="99"/>
      <c r="F72" s="99"/>
      <c r="G72" s="100"/>
      <c r="H72" s="11">
        <v>4.4200000000000001E-4</v>
      </c>
      <c r="I72" s="12">
        <f t="shared" si="3"/>
        <v>1.4274354436680001</v>
      </c>
    </row>
    <row r="73" spans="1:16" ht="15" customHeight="1" x14ac:dyDescent="0.25">
      <c r="A73" s="10">
        <v>7</v>
      </c>
      <c r="B73" s="98" t="s">
        <v>36</v>
      </c>
      <c r="C73" s="99"/>
      <c r="D73" s="99"/>
      <c r="E73" s="99"/>
      <c r="F73" s="99"/>
      <c r="G73" s="100"/>
      <c r="H73" s="11">
        <v>1.85E-4</v>
      </c>
      <c r="I73" s="12">
        <f t="shared" si="3"/>
        <v>0.59745601149000005</v>
      </c>
    </row>
    <row r="74" spans="1:16" ht="15" customHeight="1" x14ac:dyDescent="0.25">
      <c r="A74" s="10">
        <v>8</v>
      </c>
      <c r="B74" s="98" t="s">
        <v>37</v>
      </c>
      <c r="C74" s="99"/>
      <c r="D74" s="99"/>
      <c r="E74" s="99"/>
      <c r="F74" s="99"/>
      <c r="G74" s="100"/>
      <c r="H74" s="11">
        <v>9.0789999999999996E-2</v>
      </c>
      <c r="I74" s="12">
        <f>$I$52*H74</f>
        <v>293.20557450365999</v>
      </c>
    </row>
    <row r="75" spans="1:16" s="16" customFormat="1" ht="15" customHeight="1" x14ac:dyDescent="0.25">
      <c r="A75" s="142" t="s">
        <v>38</v>
      </c>
      <c r="B75" s="143"/>
      <c r="C75" s="143"/>
      <c r="D75" s="143"/>
      <c r="E75" s="143"/>
      <c r="F75" s="143"/>
      <c r="G75" s="144"/>
      <c r="H75" s="14">
        <f>SUM(H67:H74)</f>
        <v>0.25494299999999998</v>
      </c>
      <c r="I75" s="48">
        <f>SUM(I67:I74)</f>
        <v>823.33636722862184</v>
      </c>
      <c r="J75" s="15"/>
    </row>
    <row r="76" spans="1:16" ht="11.25" customHeight="1" x14ac:dyDescent="0.25">
      <c r="A76" s="17" t="s">
        <v>39</v>
      </c>
      <c r="B76" s="135" t="s">
        <v>40</v>
      </c>
      <c r="C76" s="135"/>
      <c r="D76" s="135"/>
      <c r="E76" s="135"/>
      <c r="F76" s="135"/>
      <c r="G76" s="135"/>
      <c r="H76" s="135"/>
      <c r="I76" s="135"/>
    </row>
    <row r="77" spans="1:16" ht="15" customHeight="1" x14ac:dyDescent="0.25">
      <c r="A77" s="17" t="s">
        <v>41</v>
      </c>
      <c r="B77" s="168" t="s">
        <v>42</v>
      </c>
      <c r="C77" s="168"/>
      <c r="D77" s="168"/>
      <c r="E77" s="168"/>
      <c r="F77" s="168"/>
      <c r="G77" s="168"/>
      <c r="H77" s="168"/>
      <c r="I77" s="168"/>
    </row>
    <row r="78" spans="1:16" ht="33.75" customHeight="1" x14ac:dyDescent="0.25">
      <c r="A78" s="9" t="s">
        <v>43</v>
      </c>
      <c r="B78" s="148" t="s">
        <v>44</v>
      </c>
      <c r="C78" s="149"/>
      <c r="D78" s="149"/>
      <c r="E78" s="149"/>
      <c r="F78" s="149"/>
      <c r="G78" s="150"/>
      <c r="H78" s="9" t="s">
        <v>11</v>
      </c>
      <c r="I78" s="9" t="s">
        <v>12</v>
      </c>
    </row>
    <row r="79" spans="1:16" ht="15" customHeight="1" x14ac:dyDescent="0.25">
      <c r="A79" s="10">
        <v>1</v>
      </c>
      <c r="B79" s="98" t="s">
        <v>45</v>
      </c>
      <c r="C79" s="99"/>
      <c r="D79" s="99"/>
      <c r="E79" s="99"/>
      <c r="F79" s="99"/>
      <c r="G79" s="100"/>
      <c r="H79" s="11">
        <v>2.3626999999999999E-2</v>
      </c>
      <c r="I79" s="12">
        <f>$I$52*H79</f>
        <v>76.303206397157993</v>
      </c>
    </row>
    <row r="80" spans="1:16" ht="15" customHeight="1" x14ac:dyDescent="0.25">
      <c r="A80" s="10">
        <v>2</v>
      </c>
      <c r="B80" s="98" t="s">
        <v>46</v>
      </c>
      <c r="C80" s="99"/>
      <c r="D80" s="99"/>
      <c r="E80" s="99"/>
      <c r="F80" s="99"/>
      <c r="G80" s="100"/>
      <c r="H80" s="11">
        <v>1.717E-3</v>
      </c>
      <c r="I80" s="12">
        <f t="shared" ref="I80:I81" si="4">$I$52*H80</f>
        <v>5.5450376850180003</v>
      </c>
    </row>
    <row r="81" spans="1:11" ht="15" customHeight="1" x14ac:dyDescent="0.25">
      <c r="A81" s="10">
        <v>3</v>
      </c>
      <c r="B81" s="98" t="s">
        <v>47</v>
      </c>
      <c r="C81" s="99"/>
      <c r="D81" s="99"/>
      <c r="E81" s="99"/>
      <c r="F81" s="99"/>
      <c r="G81" s="100"/>
      <c r="H81" s="11">
        <v>9.4509999999999993E-3</v>
      </c>
      <c r="I81" s="12">
        <f t="shared" si="4"/>
        <v>30.521928457253999</v>
      </c>
    </row>
    <row r="82" spans="1:11" s="16" customFormat="1" ht="15" customHeight="1" x14ac:dyDescent="0.25">
      <c r="A82" s="142" t="s">
        <v>48</v>
      </c>
      <c r="B82" s="143"/>
      <c r="C82" s="143"/>
      <c r="D82" s="143"/>
      <c r="E82" s="143"/>
      <c r="F82" s="143"/>
      <c r="G82" s="144"/>
      <c r="H82" s="14">
        <f>SUM(H79:H81)</f>
        <v>3.4795E-2</v>
      </c>
      <c r="I82" s="48">
        <f>SUM(I79:I81)</f>
        <v>112.37017253943</v>
      </c>
      <c r="J82" s="15"/>
    </row>
    <row r="83" spans="1:11" ht="5.0999999999999996" customHeight="1" x14ac:dyDescent="0.25"/>
    <row r="84" spans="1:11" ht="33.75" x14ac:dyDescent="0.25">
      <c r="A84" s="9" t="s">
        <v>49</v>
      </c>
      <c r="B84" s="148" t="s">
        <v>50</v>
      </c>
      <c r="C84" s="149"/>
      <c r="D84" s="149"/>
      <c r="E84" s="149"/>
      <c r="F84" s="149"/>
      <c r="G84" s="150"/>
      <c r="H84" s="9" t="s">
        <v>11</v>
      </c>
      <c r="I84" s="9" t="s">
        <v>12</v>
      </c>
    </row>
    <row r="85" spans="1:11" ht="15" customHeight="1" x14ac:dyDescent="0.25">
      <c r="A85" s="10">
        <v>1</v>
      </c>
      <c r="B85" s="98" t="s">
        <v>51</v>
      </c>
      <c r="C85" s="99"/>
      <c r="D85" s="99"/>
      <c r="E85" s="99"/>
      <c r="F85" s="99"/>
      <c r="G85" s="100"/>
      <c r="H85" s="11">
        <f>(H63*H75)</f>
        <v>8.7445449000000008E-2</v>
      </c>
      <c r="I85" s="12">
        <f>$I$52*H85</f>
        <v>282.4043739594174</v>
      </c>
    </row>
    <row r="86" spans="1:11" s="16" customFormat="1" ht="15" customHeight="1" x14ac:dyDescent="0.25">
      <c r="A86" s="142" t="s">
        <v>52</v>
      </c>
      <c r="B86" s="143"/>
      <c r="C86" s="143"/>
      <c r="D86" s="143"/>
      <c r="E86" s="143"/>
      <c r="F86" s="143"/>
      <c r="G86" s="144"/>
      <c r="H86" s="14">
        <f>SUM(H85:H85)</f>
        <v>8.7445449000000008E-2</v>
      </c>
      <c r="I86" s="48">
        <f>I85</f>
        <v>282.4043739594174</v>
      </c>
      <c r="J86" s="15"/>
      <c r="K86" s="18"/>
    </row>
    <row r="87" spans="1:11" ht="5.0999999999999996" customHeight="1" x14ac:dyDescent="0.25">
      <c r="J87" s="19"/>
    </row>
    <row r="88" spans="1:11" s="16" customFormat="1" ht="12" x14ac:dyDescent="0.25">
      <c r="A88" s="165" t="s">
        <v>53</v>
      </c>
      <c r="B88" s="165"/>
      <c r="C88" s="165"/>
      <c r="D88" s="165"/>
      <c r="E88" s="165"/>
      <c r="F88" s="165"/>
      <c r="G88" s="165"/>
      <c r="H88" s="20">
        <f>H63+H75+H82+H86</f>
        <v>0.72018344900000009</v>
      </c>
      <c r="I88" s="21">
        <f>I63+I75+I82+I86</f>
        <v>2325.8266539494698</v>
      </c>
      <c r="J88" s="15"/>
    </row>
    <row r="89" spans="1:11" ht="5.0999999999999996" customHeight="1" x14ac:dyDescent="0.25"/>
    <row r="90" spans="1:11" ht="33.75" customHeight="1" x14ac:dyDescent="0.25">
      <c r="A90" s="9" t="s">
        <v>54</v>
      </c>
      <c r="B90" s="148" t="s">
        <v>156</v>
      </c>
      <c r="C90" s="149"/>
      <c r="D90" s="149"/>
      <c r="E90" s="149"/>
      <c r="F90" s="149"/>
      <c r="G90" s="150"/>
      <c r="H90" s="9" t="s">
        <v>11</v>
      </c>
      <c r="I90" s="9" t="s">
        <v>12</v>
      </c>
    </row>
    <row r="91" spans="1:11" ht="15" customHeight="1" x14ac:dyDescent="0.25">
      <c r="A91" s="10">
        <v>1</v>
      </c>
      <c r="B91" s="98" t="s">
        <v>162</v>
      </c>
      <c r="C91" s="99"/>
      <c r="D91" s="99"/>
      <c r="E91" s="99"/>
      <c r="F91" s="99"/>
      <c r="G91" s="100"/>
      <c r="H91" s="11">
        <f>I91/$I$52</f>
        <v>0.1114726418668142</v>
      </c>
      <c r="I91" s="12">
        <f>I108</f>
        <v>360</v>
      </c>
    </row>
    <row r="92" spans="1:11" ht="15" customHeight="1" x14ac:dyDescent="0.25">
      <c r="A92" s="10">
        <v>2</v>
      </c>
      <c r="B92" s="98" t="s">
        <v>163</v>
      </c>
      <c r="C92" s="99"/>
      <c r="D92" s="99"/>
      <c r="E92" s="99"/>
      <c r="F92" s="99"/>
      <c r="G92" s="100"/>
      <c r="H92" s="11">
        <f>I92/$I$52</f>
        <v>0</v>
      </c>
      <c r="I92" s="12">
        <f>I104</f>
        <v>0</v>
      </c>
    </row>
    <row r="93" spans="1:11" ht="15" customHeight="1" x14ac:dyDescent="0.25">
      <c r="A93" s="10">
        <v>3</v>
      </c>
      <c r="B93" s="98" t="s">
        <v>170</v>
      </c>
      <c r="C93" s="99"/>
      <c r="D93" s="99"/>
      <c r="E93" s="99"/>
      <c r="F93" s="99"/>
      <c r="G93" s="100"/>
      <c r="H93" s="11">
        <f>I93/$I$52</f>
        <v>7.3311840801074807E-3</v>
      </c>
      <c r="I93" s="12">
        <f>I100</f>
        <v>23.676000000000002</v>
      </c>
    </row>
    <row r="94" spans="1:11" ht="15" customHeight="1" x14ac:dyDescent="0.25">
      <c r="A94" s="10">
        <v>4</v>
      </c>
      <c r="B94" s="98" t="s">
        <v>148</v>
      </c>
      <c r="C94" s="99"/>
      <c r="D94" s="99"/>
      <c r="E94" s="99"/>
      <c r="F94" s="99"/>
      <c r="G94" s="100"/>
      <c r="H94" s="11">
        <f>I94/$I$52</f>
        <v>6.6674573916588251E-2</v>
      </c>
      <c r="I94" s="12">
        <f>IF(I28="Não aplicável",0,((I10/H10)*1.5*I28))</f>
        <v>215.32500000000002</v>
      </c>
    </row>
    <row r="95" spans="1:11" ht="15" customHeight="1" x14ac:dyDescent="0.25">
      <c r="A95" s="10">
        <v>5</v>
      </c>
      <c r="B95" s="98" t="s">
        <v>133</v>
      </c>
      <c r="C95" s="99"/>
      <c r="D95" s="99"/>
      <c r="E95" s="99"/>
      <c r="F95" s="99"/>
      <c r="G95" s="100"/>
      <c r="H95" s="11">
        <f>I95/$I$52</f>
        <v>2.7880546315799865E-2</v>
      </c>
      <c r="I95" s="12">
        <f>IF(I23="Não aplicável",0,I23)</f>
        <v>90.04</v>
      </c>
    </row>
    <row r="96" spans="1:11" ht="13.5" customHeight="1" x14ac:dyDescent="0.25">
      <c r="A96" s="142" t="s">
        <v>55</v>
      </c>
      <c r="B96" s="143"/>
      <c r="C96" s="143"/>
      <c r="D96" s="143"/>
      <c r="E96" s="143"/>
      <c r="F96" s="143"/>
      <c r="G96" s="144"/>
      <c r="H96" s="14">
        <f>SUM(H91:H95)</f>
        <v>0.21335894617930981</v>
      </c>
      <c r="I96" s="48">
        <f>SUM(I91:I95)</f>
        <v>689.04099999999994</v>
      </c>
      <c r="J96" s="13"/>
    </row>
    <row r="97" spans="1:12" ht="5.25" customHeight="1" x14ac:dyDescent="0.25">
      <c r="A97" s="17"/>
      <c r="B97" s="166"/>
      <c r="C97" s="167"/>
      <c r="D97" s="167"/>
      <c r="E97" s="167"/>
      <c r="F97" s="167"/>
      <c r="G97" s="167"/>
      <c r="H97" s="23"/>
      <c r="I97" s="24"/>
    </row>
    <row r="98" spans="1:12" ht="15" customHeight="1" x14ac:dyDescent="0.25">
      <c r="A98" s="163" t="s">
        <v>56</v>
      </c>
      <c r="B98" s="163"/>
      <c r="C98" s="163"/>
      <c r="D98" s="163"/>
      <c r="E98" s="163"/>
      <c r="F98" s="163"/>
      <c r="G98" s="163"/>
      <c r="H98" s="163"/>
      <c r="I98" s="163"/>
    </row>
    <row r="99" spans="1:12" ht="24" customHeight="1" x14ac:dyDescent="0.25">
      <c r="A99" s="161" t="s">
        <v>57</v>
      </c>
      <c r="B99" s="161"/>
      <c r="C99" s="10" t="s">
        <v>58</v>
      </c>
      <c r="D99" s="10" t="s">
        <v>59</v>
      </c>
      <c r="E99" s="10" t="s">
        <v>60</v>
      </c>
      <c r="F99" s="10" t="s">
        <v>61</v>
      </c>
      <c r="G99" s="10" t="s">
        <v>62</v>
      </c>
      <c r="H99" s="11" t="s">
        <v>63</v>
      </c>
      <c r="I99" s="12" t="s">
        <v>64</v>
      </c>
    </row>
    <row r="100" spans="1:12" ht="15" customHeight="1" x14ac:dyDescent="0.25">
      <c r="A100" s="164">
        <f>I14</f>
        <v>5</v>
      </c>
      <c r="B100" s="161"/>
      <c r="C100" s="10">
        <f>I15</f>
        <v>15</v>
      </c>
      <c r="D100" s="10">
        <v>2</v>
      </c>
      <c r="E100" s="29">
        <f>A100*C100*D100</f>
        <v>150</v>
      </c>
      <c r="F100" s="29">
        <f>I37</f>
        <v>2105.4</v>
      </c>
      <c r="G100" s="25">
        <f>I16</f>
        <v>0.06</v>
      </c>
      <c r="H100" s="29">
        <f>F100*G100</f>
        <v>126.324</v>
      </c>
      <c r="I100" s="60">
        <f>IF((E100-H100)&gt;0,E100-H100,0)</f>
        <v>23.676000000000002</v>
      </c>
    </row>
    <row r="101" spans="1:12" ht="4.5" customHeight="1" x14ac:dyDescent="0.25">
      <c r="A101" s="79"/>
      <c r="E101" s="13"/>
      <c r="F101" s="13"/>
      <c r="G101" s="80"/>
      <c r="H101" s="13"/>
      <c r="I101" s="81"/>
    </row>
    <row r="102" spans="1:12" ht="15" customHeight="1" x14ac:dyDescent="0.25">
      <c r="A102" s="163" t="s">
        <v>164</v>
      </c>
      <c r="B102" s="163"/>
      <c r="C102" s="163"/>
      <c r="D102" s="163"/>
      <c r="E102" s="163"/>
      <c r="F102" s="163"/>
      <c r="G102" s="163"/>
      <c r="H102" s="163"/>
      <c r="I102" s="163"/>
    </row>
    <row r="103" spans="1:12" ht="24" customHeight="1" x14ac:dyDescent="0.25">
      <c r="A103" s="161" t="s">
        <v>57</v>
      </c>
      <c r="B103" s="161"/>
      <c r="C103" s="10" t="s">
        <v>65</v>
      </c>
      <c r="D103" s="10" t="s">
        <v>59</v>
      </c>
      <c r="E103" s="10" t="s">
        <v>60</v>
      </c>
      <c r="F103" s="10" t="s">
        <v>61</v>
      </c>
      <c r="G103" s="10" t="s">
        <v>62</v>
      </c>
      <c r="H103" s="11" t="s">
        <v>63</v>
      </c>
      <c r="I103" s="12" t="s">
        <v>64</v>
      </c>
    </row>
    <row r="104" spans="1:12" ht="15" customHeight="1" x14ac:dyDescent="0.25">
      <c r="A104" s="162">
        <f>I20</f>
        <v>0</v>
      </c>
      <c r="B104" s="162"/>
      <c r="C104" s="30">
        <f>I21</f>
        <v>15</v>
      </c>
      <c r="D104" s="10">
        <v>1</v>
      </c>
      <c r="E104" s="29">
        <f>A104*C104*D104</f>
        <v>0</v>
      </c>
      <c r="F104" s="29">
        <f>E104</f>
        <v>0</v>
      </c>
      <c r="G104" s="49">
        <f>I22</f>
        <v>0</v>
      </c>
      <c r="H104" s="29">
        <f>F104*G104</f>
        <v>0</v>
      </c>
      <c r="I104" s="12">
        <f>E104-H104</f>
        <v>0</v>
      </c>
    </row>
    <row r="105" spans="1:12" ht="5.0999999999999996" customHeight="1" x14ac:dyDescent="0.25">
      <c r="A105" s="26"/>
      <c r="B105" s="26"/>
      <c r="C105" s="26"/>
      <c r="D105" s="26"/>
      <c r="E105" s="15"/>
      <c r="F105" s="15"/>
      <c r="G105" s="27"/>
      <c r="H105" s="15"/>
      <c r="I105" s="28"/>
    </row>
    <row r="106" spans="1:12" ht="15" customHeight="1" x14ac:dyDescent="0.25">
      <c r="A106" s="163" t="s">
        <v>139</v>
      </c>
      <c r="B106" s="163"/>
      <c r="C106" s="163"/>
      <c r="D106" s="163"/>
      <c r="E106" s="163"/>
      <c r="F106" s="163"/>
      <c r="G106" s="163"/>
      <c r="H106" s="163"/>
      <c r="I106" s="163"/>
    </row>
    <row r="107" spans="1:12" ht="23.25" customHeight="1" x14ac:dyDescent="0.25">
      <c r="A107" s="161" t="s">
        <v>57</v>
      </c>
      <c r="B107" s="161"/>
      <c r="C107" s="10" t="s">
        <v>65</v>
      </c>
      <c r="D107" s="10" t="s">
        <v>59</v>
      </c>
      <c r="E107" s="10" t="s">
        <v>60</v>
      </c>
      <c r="F107" s="10" t="s">
        <v>61</v>
      </c>
      <c r="G107" s="10" t="s">
        <v>62</v>
      </c>
      <c r="H107" s="11" t="str">
        <f>H99</f>
        <v>Valor desconto</v>
      </c>
      <c r="I107" s="12" t="s">
        <v>64</v>
      </c>
    </row>
    <row r="108" spans="1:12" ht="15" customHeight="1" x14ac:dyDescent="0.25">
      <c r="A108" s="162">
        <f>I17</f>
        <v>30</v>
      </c>
      <c r="B108" s="162"/>
      <c r="C108" s="30">
        <f>I18</f>
        <v>15</v>
      </c>
      <c r="D108" s="10">
        <v>1</v>
      </c>
      <c r="E108" s="29">
        <f>A108*C108*D108</f>
        <v>450</v>
      </c>
      <c r="F108" s="29">
        <f>E108</f>
        <v>450</v>
      </c>
      <c r="G108" s="49">
        <f>I19</f>
        <v>0.2</v>
      </c>
      <c r="H108" s="29">
        <f>F108*G108</f>
        <v>90</v>
      </c>
      <c r="I108" s="12">
        <f>E108-H108</f>
        <v>360</v>
      </c>
    </row>
    <row r="109" spans="1:12" ht="5.0999999999999996" customHeight="1" x14ac:dyDescent="0.25"/>
    <row r="110" spans="1:12" ht="12" customHeight="1" x14ac:dyDescent="0.25">
      <c r="A110" s="111" t="s">
        <v>66</v>
      </c>
      <c r="B110" s="111"/>
      <c r="C110" s="111"/>
      <c r="D110" s="111"/>
      <c r="E110" s="111"/>
      <c r="F110" s="111"/>
      <c r="G110" s="111"/>
      <c r="H110" s="31">
        <f>H52+H88+H96</f>
        <v>1.9335423951793098</v>
      </c>
      <c r="I110" s="32">
        <f>I52+I88+I96</f>
        <v>6244.35960794947</v>
      </c>
      <c r="J110" s="13"/>
      <c r="L110" s="13"/>
    </row>
    <row r="111" spans="1:12" s="37" customFormat="1" ht="5.0999999999999996" customHeight="1" x14ac:dyDescent="0.25">
      <c r="A111" s="33"/>
      <c r="B111" s="33"/>
      <c r="C111" s="33"/>
      <c r="D111" s="33"/>
      <c r="E111" s="33"/>
      <c r="F111" s="33"/>
      <c r="G111" s="33"/>
      <c r="H111" s="34"/>
      <c r="I111" s="35"/>
      <c r="J111" s="36"/>
      <c r="L111" s="36"/>
    </row>
    <row r="112" spans="1:12" x14ac:dyDescent="0.25">
      <c r="A112" s="97" t="s">
        <v>67</v>
      </c>
      <c r="B112" s="97"/>
      <c r="C112" s="97"/>
      <c r="D112" s="97"/>
      <c r="E112" s="97"/>
      <c r="F112" s="97"/>
      <c r="G112" s="97"/>
      <c r="H112" s="97"/>
      <c r="I112" s="97"/>
    </row>
    <row r="113" spans="1:19" ht="33.75" x14ac:dyDescent="0.25">
      <c r="A113" s="9" t="s">
        <v>9</v>
      </c>
      <c r="B113" s="148" t="s">
        <v>68</v>
      </c>
      <c r="C113" s="149"/>
      <c r="D113" s="149"/>
      <c r="E113" s="149"/>
      <c r="F113" s="149"/>
      <c r="G113" s="150"/>
      <c r="H113" s="9" t="s">
        <v>11</v>
      </c>
      <c r="I113" s="9" t="s">
        <v>12</v>
      </c>
    </row>
    <row r="114" spans="1:19" ht="15" customHeight="1" x14ac:dyDescent="0.25">
      <c r="A114" s="10">
        <v>1</v>
      </c>
      <c r="B114" s="98" t="s">
        <v>173</v>
      </c>
      <c r="C114" s="99"/>
      <c r="D114" s="99"/>
      <c r="E114" s="99"/>
      <c r="F114" s="99"/>
      <c r="G114" s="100"/>
      <c r="H114" s="11">
        <f>I114/$I$125</f>
        <v>0</v>
      </c>
      <c r="I114" s="12">
        <v>0</v>
      </c>
      <c r="K114"/>
      <c r="L114"/>
      <c r="M114"/>
      <c r="N114"/>
      <c r="O114"/>
      <c r="P114"/>
      <c r="Q114"/>
      <c r="R114"/>
      <c r="S114"/>
    </row>
    <row r="115" spans="1:19" ht="15" customHeight="1" x14ac:dyDescent="0.25">
      <c r="A115" s="10">
        <v>2</v>
      </c>
      <c r="B115" s="155" t="s">
        <v>177</v>
      </c>
      <c r="C115" s="156"/>
      <c r="D115" s="156"/>
      <c r="E115" s="156"/>
      <c r="F115" s="156"/>
      <c r="G115" s="157"/>
      <c r="H115" s="11">
        <f t="shared" ref="H115:H119" si="5">I115/$I$125</f>
        <v>0</v>
      </c>
      <c r="I115" s="12">
        <f>IF(F123=10%,G123,0)</f>
        <v>0</v>
      </c>
      <c r="K115"/>
      <c r="L115"/>
      <c r="M115"/>
      <c r="N115"/>
      <c r="O115"/>
      <c r="P115"/>
      <c r="Q115"/>
      <c r="R115"/>
      <c r="S115"/>
    </row>
    <row r="116" spans="1:19" ht="15" customHeight="1" x14ac:dyDescent="0.25">
      <c r="A116" s="10">
        <v>3</v>
      </c>
      <c r="B116" s="98" t="s">
        <v>69</v>
      </c>
      <c r="C116" s="99"/>
      <c r="D116" s="99"/>
      <c r="E116" s="99"/>
      <c r="F116" s="99"/>
      <c r="G116" s="100"/>
      <c r="H116" s="11">
        <f t="shared" si="5"/>
        <v>0</v>
      </c>
      <c r="I116" s="12">
        <v>0</v>
      </c>
      <c r="K116"/>
      <c r="L116"/>
      <c r="M116"/>
      <c r="N116"/>
      <c r="O116"/>
      <c r="P116"/>
      <c r="Q116"/>
      <c r="R116"/>
      <c r="S116"/>
    </row>
    <row r="117" spans="1:19" ht="15" customHeight="1" x14ac:dyDescent="0.25">
      <c r="A117" s="10">
        <v>4</v>
      </c>
      <c r="B117" s="158" t="s">
        <v>70</v>
      </c>
      <c r="C117" s="159"/>
      <c r="D117" s="159"/>
      <c r="E117" s="159"/>
      <c r="F117" s="159"/>
      <c r="G117" s="160"/>
      <c r="H117" s="11">
        <f t="shared" si="5"/>
        <v>0</v>
      </c>
      <c r="I117" s="12">
        <v>0</v>
      </c>
      <c r="K117"/>
      <c r="L117"/>
      <c r="M117"/>
      <c r="N117"/>
      <c r="O117"/>
      <c r="P117"/>
      <c r="Q117"/>
      <c r="R117"/>
      <c r="S117"/>
    </row>
    <row r="118" spans="1:19" ht="15" customHeight="1" x14ac:dyDescent="0.25">
      <c r="A118" s="10">
        <v>5</v>
      </c>
      <c r="B118" s="98" t="s">
        <v>178</v>
      </c>
      <c r="C118" s="99"/>
      <c r="D118" s="99"/>
      <c r="E118" s="99"/>
      <c r="F118" s="99"/>
      <c r="G118" s="100"/>
      <c r="H118" s="11">
        <f t="shared" si="5"/>
        <v>0</v>
      </c>
      <c r="I118" s="12">
        <v>0</v>
      </c>
      <c r="K118"/>
      <c r="L118"/>
      <c r="M118"/>
      <c r="N118"/>
      <c r="O118"/>
      <c r="P118"/>
      <c r="Q118"/>
      <c r="R118"/>
      <c r="S118"/>
    </row>
    <row r="119" spans="1:19" ht="15" customHeight="1" x14ac:dyDescent="0.25">
      <c r="A119" s="10">
        <v>6</v>
      </c>
      <c r="B119" s="98" t="s">
        <v>71</v>
      </c>
      <c r="C119" s="99"/>
      <c r="D119" s="99"/>
      <c r="E119" s="99"/>
      <c r="F119" s="99"/>
      <c r="G119" s="100"/>
      <c r="H119" s="11">
        <f t="shared" si="5"/>
        <v>0</v>
      </c>
      <c r="I119" s="12">
        <v>0</v>
      </c>
      <c r="K119"/>
      <c r="L119"/>
      <c r="M119"/>
      <c r="N119"/>
      <c r="O119"/>
      <c r="P119"/>
      <c r="Q119"/>
      <c r="R119"/>
      <c r="S119"/>
    </row>
    <row r="120" spans="1:19" ht="15" customHeight="1" x14ac:dyDescent="0.25">
      <c r="A120" s="142" t="s">
        <v>72</v>
      </c>
      <c r="B120" s="143"/>
      <c r="C120" s="143"/>
      <c r="D120" s="143"/>
      <c r="E120" s="143"/>
      <c r="F120" s="143"/>
      <c r="G120" s="144"/>
      <c r="H120" s="14">
        <f>H114+H115+H116+H117+H118+H119</f>
        <v>0</v>
      </c>
      <c r="I120" s="38">
        <f>SUM(I114:I119)</f>
        <v>0</v>
      </c>
      <c r="J120" s="13"/>
      <c r="K120"/>
      <c r="L120"/>
      <c r="M120"/>
      <c r="N120"/>
      <c r="O120"/>
      <c r="P120"/>
      <c r="Q120"/>
      <c r="R120"/>
      <c r="S120"/>
    </row>
    <row r="121" spans="1:19" ht="30" customHeight="1" x14ac:dyDescent="0.25">
      <c r="A121"/>
      <c r="B121" s="135" t="s">
        <v>174</v>
      </c>
      <c r="C121" s="135"/>
      <c r="D121" s="135"/>
      <c r="E121" s="135"/>
      <c r="F121" s="135"/>
      <c r="G121" s="135"/>
      <c r="H121" s="135"/>
      <c r="I121" s="135"/>
      <c r="K121"/>
      <c r="L121"/>
      <c r="M121"/>
      <c r="N121"/>
      <c r="O121"/>
      <c r="P121"/>
      <c r="Q121"/>
      <c r="R121"/>
      <c r="S121"/>
    </row>
    <row r="122" spans="1:19" ht="5.25" customHeight="1" x14ac:dyDescent="0.25">
      <c r="A122"/>
      <c r="B122"/>
      <c r="C122"/>
      <c r="D122"/>
      <c r="E122"/>
      <c r="F122"/>
      <c r="G122"/>
      <c r="H122"/>
      <c r="I122"/>
    </row>
    <row r="123" spans="1:19" ht="48.75" customHeight="1" x14ac:dyDescent="0.25">
      <c r="A123" s="151" t="s">
        <v>149</v>
      </c>
      <c r="B123" s="152"/>
      <c r="C123" s="152"/>
      <c r="D123" s="152"/>
      <c r="E123" s="153"/>
      <c r="F123" s="39">
        <f>I29</f>
        <v>0.2</v>
      </c>
      <c r="G123" s="40">
        <f>I125*F123</f>
        <v>1244.136721589894</v>
      </c>
      <c r="H123" s="41" t="s">
        <v>73</v>
      </c>
      <c r="I123" s="42">
        <f>I93</f>
        <v>23.676000000000002</v>
      </c>
      <c r="K123"/>
      <c r="L123"/>
      <c r="M123"/>
      <c r="N123"/>
      <c r="O123"/>
      <c r="P123"/>
      <c r="Q123"/>
      <c r="R123"/>
      <c r="S123"/>
    </row>
    <row r="124" spans="1:19" s="46" customFormat="1" ht="16.5" customHeight="1" x14ac:dyDescent="0.25">
      <c r="A124" s="146" t="s">
        <v>74</v>
      </c>
      <c r="B124" s="146"/>
      <c r="C124" s="43" t="s">
        <v>75</v>
      </c>
      <c r="D124" s="43" t="s">
        <v>76</v>
      </c>
      <c r="E124" s="43" t="s">
        <v>77</v>
      </c>
      <c r="F124" s="43" t="s">
        <v>78</v>
      </c>
      <c r="G124" s="43" t="s">
        <v>79</v>
      </c>
      <c r="H124" s="41" t="s">
        <v>80</v>
      </c>
      <c r="I124" s="44" t="s">
        <v>81</v>
      </c>
      <c r="J124" s="45"/>
      <c r="K124"/>
      <c r="L124"/>
      <c r="M124"/>
      <c r="N124"/>
      <c r="O124"/>
      <c r="P124"/>
      <c r="Q124"/>
      <c r="R124"/>
      <c r="S124"/>
    </row>
    <row r="125" spans="1:19" ht="16.5" customHeight="1" x14ac:dyDescent="0.25">
      <c r="A125" s="147">
        <f>I52</f>
        <v>3229.4919540000001</v>
      </c>
      <c r="B125" s="147"/>
      <c r="C125" s="47">
        <f>I63</f>
        <v>1107.7157402220002</v>
      </c>
      <c r="D125" s="47">
        <f>I75</f>
        <v>823.33636722862184</v>
      </c>
      <c r="E125" s="47">
        <f>I82</f>
        <v>112.37017253943</v>
      </c>
      <c r="F125" s="47">
        <f>I86</f>
        <v>282.4043739594174</v>
      </c>
      <c r="G125" s="47">
        <f>I96</f>
        <v>689.04099999999994</v>
      </c>
      <c r="H125" s="47">
        <f>A125+C125+D125+E125+F125+G125</f>
        <v>6244.35960794947</v>
      </c>
      <c r="I125" s="47">
        <f>H125-I123</f>
        <v>6220.6836079494697</v>
      </c>
      <c r="J125" s="13"/>
      <c r="K125"/>
      <c r="L125"/>
      <c r="M125"/>
      <c r="N125"/>
      <c r="O125"/>
      <c r="P125"/>
      <c r="Q125"/>
      <c r="R125"/>
      <c r="S125"/>
    </row>
    <row r="126" spans="1:19" ht="5.0999999999999996" customHeight="1" x14ac:dyDescent="0.25">
      <c r="A126" s="17"/>
      <c r="B126" s="154"/>
      <c r="C126" s="154"/>
      <c r="D126" s="154"/>
      <c r="E126" s="154"/>
      <c r="F126" s="154"/>
      <c r="G126" s="154"/>
      <c r="H126" s="154"/>
      <c r="I126" s="154"/>
    </row>
    <row r="127" spans="1:19" ht="33.75" x14ac:dyDescent="0.25">
      <c r="A127" s="9" t="s">
        <v>16</v>
      </c>
      <c r="B127" s="148" t="s">
        <v>82</v>
      </c>
      <c r="C127" s="149"/>
      <c r="D127" s="149"/>
      <c r="E127" s="149"/>
      <c r="F127" s="149"/>
      <c r="G127" s="150"/>
      <c r="H127" s="9" t="s">
        <v>11</v>
      </c>
      <c r="I127" s="9" t="s">
        <v>12</v>
      </c>
    </row>
    <row r="128" spans="1:19" ht="15" customHeight="1" x14ac:dyDescent="0.25">
      <c r="A128" s="10">
        <v>1</v>
      </c>
      <c r="B128" s="98" t="s">
        <v>83</v>
      </c>
      <c r="C128" s="99"/>
      <c r="D128" s="99"/>
      <c r="E128" s="99"/>
      <c r="F128" s="99"/>
      <c r="G128" s="100"/>
      <c r="H128" s="11">
        <f>I128/$I$138</f>
        <v>0</v>
      </c>
      <c r="I128" s="12">
        <v>0</v>
      </c>
    </row>
    <row r="129" spans="1:15" ht="15" customHeight="1" x14ac:dyDescent="0.25">
      <c r="A129" s="10">
        <v>2</v>
      </c>
      <c r="B129" s="98" t="s">
        <v>84</v>
      </c>
      <c r="C129" s="99"/>
      <c r="D129" s="99"/>
      <c r="E129" s="99"/>
      <c r="F129" s="99"/>
      <c r="G129" s="100"/>
      <c r="H129" s="11">
        <f>I129/$I$138</f>
        <v>0</v>
      </c>
      <c r="I129" s="12">
        <v>0</v>
      </c>
    </row>
    <row r="130" spans="1:15" ht="15" customHeight="1" x14ac:dyDescent="0.25">
      <c r="A130" s="142" t="s">
        <v>85</v>
      </c>
      <c r="B130" s="143"/>
      <c r="C130" s="143"/>
      <c r="D130" s="143"/>
      <c r="E130" s="143"/>
      <c r="F130" s="143"/>
      <c r="G130" s="144"/>
      <c r="H130" s="14">
        <f>H128+H129</f>
        <v>0</v>
      </c>
      <c r="I130" s="48">
        <f>SUM(I128:I129)</f>
        <v>0</v>
      </c>
    </row>
    <row r="131" spans="1:15" ht="5.0999999999999996" customHeight="1" x14ac:dyDescent="0.25"/>
    <row r="132" spans="1:15" ht="33.75" x14ac:dyDescent="0.25">
      <c r="A132" s="9" t="s">
        <v>28</v>
      </c>
      <c r="B132" s="148" t="s">
        <v>86</v>
      </c>
      <c r="C132" s="149"/>
      <c r="D132" s="149"/>
      <c r="E132" s="149"/>
      <c r="F132" s="149"/>
      <c r="G132" s="150"/>
      <c r="H132" s="9" t="s">
        <v>11</v>
      </c>
      <c r="I132" s="9" t="s">
        <v>12</v>
      </c>
    </row>
    <row r="133" spans="1:15" ht="15" customHeight="1" x14ac:dyDescent="0.25">
      <c r="A133" s="10">
        <v>1</v>
      </c>
      <c r="B133" s="98" t="s">
        <v>86</v>
      </c>
      <c r="C133" s="99"/>
      <c r="D133" s="99"/>
      <c r="E133" s="99"/>
      <c r="F133" s="99"/>
      <c r="G133" s="100"/>
      <c r="H133" s="11">
        <f>I133/I138</f>
        <v>0</v>
      </c>
      <c r="I133" s="12">
        <v>0</v>
      </c>
    </row>
    <row r="134" spans="1:15" ht="15" customHeight="1" x14ac:dyDescent="0.25">
      <c r="A134" s="142" t="s">
        <v>87</v>
      </c>
      <c r="B134" s="143"/>
      <c r="C134" s="143"/>
      <c r="D134" s="143"/>
      <c r="E134" s="143"/>
      <c r="F134" s="143"/>
      <c r="G134" s="144"/>
      <c r="H134" s="14">
        <f>H133</f>
        <v>0</v>
      </c>
      <c r="I134" s="48">
        <f>I133</f>
        <v>0</v>
      </c>
      <c r="J134" s="13"/>
      <c r="K134" s="13"/>
      <c r="L134" s="1"/>
    </row>
    <row r="135" spans="1:15" ht="5.0999999999999996" customHeight="1" x14ac:dyDescent="0.25">
      <c r="A135" s="16"/>
      <c r="B135" s="16"/>
      <c r="C135" s="16"/>
      <c r="D135" s="16"/>
      <c r="E135" s="16"/>
      <c r="F135" s="16"/>
      <c r="G135" s="16"/>
      <c r="H135" s="23"/>
      <c r="I135" s="24"/>
    </row>
    <row r="136" spans="1:15" ht="39" customHeight="1" x14ac:dyDescent="0.25">
      <c r="A136" s="145" t="s">
        <v>88</v>
      </c>
      <c r="B136" s="145"/>
      <c r="C136" s="145"/>
      <c r="D136" s="145"/>
      <c r="E136" s="145"/>
      <c r="F136" s="39">
        <v>0.18</v>
      </c>
      <c r="G136" s="40">
        <f>I138*F136</f>
        <v>1119.7230494309044</v>
      </c>
      <c r="H136" s="41" t="s">
        <v>73</v>
      </c>
      <c r="I136" s="42">
        <f>I93</f>
        <v>23.676000000000002</v>
      </c>
      <c r="L136" s="1"/>
    </row>
    <row r="137" spans="1:15" s="46" customFormat="1" ht="16.5" customHeight="1" x14ac:dyDescent="0.25">
      <c r="A137" s="146" t="s">
        <v>74</v>
      </c>
      <c r="B137" s="146"/>
      <c r="C137" s="43" t="s">
        <v>75</v>
      </c>
      <c r="D137" s="43" t="s">
        <v>76</v>
      </c>
      <c r="E137" s="43" t="s">
        <v>77</v>
      </c>
      <c r="F137" s="43" t="s">
        <v>78</v>
      </c>
      <c r="G137" s="43" t="s">
        <v>79</v>
      </c>
      <c r="H137" s="41" t="s">
        <v>80</v>
      </c>
      <c r="I137" s="44" t="s">
        <v>81</v>
      </c>
      <c r="J137" s="45"/>
      <c r="L137" s="45"/>
    </row>
    <row r="138" spans="1:15" ht="16.5" customHeight="1" x14ac:dyDescent="0.25">
      <c r="A138" s="147">
        <f>I52</f>
        <v>3229.4919540000001</v>
      </c>
      <c r="B138" s="147"/>
      <c r="C138" s="47">
        <f>I63</f>
        <v>1107.7157402220002</v>
      </c>
      <c r="D138" s="47">
        <f>I75</f>
        <v>823.33636722862184</v>
      </c>
      <c r="E138" s="47">
        <f>I82</f>
        <v>112.37017253943</v>
      </c>
      <c r="F138" s="47">
        <f>I86</f>
        <v>282.4043739594174</v>
      </c>
      <c r="G138" s="47">
        <f>I96</f>
        <v>689.04099999999994</v>
      </c>
      <c r="H138" s="47">
        <f>A138+C138+D138+E138+F138+G138</f>
        <v>6244.35960794947</v>
      </c>
      <c r="I138" s="47">
        <f>H138-I136</f>
        <v>6220.6836079494697</v>
      </c>
      <c r="J138" s="13"/>
      <c r="L138" s="1"/>
    </row>
    <row r="139" spans="1:15" ht="5.0999999999999996" customHeight="1" x14ac:dyDescent="0.25"/>
    <row r="140" spans="1:15" ht="12" x14ac:dyDescent="0.25">
      <c r="A140" s="111" t="s">
        <v>89</v>
      </c>
      <c r="B140" s="111"/>
      <c r="C140" s="111"/>
      <c r="D140" s="111"/>
      <c r="E140" s="111"/>
      <c r="F140" s="111"/>
      <c r="G140" s="111"/>
      <c r="H140" s="31">
        <f>H120+H130+H134</f>
        <v>0</v>
      </c>
      <c r="I140" s="32">
        <f>I120+I130+I134</f>
        <v>0</v>
      </c>
    </row>
    <row r="141" spans="1:15" ht="5.0999999999999996" customHeight="1" x14ac:dyDescent="0.25"/>
    <row r="142" spans="1:15" x14ac:dyDescent="0.25">
      <c r="A142" s="97" t="s">
        <v>90</v>
      </c>
      <c r="B142" s="97"/>
      <c r="C142" s="97"/>
      <c r="D142" s="97"/>
      <c r="E142" s="97"/>
      <c r="F142" s="97"/>
      <c r="G142" s="97"/>
      <c r="H142" s="97"/>
      <c r="I142" s="97"/>
    </row>
    <row r="143" spans="1:15" ht="33.75" x14ac:dyDescent="0.25">
      <c r="A143" s="9" t="s">
        <v>9</v>
      </c>
      <c r="B143" s="148" t="s">
        <v>175</v>
      </c>
      <c r="C143" s="149"/>
      <c r="D143" s="149"/>
      <c r="E143" s="149"/>
      <c r="F143" s="149"/>
      <c r="G143" s="150"/>
      <c r="H143" s="9" t="s">
        <v>11</v>
      </c>
      <c r="I143" s="9" t="s">
        <v>12</v>
      </c>
      <c r="K143"/>
      <c r="L143"/>
      <c r="M143"/>
      <c r="N143"/>
      <c r="O143"/>
    </row>
    <row r="144" spans="1:15" ht="15" customHeight="1" x14ac:dyDescent="0.25">
      <c r="A144" s="10">
        <v>1</v>
      </c>
      <c r="B144" s="98" t="s">
        <v>91</v>
      </c>
      <c r="C144" s="99"/>
      <c r="D144" s="99"/>
      <c r="E144" s="99"/>
      <c r="F144" s="99"/>
      <c r="G144" s="100"/>
      <c r="H144" s="11">
        <f>I144/$I$110</f>
        <v>6.9259456579648373E-3</v>
      </c>
      <c r="I144" s="12">
        <f>($D$154/$E$156)*H154</f>
        <v>43.248095313448644</v>
      </c>
    </row>
    <row r="145" spans="1:19" ht="15" customHeight="1" x14ac:dyDescent="0.25">
      <c r="A145" s="10">
        <v>2</v>
      </c>
      <c r="B145" s="98" t="s">
        <v>92</v>
      </c>
      <c r="C145" s="99"/>
      <c r="D145" s="99"/>
      <c r="E145" s="99"/>
      <c r="F145" s="99"/>
      <c r="G145" s="100"/>
      <c r="H145" s="11">
        <f t="shared" ref="H145:H148" si="6">I145/$I$110</f>
        <v>3.1965903036760786E-2</v>
      </c>
      <c r="I145" s="12">
        <f>($D$154/$E$156)*H155</f>
        <v>199.60659375437837</v>
      </c>
    </row>
    <row r="146" spans="1:19" ht="15" customHeight="1" x14ac:dyDescent="0.25">
      <c r="A146" s="10">
        <v>3</v>
      </c>
      <c r="B146" s="98" t="s">
        <v>165</v>
      </c>
      <c r="C146" s="99"/>
      <c r="D146" s="99"/>
      <c r="E146" s="99"/>
      <c r="F146" s="99"/>
      <c r="G146" s="100"/>
      <c r="H146" s="11">
        <f t="shared" si="6"/>
        <v>2.6638252530633993E-2</v>
      </c>
      <c r="I146" s="12">
        <f>($D$154/$E$156)*H156</f>
        <v>166.33882812864866</v>
      </c>
    </row>
    <row r="147" spans="1:19" ht="15" customHeight="1" x14ac:dyDescent="0.25">
      <c r="A147" s="10">
        <v>4</v>
      </c>
      <c r="B147" s="98" t="s">
        <v>179</v>
      </c>
      <c r="C147" s="99"/>
      <c r="D147" s="99"/>
      <c r="E147" s="99"/>
      <c r="F147" s="99"/>
      <c r="G147" s="100"/>
      <c r="H147" s="11">
        <f t="shared" si="6"/>
        <v>0</v>
      </c>
      <c r="I147" s="12">
        <f>($D$154/$E$156)*H157</f>
        <v>0</v>
      </c>
    </row>
    <row r="148" spans="1:19" ht="15" customHeight="1" x14ac:dyDescent="0.25">
      <c r="A148" s="10">
        <v>5</v>
      </c>
      <c r="B148" s="98" t="s">
        <v>71</v>
      </c>
      <c r="C148" s="99"/>
      <c r="D148" s="99"/>
      <c r="E148" s="99"/>
      <c r="F148" s="99"/>
      <c r="G148" s="100"/>
      <c r="H148" s="11">
        <f t="shared" si="6"/>
        <v>0</v>
      </c>
      <c r="I148" s="12">
        <f>($D$154/$E$156)*H158</f>
        <v>0</v>
      </c>
    </row>
    <row r="149" spans="1:19" ht="15" customHeight="1" x14ac:dyDescent="0.25">
      <c r="A149" s="142" t="s">
        <v>93</v>
      </c>
      <c r="B149" s="143"/>
      <c r="C149" s="143"/>
      <c r="D149" s="143"/>
      <c r="E149" s="143"/>
      <c r="F149" s="143"/>
      <c r="G149" s="144"/>
      <c r="H149" s="14">
        <f>H144+H145+H146+H147+H148</f>
        <v>6.5530101225359613E-2</v>
      </c>
      <c r="I149" s="48">
        <f>SUM(I144:I148)</f>
        <v>409.19351719647568</v>
      </c>
    </row>
    <row r="150" spans="1:19" ht="11.25" customHeight="1" x14ac:dyDescent="0.25">
      <c r="A150" s="17" t="s">
        <v>95</v>
      </c>
      <c r="B150" s="135" t="s">
        <v>94</v>
      </c>
      <c r="C150" s="135"/>
      <c r="D150" s="135"/>
      <c r="E150" s="135"/>
      <c r="F150" s="135"/>
      <c r="G150" s="135"/>
      <c r="H150" s="135"/>
      <c r="I150" s="135"/>
      <c r="K150"/>
      <c r="L150"/>
      <c r="M150"/>
      <c r="N150"/>
      <c r="O150"/>
      <c r="P150"/>
      <c r="Q150"/>
      <c r="R150"/>
      <c r="S150"/>
    </row>
    <row r="151" spans="1:19" ht="20.25" customHeight="1" x14ac:dyDescent="0.25">
      <c r="A151" s="17" t="s">
        <v>176</v>
      </c>
      <c r="B151" s="136" t="s">
        <v>96</v>
      </c>
      <c r="C151" s="136"/>
      <c r="D151" s="136"/>
      <c r="E151" s="136"/>
      <c r="F151" s="136"/>
      <c r="G151" s="136"/>
      <c r="H151" s="136"/>
      <c r="I151" s="136"/>
      <c r="K151"/>
      <c r="L151"/>
      <c r="M151"/>
      <c r="N151"/>
      <c r="O151"/>
      <c r="P151"/>
      <c r="Q151"/>
      <c r="R151"/>
      <c r="S151"/>
    </row>
    <row r="152" spans="1:19" ht="13.5" customHeight="1" x14ac:dyDescent="0.25">
      <c r="A152" s="137" t="s">
        <v>97</v>
      </c>
      <c r="B152" s="137"/>
      <c r="C152" s="137"/>
      <c r="D152" s="137"/>
      <c r="E152" s="137"/>
      <c r="F152" s="137"/>
      <c r="G152" s="137"/>
      <c r="H152" s="137"/>
      <c r="I152" s="137"/>
    </row>
    <row r="153" spans="1:19" ht="13.5" customHeight="1" x14ac:dyDescent="0.25">
      <c r="A153" s="138" t="s">
        <v>98</v>
      </c>
      <c r="B153" s="138"/>
      <c r="C153" s="22" t="s">
        <v>99</v>
      </c>
      <c r="D153" s="139" t="s">
        <v>143</v>
      </c>
      <c r="E153" s="140"/>
      <c r="F153" s="22" t="s">
        <v>100</v>
      </c>
      <c r="G153" s="22" t="s">
        <v>101</v>
      </c>
      <c r="H153" s="141" t="s">
        <v>187</v>
      </c>
      <c r="I153" s="141"/>
    </row>
    <row r="154" spans="1:19" ht="13.5" customHeight="1" x14ac:dyDescent="0.25">
      <c r="A154" s="130">
        <f>I110</f>
        <v>6244.35960794947</v>
      </c>
      <c r="B154" s="131"/>
      <c r="C154" s="12">
        <f>I140</f>
        <v>0</v>
      </c>
      <c r="D154" s="132">
        <f>A154+C154</f>
        <v>6244.35960794947</v>
      </c>
      <c r="E154" s="133"/>
      <c r="F154" s="10" t="s">
        <v>91</v>
      </c>
      <c r="G154" s="49">
        <v>1.6500000000000001E-2</v>
      </c>
      <c r="H154" s="106">
        <v>6.4999999999999997E-3</v>
      </c>
      <c r="I154" s="106"/>
      <c r="J154" s="13"/>
    </row>
    <row r="155" spans="1:19" ht="13.5" customHeight="1" x14ac:dyDescent="0.25">
      <c r="A155" s="212" t="s">
        <v>102</v>
      </c>
      <c r="B155" s="212"/>
      <c r="C155" s="10">
        <v>1</v>
      </c>
      <c r="D155" s="50">
        <f>G159/1</f>
        <v>0.11749999999999999</v>
      </c>
      <c r="E155" s="85">
        <f>C155-D155</f>
        <v>0.88250000000000006</v>
      </c>
      <c r="F155" s="10" t="s">
        <v>92</v>
      </c>
      <c r="G155" s="49">
        <v>7.5999999999999998E-2</v>
      </c>
      <c r="H155" s="106">
        <v>0.03</v>
      </c>
      <c r="I155" s="106"/>
    </row>
    <row r="156" spans="1:19" ht="13.5" customHeight="1" x14ac:dyDescent="0.25">
      <c r="A156" s="105" t="s">
        <v>103</v>
      </c>
      <c r="B156" s="105"/>
      <c r="C156" s="10">
        <v>1</v>
      </c>
      <c r="D156" s="50">
        <f>H159</f>
        <v>6.1499999999999999E-2</v>
      </c>
      <c r="E156" s="87">
        <f>C156-D156</f>
        <v>0.9385</v>
      </c>
      <c r="F156" s="10" t="s">
        <v>165</v>
      </c>
      <c r="G156" s="49">
        <f>I11</f>
        <v>2.5000000000000001E-2</v>
      </c>
      <c r="H156" s="106">
        <f>I11</f>
        <v>2.5000000000000001E-2</v>
      </c>
      <c r="I156" s="106"/>
    </row>
    <row r="157" spans="1:19" ht="13.5" customHeight="1" x14ac:dyDescent="0.25">
      <c r="A157" s="105" t="s">
        <v>104</v>
      </c>
      <c r="B157" s="105"/>
      <c r="C157" s="10">
        <v>1</v>
      </c>
      <c r="D157" s="51">
        <v>0.09</v>
      </c>
      <c r="E157" s="52">
        <f>C157-D157</f>
        <v>0.91</v>
      </c>
      <c r="F157" s="10" t="s">
        <v>198</v>
      </c>
      <c r="G157" s="49">
        <v>0</v>
      </c>
      <c r="H157" s="106">
        <v>0</v>
      </c>
      <c r="I157" s="106"/>
    </row>
    <row r="158" spans="1:19" ht="13.5" customHeight="1" x14ac:dyDescent="0.25">
      <c r="A158" s="120" t="s">
        <v>105</v>
      </c>
      <c r="B158" s="114" t="s">
        <v>106</v>
      </c>
      <c r="C158" s="115"/>
      <c r="D158" s="115"/>
      <c r="E158" s="116"/>
      <c r="F158" s="92" t="str">
        <f>B148</f>
        <v>Outros (especificar)</v>
      </c>
      <c r="G158" s="49">
        <v>0</v>
      </c>
      <c r="H158" s="112">
        <v>0</v>
      </c>
      <c r="I158" s="113"/>
    </row>
    <row r="159" spans="1:19" ht="18" customHeight="1" thickBot="1" x14ac:dyDescent="0.3">
      <c r="A159" s="208"/>
      <c r="B159" s="205"/>
      <c r="C159" s="206"/>
      <c r="D159" s="206"/>
      <c r="E159" s="207"/>
      <c r="F159" s="22" t="s">
        <v>107</v>
      </c>
      <c r="G159" s="86">
        <f>SUM(G154:G158)</f>
        <v>0.11749999999999999</v>
      </c>
      <c r="H159" s="109">
        <f>SUM(H154:I158)</f>
        <v>6.1499999999999999E-2</v>
      </c>
      <c r="I159" s="109"/>
    </row>
    <row r="160" spans="1:19" ht="59.25" customHeight="1" thickBot="1" x14ac:dyDescent="0.3">
      <c r="A160" s="218" t="s">
        <v>186</v>
      </c>
      <c r="B160" s="219"/>
      <c r="C160" s="219"/>
      <c r="D160" s="219"/>
      <c r="E160" s="219"/>
      <c r="F160" s="219"/>
      <c r="G160" s="219"/>
      <c r="H160" s="219"/>
      <c r="I160" s="220"/>
    </row>
    <row r="161" spans="1:10" ht="5.0999999999999996" customHeight="1" x14ac:dyDescent="0.25">
      <c r="A161" s="53"/>
      <c r="B161" s="110"/>
      <c r="C161" s="110"/>
      <c r="D161" s="110"/>
      <c r="E161" s="110"/>
      <c r="F161" s="110"/>
      <c r="G161" s="110"/>
      <c r="H161" s="110"/>
      <c r="I161" s="110"/>
    </row>
    <row r="162" spans="1:10" ht="12" x14ac:dyDescent="0.25">
      <c r="A162" s="111" t="s">
        <v>108</v>
      </c>
      <c r="B162" s="111"/>
      <c r="C162" s="111"/>
      <c r="D162" s="111"/>
      <c r="E162" s="111"/>
      <c r="F162" s="111"/>
      <c r="G162" s="111"/>
      <c r="H162" s="31">
        <f>H149</f>
        <v>6.5530101225359613E-2</v>
      </c>
      <c r="I162" s="32">
        <f>I149</f>
        <v>409.19351719647568</v>
      </c>
    </row>
    <row r="163" spans="1:10" ht="5.0999999999999996" customHeight="1" x14ac:dyDescent="0.25"/>
    <row r="164" spans="1:10" x14ac:dyDescent="0.25">
      <c r="A164" s="96" t="s">
        <v>109</v>
      </c>
      <c r="B164" s="96"/>
      <c r="C164" s="96"/>
      <c r="D164" s="96"/>
      <c r="E164" s="96"/>
      <c r="F164" s="96"/>
      <c r="G164" s="96"/>
      <c r="H164" s="96"/>
      <c r="I164" s="96"/>
    </row>
    <row r="165" spans="1:10" x14ac:dyDescent="0.25">
      <c r="A165" s="97" t="s">
        <v>8</v>
      </c>
      <c r="B165" s="97"/>
      <c r="C165" s="97"/>
      <c r="D165" s="97"/>
      <c r="E165" s="97"/>
      <c r="F165" s="97"/>
      <c r="G165" s="97"/>
      <c r="H165" s="97"/>
      <c r="I165" s="97"/>
    </row>
    <row r="166" spans="1:10" ht="15" customHeight="1" x14ac:dyDescent="0.25">
      <c r="A166" s="10">
        <v>1</v>
      </c>
      <c r="B166" s="98" t="s">
        <v>110</v>
      </c>
      <c r="C166" s="99"/>
      <c r="D166" s="99"/>
      <c r="E166" s="99"/>
      <c r="F166" s="99"/>
      <c r="G166" s="100"/>
      <c r="H166" s="11">
        <f>I166/$G$183</f>
        <v>0.48537877584146816</v>
      </c>
      <c r="I166" s="54">
        <f>I52</f>
        <v>3229.4919540000001</v>
      </c>
    </row>
    <row r="167" spans="1:10" ht="15" customHeight="1" x14ac:dyDescent="0.25">
      <c r="A167" s="10">
        <v>2</v>
      </c>
      <c r="B167" s="98" t="s">
        <v>111</v>
      </c>
      <c r="C167" s="99"/>
      <c r="D167" s="99"/>
      <c r="E167" s="99"/>
      <c r="F167" s="99"/>
      <c r="G167" s="100"/>
      <c r="H167" s="11">
        <f t="shared" ref="H167:H168" si="7">I167/$G$183</f>
        <v>0.34956176085690649</v>
      </c>
      <c r="I167" s="54">
        <f>I63+I75+I82+I86</f>
        <v>2325.8266539494698</v>
      </c>
    </row>
    <row r="168" spans="1:10" ht="15" customHeight="1" x14ac:dyDescent="0.25">
      <c r="A168" s="10">
        <v>3</v>
      </c>
      <c r="B168" s="101" t="s">
        <v>112</v>
      </c>
      <c r="C168" s="101"/>
      <c r="D168" s="101"/>
      <c r="E168" s="101"/>
      <c r="F168" s="101"/>
      <c r="G168" s="101"/>
      <c r="H168" s="11">
        <f t="shared" si="7"/>
        <v>0.10355990411133906</v>
      </c>
      <c r="I168" s="54">
        <f>I96</f>
        <v>689.04099999999994</v>
      </c>
    </row>
    <row r="169" spans="1:10" s="16" customFormat="1" ht="15" customHeight="1" x14ac:dyDescent="0.25">
      <c r="A169" s="102" t="s">
        <v>113</v>
      </c>
      <c r="B169" s="103"/>
      <c r="C169" s="103"/>
      <c r="D169" s="103"/>
      <c r="E169" s="103"/>
      <c r="F169" s="103"/>
      <c r="G169" s="104"/>
      <c r="H169" s="31">
        <f>H166+H167+H168</f>
        <v>0.93850044080971373</v>
      </c>
      <c r="I169" s="32">
        <f>ROUND(SUM(I166:I168),2)</f>
        <v>6244.36</v>
      </c>
      <c r="J169" s="23"/>
    </row>
    <row r="170" spans="1:10" ht="5.0999999999999996" customHeight="1" x14ac:dyDescent="0.25"/>
    <row r="171" spans="1:10" x14ac:dyDescent="0.25">
      <c r="A171" s="97" t="s">
        <v>67</v>
      </c>
      <c r="B171" s="97"/>
      <c r="C171" s="97"/>
      <c r="D171" s="97"/>
      <c r="E171" s="97"/>
      <c r="F171" s="97"/>
      <c r="G171" s="97"/>
      <c r="H171" s="97"/>
      <c r="I171" s="97"/>
    </row>
    <row r="172" spans="1:10" ht="15" customHeight="1" x14ac:dyDescent="0.25">
      <c r="A172" s="10">
        <v>1</v>
      </c>
      <c r="B172" s="98" t="s">
        <v>114</v>
      </c>
      <c r="C172" s="99"/>
      <c r="D172" s="99"/>
      <c r="E172" s="99"/>
      <c r="F172" s="99"/>
      <c r="G172" s="100"/>
      <c r="H172" s="11">
        <f>I172/$G$183</f>
        <v>0</v>
      </c>
      <c r="I172" s="12">
        <f>I120</f>
        <v>0</v>
      </c>
    </row>
    <row r="173" spans="1:10" ht="15" customHeight="1" x14ac:dyDescent="0.25">
      <c r="A173" s="10">
        <v>2</v>
      </c>
      <c r="B173" s="98" t="s">
        <v>115</v>
      </c>
      <c r="C173" s="99"/>
      <c r="D173" s="99"/>
      <c r="E173" s="99"/>
      <c r="F173" s="99"/>
      <c r="G173" s="100"/>
      <c r="H173" s="11">
        <f t="shared" ref="H173:H174" si="8">I173/$G$183</f>
        <v>0</v>
      </c>
      <c r="I173" s="12">
        <f>I130</f>
        <v>0</v>
      </c>
    </row>
    <row r="174" spans="1:10" ht="15" customHeight="1" x14ac:dyDescent="0.25">
      <c r="A174" s="10">
        <v>3</v>
      </c>
      <c r="B174" s="98" t="s">
        <v>116</v>
      </c>
      <c r="C174" s="99"/>
      <c r="D174" s="99"/>
      <c r="E174" s="99"/>
      <c r="F174" s="99"/>
      <c r="G174" s="100"/>
      <c r="H174" s="11">
        <f t="shared" si="8"/>
        <v>0</v>
      </c>
      <c r="I174" s="12">
        <f>I134</f>
        <v>0</v>
      </c>
    </row>
    <row r="175" spans="1:10" ht="15" customHeight="1" x14ac:dyDescent="0.25">
      <c r="A175" s="102" t="s">
        <v>117</v>
      </c>
      <c r="B175" s="103"/>
      <c r="C175" s="103"/>
      <c r="D175" s="103"/>
      <c r="E175" s="103"/>
      <c r="F175" s="103"/>
      <c r="G175" s="104"/>
      <c r="H175" s="31">
        <f>H172+H173+H174</f>
        <v>0</v>
      </c>
      <c r="I175" s="32">
        <f>ROUND(I172+I173+I174,2)</f>
        <v>0</v>
      </c>
    </row>
    <row r="176" spans="1:10" ht="5.0999999999999996" customHeight="1" x14ac:dyDescent="0.25"/>
    <row r="177" spans="1:11" x14ac:dyDescent="0.25">
      <c r="A177" s="97" t="s">
        <v>90</v>
      </c>
      <c r="B177" s="97"/>
      <c r="C177" s="97"/>
      <c r="D177" s="97"/>
      <c r="E177" s="97"/>
      <c r="F177" s="97"/>
      <c r="G177" s="97"/>
      <c r="H177" s="97"/>
      <c r="I177" s="97"/>
    </row>
    <row r="178" spans="1:11" ht="15" customHeight="1" x14ac:dyDescent="0.25">
      <c r="A178" s="10">
        <v>1</v>
      </c>
      <c r="B178" s="98" t="s">
        <v>118</v>
      </c>
      <c r="C178" s="99"/>
      <c r="D178" s="99"/>
      <c r="E178" s="99"/>
      <c r="F178" s="99"/>
      <c r="G178" s="100"/>
      <c r="H178" s="11">
        <f>I178/$G$183</f>
        <v>6.1500028886305166E-2</v>
      </c>
      <c r="I178" s="12">
        <f>I149</f>
        <v>409.19351719647568</v>
      </c>
    </row>
    <row r="179" spans="1:11" ht="15" customHeight="1" x14ac:dyDescent="0.25">
      <c r="A179" s="102" t="s">
        <v>119</v>
      </c>
      <c r="B179" s="103"/>
      <c r="C179" s="103"/>
      <c r="D179" s="103"/>
      <c r="E179" s="103"/>
      <c r="F179" s="103"/>
      <c r="G179" s="104"/>
      <c r="H179" s="31">
        <f>H178</f>
        <v>6.1500028886305166E-2</v>
      </c>
      <c r="I179" s="32">
        <f>ROUND(I149,2)</f>
        <v>409.19</v>
      </c>
      <c r="K179" s="55"/>
    </row>
    <row r="180" spans="1:11" ht="5.0999999999999996" customHeight="1" x14ac:dyDescent="0.25"/>
    <row r="181" spans="1:11" x14ac:dyDescent="0.25">
      <c r="A181" s="125" t="s">
        <v>109</v>
      </c>
      <c r="B181" s="125"/>
      <c r="C181" s="125"/>
      <c r="D181" s="125"/>
      <c r="E181" s="125"/>
      <c r="F181" s="125"/>
      <c r="G181" s="125"/>
      <c r="H181" s="125"/>
      <c r="I181" s="125"/>
    </row>
    <row r="182" spans="1:11" ht="45" x14ac:dyDescent="0.25">
      <c r="A182" s="126" t="s">
        <v>120</v>
      </c>
      <c r="B182" s="126"/>
      <c r="C182" s="126"/>
      <c r="D182" s="126"/>
      <c r="E182" s="126"/>
      <c r="F182" s="126"/>
      <c r="G182" s="56" t="s">
        <v>121</v>
      </c>
      <c r="H182" s="56" t="s">
        <v>122</v>
      </c>
      <c r="I182" s="56" t="s">
        <v>123</v>
      </c>
    </row>
    <row r="183" spans="1:11" ht="11.25" customHeight="1" x14ac:dyDescent="0.25">
      <c r="A183" s="127" t="str">
        <f>D5</f>
        <v>Vigilantes</v>
      </c>
      <c r="B183" s="128"/>
      <c r="C183" s="128"/>
      <c r="D183" s="128"/>
      <c r="E183" s="128"/>
      <c r="F183" s="129"/>
      <c r="G183" s="57">
        <f>I169+I175+I179</f>
        <v>6653.5499999999993</v>
      </c>
      <c r="H183" s="56">
        <f>IF(D6="12x36",2,1)</f>
        <v>2</v>
      </c>
      <c r="I183" s="57">
        <f>G183*H183</f>
        <v>13307.099999999999</v>
      </c>
    </row>
    <row r="184" spans="1:11" x14ac:dyDescent="0.25">
      <c r="A184" s="127"/>
      <c r="B184" s="128"/>
      <c r="C184" s="128"/>
      <c r="D184" s="128"/>
      <c r="E184" s="128"/>
      <c r="F184" s="129"/>
      <c r="G184" s="56"/>
      <c r="H184" s="56"/>
      <c r="I184" s="57"/>
    </row>
    <row r="185" spans="1:11" s="16" customFormat="1" ht="12" x14ac:dyDescent="0.25">
      <c r="A185" s="122" t="s">
        <v>124</v>
      </c>
      <c r="B185" s="123"/>
      <c r="C185" s="123"/>
      <c r="D185" s="123"/>
      <c r="E185" s="123"/>
      <c r="F185" s="123"/>
      <c r="G185" s="123"/>
      <c r="H185" s="124"/>
      <c r="I185" s="58">
        <f>I183</f>
        <v>13307.099999999999</v>
      </c>
      <c r="J185" s="23"/>
    </row>
  </sheetData>
  <mergeCells count="183">
    <mergeCell ref="B44:G44"/>
    <mergeCell ref="A12:F12"/>
    <mergeCell ref="B50:G50"/>
    <mergeCell ref="A160:I160"/>
    <mergeCell ref="A14:F16"/>
    <mergeCell ref="G14:G16"/>
    <mergeCell ref="A17:F19"/>
    <mergeCell ref="B54:G54"/>
    <mergeCell ref="B55:G55"/>
    <mergeCell ref="B46:G46"/>
    <mergeCell ref="B47:G47"/>
    <mergeCell ref="B48:G48"/>
    <mergeCell ref="B51:G51"/>
    <mergeCell ref="B42:G42"/>
    <mergeCell ref="B43:G43"/>
    <mergeCell ref="A52:G52"/>
    <mergeCell ref="B49:G49"/>
    <mergeCell ref="A65:I65"/>
    <mergeCell ref="B66:G66"/>
    <mergeCell ref="B67:G67"/>
    <mergeCell ref="B56:G56"/>
    <mergeCell ref="B57:G57"/>
    <mergeCell ref="B58:G58"/>
    <mergeCell ref="B59:G59"/>
    <mergeCell ref="B60:G60"/>
    <mergeCell ref="A7:C7"/>
    <mergeCell ref="D7:F7"/>
    <mergeCell ref="B36:G36"/>
    <mergeCell ref="B37:G37"/>
    <mergeCell ref="B38:G38"/>
    <mergeCell ref="B39:G39"/>
    <mergeCell ref="B40:G40"/>
    <mergeCell ref="B41:G41"/>
    <mergeCell ref="A20:F22"/>
    <mergeCell ref="G20:G22"/>
    <mergeCell ref="A8:C8"/>
    <mergeCell ref="D8:F8"/>
    <mergeCell ref="G7:H8"/>
    <mergeCell ref="G17:G19"/>
    <mergeCell ref="A9:C9"/>
    <mergeCell ref="D9:F9"/>
    <mergeCell ref="A10:F10"/>
    <mergeCell ref="A11:F11"/>
    <mergeCell ref="A23:F23"/>
    <mergeCell ref="A24:F24"/>
    <mergeCell ref="A25:F25"/>
    <mergeCell ref="A28:F28"/>
    <mergeCell ref="A29:F29"/>
    <mergeCell ref="A35:I3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13:F13"/>
    <mergeCell ref="I7:I8"/>
    <mergeCell ref="G9:H9"/>
    <mergeCell ref="A26:F27"/>
    <mergeCell ref="B61:G61"/>
    <mergeCell ref="B62:G62"/>
    <mergeCell ref="A63:G63"/>
    <mergeCell ref="A64:I64"/>
    <mergeCell ref="B74:G74"/>
    <mergeCell ref="A75:G75"/>
    <mergeCell ref="B76:I76"/>
    <mergeCell ref="B77:I77"/>
    <mergeCell ref="B78:G78"/>
    <mergeCell ref="B79:G79"/>
    <mergeCell ref="B68:G68"/>
    <mergeCell ref="B69:G69"/>
    <mergeCell ref="B70:G70"/>
    <mergeCell ref="B71:G71"/>
    <mergeCell ref="B72:G72"/>
    <mergeCell ref="B73:G73"/>
    <mergeCell ref="A88:G88"/>
    <mergeCell ref="B90:G90"/>
    <mergeCell ref="B91:G91"/>
    <mergeCell ref="B93:G93"/>
    <mergeCell ref="B94:G94"/>
    <mergeCell ref="B95:G95"/>
    <mergeCell ref="B80:G80"/>
    <mergeCell ref="B81:G81"/>
    <mergeCell ref="A82:G82"/>
    <mergeCell ref="B84:G84"/>
    <mergeCell ref="B85:G85"/>
    <mergeCell ref="A86:G86"/>
    <mergeCell ref="B92:G92"/>
    <mergeCell ref="A96:G96"/>
    <mergeCell ref="A98:I98"/>
    <mergeCell ref="A99:B99"/>
    <mergeCell ref="A100:B100"/>
    <mergeCell ref="A106:I106"/>
    <mergeCell ref="A107:B107"/>
    <mergeCell ref="A102:I102"/>
    <mergeCell ref="A103:B103"/>
    <mergeCell ref="A104:B104"/>
    <mergeCell ref="B97:G97"/>
    <mergeCell ref="B116:G116"/>
    <mergeCell ref="B117:G117"/>
    <mergeCell ref="B118:G118"/>
    <mergeCell ref="B119:G119"/>
    <mergeCell ref="A120:G120"/>
    <mergeCell ref="B121:I121"/>
    <mergeCell ref="A108:B108"/>
    <mergeCell ref="A110:G110"/>
    <mergeCell ref="A112:I112"/>
    <mergeCell ref="B113:G113"/>
    <mergeCell ref="B114:G114"/>
    <mergeCell ref="B115:G115"/>
    <mergeCell ref="A134:G134"/>
    <mergeCell ref="A136:E136"/>
    <mergeCell ref="A149:G149"/>
    <mergeCell ref="A123:E123"/>
    <mergeCell ref="A124:B124"/>
    <mergeCell ref="A125:B125"/>
    <mergeCell ref="B126:I126"/>
    <mergeCell ref="B127:G127"/>
    <mergeCell ref="B128:G128"/>
    <mergeCell ref="A185:H185"/>
    <mergeCell ref="A30:F31"/>
    <mergeCell ref="G30:G31"/>
    <mergeCell ref="A32:F33"/>
    <mergeCell ref="G32:G33"/>
    <mergeCell ref="B173:G173"/>
    <mergeCell ref="B174:G174"/>
    <mergeCell ref="A175:G175"/>
    <mergeCell ref="A177:I177"/>
    <mergeCell ref="B178:G178"/>
    <mergeCell ref="A179:G179"/>
    <mergeCell ref="B166:G166"/>
    <mergeCell ref="B167:G167"/>
    <mergeCell ref="B168:G168"/>
    <mergeCell ref="A169:G169"/>
    <mergeCell ref="A171:I171"/>
    <mergeCell ref="B172:G172"/>
    <mergeCell ref="H159:I159"/>
    <mergeCell ref="B161:I161"/>
    <mergeCell ref="A162:G162"/>
    <mergeCell ref="A164:I164"/>
    <mergeCell ref="A165:I165"/>
    <mergeCell ref="A155:B155"/>
    <mergeCell ref="A181:I181"/>
    <mergeCell ref="A182:F182"/>
    <mergeCell ref="A183:F183"/>
    <mergeCell ref="A184:F184"/>
    <mergeCell ref="H155:I155"/>
    <mergeCell ref="A156:B156"/>
    <mergeCell ref="H156:I156"/>
    <mergeCell ref="A157:B157"/>
    <mergeCell ref="H157:I157"/>
    <mergeCell ref="H158:I158"/>
    <mergeCell ref="B158:E159"/>
    <mergeCell ref="A158:A159"/>
    <mergeCell ref="B45:G45"/>
    <mergeCell ref="B151:I151"/>
    <mergeCell ref="A152:I152"/>
    <mergeCell ref="A153:B153"/>
    <mergeCell ref="D153:E153"/>
    <mergeCell ref="H153:I153"/>
    <mergeCell ref="A154:B154"/>
    <mergeCell ref="D154:E154"/>
    <mergeCell ref="H154:I154"/>
    <mergeCell ref="B145:G145"/>
    <mergeCell ref="B146:G146"/>
    <mergeCell ref="B147:G147"/>
    <mergeCell ref="B148:G148"/>
    <mergeCell ref="B150:I150"/>
    <mergeCell ref="A137:B137"/>
    <mergeCell ref="A138:B138"/>
    <mergeCell ref="A140:G140"/>
    <mergeCell ref="A142:I142"/>
    <mergeCell ref="B143:G143"/>
    <mergeCell ref="B144:G144"/>
    <mergeCell ref="B129:G129"/>
    <mergeCell ref="A130:G130"/>
    <mergeCell ref="B132:G132"/>
    <mergeCell ref="B133:G13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H17"/>
  <sheetViews>
    <sheetView zoomScaleNormal="100" workbookViewId="0">
      <selection activeCell="I19" sqref="I19"/>
    </sheetView>
  </sheetViews>
  <sheetFormatPr defaultColWidth="8.42578125" defaultRowHeight="15" x14ac:dyDescent="0.25"/>
  <cols>
    <col min="1" max="1" width="19.85546875" style="61" customWidth="1"/>
    <col min="2" max="2" width="11.140625" style="61" customWidth="1"/>
    <col min="3" max="3" width="13.28515625" style="61" customWidth="1"/>
    <col min="4" max="4" width="11.140625" style="61" customWidth="1"/>
    <col min="5" max="5" width="15" style="61" customWidth="1"/>
    <col min="6" max="6" width="12.42578125" style="61" customWidth="1"/>
    <col min="7" max="7" width="14" style="61" customWidth="1"/>
    <col min="8" max="8" width="14.42578125" style="61" customWidth="1"/>
    <col min="9" max="16384" width="8.42578125" style="61"/>
  </cols>
  <sheetData>
    <row r="2" spans="1:8" x14ac:dyDescent="0.25">
      <c r="A2" s="222" t="s">
        <v>126</v>
      </c>
      <c r="B2" s="222"/>
      <c r="C2" s="222"/>
      <c r="D2" s="222"/>
      <c r="E2" s="222"/>
      <c r="F2" s="222"/>
      <c r="G2" s="222"/>
    </row>
    <row r="3" spans="1:8" ht="29.25" customHeight="1" x14ac:dyDescent="0.25">
      <c r="A3" s="62" t="s">
        <v>127</v>
      </c>
      <c r="B3" s="62" t="s">
        <v>157</v>
      </c>
      <c r="C3" s="62" t="s">
        <v>128</v>
      </c>
      <c r="D3" s="62" t="s">
        <v>129</v>
      </c>
      <c r="E3" s="63" t="s">
        <v>57</v>
      </c>
      <c r="F3" s="63" t="s">
        <v>140</v>
      </c>
      <c r="G3" s="63" t="s">
        <v>130</v>
      </c>
    </row>
    <row r="4" spans="1:8" x14ac:dyDescent="0.25">
      <c r="A4" s="64" t="s">
        <v>206</v>
      </c>
      <c r="B4" s="65" t="s">
        <v>207</v>
      </c>
      <c r="C4" s="65" t="s">
        <v>208</v>
      </c>
      <c r="D4" s="65"/>
      <c r="E4" s="66">
        <f>'Vigilante diurno'!I177</f>
        <v>11638.18</v>
      </c>
      <c r="F4" s="65">
        <v>2</v>
      </c>
      <c r="G4" s="66">
        <f t="shared" ref="G4:G5" si="0">F4*E4</f>
        <v>23276.36</v>
      </c>
    </row>
    <row r="5" spans="1:8" x14ac:dyDescent="0.25">
      <c r="A5" s="64" t="s">
        <v>205</v>
      </c>
      <c r="B5" s="65" t="s">
        <v>207</v>
      </c>
      <c r="C5" s="65" t="s">
        <v>208</v>
      </c>
      <c r="D5" s="65"/>
      <c r="E5" s="66">
        <f>'Vigilante noturno'!I185</f>
        <v>13307.099999999999</v>
      </c>
      <c r="F5" s="65">
        <v>3</v>
      </c>
      <c r="G5" s="66">
        <f t="shared" si="0"/>
        <v>39921.299999999996</v>
      </c>
    </row>
    <row r="6" spans="1:8" x14ac:dyDescent="0.25">
      <c r="A6" s="223" t="s">
        <v>107</v>
      </c>
      <c r="B6" s="224"/>
      <c r="C6" s="224"/>
      <c r="D6" s="224"/>
      <c r="E6" s="225"/>
      <c r="F6" s="67">
        <f>SUM(F4:F5)</f>
        <v>5</v>
      </c>
      <c r="G6" s="68">
        <f>SUM(G4:G5)</f>
        <v>63197.659999999996</v>
      </c>
    </row>
    <row r="8" spans="1:8" ht="30" x14ac:dyDescent="0.25">
      <c r="A8" s="93" t="s">
        <v>127</v>
      </c>
      <c r="B8" s="93" t="s">
        <v>140</v>
      </c>
      <c r="C8" s="93" t="s">
        <v>209</v>
      </c>
      <c r="D8" s="93" t="s">
        <v>210</v>
      </c>
      <c r="E8" s="93" t="s">
        <v>211</v>
      </c>
      <c r="F8" s="93" t="s">
        <v>212</v>
      </c>
      <c r="G8" s="93" t="s">
        <v>213</v>
      </c>
      <c r="H8" s="93" t="s">
        <v>214</v>
      </c>
    </row>
    <row r="9" spans="1:8" x14ac:dyDescent="0.25">
      <c r="A9" s="64" t="s">
        <v>206</v>
      </c>
      <c r="B9" s="65">
        <v>2</v>
      </c>
      <c r="C9" s="94">
        <f>'Vigilante diurno'!I161*2</f>
        <v>10922.44</v>
      </c>
      <c r="D9" s="94">
        <f>'Vigilante diurno'!I167*2</f>
        <v>0</v>
      </c>
      <c r="E9" s="94">
        <f>'Vigilante diurno'!I171*2</f>
        <v>715.74</v>
      </c>
      <c r="F9" s="94">
        <f>C9*B9</f>
        <v>21844.880000000001</v>
      </c>
      <c r="G9" s="94">
        <f>D9*B9</f>
        <v>0</v>
      </c>
      <c r="H9" s="94">
        <f>E9*B9</f>
        <v>1431.48</v>
      </c>
    </row>
    <row r="10" spans="1:8" x14ac:dyDescent="0.25">
      <c r="A10" s="64" t="s">
        <v>205</v>
      </c>
      <c r="B10" s="65">
        <v>3</v>
      </c>
      <c r="C10" s="94">
        <f>'Vigilante noturno'!I169*2</f>
        <v>12488.72</v>
      </c>
      <c r="D10" s="94">
        <f>'Vigilante noturno'!I175*2</f>
        <v>0</v>
      </c>
      <c r="E10" s="94">
        <f>'Vigilante noturno'!I179*2</f>
        <v>818.38</v>
      </c>
      <c r="F10" s="94">
        <f>C10*B10</f>
        <v>37466.159999999996</v>
      </c>
      <c r="G10" s="94">
        <f>D10*B10</f>
        <v>0</v>
      </c>
      <c r="H10" s="94">
        <f>E10*B10</f>
        <v>2455.14</v>
      </c>
    </row>
    <row r="11" spans="1:8" x14ac:dyDescent="0.25">
      <c r="A11" s="64"/>
      <c r="B11" s="67">
        <f>SUM(B9:B10)</f>
        <v>5</v>
      </c>
      <c r="C11" s="94"/>
      <c r="D11" s="94"/>
      <c r="E11" s="94"/>
      <c r="F11" s="94">
        <f>SUM(F9:F10)</f>
        <v>59311.039999999994</v>
      </c>
      <c r="G11" s="94">
        <f>SUM(G9:G10)</f>
        <v>0</v>
      </c>
      <c r="H11" s="94">
        <f>SUM(H9:H10)</f>
        <v>3886.62</v>
      </c>
    </row>
    <row r="12" spans="1:8" x14ac:dyDescent="0.25">
      <c r="A12" s="69"/>
      <c r="B12" s="69"/>
      <c r="C12" s="69"/>
      <c r="D12" s="69"/>
    </row>
    <row r="13" spans="1:8" x14ac:dyDescent="0.25">
      <c r="G13" s="64" t="s">
        <v>98</v>
      </c>
      <c r="H13" s="94">
        <f>F11</f>
        <v>59311.039999999994</v>
      </c>
    </row>
    <row r="14" spans="1:8" x14ac:dyDescent="0.25">
      <c r="G14" s="64" t="s">
        <v>99</v>
      </c>
      <c r="H14" s="94">
        <f>G11</f>
        <v>0</v>
      </c>
    </row>
    <row r="15" spans="1:8" x14ac:dyDescent="0.25">
      <c r="G15" s="64" t="s">
        <v>215</v>
      </c>
      <c r="H15" s="94">
        <f>H11</f>
        <v>3886.62</v>
      </c>
    </row>
    <row r="16" spans="1:8" x14ac:dyDescent="0.25">
      <c r="G16" s="64" t="s">
        <v>216</v>
      </c>
      <c r="H16" s="94">
        <f>SUM(H13:H15)</f>
        <v>63197.659999999996</v>
      </c>
    </row>
    <row r="17" spans="8:8" x14ac:dyDescent="0.25">
      <c r="H17" s="95"/>
    </row>
  </sheetData>
  <mergeCells count="2">
    <mergeCell ref="A2:G2"/>
    <mergeCell ref="A6:E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Vigilante diurno</vt:lpstr>
      <vt:lpstr>Vigilante noturno</vt:lpstr>
      <vt:lpstr>Resumo</vt:lpstr>
      <vt:lpstr>'Vigilante diurno'!Area_de_impressao</vt:lpstr>
      <vt:lpstr>'Vigilante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Marcelo Marques Borges</cp:lastModifiedBy>
  <cp:lastPrinted>2021-01-28T12:18:46Z</cp:lastPrinted>
  <dcterms:created xsi:type="dcterms:W3CDTF">2019-04-12T20:03:09Z</dcterms:created>
  <dcterms:modified xsi:type="dcterms:W3CDTF">2025-12-19T15:20:20Z</dcterms:modified>
</cp:coreProperties>
</file>